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tyles.xml" ContentType="application/vnd.openxmlformats-officedocument.spreadsheetml.styl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3.xml.rels" ContentType="application/vnd.openxmlformats-package.relationships+xml"/>
  <Override PartName="/xl/worksheets/_rels/sheet5.xml.rels" ContentType="application/vnd.openxmlformats-package.relationships+xml"/>
  <Override PartName="/xl/worksheets/_rels/sheet10.xml.rels" ContentType="application/vnd.openxmlformats-package.relationships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book.xml" ContentType="application/vnd.ms-excel.sheet.macroEnabled.main+xml"/>
  <Override PartName="/xl/media/image4.wmf" ContentType="image/x-wmf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vmlDrawing1.vml" ContentType="application/vnd.openxmlformats-officedocument.vmlDrawing"/>
  <Override PartName="/xl/drawings/vmlDrawing2.vml" ContentType="application/vnd.openxmlformats-officedocument.vmlDrawing"/>
  <Override PartName="/xl/drawings/_rels/drawing1.xml.rels" ContentType="application/vnd.openxmlformats-package.relationships+xml"/>
  <Override PartName="/xl/comments5.xml" ContentType="application/vnd.openxmlformats-officedocument.spreadsheetml.comments+xml"/>
  <Override PartName="/xl/comments10.xml" ContentType="application/vnd.openxmlformats-officedocument.spreadsheetml.comment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0"/>
  </bookViews>
  <sheets>
    <sheet name="2e trim 2016" sheetId="1" state="visible" r:id="rId2"/>
    <sheet name="3ème trim 2016" sheetId="2" state="visible" r:id="rId3"/>
    <sheet name="4ème trim 2016" sheetId="3" state="visible" r:id="rId4"/>
    <sheet name="1er trim 2017" sheetId="4" state="visible" r:id="rId5"/>
    <sheet name="2eme trim 2017 " sheetId="5" state="visible" r:id="rId6"/>
    <sheet name="3eme trim 2017  " sheetId="6" state="visible" r:id="rId7"/>
    <sheet name="4eme trim 2017  " sheetId="7" state="visible" r:id="rId8"/>
    <sheet name="1er Trimestre 2018" sheetId="8" state="visible" r:id="rId9"/>
    <sheet name="2ème Trim.2018" sheetId="9" state="visible" r:id="rId10"/>
    <sheet name="Récapitulatif" sheetId="10" state="visible" r:id="rId11"/>
    <sheet name="F1" sheetId="11" state="visible" r:id="rId12"/>
    <sheet name="MODEL" sheetId="12" state="visible" r:id="rId13"/>
    <sheet name="bareme com" sheetId="13" state="visible" r:id="rId14"/>
    <sheet name="méth.Calcul (2)" sheetId="14" state="visible" r:id="rId15"/>
    <sheet name="méth.Calcul" sheetId="15" state="visible" r:id="rId16"/>
    <sheet name="Program." sheetId="16" state="visible" r:id="rId17"/>
    <sheet name="Simulation 4e 2017" sheetId="17" state="visible" r:id="rId18"/>
    <sheet name="simul.4e 2017 (2)" sheetId="18" state="visible" r:id="rId19"/>
  </sheets>
  <definedNames>
    <definedName function="false" hidden="false" localSheetId="3" name="_xlnm.Print_Area" vbProcedure="false">'1er trim 2017'!$A$1:$K$81</definedName>
    <definedName function="false" hidden="false" localSheetId="3" name="_xlnm.Print_Titles" vbProcedure="false">'1er trim 2017'!$12:$12</definedName>
    <definedName function="false" hidden="false" localSheetId="7" name="_xlnm.Print_Area" vbProcedure="false">'1er Trimestre 2018'!$A$1:$J$72</definedName>
    <definedName function="false" hidden="false" localSheetId="7" name="_xlnm.Print_Titles" vbProcedure="false">'1er Trimestre 2018'!$9:$9</definedName>
    <definedName function="false" hidden="false" localSheetId="0" name="_xlnm.Print_Area" vbProcedure="false">'2e trim 2016'!$A$1:$L$69</definedName>
    <definedName function="false" hidden="false" localSheetId="0" name="_xlnm.Print_Titles" vbProcedure="false">'2e trim 2016'!$1:$1</definedName>
    <definedName function="false" hidden="false" localSheetId="4" name="_xlnm.Print_Area" vbProcedure="false">'2eme trim 2017 '!$A$1:$L$83</definedName>
    <definedName function="false" hidden="false" localSheetId="4" name="_xlnm.Print_Titles" vbProcedure="false">'2eme trim 2017 '!$9:$9</definedName>
    <definedName function="false" hidden="false" localSheetId="8" name="_xlnm.Print_Area" vbProcedure="false">'2ème Trim.2018'!$A$1:$J$94</definedName>
    <definedName function="false" hidden="false" localSheetId="8" name="_xlnm.Print_Titles" vbProcedure="false">'2ème Trim.2018'!$9:$9</definedName>
    <definedName function="false" hidden="false" localSheetId="1" name="_xlnm.Print_Area" vbProcedure="false">'3ème trim 2016'!$A$1:$J$60</definedName>
    <definedName function="false" hidden="false" localSheetId="1" name="_xlnm.Print_Titles" vbProcedure="false">'3ème trim 2016'!$12:$12</definedName>
    <definedName function="false" hidden="false" localSheetId="5" name="_xlnm.Print_Area" vbProcedure="false">'3eme trim 2017  '!$A$1:$J$91</definedName>
    <definedName function="false" hidden="false" localSheetId="5" name="_xlnm.Print_Titles" vbProcedure="false">'3eme trim 2017  '!$9:$9</definedName>
    <definedName function="false" hidden="false" localSheetId="2" name="_xlnm.Print_Area" vbProcedure="false">'4ème trim 2016'!$A$1:$J$94</definedName>
    <definedName function="false" hidden="false" localSheetId="2" name="_xlnm.Print_Titles" vbProcedure="false">'4ème trim 2016'!$12:$12</definedName>
    <definedName function="false" hidden="false" localSheetId="6" name="_xlnm.Print_Area" vbProcedure="false">'4eme trim 2017  '!$A$1:$K$99</definedName>
    <definedName function="false" hidden="false" localSheetId="6" name="_xlnm.Print_Titles" vbProcedure="false">'4eme trim 2017  '!$9:$9</definedName>
    <definedName function="false" hidden="false" localSheetId="11" name="_xlnm.Print_Area" vbProcedure="false">MODEL!$A$1:$J$72</definedName>
    <definedName function="false" hidden="false" localSheetId="11" name="_xlnm.Print_Titles" vbProcedure="false">MODEL!$9:$9</definedName>
    <definedName function="false" hidden="false" localSheetId="15" name="_xlnm.Print_Area" vbProcedure="false">'Program.'!$A$1:$J$95</definedName>
    <definedName function="false" hidden="false" localSheetId="15" name="_xlnm.Print_Titles" vbProcedure="false">'Program.'!$9:$9</definedName>
    <definedName function="false" hidden="false" localSheetId="9" name="_xlnm.Print_Area" vbProcedure="false">Récapitulatif!$A$1:$J$428</definedName>
    <definedName function="false" hidden="false" localSheetId="9" name="_xlnm.Print_Titles" vbProcedure="false">Récapitulatif!$1:$3</definedName>
    <definedName function="false" hidden="false" localSheetId="17" name="_xlnm.Print_Area" vbProcedure="false">'simul.4e 2017 (2)'!$A$1:$L$98</definedName>
    <definedName function="false" hidden="false" localSheetId="17" name="_xlnm.Print_Titles" vbProcedure="false">'simul.4e 2017 (2)'!$9:$9</definedName>
    <definedName function="false" hidden="false" localSheetId="16" name="_xlnm.Print_Area" vbProcedure="false">'Simulation 4e 2017'!$A$1:$L$99</definedName>
    <definedName function="false" hidden="false" localSheetId="16" name="_xlnm.Print_Titles" vbProcedure="false">'Simulation 4e 2017'!$9:$9</definedName>
    <definedName function="false" hidden="false" name="A" vbProcedure="false">'4eme trim 2017  '!$B:$B</definedName>
    <definedName function="false" hidden="false" localSheetId="0" name="_xlnm.Print_Titles" vbProcedure="false">'2e trim 2016'!$1:$1</definedName>
    <definedName function="false" hidden="false" localSheetId="1" name="_xlnm.Print_Titles" vbProcedure="false">'3ème trim 2016'!$12:$12</definedName>
    <definedName function="false" hidden="false" localSheetId="2" name="_xlnm.Print_Titles" vbProcedure="false">'4ème trim 2016'!$12:$12</definedName>
    <definedName function="false" hidden="false" localSheetId="3" name="_xlnm.Print_Titles" vbProcedure="false">'1er trim 2017'!$12:$12</definedName>
    <definedName function="false" hidden="false" localSheetId="4" name="_xlnm.Print_Titles" vbProcedure="false">'2eme trim 2017 '!$9:$9</definedName>
    <definedName function="false" hidden="false" localSheetId="5" name="_xlnm.Print_Titles" vbProcedure="false">'3eme trim 2017  '!$9:$9</definedName>
    <definedName function="false" hidden="false" localSheetId="6" name="_xlnm.Print_Titles" vbProcedure="false">'4eme trim 2017  '!$9:$9</definedName>
    <definedName function="false" hidden="false" localSheetId="7" name="_xlnm.Print_Titles" vbProcedure="false">'1er Trimestre 2018'!$9:$9</definedName>
    <definedName function="false" hidden="false" localSheetId="8" name="_xlnm.Print_Titles" vbProcedure="false">'2ème Trim.2018'!$9:$9</definedName>
    <definedName function="false" hidden="false" localSheetId="9" name="_xlnm.Print_Titles" vbProcedure="false">Récapitulatif!$1:$3</definedName>
    <definedName function="false" hidden="false" localSheetId="11" name="_xlnm.Print_Titles" vbProcedure="false">MODEL!$9:$9</definedName>
    <definedName function="false" hidden="false" localSheetId="15" name="_xlnm.Print_Titles" vbProcedure="false">'Program.'!$9:$9</definedName>
    <definedName function="false" hidden="false" localSheetId="16" name="A" vbProcedure="false">'Simulation 4e 2017'!$B:$B</definedName>
    <definedName function="false" hidden="false" localSheetId="16" name="_xlnm.Print_Titles" vbProcedure="false">'Simulation 4e 2017'!$9:$9</definedName>
    <definedName function="false" hidden="false" localSheetId="17" name="A" vbProcedure="false">'simul.4e 2017 (2)'!$B:$B</definedName>
    <definedName function="false" hidden="false" localSheetId="17" name="_xlnm.Print_Titles" vbProcedure="false">'simul.4e 2017 (2)'!$9:$9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5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H79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Administrateur:
</t>
        </r>
      </text>
    </comment>
  </commentList>
</comments>
</file>

<file path=xl/comments10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F1" authorId="0">
      <text>
        <r>
          <rPr>
            <b val="true"/>
            <sz val="12"/>
            <color rgb="FFDD0806"/>
            <rFont val="Tahoma"/>
            <family val="2"/>
            <charset val="1"/>
          </rPr>
          <t xml:space="preserve">MAJ 16.04.2018
</t>
        </r>
      </text>
    </comment>
  </commentList>
</comments>
</file>

<file path=xl/sharedStrings.xml><?xml version="1.0" encoding="utf-8"?>
<sst xmlns="http://schemas.openxmlformats.org/spreadsheetml/2006/main" count="2964" uniqueCount="663">
  <si>
    <t xml:space="preserve">COMMISSION JEFF DERAPPE   2ème TRIMESTRE 2016</t>
  </si>
  <si>
    <t xml:space="preserve">2ème acom. 2015 BSH</t>
  </si>
  <si>
    <t xml:space="preserve">3x120</t>
  </si>
  <si>
    <t xml:space="preserve">Rempl. standard</t>
  </si>
  <si>
    <t xml:space="preserve">5x80</t>
  </si>
  <si>
    <t xml:space="preserve">INTERRESSEMENT</t>
  </si>
  <si>
    <t xml:space="preserve">AVRIL</t>
  </si>
  <si>
    <t xml:space="preserve">MAI</t>
  </si>
  <si>
    <t xml:space="preserve">JUIN</t>
  </si>
  <si>
    <t xml:space="preserve">TR</t>
  </si>
  <si>
    <t xml:space="preserve">N°CLIENT</t>
  </si>
  <si>
    <t xml:space="preserve">NOM CLIENT</t>
  </si>
  <si>
    <t xml:space="preserve">PRODUIT</t>
  </si>
  <si>
    <t xml:space="preserve">N°</t>
  </si>
  <si>
    <t xml:space="preserve">TERME</t>
  </si>
  <si>
    <t xml:space="preserve">MONTANT DE REF.</t>
  </si>
  <si>
    <t xml:space="preserve">COMMISSION</t>
  </si>
  <si>
    <t xml:space="preserve">COMM.</t>
  </si>
  <si>
    <t xml:space="preserve">JANVIER à MARS</t>
  </si>
  <si>
    <t xml:space="preserve">THOMAS Nadine</t>
  </si>
  <si>
    <t xml:space="preserve">BSH</t>
  </si>
  <si>
    <t xml:space="preserve">24628596R01</t>
  </si>
  <si>
    <t xml:space="preserve">CESARETTI Fiorina</t>
  </si>
  <si>
    <t xml:space="preserve">24628589D01</t>
  </si>
  <si>
    <t xml:space="preserve">(20000*,7/100)*,6</t>
  </si>
  <si>
    <t xml:space="preserve">MICHEL SOREAU C&amp;V</t>
  </si>
  <si>
    <t xml:space="preserve">23646201M01</t>
  </si>
  <si>
    <t xml:space="preserve">(44000*,7/100)*,6</t>
  </si>
  <si>
    <t xml:space="preserve">(60000*,7/100)*,6</t>
  </si>
  <si>
    <t xml:space="preserve">04.2016</t>
  </si>
  <si>
    <t xml:space="preserve">BUONSANTE</t>
  </si>
  <si>
    <t xml:space="preserve">MOBILE</t>
  </si>
  <si>
    <t xml:space="preserve">FERRINI Daniel</t>
  </si>
  <si>
    <t xml:space="preserve">REEBOU FAMILY</t>
  </si>
  <si>
    <t xml:space="preserve">(800*6/100)+(40*7/100)</t>
  </si>
  <si>
    <t xml:space="preserve">THEISEN Isabelle</t>
  </si>
  <si>
    <t xml:space="preserve">24147161L01</t>
  </si>
  <si>
    <t xml:space="preserve">200*12/100</t>
  </si>
  <si>
    <t xml:space="preserve">FASBINDER Cheryl</t>
  </si>
  <si>
    <t xml:space="preserve">24147157U01</t>
  </si>
  <si>
    <t xml:space="preserve">(42000*,7/100)*,6</t>
  </si>
  <si>
    <t xml:space="preserve">FROST Nathalie</t>
  </si>
  <si>
    <t xml:space="preserve">REEBOU PACK</t>
  </si>
  <si>
    <t xml:space="preserve">DUMEL Nicolas</t>
  </si>
  <si>
    <t xml:space="preserve">ZENITH 60              Op 100</t>
  </si>
  <si>
    <t xml:space="preserve">SPIELMANN Ken</t>
  </si>
  <si>
    <t xml:space="preserve">HORIZON 60 Invest</t>
  </si>
  <si>
    <t xml:space="preserve">((720*31)*27/1000)*60/100</t>
  </si>
  <si>
    <t xml:space="preserve">GOETZ Martine</t>
  </si>
  <si>
    <t xml:space="preserve">(1500*29**,02)*,6</t>
  </si>
  <si>
    <t xml:space="preserve">(726*6/100)</t>
  </si>
  <si>
    <t xml:space="preserve">(551*6/100)</t>
  </si>
  <si>
    <t xml:space="preserve">110,88*15/100</t>
  </si>
  <si>
    <t xml:space="preserve">HEISBOURG Jos</t>
  </si>
  <si>
    <t xml:space="preserve">276*12/100</t>
  </si>
  <si>
    <t xml:space="preserve">BLOCKLAND Raymond</t>
  </si>
  <si>
    <t xml:space="preserve">REEBOOU FAMILY</t>
  </si>
  <si>
    <t xml:space="preserve">(185*,12)*,5</t>
  </si>
  <si>
    <t xml:space="preserve">OSZYCZYCK   </t>
  </si>
  <si>
    <t xml:space="preserve">SANTE</t>
  </si>
  <si>
    <t xml:space="preserve">((145,08/12)*3,5)*,6</t>
  </si>
  <si>
    <t xml:space="preserve">LUXORY LOVE</t>
  </si>
  <si>
    <t xml:space="preserve">REEBOU PRO</t>
  </si>
  <si>
    <t xml:space="preserve">1795*12/100</t>
  </si>
  <si>
    <t xml:space="preserve">GRAAS Stephanie</t>
  </si>
  <si>
    <t xml:space="preserve">24147145K01</t>
  </si>
  <si>
    <t xml:space="preserve">24147149L01</t>
  </si>
  <si>
    <t xml:space="preserve">24147153T01</t>
  </si>
  <si>
    <t xml:space="preserve">JOST Kelly</t>
  </si>
  <si>
    <t xml:space="preserve">(800*6/100)+(800*7/100)+(278*8/100)</t>
  </si>
  <si>
    <t xml:space="preserve">05.2016</t>
  </si>
  <si>
    <t xml:space="preserve">BRICUSSE Benjamin</t>
  </si>
  <si>
    <t xml:space="preserve">(719,83*6/100)</t>
  </si>
  <si>
    <t xml:space="preserve">24147290Y01</t>
  </si>
  <si>
    <t xml:space="preserve">42000*,7/100)*,6</t>
  </si>
  <si>
    <t xml:space="preserve">GREEN CRUZ Francisco</t>
  </si>
  <si>
    <t xml:space="preserve">FOCUS INVEST</t>
  </si>
  <si>
    <t xml:space="preserve">(25000*7,5/100)*60/100</t>
  </si>
  <si>
    <t xml:space="preserve">PELLICIA Raffaele</t>
  </si>
  <si>
    <t xml:space="preserve">((747,66/12)*3,5)*,6</t>
  </si>
  <si>
    <t xml:space="preserve">LICKES Mandy</t>
  </si>
  <si>
    <t xml:space="preserve">PJ</t>
  </si>
  <si>
    <t xml:space="preserve">(253,63,*,12)*,5</t>
  </si>
  <si>
    <t xml:space="preserve">SCHMIDT Sonja</t>
  </si>
  <si>
    <t xml:space="preserve">(416,35,22*,12)*,5</t>
  </si>
  <si>
    <t xml:space="preserve">FISCHBACH Christophe</t>
  </si>
  <si>
    <t xml:space="preserve">(285*6/100)</t>
  </si>
  <si>
    <t xml:space="preserve">GAMBUTO Deborah</t>
  </si>
  <si>
    <t xml:space="preserve">HORIZON 60 CAPI</t>
  </si>
  <si>
    <t xml:space="preserve">(720*23*,02)*,6</t>
  </si>
  <si>
    <t xml:space="preserve">IVT</t>
  </si>
  <si>
    <t xml:space="preserve">(800*6/100)+(255*7/100)</t>
  </si>
  <si>
    <t xml:space="preserve">06.2016</t>
  </si>
  <si>
    <t xml:space="preserve">JUNG Patrick</t>
  </si>
  <si>
    <t xml:space="preserve">(800*6/100)+(800*7/100)+(606,29*8/100)</t>
  </si>
  <si>
    <t xml:space="preserve">172,34*15/100</t>
  </si>
  <si>
    <t xml:space="preserve">ROSSETTI Sandra</t>
  </si>
  <si>
    <t xml:space="preserve">(800*6/100)+(139,84*7/100)</t>
  </si>
  <si>
    <t xml:space="preserve">BLOKLAND Raymond</t>
  </si>
  <si>
    <t xml:space="preserve">(2600*10*,02)*,6</t>
  </si>
  <si>
    <t xml:space="preserve">845,59*12/100</t>
  </si>
  <si>
    <t xml:space="preserve">SAEUL Luc</t>
  </si>
  <si>
    <t xml:space="preserve">(800*6/100)+(800*7/100)+(129*8/100)</t>
  </si>
  <si>
    <t xml:space="preserve">MOBILE Tr.</t>
  </si>
  <si>
    <t xml:space="preserve">483*6*,5</t>
  </si>
  <si>
    <t xml:space="preserve">MANOR - DE FAUW TOM</t>
  </si>
  <si>
    <t xml:space="preserve">((2264,28/12)*3,5)*,6</t>
  </si>
  <si>
    <t xml:space="preserve">FOSTY Xavier</t>
  </si>
  <si>
    <t xml:space="preserve">PACK REEBOU FAMILY</t>
  </si>
  <si>
    <t xml:space="preserve">(7200*15*,027)*,6</t>
  </si>
  <si>
    <t xml:space="preserve">HELIOS PROTECT 100</t>
  </si>
  <si>
    <t xml:space="preserve">COURTEILLE Laura</t>
  </si>
  <si>
    <t xml:space="preserve">(666/12)*3,5)*,6</t>
  </si>
  <si>
    <t xml:space="preserve">SCHNEIDER Natalie</t>
  </si>
  <si>
    <t xml:space="preserve">620,18*12/100</t>
  </si>
  <si>
    <t xml:space="preserve">FASSONE Marc</t>
  </si>
  <si>
    <t xml:space="preserve">(151,3*,08)</t>
  </si>
  <si>
    <t xml:space="preserve">CARTUYVELS John</t>
  </si>
  <si>
    <t xml:space="preserve">REEBOU start</t>
  </si>
  <si>
    <t xml:space="preserve">(800*6/100)+(784*7/100)</t>
  </si>
  <si>
    <t xml:space="preserve">PROHASKA Kevin</t>
  </si>
  <si>
    <t xml:space="preserve">(800*6/100)+(670,9*7/100)</t>
  </si>
  <si>
    <t xml:space="preserve">SHREYAS Pramsagar</t>
  </si>
  <si>
    <t xml:space="preserve">Mensuel</t>
  </si>
  <si>
    <t xml:space="preserve">4 ème Acomp. 2015 BSH</t>
  </si>
  <si>
    <t xml:space="preserve">REMPLACEMENT STANDARD</t>
  </si>
  <si>
    <t xml:space="preserve">7 jours</t>
  </si>
  <si>
    <t xml:space="preserve">80/j</t>
  </si>
  <si>
    <t xml:space="preserve">JUILLET</t>
  </si>
  <si>
    <t xml:space="preserve">AOUT</t>
  </si>
  <si>
    <t xml:space="preserve">SEPTEMBRE</t>
  </si>
  <si>
    <t xml:space="preserve">TOTAL INTER. +</t>
  </si>
  <si>
    <t xml:space="preserve">N° CLIENT</t>
  </si>
  <si>
    <t xml:space="preserve">07.2016</t>
  </si>
  <si>
    <t xml:space="preserve">(800*,06)+(800*,07)+(850,92*,08)</t>
  </si>
  <si>
    <t xml:space="preserve">HOUSE OF YOGA</t>
  </si>
  <si>
    <t xml:space="preserve">473,33*,12</t>
  </si>
  <si>
    <t xml:space="preserve">PROHASKA NICOLAS</t>
  </si>
  <si>
    <t xml:space="preserve">566,24*,12</t>
  </si>
  <si>
    <t xml:space="preserve">(800*,06)+(67,13*,07)</t>
  </si>
  <si>
    <t xml:space="preserve">VANONI MARTINE</t>
  </si>
  <si>
    <t xml:space="preserve">110*,15</t>
  </si>
  <si>
    <t xml:space="preserve">RESIDENCE 172     (722631)     route de Mondercange</t>
  </si>
  <si>
    <t xml:space="preserve">1004,23*12/100</t>
  </si>
  <si>
    <t xml:space="preserve">IVAN MIRELLA</t>
  </si>
  <si>
    <t xml:space="preserve">(800*,06)+(132,5*,07)</t>
  </si>
  <si>
    <t xml:space="preserve">WIRTZ Juta</t>
  </si>
  <si>
    <t xml:space="preserve">817,13*,12</t>
  </si>
  <si>
    <t xml:space="preserve">(800*,06)+(235,5*,07)</t>
  </si>
  <si>
    <t xml:space="preserve">GRABOWSKI Bernard</t>
  </si>
  <si>
    <t xml:space="preserve">MOBILE REGIO</t>
  </si>
  <si>
    <t xml:space="preserve">(258,83*,06)</t>
  </si>
  <si>
    <t xml:space="preserve">(800*,06)+(800*,07)+(196,88*,8)</t>
  </si>
  <si>
    <t xml:space="preserve">(800*,06)+(174,43*,07)</t>
  </si>
  <si>
    <t xml:space="preserve">CORDOVADO Flamino</t>
  </si>
  <si>
    <t xml:space="preserve">((800*,06)+(228,94*,07))*,5</t>
  </si>
  <si>
    <t xml:space="preserve">CORDOVADO Tiziana</t>
  </si>
  <si>
    <t xml:space="preserve">((800*,06)+(207,32*,07))*,5</t>
  </si>
  <si>
    <t xml:space="preserve">REEBOU FAMILY Tr</t>
  </si>
  <si>
    <t xml:space="preserve">110*,12</t>
  </si>
  <si>
    <t xml:space="preserve">NIEDERLANDER François</t>
  </si>
  <si>
    <t xml:space="preserve">24147314Q01</t>
  </si>
  <si>
    <t xml:space="preserve">(81000*0,007)*0,6</t>
  </si>
  <si>
    <t xml:space="preserve">AST Joe</t>
  </si>
  <si>
    <t xml:space="preserve">RC VIE PRIVE</t>
  </si>
  <si>
    <t xml:space="preserve">91,7*,12</t>
  </si>
  <si>
    <t xml:space="preserve">MIANGOUILA Camille</t>
  </si>
  <si>
    <t xml:space="preserve">GILSON Sandy</t>
  </si>
  <si>
    <r>
      <rPr>
        <sz val="11"/>
        <color rgb="FF000000"/>
        <rFont val="Calibri"/>
        <family val="2"/>
        <charset val="1"/>
      </rPr>
      <t xml:space="preserve">((531,92*0,060)+(</t>
    </r>
    <r>
      <rPr>
        <sz val="11"/>
        <color rgb="FFDD0806"/>
        <rFont val="Calibri"/>
        <family val="2"/>
        <charset val="1"/>
      </rPr>
      <t xml:space="preserve">531,92*0,015</t>
    </r>
    <r>
      <rPr>
        <sz val="11"/>
        <color rgb="FF000000"/>
        <rFont val="Calibri"/>
        <family val="2"/>
        <charset val="1"/>
      </rPr>
      <t xml:space="preserve">))*0,6 </t>
    </r>
    <r>
      <rPr>
        <sz val="11"/>
        <color rgb="FFDD0806"/>
        <rFont val="Calibri"/>
        <family val="2"/>
        <charset val="1"/>
      </rPr>
      <t xml:space="preserve">1ère année</t>
    </r>
  </si>
  <si>
    <t xml:space="preserve">MUSSEL Evelyne</t>
  </si>
  <si>
    <t xml:space="preserve">110,88*,15</t>
  </si>
  <si>
    <t xml:space="preserve">DI PINTO Rosalba</t>
  </si>
  <si>
    <t xml:space="preserve">P.J.</t>
  </si>
  <si>
    <t xml:space="preserve">166,92*,12</t>
  </si>
  <si>
    <t xml:space="preserve">MANOR - DE FAUW Tina</t>
  </si>
  <si>
    <t xml:space="preserve">(294,23/12*3,5)*0,6</t>
  </si>
  <si>
    <t xml:space="preserve">08.2016</t>
  </si>
  <si>
    <t xml:space="preserve">639,51*,06</t>
  </si>
  <si>
    <t xml:space="preserve">182,24*,12</t>
  </si>
  <si>
    <t xml:space="preserve">SCHELLER Gaby</t>
  </si>
  <si>
    <t xml:space="preserve">TR MOBILE</t>
  </si>
  <si>
    <t xml:space="preserve">X</t>
  </si>
  <si>
    <t xml:space="preserve">((800*,06)+(324,55*,7))*,5</t>
  </si>
  <si>
    <t xml:space="preserve">REEBOU FAMILY </t>
  </si>
  <si>
    <t xml:space="preserve">319,55*,12</t>
  </si>
  <si>
    <t xml:space="preserve">AXI Tr</t>
  </si>
  <si>
    <t xml:space="preserve">175,56*,12</t>
  </si>
  <si>
    <t xml:space="preserve">(800*,06)+(729,32*,07)</t>
  </si>
  <si>
    <t xml:space="preserve">VERSANNE Denis</t>
  </si>
  <si>
    <t xml:space="preserve">LOGGIA</t>
  </si>
  <si>
    <t xml:space="preserve">477,64*,12</t>
  </si>
  <si>
    <t xml:space="preserve">WEBER Thomas</t>
  </si>
  <si>
    <t xml:space="preserve">HOBSCHEIT Pierre</t>
  </si>
  <si>
    <t xml:space="preserve">24614973Z01</t>
  </si>
  <si>
    <t xml:space="preserve">(100000*0,007)*0,6</t>
  </si>
  <si>
    <t xml:space="preserve">09.2016</t>
  </si>
  <si>
    <t xml:space="preserve">NUELLAS Solène</t>
  </si>
  <si>
    <t xml:space="preserve">HELIOS</t>
  </si>
  <si>
    <t xml:space="preserve">(3192*16*,02)*,6</t>
  </si>
  <si>
    <t xml:space="preserve">KLEIN Corinne</t>
  </si>
  <si>
    <t xml:space="preserve">(1336,44/12*3,5)*,6</t>
  </si>
  <si>
    <t xml:space="preserve">SCALON Anne Sophie</t>
  </si>
  <si>
    <t xml:space="preserve">(66000*,007)*,6</t>
  </si>
  <si>
    <t xml:space="preserve">SCHROEDER Joseph</t>
  </si>
  <si>
    <t xml:space="preserve">24614975J01   </t>
  </si>
  <si>
    <t xml:space="preserve">124,94*,15</t>
  </si>
  <si>
    <t xml:space="preserve">POLI THILMANN Raymond</t>
  </si>
  <si>
    <t xml:space="preserve">204,71*,06</t>
  </si>
  <si>
    <t xml:space="preserve">RODRIGUEZ  Arthur</t>
  </si>
  <si>
    <t xml:space="preserve">VANDERTHOMMEN Colette</t>
  </si>
  <si>
    <t xml:space="preserve">(f53*0,007)*0,6</t>
  </si>
  <si>
    <t xml:space="preserve">10.2016</t>
  </si>
  <si>
    <t xml:space="preserve">24614967Z01</t>
  </si>
  <si>
    <t xml:space="preserve">(1500*23*,02)*,6</t>
  </si>
  <si>
    <t xml:space="preserve">(800*,06)+(800*,07)+(48,62*,08)</t>
  </si>
  <si>
    <t xml:space="preserve">IVERSEN Emily</t>
  </si>
  <si>
    <t xml:space="preserve">42000*,007*,6</t>
  </si>
  <si>
    <t xml:space="preserve">MEYER Christian</t>
  </si>
  <si>
    <t xml:space="preserve">24628603R01 </t>
  </si>
  <si>
    <t xml:space="preserve">TOTAL COMM.</t>
  </si>
  <si>
    <t xml:space="preserve">REPORT  INTER. +</t>
  </si>
  <si>
    <t xml:space="preserve">TOTAL</t>
  </si>
  <si>
    <t xml:space="preserve">MENSUEL</t>
  </si>
  <si>
    <t xml:space="preserve">8  jours</t>
  </si>
  <si>
    <t xml:space="preserve">OCTOBRE</t>
  </si>
  <si>
    <t xml:space="preserve">NOVEMBRE</t>
  </si>
  <si>
    <t xml:space="preserve">DECEMBRE</t>
  </si>
  <si>
    <t xml:space="preserve">Transfert</t>
  </si>
  <si>
    <t xml:space="preserve">MAO LIANG</t>
  </si>
  <si>
    <t xml:space="preserve">MOBILE 2007</t>
  </si>
  <si>
    <t xml:space="preserve">MEDERNACH HEISBOURG</t>
  </si>
  <si>
    <t xml:space="preserve">TOUS RISQUE CHANTIER</t>
  </si>
  <si>
    <t xml:space="preserve">REEBOU INVEST</t>
  </si>
  <si>
    <t xml:space="preserve">RHADG</t>
  </si>
  <si>
    <t xml:space="preserve">HERTZ Christian</t>
  </si>
  <si>
    <t xml:space="preserve">MEDICIS GROUP</t>
  </si>
  <si>
    <t xml:space="preserve">TOTAL MOIS</t>
  </si>
  <si>
    <t xml:space="preserve">11.2016</t>
  </si>
  <si>
    <t xml:space="preserve">SCHARTZ Alain </t>
  </si>
  <si>
    <t xml:space="preserve">FLEXIVIE</t>
  </si>
  <si>
    <t xml:space="preserve">MONTOYA Norly</t>
  </si>
  <si>
    <t xml:space="preserve">BECK Sylvain </t>
  </si>
  <si>
    <t xml:space="preserve">PACK REEBOU</t>
  </si>
  <si>
    <t xml:space="preserve">LOGUERCIO Sabrina</t>
  </si>
  <si>
    <t xml:space="preserve">ALVES VARELA Rageize</t>
  </si>
  <si>
    <t xml:space="preserve">CHOMICZ Michal</t>
  </si>
  <si>
    <t xml:space="preserve">AGNELLO Vincenzo</t>
  </si>
  <si>
    <t xml:space="preserve">HENGEN Celine</t>
  </si>
  <si>
    <t xml:space="preserve">SOARES FREIRE Gil</t>
  </si>
  <si>
    <t xml:space="preserve">SOARES fREIRE Gil</t>
  </si>
  <si>
    <t xml:space="preserve">SOARES FREIRE José Manuel</t>
  </si>
  <si>
    <t xml:space="preserve">NURAL Irem</t>
  </si>
  <si>
    <t xml:space="preserve">TOULEMONDE Raphaël</t>
  </si>
  <si>
    <t xml:space="preserve">HORIZONT CAPI</t>
  </si>
  <si>
    <t xml:space="preserve">12.2016</t>
  </si>
  <si>
    <t xml:space="preserve">DE PRADA</t>
  </si>
  <si>
    <t xml:space="preserve">FOCUS INVEST.</t>
  </si>
  <si>
    <t xml:space="preserve">CORREIA GALISSA Samuel</t>
  </si>
  <si>
    <t xml:space="preserve">CARISSIMO Cosimo</t>
  </si>
  <si>
    <t xml:space="preserve">ASSEBANE Laila</t>
  </si>
  <si>
    <t xml:space="preserve">HORIZONT 60 CAPI</t>
  </si>
  <si>
    <t xml:space="preserve">MASAUD Dalil</t>
  </si>
  <si>
    <t xml:space="preserve">SOARES DE OLIVEIRA José</t>
  </si>
  <si>
    <t xml:space="preserve">CROITORU Théodora</t>
  </si>
  <si>
    <t xml:space="preserve">KUCHARSKI Stéphanie</t>
  </si>
  <si>
    <t xml:space="preserve">BEJENARU Anna</t>
  </si>
  <si>
    <t xml:space="preserve">DA SILVA ALMADA Benvindo</t>
  </si>
  <si>
    <t xml:space="preserve">NEVES PEREIRA Tania</t>
  </si>
  <si>
    <t xml:space="preserve">EVERAD Thierry</t>
  </si>
  <si>
    <t xml:space="preserve">LISARELLI Raphaël</t>
  </si>
  <si>
    <t xml:space="preserve">REPPLINGER Antoine</t>
  </si>
  <si>
    <t xml:space="preserve">DOS SANTOS Maria Alcinda</t>
  </si>
  <si>
    <t xml:space="preserve">SINDT Guillaume</t>
  </si>
  <si>
    <t xml:space="preserve">SOARES FREIRE Diana</t>
  </si>
  <si>
    <t xml:space="preserve">SCHNEIDERS Cindy</t>
  </si>
  <si>
    <t xml:space="preserve">ENGEL Leslie</t>
  </si>
  <si>
    <t xml:space="preserve">MOBILE 2007 TR</t>
  </si>
  <si>
    <t xml:space="preserve">MULLER Fabrice</t>
  </si>
  <si>
    <t xml:space="preserve">LOURENCO HENRIQUES Gabriel</t>
  </si>
  <si>
    <t xml:space="preserve">NOVA PROTECT</t>
  </si>
  <si>
    <t xml:space="preserve">PAAJ Sarl</t>
  </si>
  <si>
    <t xml:space="preserve">WEIS Eloi</t>
  </si>
  <si>
    <t xml:space="preserve">JAIN Sushil Kumar</t>
  </si>
  <si>
    <t xml:space="preserve">DE BONDT Karine</t>
  </si>
  <si>
    <t xml:space="preserve">THIVET SARDELLI Evan</t>
  </si>
  <si>
    <t xml:space="preserve">TOTAL TRIMESTRE</t>
  </si>
  <si>
    <t xml:space="preserve">6  jours</t>
  </si>
  <si>
    <t xml:space="preserve">JANVIER</t>
  </si>
  <si>
    <t xml:space="preserve">FEVRIER</t>
  </si>
  <si>
    <t xml:space="preserve">MARS</t>
  </si>
  <si>
    <t xml:space="preserve">01.2017</t>
  </si>
  <si>
    <t xml:space="preserve">PROHASKA KEVIN</t>
  </si>
  <si>
    <t xml:space="preserve">DE JESUS SARAIVA Sara</t>
  </si>
  <si>
    <t xml:space="preserve">MOBILE 2016</t>
  </si>
  <si>
    <t xml:space="preserve">TOULOUSE Constance</t>
  </si>
  <si>
    <t xml:space="preserve">REBOU FAMILY</t>
  </si>
  <si>
    <t xml:space="preserve">MEDICIS</t>
  </si>
  <si>
    <t xml:space="preserve">DOROTEA JEMMING Carole</t>
  </si>
  <si>
    <t xml:space="preserve">HORIZONT 60 INVEST</t>
  </si>
  <si>
    <t xml:space="preserve">DABROWSKI Marjorie</t>
  </si>
  <si>
    <t xml:space="preserve">DI DONATO Rita</t>
  </si>
  <si>
    <t xml:space="preserve">SALOMON Agnes</t>
  </si>
  <si>
    <t xml:space="preserve">SALOMON Francis</t>
  </si>
  <si>
    <t xml:space="preserve">DE PRADA Geraldine</t>
  </si>
  <si>
    <t xml:space="preserve">DRUM NTWIRL FANAT</t>
  </si>
  <si>
    <t xml:space="preserve">RC GENERAL </t>
  </si>
  <si>
    <t xml:space="preserve">VIDOTTO Bianca</t>
  </si>
  <si>
    <t xml:space="preserve">VIDOTTO BERNARD Jos</t>
  </si>
  <si>
    <t xml:space="preserve">AGOVIC Ismet</t>
  </si>
  <si>
    <t xml:space="preserve">DE MAS David</t>
  </si>
  <si>
    <t xml:space="preserve">STEPHANO Myriam</t>
  </si>
  <si>
    <t xml:space="preserve">TOTAL MOIS JANVIER 2017</t>
  </si>
  <si>
    <t xml:space="preserve">02.2017</t>
  </si>
  <si>
    <t xml:space="preserve">MANOR - WEISS A.S.</t>
  </si>
  <si>
    <r>
      <rPr>
        <b val="true"/>
        <sz val="11"/>
        <color rgb="FF17375E"/>
        <rFont val="Calibri"/>
        <family val="2"/>
        <charset val="1"/>
      </rPr>
      <t xml:space="preserve">61020710 </t>
    </r>
    <r>
      <rPr>
        <b val="true"/>
        <sz val="11"/>
        <color rgb="FFFF0000"/>
        <rFont val="Calibri"/>
        <family val="2"/>
        <charset val="1"/>
      </rPr>
      <t xml:space="preserve">A</t>
    </r>
  </si>
  <si>
    <t xml:space="preserve">MANOR - GEISLER V.</t>
  </si>
  <si>
    <t xml:space="preserve">BOUCHOUKA TOFIC </t>
  </si>
  <si>
    <t xml:space="preserve">HORIZONT 60</t>
  </si>
  <si>
    <t xml:space="preserve">NCLL</t>
  </si>
  <si>
    <t xml:space="preserve">VIDOTTO BERNARD Joseph</t>
  </si>
  <si>
    <t xml:space="preserve">Effet Reporté au 01/18</t>
  </si>
  <si>
    <t xml:space="preserve">LUNELLI Andrea</t>
  </si>
  <si>
    <t xml:space="preserve">CHARLE Claude</t>
  </si>
  <si>
    <t xml:space="preserve">SOUBIELLE Jean Jacques</t>
  </si>
  <si>
    <t xml:space="preserve">BECRET Isamira</t>
  </si>
  <si>
    <t xml:space="preserve">MOBILE </t>
  </si>
  <si>
    <t xml:space="preserve">ANDINE DEGROOTE Johanna</t>
  </si>
  <si>
    <t xml:space="preserve">DOS SANTO Maria Alcinda</t>
  </si>
  <si>
    <t xml:space="preserve">ROSSETTI Tamara</t>
  </si>
  <si>
    <t xml:space="preserve">TRINGALI Gabrielle</t>
  </si>
  <si>
    <t xml:space="preserve">DERAPPE SCHUMANN</t>
  </si>
  <si>
    <t xml:space="preserve">LEGRUM Sandra</t>
  </si>
  <si>
    <r>
      <rPr>
        <b val="true"/>
        <sz val="11"/>
        <color rgb="FF17375E"/>
        <rFont val="Calibri"/>
        <family val="2"/>
        <charset val="1"/>
      </rPr>
      <t xml:space="preserve">61021156</t>
    </r>
    <r>
      <rPr>
        <b val="true"/>
        <sz val="11"/>
        <color rgb="FFFF0000"/>
        <rFont val="Calibri"/>
        <family val="2"/>
        <charset val="1"/>
      </rPr>
      <t xml:space="preserve"> A</t>
    </r>
  </si>
  <si>
    <t xml:space="preserve">TOTAL MOIS FEVRIER 2017</t>
  </si>
  <si>
    <t xml:space="preserve">03.2017</t>
  </si>
  <si>
    <t xml:space="preserve">TREINEN Georges Philippe</t>
  </si>
  <si>
    <t xml:space="preserve">BORGES CARVALHO Ricardo</t>
  </si>
  <si>
    <t xml:space="preserve">DA COSTA FERREIRA Orlando</t>
  </si>
  <si>
    <t xml:space="preserve">BERNARDO SILVESTRE Carlos</t>
  </si>
  <si>
    <t xml:space="preserve">BEUMER Stéphan</t>
  </si>
  <si>
    <t xml:space="preserve">CARDELUS Arturo</t>
  </si>
  <si>
    <t xml:space="preserve">DELHASSE Michel</t>
  </si>
  <si>
    <t xml:space="preserve">ZENITH 60 Opt. 25</t>
  </si>
  <si>
    <t xml:space="preserve">FICHANT Jean Michel</t>
  </si>
  <si>
    <t xml:space="preserve">HEYKES Ming Lai</t>
  </si>
  <si>
    <t xml:space="preserve">DOS SANTOS GOMES Denise</t>
  </si>
  <si>
    <t xml:space="preserve">BARBOSA LIMA Angelo Gabriel</t>
  </si>
  <si>
    <t xml:space="preserve">LORA GALAN Marina</t>
  </si>
  <si>
    <t xml:space="preserve">DE ALMEIDA Vitoria</t>
  </si>
  <si>
    <t xml:space="preserve">FELIX GONCALVES Simone</t>
  </si>
  <si>
    <t xml:space="preserve">TRINGALI Gabriele</t>
  </si>
  <si>
    <t xml:space="preserve">TOTAL MOIS MARS 2017</t>
  </si>
  <si>
    <t xml:space="preserve">5  jours</t>
  </si>
  <si>
    <t xml:space="preserve">TRANSFERT</t>
  </si>
  <si>
    <t xml:space="preserve">MOTIF</t>
  </si>
  <si>
    <t xml:space="preserve">04.2017</t>
  </si>
  <si>
    <t xml:space="preserve">WELTER Gwendy</t>
  </si>
  <si>
    <t xml:space="preserve">PEREIRA MARQUES Elio</t>
  </si>
  <si>
    <t xml:space="preserve">611366 A</t>
  </si>
  <si>
    <t xml:space="preserve">PFEIFFER Alain</t>
  </si>
  <si>
    <t xml:space="preserve">MOBILE Tr</t>
  </si>
  <si>
    <t xml:space="preserve">PHILLIPS Ashley</t>
  </si>
  <si>
    <t xml:space="preserve">CALVETTI Christianne</t>
  </si>
  <si>
    <t xml:space="preserve">KIRSCH Joelle</t>
  </si>
  <si>
    <t xml:space="preserve">JENIN Fabrice</t>
  </si>
  <si>
    <t xml:space="preserve">TOTAL MOIS AVRIL</t>
  </si>
  <si>
    <t xml:space="preserve">05.2017</t>
  </si>
  <si>
    <t xml:space="preserve">BLOKLAND R</t>
  </si>
  <si>
    <t xml:space="preserve">*</t>
  </si>
  <si>
    <t xml:space="preserve">WAGNER Christiane</t>
  </si>
  <si>
    <t xml:space="preserve">QUIST Lydia</t>
  </si>
  <si>
    <t xml:space="preserve">RIBEIRO Anthony John</t>
  </si>
  <si>
    <t xml:space="preserve">VIGLIONE Luc</t>
  </si>
  <si>
    <t xml:space="preserve">MENDES GOMIS Ndeye Rama</t>
  </si>
  <si>
    <t xml:space="preserve">NOVA</t>
  </si>
  <si>
    <t xml:space="preserve">x</t>
  </si>
  <si>
    <t xml:space="preserve">SEVERINO Morales José Carlos</t>
  </si>
  <si>
    <t xml:space="preserve">FACCIOLINI David</t>
  </si>
  <si>
    <t xml:space="preserve">FACCIOLINI GRANDEL Laetitia</t>
  </si>
  <si>
    <t xml:space="preserve">HADANGUE Richard</t>
  </si>
  <si>
    <t xml:space="preserve">61022044 S</t>
  </si>
  <si>
    <t xml:space="preserve">OPREA Claudia</t>
  </si>
  <si>
    <t xml:space="preserve">FOCUS INVESTISSEMENT</t>
  </si>
  <si>
    <t xml:space="preserve">MANOR - OPREA LACRAMIOARA C.</t>
  </si>
  <si>
    <t xml:space="preserve">61022036 A</t>
  </si>
  <si>
    <t xml:space="preserve">MULLER Yves</t>
  </si>
  <si>
    <t xml:space="preserve">GERARD Melanie</t>
  </si>
  <si>
    <t xml:space="preserve">61022169 A</t>
  </si>
  <si>
    <t xml:space="preserve">ASSEBANE Latifa</t>
  </si>
  <si>
    <t xml:space="preserve">FRANCISCO Orlando </t>
  </si>
  <si>
    <t xml:space="preserve">EUROPE ASSIST.</t>
  </si>
  <si>
    <t xml:space="preserve">STEFCHEF Rosen</t>
  </si>
  <si>
    <t xml:space="preserve">CAULLET Marie Thérèse</t>
  </si>
  <si>
    <t xml:space="preserve">TOTAL MOIS MAI</t>
  </si>
  <si>
    <t xml:space="preserve">06.2017</t>
  </si>
  <si>
    <t xml:space="preserve">DEVAUX Sylvie</t>
  </si>
  <si>
    <t xml:space="preserve">FICHANT J.M.</t>
  </si>
  <si>
    <t xml:space="preserve">D-MESURES</t>
  </si>
  <si>
    <t xml:space="preserve">YUMMI YUMMI</t>
  </si>
  <si>
    <t xml:space="preserve">STELMES Samantha</t>
  </si>
  <si>
    <t xml:space="preserve">KERROUMI Soumya</t>
  </si>
  <si>
    <t xml:space="preserve">BRELL Paul</t>
  </si>
  <si>
    <t xml:space="preserve">HORIZONT 60  INVEST</t>
  </si>
  <si>
    <t xml:space="preserve">PETERSSON Sandra</t>
  </si>
  <si>
    <t xml:space="preserve">CARVALO Susanna</t>
  </si>
  <si>
    <t xml:space="preserve">NOWOBILSKI Lucile</t>
  </si>
  <si>
    <t xml:space="preserve">CARLIER Patrick</t>
  </si>
  <si>
    <t xml:space="preserve">DECKER Carry</t>
  </si>
  <si>
    <t xml:space="preserve">PAQUETEAU Laurent</t>
  </si>
  <si>
    <t xml:space="preserve">806102 A</t>
  </si>
  <si>
    <t xml:space="preserve">25240858C01</t>
  </si>
  <si>
    <t xml:space="preserve">ADVISSE Alexandra</t>
  </si>
  <si>
    <t xml:space="preserve">25240822P01</t>
  </si>
  <si>
    <t xml:space="preserve">HEISBOURG Joseph</t>
  </si>
  <si>
    <t xml:space="preserve">TOTAL MOIS JUIN</t>
  </si>
  <si>
    <t xml:space="preserve">8,5 'j</t>
  </si>
  <si>
    <t xml:space="preserve">INDEMNITES CONGES</t>
  </si>
  <si>
    <t xml:space="preserve">12 jours à 8  h</t>
  </si>
  <si>
    <t xml:space="preserve">96 h</t>
  </si>
  <si>
    <t xml:space="preserve">7,66/h</t>
  </si>
  <si>
    <t xml:space="preserve">CONGES</t>
  </si>
  <si>
    <t xml:space="preserve">1 AU 15</t>
  </si>
  <si>
    <t xml:space="preserve">MOIS</t>
  </si>
  <si>
    <t xml:space="preserve">N° CONTRAT</t>
  </si>
  <si>
    <t xml:space="preserve">xxx</t>
  </si>
  <si>
    <t xml:space="preserve">XXX</t>
  </si>
  <si>
    <t xml:space="preserve">MOBILE2016</t>
  </si>
  <si>
    <t xml:space="preserve">xx</t>
  </si>
  <si>
    <t xml:space="preserve">MOBILE Regio</t>
  </si>
  <si>
    <t xml:space="preserve">REEBOU Family</t>
  </si>
  <si>
    <t xml:space="preserve">REEBOU Pack</t>
  </si>
  <si>
    <t xml:space="preserve">REEBOU Pro</t>
  </si>
  <si>
    <t xml:space="preserve">REEBOU Invest</t>
  </si>
  <si>
    <t xml:space="preserve">RC</t>
  </si>
  <si>
    <t xml:space="preserve">RC ENSEIGNANT</t>
  </si>
  <si>
    <t xml:space="preserve">ZENITH60 Op100</t>
  </si>
  <si>
    <t xml:space="preserve">ZENITH60 Op25</t>
  </si>
  <si>
    <t xml:space="preserve">HORIZONT60Invest</t>
  </si>
  <si>
    <t xml:space="preserve">HORIZONT60Protect</t>
  </si>
  <si>
    <t xml:space="preserve">HORIZONT60Capi</t>
  </si>
  <si>
    <t xml:space="preserve">HELIOS100Protect</t>
  </si>
  <si>
    <t xml:space="preserve">HELIOS100Invest</t>
  </si>
  <si>
    <t xml:space="preserve">FOCUS</t>
  </si>
  <si>
    <t xml:space="preserve">SCHWABISCHHALL</t>
  </si>
  <si>
    <t xml:space="preserve">07.2017</t>
  </si>
  <si>
    <t xml:space="preserve">CLEES Joelle</t>
  </si>
  <si>
    <t xml:space="preserve">VENTURELLI Tania</t>
  </si>
  <si>
    <t xml:space="preserve">20288250 A</t>
  </si>
  <si>
    <t xml:space="preserve">ALMEIDA DO NASCIMENTO</t>
  </si>
  <si>
    <t xml:space="preserve">BARBIE Mathieu</t>
  </si>
  <si>
    <t xml:space="preserve">CARVALHO Susanna</t>
  </si>
  <si>
    <t xml:space="preserve">RIBEIRO COSTA Mike</t>
  </si>
  <si>
    <t xml:space="preserve">GHADYANI Reza</t>
  </si>
  <si>
    <t xml:space="preserve">BARTOSIEWICZ </t>
  </si>
  <si>
    <t xml:space="preserve">TOTAL MOIS </t>
  </si>
  <si>
    <t xml:space="preserve">08.2017</t>
  </si>
  <si>
    <t xml:space="preserve">MERLI Fulberto</t>
  </si>
  <si>
    <t xml:space="preserve">THULL Kyu</t>
  </si>
  <si>
    <t xml:space="preserve">GIOVAGNINI Fabien</t>
  </si>
  <si>
    <t xml:space="preserve">MOBILE2016;MOBILE Regio;REEBOUfamily;REEBOUpack;REEBOUpro;REEBOUinvest;LOGGIA;MEDICIS;RC;RC ENSEIGN;ZENITH60op100;ZENITH60op25;HORIZONT60invest;HORIZONT60protect;HORIZONT60capi;HELIOS100protect;HELIOS60invest;HELIOS100invest;FOCUS;NOVA;BSH</t>
  </si>
  <si>
    <t xml:space="preserve">RIBEIRO Steve</t>
  </si>
  <si>
    <t xml:space="preserve">HORIZONT60invest</t>
  </si>
  <si>
    <t xml:space="preserve">CHEN Xiajun</t>
  </si>
  <si>
    <t xml:space="preserve">RIBEIRO DA COSTA Mike</t>
  </si>
  <si>
    <t xml:space="preserve">TAVARES GONCALVES Veronica</t>
  </si>
  <si>
    <t xml:space="preserve">TURCO Denise</t>
  </si>
  <si>
    <t xml:space="preserve">09.2017</t>
  </si>
  <si>
    <t xml:space="preserve">BOTO Kossi</t>
  </si>
  <si>
    <t xml:space="preserve">Tr</t>
  </si>
  <si>
    <t xml:space="preserve">HALKIN Sylvie</t>
  </si>
  <si>
    <t xml:space="preserve">DAVItO Tom</t>
  </si>
  <si>
    <t xml:space="preserve">RIBEIRO Sergio</t>
  </si>
  <si>
    <t xml:space="preserve">BALBEUR Frederic</t>
  </si>
  <si>
    <t xml:space="preserve">SCHREINER Scharon</t>
  </si>
  <si>
    <t xml:space="preserve">SCHREINER WAGNER Ernest</t>
  </si>
  <si>
    <t xml:space="preserve">WAGNER HOELTGEN</t>
  </si>
  <si>
    <t xml:space="preserve">CHEN Xiaojun</t>
  </si>
  <si>
    <t xml:space="preserve">BECK Sylvain</t>
  </si>
  <si>
    <t xml:space="preserve">RANDAZZO Daniela</t>
  </si>
  <si>
    <t xml:space="preserve">*non rectifié</t>
  </si>
  <si>
    <t xml:space="preserve"> 3j</t>
  </si>
  <si>
    <t xml:space="preserve">7 jours à 8  h</t>
  </si>
  <si>
    <t xml:space="preserve">30-31/10 - 18 au 22/12</t>
  </si>
  <si>
    <t xml:space="preserve">10.2017</t>
  </si>
  <si>
    <t xml:space="preserve">ETONDE IPOUNI André Jacob</t>
  </si>
  <si>
    <t xml:space="preserve">LAUTERBOUR Suzette</t>
  </si>
  <si>
    <t xml:space="preserve">MOBILE2007</t>
  </si>
  <si>
    <t xml:space="preserve">CLEES Myriam</t>
  </si>
  <si>
    <t xml:space="preserve">OUALKADI Aziz</t>
  </si>
  <si>
    <t xml:space="preserve">HAZEG Nadim Ahmed</t>
  </si>
  <si>
    <t xml:space="preserve">HAZEG PETIT JEAN Florence Claire</t>
  </si>
  <si>
    <t xml:space="preserve">FELIX GONCALVES Simone Isabel</t>
  </si>
  <si>
    <t xml:space="preserve">TOUSSAINT Magali</t>
  </si>
  <si>
    <t xml:space="preserve">GAMBUTO Matteo</t>
  </si>
  <si>
    <t xml:space="preserve">25240854B01</t>
  </si>
  <si>
    <t xml:space="preserve">25240862K01</t>
  </si>
  <si>
    <t xml:space="preserve">25240866L01</t>
  </si>
  <si>
    <t xml:space="preserve">VUILLEMIN Frederic</t>
  </si>
  <si>
    <t xml:space="preserve">CARER Nathalie</t>
  </si>
  <si>
    <t xml:space="preserve">ALVES DOS SANTOS</t>
  </si>
  <si>
    <t xml:space="preserve">DAVITO Tom</t>
  </si>
  <si>
    <t xml:space="preserve">SUCHODOLSKI Mateusz</t>
  </si>
  <si>
    <t xml:space="preserve">11.2017</t>
  </si>
  <si>
    <t xml:space="preserve">25204531T01</t>
  </si>
  <si>
    <t xml:space="preserve">MOBILE2016;MOBILE Regio;REEBOUfamily;REEBOUpack;REEBOUpro;REEBOU Immo;REEBOUinvest;LOGGIA;MEDICIS;RC;RC ENSEIGN;ZENITH60op100;ZENITH60op25;HORIZONT60invest;HORIZONT60protect;HORIZONT60capi;HELIOS100protect;HELIOS60invest;HELIOS100invest;FOCUS;NOVA;BSH</t>
  </si>
  <si>
    <t xml:space="preserve">ARNAUD Isabelle</t>
  </si>
  <si>
    <t xml:space="preserve">MONTEIRO DE MELO FIAL Marcia</t>
  </si>
  <si>
    <t xml:space="preserve">REIS SPENCER ANES Maria</t>
  </si>
  <si>
    <t xml:space="preserve">JAMOT JOHANSSON Per Axel</t>
  </si>
  <si>
    <t xml:space="preserve">LORANG WELTER Marcel</t>
  </si>
  <si>
    <t xml:space="preserve">25204535u01</t>
  </si>
  <si>
    <t xml:space="preserve">CARLIER Eric</t>
  </si>
  <si>
    <t xml:space="preserve">EYDT Corinne</t>
  </si>
  <si>
    <t xml:space="preserve">MANOR  (PAUWELS Coralie)</t>
  </si>
  <si>
    <t xml:space="preserve">ONYOBI Jacob Tobi</t>
  </si>
  <si>
    <t xml:space="preserve">COSTA DE FIGUEIREDO Nuno</t>
  </si>
  <si>
    <t xml:space="preserve">FERREIRA MARQUES Luis</t>
  </si>
  <si>
    <t xml:space="preserve">ABERA ABOVE Samson</t>
  </si>
  <si>
    <t xml:space="preserve">12.2017</t>
  </si>
  <si>
    <t xml:space="preserve">CLEMENT Charlotte</t>
  </si>
  <si>
    <t xml:space="preserve">REEBOUpack</t>
  </si>
  <si>
    <t xml:space="preserve">COLOBERT Yann</t>
  </si>
  <si>
    <t xml:space="preserve">BOUDABZA Nadia</t>
  </si>
  <si>
    <t xml:space="preserve">Reprise</t>
  </si>
  <si>
    <t xml:space="preserve">BARZAQ Abderrahmane</t>
  </si>
  <si>
    <t xml:space="preserve">TURRA Gwenda</t>
  </si>
  <si>
    <t xml:space="preserve">SENHAJI KARIM Youssef</t>
  </si>
  <si>
    <t xml:space="preserve">ADROVIC Mirzeta</t>
  </si>
  <si>
    <t xml:space="preserve">RESIDENCE STEPHANIE</t>
  </si>
  <si>
    <t xml:space="preserve">REEBOUImmo</t>
  </si>
  <si>
    <t xml:space="preserve">LAMINE Mohamed Ali</t>
  </si>
  <si>
    <t xml:space="preserve">RODICQ Francis</t>
  </si>
  <si>
    <t xml:space="preserve">ZHOU ET LIN J.ET C.</t>
  </si>
  <si>
    <t xml:space="preserve">SHI ET ZHANG L. ET H.</t>
  </si>
  <si>
    <t xml:space="preserve">Rectification juin annulation samy</t>
  </si>
  <si>
    <t xml:space="preserve">Annulation</t>
  </si>
  <si>
    <t xml:space="preserve">Erreur tx com</t>
  </si>
  <si>
    <t xml:space="preserve">Rectif.tx com</t>
  </si>
  <si>
    <t xml:space="preserve">Rectification mai augmentation</t>
  </si>
  <si>
    <t xml:space="preserve">FIXE</t>
  </si>
  <si>
    <t xml:space="preserve">2398,30 X 3</t>
  </si>
  <si>
    <t xml:space="preserve">1991,66/173 =11,51</t>
  </si>
  <si>
    <t xml:space="preserve">CONGéS</t>
  </si>
  <si>
    <t xml:space="preserve">20 heures</t>
  </si>
  <si>
    <t xml:space="preserve">20 X 11,51</t>
  </si>
  <si>
    <t xml:space="preserve">37 heures</t>
  </si>
  <si>
    <t xml:space="preserve">37 X 11,51</t>
  </si>
  <si>
    <t xml:space="preserve">JOURS FEVRIER</t>
  </si>
  <si>
    <t xml:space="preserve">8 heures</t>
  </si>
  <si>
    <t xml:space="preserve">8 X 11,51</t>
  </si>
  <si>
    <t xml:space="preserve">01.2018</t>
  </si>
  <si>
    <t xml:space="preserve">MARGUET Thibaud</t>
  </si>
  <si>
    <t xml:space="preserve">BIEVER Pit</t>
  </si>
  <si>
    <t xml:space="preserve">SCHMIT CLAUSE Marie France</t>
  </si>
  <si>
    <t xml:space="preserve">SORAGNA Laurent</t>
  </si>
  <si>
    <t xml:space="preserve">SIGRIST Laetitia</t>
  </si>
  <si>
    <t xml:space="preserve">ONYOBI Jacob Toby</t>
  </si>
  <si>
    <t xml:space="preserve">02.2018</t>
  </si>
  <si>
    <t xml:space="preserve">KAHN Nicolas</t>
  </si>
  <si>
    <t xml:space="preserve">VAN WIJK Candice</t>
  </si>
  <si>
    <t xml:space="preserve">EASY DRIVE</t>
  </si>
  <si>
    <t xml:space="preserve">DI PINTO ROSALBA</t>
  </si>
  <si>
    <t xml:space="preserve">ALMEIDA FONSECA Yves</t>
  </si>
  <si>
    <t xml:space="preserve">SHEN Jing</t>
  </si>
  <si>
    <t xml:space="preserve">CARLIER Jean Charles</t>
  </si>
  <si>
    <t xml:space="preserve">KRIEPS Dan</t>
  </si>
  <si>
    <t xml:space="preserve">DOLINSKI MATEUSZ</t>
  </si>
  <si>
    <t xml:space="preserve">GOERES Gaby</t>
  </si>
  <si>
    <t xml:space="preserve">03.2018</t>
  </si>
  <si>
    <t xml:space="preserve">PEMPINELLO Gaia</t>
  </si>
  <si>
    <t xml:space="preserve">MANOR-abdouh Amine …</t>
  </si>
  <si>
    <t xml:space="preserve">MANOR-HENTGEN Nicolas</t>
  </si>
  <si>
    <t xml:space="preserve">ESPOSITO</t>
  </si>
  <si>
    <t xml:space="preserve">BECK Frederic</t>
  </si>
  <si>
    <t xml:space="preserve">BECK GERARD Sylvie</t>
  </si>
  <si>
    <t xml:space="preserve">KANOUTE Massaer</t>
  </si>
  <si>
    <t xml:space="preserve">VIDOTTO Bernard</t>
  </si>
  <si>
    <t xml:space="preserve">BACK Romina</t>
  </si>
  <si>
    <t xml:space="preserve">GRINMUTH Romain</t>
  </si>
  <si>
    <t xml:space="preserve">HU ET MAILLARD Y. ET E.</t>
  </si>
  <si>
    <t xml:space="preserve"> heures</t>
  </si>
  <si>
    <t xml:space="preserve"> X 11,51</t>
  </si>
  <si>
    <t xml:space="preserve">heures</t>
  </si>
  <si>
    <t xml:space="preserve">04.2018</t>
  </si>
  <si>
    <t xml:space="preserve">LAMBERT Maud</t>
  </si>
  <si>
    <t xml:space="preserve">JOUVENCE Sandy</t>
  </si>
  <si>
    <t xml:space="preserve">MONTEIRO Denis</t>
  </si>
  <si>
    <t xml:space="preserve">DURANDET Jérome</t>
  </si>
  <si>
    <t xml:space="preserve">FOLSCHETTE Manuelle</t>
  </si>
  <si>
    <t xml:space="preserve">25204539u01</t>
  </si>
  <si>
    <t xml:space="preserve">ALMEIDA VITORIA KATIA</t>
  </si>
  <si>
    <t xml:space="preserve">TINTINGER Patrick</t>
  </si>
  <si>
    <t xml:space="preserve">DA VEIGA Antonio</t>
  </si>
  <si>
    <t xml:space="preserve">MOREIRA FIGUEIREDO Susana</t>
  </si>
  <si>
    <t xml:space="preserve">ZINNEN Carole</t>
  </si>
  <si>
    <t xml:space="preserve">17315869r02</t>
  </si>
  <si>
    <t xml:space="preserve">ELHERRAWI Sherif</t>
  </si>
  <si>
    <t xml:space="preserve">LIGEZA Jacek</t>
  </si>
  <si>
    <t xml:space="preserve">RECAPITULATIF</t>
  </si>
  <si>
    <t xml:space="preserve">Tri Alphabetique</t>
  </si>
  <si>
    <t xml:space="preserve">double</t>
  </si>
  <si>
    <t xml:space="preserve">Effet </t>
  </si>
  <si>
    <t xml:space="preserve">non trouvé</t>
  </si>
  <si>
    <t xml:space="preserve">Date</t>
  </si>
  <si>
    <t xml:space="preserve">Effet émission</t>
  </si>
  <si>
    <t xml:space="preserve">contrat group valide</t>
  </si>
  <si>
    <t xml:space="preserve">annule</t>
  </si>
  <si>
    <t xml:space="preserve">Annulé???</t>
  </si>
  <si>
    <t xml:space="preserve">1er effet</t>
  </si>
  <si>
    <t xml:space="preserve">A ANNULER</t>
  </si>
  <si>
    <t xml:space="preserve">montant+echeance</t>
  </si>
  <si>
    <t xml:space="preserve">TOTAL ANNUEL</t>
  </si>
  <si>
    <t xml:space="preserve">XX heures</t>
  </si>
  <si>
    <t xml:space="preserve">**0 X 11,51</t>
  </si>
  <si>
    <t xml:space="preserve">** X 11,51</t>
  </si>
  <si>
    <t xml:space="preserve">X heures</t>
  </si>
  <si>
    <t xml:space="preserve">* X 11,51</t>
  </si>
  <si>
    <t xml:space="preserve">METHODE CALCUL</t>
  </si>
  <si>
    <t xml:space="preserve">SANTE </t>
  </si>
  <si>
    <r>
      <rPr>
        <sz val="11"/>
        <color rgb="FF000000"/>
        <rFont val="Calibri"/>
        <family val="2"/>
        <charset val="1"/>
      </rPr>
      <t xml:space="preserve">(Montant / 12 * 3,5) *</t>
    </r>
    <r>
      <rPr>
        <sz val="11"/>
        <color rgb="FFDD0806"/>
        <rFont val="Calibri"/>
        <family val="2"/>
        <charset val="1"/>
      </rPr>
      <t xml:space="preserve">50</t>
    </r>
    <r>
      <rPr>
        <sz val="11"/>
        <color rgb="FF000000"/>
        <rFont val="Calibri"/>
        <family val="2"/>
        <charset val="1"/>
      </rPr>
      <t xml:space="preserve">%</t>
    </r>
  </si>
  <si>
    <t xml:space="preserve">Epargne log.</t>
  </si>
  <si>
    <r>
      <rPr>
        <sz val="11"/>
        <color rgb="FF000000"/>
        <rFont val="Calibri"/>
        <family val="2"/>
        <charset val="1"/>
      </rPr>
      <t xml:space="preserve">(Montant * 0,7 %)</t>
    </r>
    <r>
      <rPr>
        <sz val="11"/>
        <color rgb="FFFF0000"/>
        <rFont val="Calibri"/>
        <family val="2"/>
        <charset val="1"/>
      </rPr>
      <t xml:space="preserve">50 </t>
    </r>
    <r>
      <rPr>
        <sz val="11"/>
        <color rgb="FF000000"/>
        <rFont val="Calibri"/>
        <family val="2"/>
        <charset val="1"/>
      </rPr>
      <t xml:space="preserve">%</t>
    </r>
  </si>
  <si>
    <t xml:space="preserve">T.A.</t>
  </si>
  <si>
    <r>
      <rPr>
        <sz val="11"/>
        <color rgb="FF000000"/>
        <rFont val="Calibri"/>
        <family val="2"/>
        <charset val="1"/>
      </rPr>
      <t xml:space="preserve">(Montant * 0,35 %) </t>
    </r>
    <r>
      <rPr>
        <sz val="11"/>
        <color rgb="FFDD0806"/>
        <rFont val="Calibri"/>
        <family val="2"/>
        <charset val="1"/>
      </rPr>
      <t xml:space="preserve">50</t>
    </r>
    <r>
      <rPr>
        <sz val="11"/>
        <color rgb="FF000000"/>
        <rFont val="Calibri"/>
        <family val="2"/>
        <charset val="1"/>
      </rPr>
      <t xml:space="preserve"> %</t>
    </r>
  </si>
  <si>
    <t xml:space="preserve">MOBILé</t>
  </si>
  <si>
    <t xml:space="preserve">MOBILé START</t>
  </si>
  <si>
    <t xml:space="preserve">Autres MOBILé par tranche</t>
  </si>
  <si>
    <t xml:space="preserve">Inférieur à 800€</t>
  </si>
  <si>
    <t xml:space="preserve">à partir de 800 €</t>
  </si>
  <si>
    <t xml:space="preserve">IARD </t>
  </si>
  <si>
    <t xml:space="preserve">Autres Reebou, tous autres produits</t>
  </si>
  <si>
    <t xml:space="preserve">Autres produits divers</t>
  </si>
  <si>
    <t xml:space="preserve">Hors vie, Santé,Bsh</t>
  </si>
  <si>
    <t xml:space="preserve">ZENITH 60</t>
  </si>
  <si>
    <r>
      <rPr>
        <sz val="11"/>
        <color rgb="FF000000"/>
        <rFont val="Calibri"/>
        <family val="2"/>
        <charset val="1"/>
      </rPr>
      <t xml:space="preserve">(Somme*Nbre années* 27/1000) *</t>
    </r>
    <r>
      <rPr>
        <sz val="11"/>
        <color rgb="FFDD0806"/>
        <rFont val="Calibri"/>
        <family val="2"/>
        <charset val="1"/>
      </rPr>
      <t xml:space="preserve">50</t>
    </r>
    <r>
      <rPr>
        <sz val="11"/>
        <color rgb="FF000000"/>
        <rFont val="Calibri"/>
        <family val="2"/>
        <charset val="1"/>
      </rPr>
      <t xml:space="preserve">%</t>
    </r>
  </si>
  <si>
    <t xml:space="preserve">HORIZON 60</t>
  </si>
  <si>
    <r>
      <rPr>
        <sz val="11"/>
        <color rgb="FF000000"/>
        <rFont val="Calibri"/>
        <family val="2"/>
        <charset val="1"/>
      </rPr>
      <t xml:space="preserve">(Somme*Nbre années* 2/100) * </t>
    </r>
    <r>
      <rPr>
        <sz val="11"/>
        <color rgb="FFDD0806"/>
        <rFont val="Calibri"/>
        <family val="2"/>
        <charset val="1"/>
      </rPr>
      <t xml:space="preserve">50</t>
    </r>
    <r>
      <rPr>
        <sz val="11"/>
        <color rgb="FF000000"/>
        <rFont val="Calibri"/>
        <family val="2"/>
        <charset val="1"/>
      </rPr>
      <t xml:space="preserve"> %</t>
    </r>
  </si>
  <si>
    <t xml:space="preserve">HELIOS PROTECT</t>
  </si>
  <si>
    <r>
      <rPr>
        <sz val="11"/>
        <color rgb="FF000000"/>
        <rFont val="Calibri"/>
        <family val="2"/>
        <charset val="1"/>
      </rPr>
      <t xml:space="preserve">(Somme*Nbre années* 27/1000) * </t>
    </r>
    <r>
      <rPr>
        <sz val="11"/>
        <color rgb="FFDD0806"/>
        <rFont val="Calibri"/>
        <family val="2"/>
        <charset val="1"/>
      </rPr>
      <t xml:space="preserve">50</t>
    </r>
    <r>
      <rPr>
        <sz val="11"/>
        <color rgb="FF000000"/>
        <rFont val="Calibri"/>
        <family val="2"/>
        <charset val="1"/>
      </rPr>
      <t xml:space="preserve"> %</t>
    </r>
  </si>
  <si>
    <t xml:space="preserve">LISTE DE  CHOIX</t>
  </si>
  <si>
    <t xml:space="preserve">MOBILE2016;MOBILE Regio;REEBOU Family;REEBOUImmo;REEBOU Pack;REEBOU Pro;REEBOU Invest;LOGGIA;MEDICIS;RC;RC ENSEIGNT;ZENITH60 Op100;ZENITH60 Op25;HORIZONT60Inv;HORIZONT60Prot;HORIZONT60Capi;HELIOS100Prot;HELIOS100Inv;FOCUS;NOVA;BSH;EA;TSRD</t>
  </si>
  <si>
    <t xml:space="preserve">INTERRESSEMENT </t>
  </si>
  <si>
    <r>
      <rPr>
        <sz val="11"/>
        <color rgb="FF000000"/>
        <rFont val="Calibri"/>
        <family val="2"/>
        <charset val="1"/>
      </rPr>
      <t xml:space="preserve">(Montant / 12 * 3,5) *</t>
    </r>
    <r>
      <rPr>
        <sz val="11"/>
        <color rgb="FFDD0806"/>
        <rFont val="Calibri"/>
        <family val="2"/>
        <charset val="1"/>
      </rPr>
      <t xml:space="preserve">60</t>
    </r>
    <r>
      <rPr>
        <sz val="11"/>
        <color rgb="FF000000"/>
        <rFont val="Calibri"/>
        <family val="2"/>
        <charset val="1"/>
      </rPr>
      <t xml:space="preserve"> %</t>
    </r>
  </si>
  <si>
    <r>
      <rPr>
        <sz val="11"/>
        <color rgb="FFDD0806"/>
        <rFont val="Calibri"/>
        <family val="2"/>
        <charset val="1"/>
      </rPr>
      <t xml:space="preserve">70 </t>
    </r>
    <r>
      <rPr>
        <sz val="11"/>
        <color rgb="FF000000"/>
        <rFont val="Calibri"/>
        <family val="2"/>
        <charset val="1"/>
      </rPr>
      <t xml:space="preserve">% si + 36 pers.</t>
    </r>
  </si>
  <si>
    <r>
      <rPr>
        <sz val="11"/>
        <color rgb="FF000000"/>
        <rFont val="Calibri"/>
        <family val="2"/>
        <charset val="1"/>
      </rPr>
      <t xml:space="preserve">(Montant * 0,7 %) </t>
    </r>
    <r>
      <rPr>
        <sz val="11"/>
        <color rgb="FFDD0806"/>
        <rFont val="Calibri"/>
        <family val="2"/>
        <charset val="1"/>
      </rPr>
      <t xml:space="preserve">60</t>
    </r>
    <r>
      <rPr>
        <sz val="11"/>
        <color rgb="FF000000"/>
        <rFont val="Calibri"/>
        <family val="2"/>
        <charset val="1"/>
      </rPr>
      <t xml:space="preserve"> %</t>
    </r>
  </si>
  <si>
    <t xml:space="preserve">Autres MOBILé</t>
  </si>
  <si>
    <t xml:space="preserve">entre 800€ et 1600€</t>
  </si>
  <si>
    <t xml:space="preserve">Supér. 1600€</t>
  </si>
  <si>
    <t xml:space="preserve">Pack IARD</t>
  </si>
  <si>
    <t xml:space="preserve">Ts risque chantier</t>
  </si>
  <si>
    <t xml:space="preserve">P.j.</t>
  </si>
  <si>
    <t xml:space="preserve">Transferts</t>
  </si>
  <si>
    <t xml:space="preserve">VIE</t>
  </si>
  <si>
    <t xml:space="preserve">Échéance voir dans onglet garanties</t>
  </si>
  <si>
    <t xml:space="preserve">Mini 15000 € capital</t>
  </si>
  <si>
    <r>
      <rPr>
        <sz val="11"/>
        <color rgb="FF000000"/>
        <rFont val="Calibri"/>
        <family val="2"/>
        <charset val="1"/>
      </rPr>
      <t xml:space="preserve">(Somme*Nbre années* 27/1000) *</t>
    </r>
    <r>
      <rPr>
        <sz val="11"/>
        <color rgb="FFDD0806"/>
        <rFont val="Calibri"/>
        <family val="2"/>
        <charset val="1"/>
      </rPr>
      <t xml:space="preserve"> 60</t>
    </r>
    <r>
      <rPr>
        <sz val="11"/>
        <color rgb="FF000000"/>
        <rFont val="Calibri"/>
        <family val="2"/>
        <charset val="1"/>
      </rPr>
      <t xml:space="preserve"> %</t>
    </r>
  </si>
  <si>
    <r>
      <rPr>
        <sz val="11"/>
        <color rgb="FF000000"/>
        <rFont val="Calibri"/>
        <family val="2"/>
        <charset val="1"/>
      </rPr>
      <t xml:space="preserve">(Somme*Nbre années* 2/100) * </t>
    </r>
    <r>
      <rPr>
        <sz val="11"/>
        <color rgb="FFDD0806"/>
        <rFont val="Calibri"/>
        <family val="2"/>
        <charset val="1"/>
      </rPr>
      <t xml:space="preserve">60</t>
    </r>
    <r>
      <rPr>
        <sz val="11"/>
        <color rgb="FF000000"/>
        <rFont val="Calibri"/>
        <family val="2"/>
        <charset val="1"/>
      </rPr>
      <t xml:space="preserve"> %</t>
    </r>
  </si>
  <si>
    <r>
      <rPr>
        <sz val="11"/>
        <color rgb="FF000000"/>
        <rFont val="Calibri"/>
        <family val="2"/>
        <charset val="1"/>
      </rPr>
      <t xml:space="preserve">(Somme*Nbre années* 27/1000) * </t>
    </r>
    <r>
      <rPr>
        <sz val="11"/>
        <color rgb="FFDD0806"/>
        <rFont val="Calibri"/>
        <family val="2"/>
        <charset val="1"/>
      </rPr>
      <t xml:space="preserve">60</t>
    </r>
    <r>
      <rPr>
        <sz val="11"/>
        <color rgb="FF000000"/>
        <rFont val="Calibri"/>
        <family val="2"/>
        <charset val="1"/>
      </rPr>
      <t xml:space="preserve"> %</t>
    </r>
  </si>
  <si>
    <t xml:space="preserve">"+ bareme de  commissionnement vie agent principal (autre )</t>
  </si>
  <si>
    <t xml:space="preserve">SIMULATION  4/2017</t>
  </si>
  <si>
    <t xml:space="preserve">Nbre années</t>
  </si>
  <si>
    <t xml:space="preserve">SIMULATION 2017/2</t>
  </si>
  <si>
    <t xml:space="preserve">R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</si>
</sst>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#,##0.00"/>
    <numFmt numFmtId="166" formatCode="_-* #,##0.00\ _€_-;\-* #,##0.00\ _€_-;_-* \-??\ _€_-;_-@_-"/>
    <numFmt numFmtId="167" formatCode="DD/MM/YYYY"/>
    <numFmt numFmtId="168" formatCode="_ * #,##0.00_)\ _€_ ;_ * \(#,##0.00&quot;) &quot;_€_ ;_ * \-??_)\ _€_ ;_ @_ "/>
    <numFmt numFmtId="169" formatCode="#,##0"/>
    <numFmt numFmtId="170" formatCode="DD\-MMM"/>
    <numFmt numFmtId="171" formatCode="0.0%"/>
    <numFmt numFmtId="172" formatCode="0\ %"/>
  </numFmts>
  <fonts count="2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color rgb="FFDD0806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1"/>
      <name val="Calibri"/>
      <family val="2"/>
      <charset val="1"/>
    </font>
    <font>
      <b val="true"/>
      <sz val="14"/>
      <color rgb="FFFF0000"/>
      <name val="Calibri"/>
      <family val="2"/>
      <charset val="1"/>
    </font>
    <font>
      <b val="true"/>
      <sz val="11"/>
      <color rgb="FF17375E"/>
      <name val="Calibri"/>
      <family val="2"/>
      <charset val="1"/>
    </font>
    <font>
      <b val="true"/>
      <sz val="11"/>
      <color rgb="FFFF0000"/>
      <name val="Calibri"/>
      <family val="2"/>
      <charset val="1"/>
    </font>
    <font>
      <sz val="8"/>
      <color rgb="FFFF0000"/>
      <name val="Calibri"/>
      <family val="2"/>
      <charset val="1"/>
    </font>
    <font>
      <sz val="11"/>
      <color rgb="FF17375E"/>
      <name val="Calibri"/>
      <family val="2"/>
      <charset val="1"/>
    </font>
    <font>
      <sz val="12"/>
      <color rgb="FF000000"/>
      <name val="Calibri"/>
      <family val="2"/>
      <charset val="1"/>
    </font>
    <font>
      <b val="true"/>
      <sz val="16"/>
      <color rgb="FFFF0000"/>
      <name val="Calibri"/>
      <family val="2"/>
      <charset val="1"/>
    </font>
    <font>
      <b val="true"/>
      <sz val="12"/>
      <color rgb="FF17375E"/>
      <name val="Calibri"/>
      <family val="2"/>
      <charset val="1"/>
    </font>
    <font>
      <b val="true"/>
      <sz val="9"/>
      <color rgb="FF000000"/>
      <name val="Tahoma"/>
      <family val="2"/>
      <charset val="1"/>
    </font>
    <font>
      <sz val="9"/>
      <color rgb="FF000000"/>
      <name val="Tahoma"/>
      <family val="2"/>
      <charset val="1"/>
    </font>
    <font>
      <b val="true"/>
      <sz val="14"/>
      <color rgb="FF17375E"/>
      <name val="Calibri"/>
      <family val="2"/>
      <charset val="1"/>
    </font>
    <font>
      <b val="true"/>
      <sz val="12"/>
      <color rgb="FFDD0806"/>
      <name val="Tahoma"/>
      <family val="2"/>
      <charset val="1"/>
    </font>
    <font>
      <sz val="11"/>
      <color rgb="FF000000"/>
      <name val="Calibri"/>
      <family val="2"/>
    </font>
    <font>
      <u val="single"/>
      <sz val="11"/>
      <color rgb="FFFF0000"/>
      <name val="Calibri"/>
      <family val="2"/>
      <charset val="1"/>
    </font>
    <font>
      <sz val="11"/>
      <color rgb="FFC00000"/>
      <name val="Calibri"/>
      <family val="2"/>
      <charset val="1"/>
    </font>
    <font>
      <u val="single"/>
      <sz val="14"/>
      <color rgb="FFFF0000"/>
      <name val="Calibri"/>
      <family val="2"/>
      <charset val="1"/>
    </font>
    <font>
      <b val="true"/>
      <sz val="11"/>
      <color rgb="FF558ED5"/>
      <name val="Calibri"/>
      <family val="2"/>
      <charset val="1"/>
    </font>
    <font>
      <b val="true"/>
      <sz val="14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DEADA"/>
      </patternFill>
    </fill>
    <fill>
      <patternFill patternType="solid">
        <fgColor rgb="FFC6D9F1"/>
        <bgColor rgb="FFDCE6F2"/>
      </patternFill>
    </fill>
    <fill>
      <patternFill patternType="solid">
        <fgColor rgb="FFCCC1DA"/>
        <bgColor rgb="FFC6D9F1"/>
      </patternFill>
    </fill>
    <fill>
      <patternFill patternType="solid">
        <fgColor rgb="FFFCD5B5"/>
        <bgColor rgb="FFFDEADA"/>
      </patternFill>
    </fill>
    <fill>
      <patternFill patternType="solid">
        <fgColor rgb="FFFAC090"/>
        <bgColor rgb="FFFCD5B5"/>
      </patternFill>
    </fill>
    <fill>
      <patternFill patternType="solid">
        <fgColor rgb="FFB3A2C7"/>
        <bgColor rgb="FF9999FF"/>
      </patternFill>
    </fill>
    <fill>
      <patternFill patternType="solid">
        <fgColor rgb="FFE6E0EC"/>
        <bgColor rgb="FFDCE6F2"/>
      </patternFill>
    </fill>
    <fill>
      <patternFill patternType="solid">
        <fgColor rgb="FFDCE6F2"/>
        <bgColor rgb="FFE6E0EC"/>
      </patternFill>
    </fill>
    <fill>
      <patternFill patternType="solid">
        <fgColor rgb="FFFDEADA"/>
        <bgColor rgb="FFE6E0EC"/>
      </patternFill>
    </fill>
  </fills>
  <borders count="73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/>
      <right style="thin"/>
      <top style="medium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/>
      <top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 style="thin"/>
      <right/>
      <top style="thin"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5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5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7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0" fillId="0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6" fontId="0" fillId="0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8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2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5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2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2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3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3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3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0" fillId="0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3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3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8" fillId="0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3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3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3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7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8" fontId="5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3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1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7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1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5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4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4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5" fillId="0" borderId="4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5" fillId="0" borderId="4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0" fillId="0" borderId="29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3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32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1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33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3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6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6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1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1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1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0" fontId="5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1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3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3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0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5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3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5" fillId="0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1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0" fillId="0" borderId="4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37" xfId="0" applyFont="true" applyBorder="true" applyAlignment="true" applyProtection="false">
      <alignment horizontal="center" vertical="center" textRotation="0" wrapText="false" indent="0" shrinkToFit="false" readingOrder="1"/>
      <protection locked="true" hidden="false"/>
    </xf>
    <xf numFmtId="164" fontId="5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2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23" xfId="0" applyFont="true" applyBorder="true" applyAlignment="true" applyProtection="false">
      <alignment horizontal="center" vertical="center" textRotation="0" wrapText="false" indent="0" shrinkToFit="false" readingOrder="1"/>
      <protection locked="true" hidden="false"/>
    </xf>
    <xf numFmtId="164" fontId="14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0" borderId="2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4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4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3" xfId="0" applyFont="true" applyBorder="true" applyAlignment="true" applyProtection="false">
      <alignment horizontal="center" vertical="center" textRotation="0" wrapText="false" indent="0" shrinkToFit="false" readingOrder="1"/>
      <protection locked="true" hidden="false"/>
    </xf>
    <xf numFmtId="164" fontId="5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2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5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3" xfId="0" applyFont="true" applyBorder="true" applyAlignment="true" applyProtection="false">
      <alignment horizontal="center" vertical="center" textRotation="0" wrapText="false" indent="0" shrinkToFit="false" readingOrder="1"/>
      <protection locked="true" hidden="false"/>
    </xf>
    <xf numFmtId="164" fontId="5" fillId="0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3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9" xfId="0" applyFont="true" applyBorder="true" applyAlignment="true" applyProtection="false">
      <alignment horizontal="center" vertical="center" textRotation="0" wrapText="false" indent="0" shrinkToFit="false" readingOrder="1"/>
      <protection locked="true" hidden="false"/>
    </xf>
    <xf numFmtId="164" fontId="8" fillId="0" borderId="1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1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2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5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5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0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3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8" fontId="0" fillId="0" borderId="1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12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2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1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11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1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11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5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8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0" fillId="0" borderId="24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2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2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0" borderId="1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5" fillId="0" borderId="1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2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5" fillId="0" borderId="2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5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3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5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5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54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3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8" fontId="0" fillId="0" borderId="54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4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4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4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45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5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5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5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5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5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58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5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6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6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6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6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62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63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6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2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2" borderId="6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8" fillId="0" borderId="3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6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5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24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2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6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3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0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9" fillId="0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4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2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3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3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5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7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6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6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5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0" borderId="5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1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12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12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12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2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12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12" fillId="0" borderId="6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2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2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2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2" fillId="0" borderId="5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5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4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6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8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0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5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4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4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4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4" borderId="1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0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1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5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7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1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1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4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2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4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4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2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2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4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2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5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8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5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5" fillId="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5" fillId="5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4" borderId="7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3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5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0" fillId="5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5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8" fontId="5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5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4" borderId="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5" borderId="7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6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2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6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6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6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6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6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6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6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7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7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7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2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7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7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6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7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7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7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5" borderId="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8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8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8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8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8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8" borderId="5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8" borderId="7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8" borderId="2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8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8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8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8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9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2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0" fillId="4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5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4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1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1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5" fillId="1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1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5" borderId="7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5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5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4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4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0" fillId="2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8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9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7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10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7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10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1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12" fillId="0" borderId="1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2" fillId="0" borderId="2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2" fillId="0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5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3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72" fontId="2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3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true" indent="0" shrinkToFit="tru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26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7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0" borderId="6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5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2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7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9" fillId="0" borderId="5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12" fillId="0" borderId="3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5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7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5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62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CCC1DA"/>
      <rgbColor rgb="FF558ED5"/>
      <rgbColor rgb="FF9999FF"/>
      <rgbColor rgb="FF993366"/>
      <rgbColor rgb="FFFDEADA"/>
      <rgbColor rgb="FFDCE6F2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6E0EC"/>
      <rgbColor rgb="FFCCFFCC"/>
      <rgbColor rgb="FFFCD5B5"/>
      <rgbColor rgb="FF99CCFF"/>
      <rgbColor rgb="FFFF99CC"/>
      <rgbColor rgb="FFB3A2C7"/>
      <rgbColor rgb="FFFAC090"/>
      <rgbColor rgb="FF3366FF"/>
      <rgbColor rgb="FF33CCCC"/>
      <rgbColor rgb="FF99CC00"/>
      <rgbColor rgb="FFFFCC00"/>
      <rgbColor rgb="FFF79646"/>
      <rgbColor rgb="FFE46C0A"/>
      <rgbColor rgb="FF8064A2"/>
      <rgbColor rgb="FF969696"/>
      <rgbColor rgb="FF17375E"/>
      <rgbColor rgb="FF339966"/>
      <rgbColor rgb="FF003300"/>
      <rgbColor rgb="FF333300"/>
      <rgbColor rgb="FFDD0806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worksheet" Target="worksheets/sheet14.xml"/><Relationship Id="rId16" Type="http://schemas.openxmlformats.org/officeDocument/2006/relationships/worksheet" Target="worksheets/sheet15.xml"/><Relationship Id="rId17" Type="http://schemas.openxmlformats.org/officeDocument/2006/relationships/worksheet" Target="worksheets/sheet16.xml"/><Relationship Id="rId18" Type="http://schemas.openxmlformats.org/officeDocument/2006/relationships/worksheet" Target="worksheets/sheet17.xml"/><Relationship Id="rId19" Type="http://schemas.openxmlformats.org/officeDocument/2006/relationships/worksheet" Target="worksheets/sheet18.xml"/><Relationship Id="rId20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4.wm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0</xdr:row>
      <xdr:rowOff>0</xdr:rowOff>
    </xdr:from>
    <xdr:to>
      <xdr:col>15</xdr:col>
      <xdr:colOff>371160</xdr:colOff>
      <xdr:row>81</xdr:row>
      <xdr:rowOff>56880</xdr:rowOff>
    </xdr:to>
    <xdr:pic>
      <xdr:nvPicPr>
        <xdr:cNvPr id="0" name="Picture 1" descr=""/>
        <xdr:cNvPicPr/>
      </xdr:nvPicPr>
      <xdr:blipFill>
        <a:blip r:embed="rId1"/>
        <a:stretch/>
      </xdr:blipFill>
      <xdr:spPr>
        <a:xfrm>
          <a:off x="0" y="0"/>
          <a:ext cx="11667600" cy="15487200"/>
        </a:xfrm>
        <a:prstGeom prst="rect">
          <a:avLst/>
        </a:prstGeom>
        <a:ln w="9360">
          <a:noFill/>
        </a:ln>
      </xdr:spPr>
    </xdr:pic>
    <xdr:clientData/>
  </xdr:twoCellAnchor>
</xdr:wsDr>
</file>

<file path=xl/worksheets/_rels/sheet5.xml.rels><?xml version="1.0" encoding="UTF-8"?>
<Relationships xmlns="http://schemas.openxmlformats.org/package/2006/relationships"><Relationship Id="rId1" Type="http://schemas.openxmlformats.org/officeDocument/2006/relationships/comments" Target="../comments5.xml"/><Relationship Id="rId2" Type="http://schemas.openxmlformats.org/officeDocument/2006/relationships/vmlDrawing" Target="../drawings/vmlDrawing1.vml"/>
</Relationships>
</file>

<file path=xl/worksheets/_rels/sheet10.xml.rels><?xml version="1.0" encoding="UTF-8"?>
<Relationships xmlns="http://schemas.openxmlformats.org/package/2006/relationships"><Relationship Id="rId1" Type="http://schemas.openxmlformats.org/officeDocument/2006/relationships/comments" Target="../comments10.xml"/><Relationship Id="rId2" Type="http://schemas.openxmlformats.org/officeDocument/2006/relationships/vmlDrawing" Target="../drawings/vmlDrawing2.vml"/>
</Relationships>
</file>

<file path=xl/worksheets/_rels/sheet13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64"/>
  <sheetViews>
    <sheetView showFormulas="false" showGridLines="true" showRowColHeaders="true" showZeros="true" rightToLeft="false" tabSelected="false" showOutlineSymbols="true" defaultGridColor="true" view="normal" topLeftCell="C50" colorId="64" zoomScale="150" zoomScaleNormal="150" zoomScalePageLayoutView="100" workbookViewId="0">
      <selection pane="topLeft" activeCell="G59" activeCellId="1" sqref="A2:A7 G59"/>
    </sheetView>
  </sheetViews>
  <sheetFormatPr defaultRowHeight="15" zeroHeight="false" outlineLevelRow="0" outlineLevelCol="0"/>
  <cols>
    <col collapsed="false" customWidth="true" hidden="false" outlineLevel="0" max="1" min="1" style="0" width="16"/>
    <col collapsed="false" customWidth="true" hidden="false" outlineLevel="0" max="2" min="2" style="1" width="16"/>
    <col collapsed="false" customWidth="true" hidden="false" outlineLevel="0" max="3" min="3" style="2" width="22.7"/>
    <col collapsed="false" customWidth="true" hidden="false" outlineLevel="0" max="4" min="4" style="3" width="17.71"/>
    <col collapsed="false" customWidth="true" hidden="false" outlineLevel="0" max="5" min="5" style="3" width="24.71"/>
    <col collapsed="false" customWidth="true" hidden="false" outlineLevel="0" max="6" min="6" style="3" width="4.57"/>
    <col collapsed="false" customWidth="true" hidden="false" outlineLevel="0" max="7" min="7" style="3" width="10.58"/>
    <col collapsed="false" customWidth="true" hidden="false" outlineLevel="0" max="8" min="8" style="3" width="12.42"/>
    <col collapsed="false" customWidth="true" hidden="false" outlineLevel="0" max="9" min="9" style="4" width="12.42"/>
    <col collapsed="false" customWidth="true" hidden="false" outlineLevel="0" max="10" min="10" style="5" width="13.7"/>
    <col collapsed="false" customWidth="true" hidden="true" outlineLevel="0" max="11" min="11" style="0" width="34.29"/>
    <col collapsed="false" customWidth="true" hidden="false" outlineLevel="0" max="12" min="12" style="0" width="11.57"/>
    <col collapsed="false" customWidth="true" hidden="false" outlineLevel="0" max="1025" min="13" style="0" width="10.67"/>
  </cols>
  <sheetData>
    <row r="1" customFormat="false" ht="30" hidden="false" customHeight="true" outlineLevel="0" collapsed="false">
      <c r="C1" s="6" t="s">
        <v>0</v>
      </c>
      <c r="D1" s="6"/>
      <c r="E1" s="6"/>
      <c r="F1" s="6"/>
      <c r="G1" s="6"/>
      <c r="H1" s="6"/>
      <c r="I1" s="6"/>
      <c r="J1" s="6"/>
      <c r="K1" s="6"/>
    </row>
    <row r="2" customFormat="false" ht="30" hidden="false" customHeight="true" outlineLevel="0" collapsed="false">
      <c r="C2" s="7"/>
      <c r="D2" s="8"/>
      <c r="E2" s="8"/>
      <c r="F2" s="8"/>
      <c r="G2" s="8"/>
      <c r="H2" s="8"/>
      <c r="I2" s="8"/>
      <c r="J2" s="9"/>
      <c r="K2" s="8"/>
    </row>
    <row r="3" s="10" customFormat="true" ht="18.75" hidden="false" customHeight="true" outlineLevel="0" collapsed="false">
      <c r="B3" s="11"/>
      <c r="C3" s="10" t="s">
        <v>1</v>
      </c>
      <c r="E3" s="10" t="s">
        <v>2</v>
      </c>
      <c r="J3" s="10" t="n">
        <f aca="false">3*120</f>
        <v>360</v>
      </c>
    </row>
    <row r="4" s="10" customFormat="true" ht="18.75" hidden="false" customHeight="true" outlineLevel="0" collapsed="false">
      <c r="B4" s="11"/>
      <c r="C4" s="10" t="s">
        <v>3</v>
      </c>
      <c r="E4" s="10" t="s">
        <v>4</v>
      </c>
      <c r="J4" s="10" t="n">
        <f aca="false">5*80</f>
        <v>400</v>
      </c>
    </row>
    <row r="5" customFormat="false" ht="15" hidden="false" customHeight="false" outlineLevel="0" collapsed="false">
      <c r="D5" s="12"/>
      <c r="E5" s="12"/>
      <c r="F5" s="12"/>
      <c r="G5" s="12"/>
      <c r="H5" s="12"/>
      <c r="I5" s="12"/>
      <c r="J5" s="10"/>
      <c r="K5" s="12"/>
    </row>
    <row r="6" customFormat="false" ht="15" hidden="false" customHeight="false" outlineLevel="0" collapsed="false">
      <c r="C6" s="2" t="s">
        <v>5</v>
      </c>
      <c r="D6" s="12" t="s">
        <v>6</v>
      </c>
      <c r="E6" s="12"/>
      <c r="F6" s="12"/>
      <c r="G6" s="12"/>
      <c r="H6" s="12" t="n">
        <v>4547</v>
      </c>
      <c r="I6" s="12"/>
      <c r="J6" s="10" t="n">
        <f aca="false">H6*0.35</f>
        <v>1591.45</v>
      </c>
      <c r="K6" s="12"/>
    </row>
    <row r="7" customFormat="false" ht="15" hidden="false" customHeight="false" outlineLevel="0" collapsed="false">
      <c r="C7" s="2" t="s">
        <v>5</v>
      </c>
      <c r="D7" s="12" t="s">
        <v>7</v>
      </c>
      <c r="E7" s="12"/>
      <c r="F7" s="12"/>
      <c r="G7" s="12"/>
      <c r="H7" s="12" t="n">
        <v>4440</v>
      </c>
      <c r="I7" s="12"/>
      <c r="J7" s="10" t="n">
        <f aca="false">H7*0.35</f>
        <v>1554</v>
      </c>
      <c r="K7" s="12"/>
    </row>
    <row r="8" customFormat="false" ht="15" hidden="false" customHeight="false" outlineLevel="0" collapsed="false">
      <c r="C8" s="2" t="s">
        <v>5</v>
      </c>
      <c r="D8" s="12" t="s">
        <v>8</v>
      </c>
      <c r="E8" s="12"/>
      <c r="F8" s="12"/>
      <c r="G8" s="12"/>
      <c r="H8" s="12" t="n">
        <v>4440</v>
      </c>
      <c r="I8" s="12"/>
      <c r="J8" s="10" t="n">
        <f aca="false">H8*0.35</f>
        <v>1554</v>
      </c>
      <c r="K8" s="12"/>
    </row>
    <row r="9" customFormat="false" ht="15" hidden="false" customHeight="false" outlineLevel="0" collapsed="false">
      <c r="D9" s="12"/>
      <c r="E9" s="12"/>
      <c r="F9" s="12"/>
      <c r="G9" s="12"/>
      <c r="H9" s="12"/>
      <c r="I9" s="12"/>
      <c r="J9" s="10"/>
      <c r="K9" s="12"/>
    </row>
    <row r="10" customFormat="false" ht="15.75" hidden="false" customHeight="false" outlineLevel="0" collapsed="false">
      <c r="F10" s="3" t="s">
        <v>9</v>
      </c>
      <c r="K10" s="1"/>
    </row>
    <row r="11" customFormat="false" ht="30" hidden="false" customHeight="false" outlineLevel="0" collapsed="false">
      <c r="A11" s="13"/>
      <c r="B11" s="14" t="s">
        <v>10</v>
      </c>
      <c r="C11" s="15" t="s">
        <v>11</v>
      </c>
      <c r="D11" s="16" t="s">
        <v>12</v>
      </c>
      <c r="E11" s="16" t="s">
        <v>13</v>
      </c>
      <c r="F11" s="16"/>
      <c r="G11" s="16" t="s">
        <v>14</v>
      </c>
      <c r="H11" s="17" t="s">
        <v>15</v>
      </c>
      <c r="I11" s="18" t="s">
        <v>16</v>
      </c>
      <c r="J11" s="19" t="s">
        <v>17</v>
      </c>
    </row>
    <row r="12" customFormat="false" ht="15" hidden="false" customHeight="false" outlineLevel="0" collapsed="false">
      <c r="A12" s="20" t="s">
        <v>18</v>
      </c>
      <c r="B12" s="21"/>
      <c r="C12" s="22" t="s">
        <v>19</v>
      </c>
      <c r="D12" s="23" t="s">
        <v>20</v>
      </c>
      <c r="E12" s="24" t="s">
        <v>21</v>
      </c>
      <c r="F12" s="24"/>
      <c r="G12" s="24"/>
      <c r="H12" s="24" t="n">
        <v>20000</v>
      </c>
      <c r="I12" s="25" t="n">
        <f aca="false">(H12*0.7/100)*0.6</f>
        <v>84</v>
      </c>
      <c r="J12" s="26" t="n">
        <v>84</v>
      </c>
    </row>
    <row r="13" customFormat="false" ht="15" hidden="false" customHeight="false" outlineLevel="0" collapsed="false">
      <c r="C13" s="22" t="s">
        <v>22</v>
      </c>
      <c r="D13" s="23" t="s">
        <v>20</v>
      </c>
      <c r="E13" s="24" t="s">
        <v>23</v>
      </c>
      <c r="F13" s="24"/>
      <c r="G13" s="24"/>
      <c r="H13" s="24" t="n">
        <v>44000</v>
      </c>
      <c r="I13" s="25" t="n">
        <f aca="false">(H13*0.7/100)*0.6</f>
        <v>184.8</v>
      </c>
      <c r="J13" s="26" t="n">
        <v>184.8</v>
      </c>
      <c r="K13" s="0" t="s">
        <v>24</v>
      </c>
    </row>
    <row r="14" customFormat="false" ht="15" hidden="false" customHeight="false" outlineLevel="0" collapsed="false">
      <c r="A14" s="20"/>
      <c r="B14" s="21"/>
      <c r="C14" s="22" t="s">
        <v>25</v>
      </c>
      <c r="D14" s="23" t="s">
        <v>20</v>
      </c>
      <c r="E14" s="24" t="s">
        <v>26</v>
      </c>
      <c r="F14" s="24"/>
      <c r="G14" s="24"/>
      <c r="H14" s="24" t="n">
        <v>60000</v>
      </c>
      <c r="I14" s="25" t="n">
        <f aca="false">(H14*0.7/100)*0.6</f>
        <v>252</v>
      </c>
      <c r="J14" s="26" t="n">
        <v>252</v>
      </c>
      <c r="K14" s="0" t="s">
        <v>27</v>
      </c>
    </row>
    <row r="15" customFormat="false" ht="15" hidden="false" customHeight="false" outlineLevel="0" collapsed="false">
      <c r="A15" s="20"/>
      <c r="B15" s="21"/>
      <c r="C15" s="22"/>
      <c r="D15" s="23"/>
      <c r="E15" s="24"/>
      <c r="F15" s="24"/>
      <c r="G15" s="24"/>
      <c r="H15" s="24"/>
      <c r="I15" s="25"/>
      <c r="J15" s="26"/>
      <c r="K15" s="0" t="s">
        <v>28</v>
      </c>
    </row>
    <row r="16" customFormat="false" ht="15" hidden="false" customHeight="false" outlineLevel="0" collapsed="false">
      <c r="A16" s="27" t="s">
        <v>29</v>
      </c>
      <c r="B16" s="28" t="n">
        <v>280615</v>
      </c>
      <c r="C16" s="22" t="s">
        <v>30</v>
      </c>
      <c r="D16" s="24" t="s">
        <v>31</v>
      </c>
      <c r="E16" s="24" t="n">
        <v>20324778</v>
      </c>
      <c r="F16" s="24"/>
      <c r="G16" s="24"/>
      <c r="H16" s="24" t="n">
        <v>840</v>
      </c>
      <c r="I16" s="25" t="n">
        <f aca="false">(800*6/100)+(40*7/100)</f>
        <v>50.8</v>
      </c>
      <c r="J16" s="26" t="n">
        <v>50.8</v>
      </c>
    </row>
    <row r="17" customFormat="false" ht="15" hidden="false" customHeight="false" outlineLevel="0" collapsed="false">
      <c r="A17" s="27" t="s">
        <v>29</v>
      </c>
      <c r="B17" s="1" t="n">
        <v>678265</v>
      </c>
      <c r="C17" s="22" t="s">
        <v>32</v>
      </c>
      <c r="D17" s="23" t="s">
        <v>33</v>
      </c>
      <c r="E17" s="24" t="n">
        <v>20324923</v>
      </c>
      <c r="F17" s="24"/>
      <c r="G17" s="24"/>
      <c r="H17" s="24" t="n">
        <v>198.4</v>
      </c>
      <c r="I17" s="25" t="n">
        <f aca="false">H17*12/100</f>
        <v>23.808</v>
      </c>
      <c r="J17" s="26" t="n">
        <v>24</v>
      </c>
      <c r="K17" s="0" t="s">
        <v>34</v>
      </c>
    </row>
    <row r="18" customFormat="false" ht="15" hidden="false" customHeight="false" outlineLevel="0" collapsed="false">
      <c r="A18" s="27" t="s">
        <v>29</v>
      </c>
      <c r="B18" s="21" t="n">
        <v>604541</v>
      </c>
      <c r="C18" s="22" t="s">
        <v>35</v>
      </c>
      <c r="D18" s="23" t="s">
        <v>20</v>
      </c>
      <c r="E18" s="24" t="s">
        <v>36</v>
      </c>
      <c r="F18" s="24"/>
      <c r="G18" s="24"/>
      <c r="H18" s="24" t="n">
        <v>42000</v>
      </c>
      <c r="I18" s="25" t="n">
        <f aca="false">(H18*0.7/100)*0.6</f>
        <v>176.4</v>
      </c>
      <c r="J18" s="26" t="n">
        <v>176.4</v>
      </c>
      <c r="K18" s="0" t="s">
        <v>37</v>
      </c>
    </row>
    <row r="19" customFormat="false" ht="15" hidden="false" customHeight="false" outlineLevel="0" collapsed="false">
      <c r="A19" s="27" t="s">
        <v>29</v>
      </c>
      <c r="B19" s="21"/>
      <c r="C19" s="22" t="s">
        <v>38</v>
      </c>
      <c r="D19" s="23" t="s">
        <v>20</v>
      </c>
      <c r="E19" s="29" t="s">
        <v>39</v>
      </c>
      <c r="F19" s="29"/>
      <c r="G19" s="24"/>
      <c r="H19" s="24" t="n">
        <v>20000</v>
      </c>
      <c r="I19" s="25" t="n">
        <f aca="false">(H19*0.7/100)*0.6</f>
        <v>84</v>
      </c>
      <c r="J19" s="26" t="n">
        <v>84</v>
      </c>
      <c r="K19" s="0" t="s">
        <v>40</v>
      </c>
    </row>
    <row r="20" customFormat="false" ht="15" hidden="false" customHeight="false" outlineLevel="0" collapsed="false">
      <c r="A20" s="27" t="s">
        <v>29</v>
      </c>
      <c r="B20" s="21" t="n">
        <v>914601</v>
      </c>
      <c r="C20" s="22" t="s">
        <v>41</v>
      </c>
      <c r="D20" s="23" t="s">
        <v>42</v>
      </c>
      <c r="E20" s="24" t="n">
        <v>20258278</v>
      </c>
      <c r="F20" s="24"/>
      <c r="G20" s="24"/>
      <c r="H20" s="24" t="n">
        <v>110.88</v>
      </c>
      <c r="I20" s="30" t="n">
        <f aca="false">H20*15/100</f>
        <v>16.632</v>
      </c>
      <c r="J20" s="31" t="n">
        <v>16.632</v>
      </c>
      <c r="K20" s="0" t="s">
        <v>24</v>
      </c>
    </row>
    <row r="21" s="34" customFormat="true" ht="30" hidden="false" customHeight="false" outlineLevel="0" collapsed="false">
      <c r="A21" s="27" t="s">
        <v>29</v>
      </c>
      <c r="B21" s="32" t="n">
        <v>834437</v>
      </c>
      <c r="C21" s="22" t="s">
        <v>43</v>
      </c>
      <c r="D21" s="33" t="s">
        <v>44</v>
      </c>
      <c r="E21" s="24" t="n">
        <v>440978</v>
      </c>
      <c r="F21" s="24"/>
      <c r="G21" s="24"/>
      <c r="H21" s="24" t="n">
        <v>720</v>
      </c>
      <c r="I21" s="25" t="n">
        <f aca="false">((720*31)*27/1000)*0.6</f>
        <v>361.584</v>
      </c>
      <c r="J21" s="26" t="n">
        <v>361.584</v>
      </c>
    </row>
    <row r="22" customFormat="false" ht="15" hidden="false" customHeight="false" outlineLevel="0" collapsed="false">
      <c r="A22" s="27" t="s">
        <v>29</v>
      </c>
      <c r="B22" s="21" t="n">
        <v>604554</v>
      </c>
      <c r="C22" s="22" t="s">
        <v>45</v>
      </c>
      <c r="D22" s="23" t="s">
        <v>46</v>
      </c>
      <c r="E22" s="24" t="n">
        <v>609388</v>
      </c>
      <c r="F22" s="24"/>
      <c r="G22" s="24" t="n">
        <v>2045</v>
      </c>
      <c r="H22" s="24" t="n">
        <v>1500</v>
      </c>
      <c r="I22" s="30" t="n">
        <f aca="false">(1500*29*0.02)*0.6</f>
        <v>522</v>
      </c>
      <c r="J22" s="31" t="n">
        <v>522</v>
      </c>
      <c r="K22" s="0" t="s">
        <v>47</v>
      </c>
    </row>
    <row r="23" s="34" customFormat="true" ht="15" hidden="false" customHeight="false" outlineLevel="0" collapsed="false">
      <c r="A23" s="27" t="s">
        <v>29</v>
      </c>
      <c r="B23" s="35" t="n">
        <v>421848</v>
      </c>
      <c r="C23" s="22" t="s">
        <v>48</v>
      </c>
      <c r="D23" s="23" t="s">
        <v>31</v>
      </c>
      <c r="E23" s="24" t="n">
        <v>20326524</v>
      </c>
      <c r="F23" s="24"/>
      <c r="G23" s="24"/>
      <c r="H23" s="24" t="n">
        <v>726</v>
      </c>
      <c r="I23" s="25" t="n">
        <f aca="false">H23*6/100</f>
        <v>43.56</v>
      </c>
      <c r="J23" s="26" t="n">
        <v>43.56</v>
      </c>
      <c r="K23" s="34" t="s">
        <v>49</v>
      </c>
    </row>
    <row r="24" customFormat="false" ht="15" hidden="false" customHeight="false" outlineLevel="0" collapsed="false">
      <c r="A24" s="27" t="s">
        <v>29</v>
      </c>
      <c r="B24" s="35" t="n">
        <v>421848</v>
      </c>
      <c r="C24" s="22" t="s">
        <v>48</v>
      </c>
      <c r="D24" s="23" t="s">
        <v>31</v>
      </c>
      <c r="E24" s="24" t="n">
        <v>20326526</v>
      </c>
      <c r="F24" s="24"/>
      <c r="G24" s="24"/>
      <c r="H24" s="24" t="n">
        <v>551</v>
      </c>
      <c r="I24" s="25" t="n">
        <f aca="false">H24*6/100</f>
        <v>33.06</v>
      </c>
      <c r="J24" s="26" t="n">
        <v>33.06</v>
      </c>
      <c r="K24" s="0" t="s">
        <v>50</v>
      </c>
    </row>
    <row r="25" customFormat="false" ht="15" hidden="false" customHeight="false" outlineLevel="0" collapsed="false">
      <c r="A25" s="27" t="s">
        <v>29</v>
      </c>
      <c r="B25" s="35" t="n">
        <v>421848</v>
      </c>
      <c r="C25" s="22" t="s">
        <v>48</v>
      </c>
      <c r="D25" s="23" t="s">
        <v>42</v>
      </c>
      <c r="E25" s="24" t="n">
        <v>20326522</v>
      </c>
      <c r="F25" s="24"/>
      <c r="G25" s="24"/>
      <c r="H25" s="24" t="n">
        <v>110.88</v>
      </c>
      <c r="I25" s="25" t="n">
        <f aca="false">H25*15/100</f>
        <v>16.632</v>
      </c>
      <c r="J25" s="26" t="n">
        <v>16.632</v>
      </c>
      <c r="K25" s="0" t="s">
        <v>51</v>
      </c>
    </row>
    <row r="26" customFormat="false" ht="15" hidden="false" customHeight="false" outlineLevel="0" collapsed="false">
      <c r="A26" s="27" t="s">
        <v>29</v>
      </c>
      <c r="B26" s="35" t="n">
        <v>421848</v>
      </c>
      <c r="C26" s="22" t="s">
        <v>48</v>
      </c>
      <c r="D26" s="23" t="s">
        <v>33</v>
      </c>
      <c r="E26" s="24" t="n">
        <v>20326523</v>
      </c>
      <c r="F26" s="24"/>
      <c r="G26" s="24"/>
      <c r="H26" s="24" t="n">
        <v>276</v>
      </c>
      <c r="I26" s="25" t="n">
        <f aca="false">H26*12/100</f>
        <v>33.12</v>
      </c>
      <c r="J26" s="26" t="n">
        <v>33.12</v>
      </c>
      <c r="K26" s="0" t="s">
        <v>52</v>
      </c>
    </row>
    <row r="27" customFormat="false" ht="15" hidden="false" customHeight="false" outlineLevel="0" collapsed="false">
      <c r="A27" s="27" t="s">
        <v>29</v>
      </c>
      <c r="B27" s="21" t="n">
        <v>157437</v>
      </c>
      <c r="C27" s="36" t="s">
        <v>53</v>
      </c>
      <c r="D27" s="37" t="s">
        <v>31</v>
      </c>
      <c r="E27" s="38" t="n">
        <v>20327718</v>
      </c>
      <c r="F27" s="38"/>
      <c r="G27" s="38"/>
      <c r="H27" s="38" t="n">
        <v>1204</v>
      </c>
      <c r="I27" s="39" t="n">
        <f aca="false">(800*6/100)+(404*7/100)</f>
        <v>76.28</v>
      </c>
      <c r="J27" s="40" t="n">
        <v>76.28</v>
      </c>
      <c r="K27" s="0" t="s">
        <v>54</v>
      </c>
    </row>
    <row r="28" customFormat="false" ht="15" hidden="false" customHeight="false" outlineLevel="0" collapsed="false">
      <c r="A28" s="27" t="s">
        <v>29</v>
      </c>
      <c r="B28" s="21" t="n">
        <v>773696</v>
      </c>
      <c r="C28" s="22" t="s">
        <v>55</v>
      </c>
      <c r="D28" s="23" t="s">
        <v>56</v>
      </c>
      <c r="E28" s="24" t="n">
        <v>20281815</v>
      </c>
      <c r="F28" s="24"/>
      <c r="G28" s="24"/>
      <c r="H28" s="24" t="n">
        <v>185</v>
      </c>
      <c r="I28" s="25" t="n">
        <f aca="false">(H28*12/100)*0.5</f>
        <v>11.1</v>
      </c>
      <c r="J28" s="26" t="n">
        <v>11.1</v>
      </c>
      <c r="K28" s="0" t="s">
        <v>57</v>
      </c>
    </row>
    <row r="29" customFormat="false" ht="15" hidden="false" customHeight="false" outlineLevel="0" collapsed="false">
      <c r="A29" s="27" t="s">
        <v>29</v>
      </c>
      <c r="B29" s="28" t="n">
        <v>262680</v>
      </c>
      <c r="C29" s="22" t="s">
        <v>58</v>
      </c>
      <c r="D29" s="23" t="s">
        <v>59</v>
      </c>
      <c r="E29" s="24" t="n">
        <v>61016131</v>
      </c>
      <c r="F29" s="24"/>
      <c r="G29" s="24"/>
      <c r="H29" s="24" t="n">
        <v>145.08</v>
      </c>
      <c r="I29" s="25" t="n">
        <f aca="false">((H29/12)*3.5)*0.6</f>
        <v>25.389</v>
      </c>
      <c r="J29" s="26" t="n">
        <v>25.389</v>
      </c>
      <c r="K29" s="0" t="s">
        <v>60</v>
      </c>
    </row>
    <row r="30" s="34" customFormat="true" ht="15" hidden="false" customHeight="false" outlineLevel="0" collapsed="false">
      <c r="A30" s="27" t="s">
        <v>29</v>
      </c>
      <c r="B30" s="21" t="n">
        <v>281857</v>
      </c>
      <c r="C30" s="22" t="s">
        <v>61</v>
      </c>
      <c r="D30" s="23" t="s">
        <v>62</v>
      </c>
      <c r="E30" s="24" t="n">
        <v>20326702</v>
      </c>
      <c r="F30" s="24"/>
      <c r="G30" s="24"/>
      <c r="H30" s="24" t="n">
        <v>1795</v>
      </c>
      <c r="I30" s="30" t="n">
        <f aca="false">H30*12/100</f>
        <v>215.4</v>
      </c>
      <c r="J30" s="31" t="n">
        <v>215.4</v>
      </c>
      <c r="K30" s="34" t="s">
        <v>63</v>
      </c>
    </row>
    <row r="31" customFormat="false" ht="15" hidden="false" customHeight="false" outlineLevel="0" collapsed="false">
      <c r="A31" s="27" t="s">
        <v>29</v>
      </c>
      <c r="B31" s="35" t="n">
        <v>820795</v>
      </c>
      <c r="C31" s="22" t="s">
        <v>64</v>
      </c>
      <c r="D31" s="23" t="s">
        <v>20</v>
      </c>
      <c r="E31" s="24" t="s">
        <v>65</v>
      </c>
      <c r="F31" s="24"/>
      <c r="G31" s="24"/>
      <c r="H31" s="24" t="n">
        <v>20000</v>
      </c>
      <c r="I31" s="25" t="n">
        <f aca="false">(H31*0.7/100)*0.6</f>
        <v>84</v>
      </c>
      <c r="J31" s="26" t="n">
        <v>84</v>
      </c>
      <c r="K31" s="0" t="s">
        <v>24</v>
      </c>
    </row>
    <row r="32" customFormat="false" ht="15" hidden="false" customHeight="false" outlineLevel="0" collapsed="false">
      <c r="A32" s="27" t="s">
        <v>29</v>
      </c>
      <c r="B32" s="35" t="n">
        <v>820795</v>
      </c>
      <c r="C32" s="22" t="s">
        <v>64</v>
      </c>
      <c r="D32" s="23" t="s">
        <v>20</v>
      </c>
      <c r="E32" s="24" t="s">
        <v>66</v>
      </c>
      <c r="F32" s="24"/>
      <c r="G32" s="24"/>
      <c r="H32" s="24" t="n">
        <v>20000</v>
      </c>
      <c r="I32" s="25" t="n">
        <f aca="false">(H32*0.7/100)*0.6</f>
        <v>84</v>
      </c>
      <c r="J32" s="26" t="n">
        <v>84</v>
      </c>
      <c r="K32" s="0" t="s">
        <v>24</v>
      </c>
    </row>
    <row r="33" customFormat="false" ht="15" hidden="false" customHeight="false" outlineLevel="0" collapsed="false">
      <c r="A33" s="27" t="s">
        <v>29</v>
      </c>
      <c r="B33" s="35" t="n">
        <v>820795</v>
      </c>
      <c r="C33" s="22" t="s">
        <v>64</v>
      </c>
      <c r="D33" s="23" t="s">
        <v>20</v>
      </c>
      <c r="E33" s="24" t="s">
        <v>67</v>
      </c>
      <c r="F33" s="24"/>
      <c r="G33" s="24"/>
      <c r="H33" s="24" t="n">
        <v>20000</v>
      </c>
      <c r="I33" s="25" t="n">
        <f aca="false">(H33*0.7/100)*0.6</f>
        <v>84</v>
      </c>
      <c r="J33" s="26" t="n">
        <v>84</v>
      </c>
      <c r="K33" s="0" t="s">
        <v>24</v>
      </c>
    </row>
    <row r="34" customFormat="false" ht="15" hidden="false" customHeight="false" outlineLevel="0" collapsed="false">
      <c r="A34" s="27" t="s">
        <v>29</v>
      </c>
      <c r="B34" s="41" t="n">
        <v>282063</v>
      </c>
      <c r="C34" s="22" t="s">
        <v>68</v>
      </c>
      <c r="D34" s="24" t="s">
        <v>31</v>
      </c>
      <c r="E34" s="24" t="n">
        <v>20326604</v>
      </c>
      <c r="F34" s="24"/>
      <c r="G34" s="24"/>
      <c r="H34" s="24" t="n">
        <v>1878</v>
      </c>
      <c r="I34" s="25" t="n">
        <f aca="false">(800*6/100)+(800*7/100)+(278*8/100)</f>
        <v>126.24</v>
      </c>
      <c r="J34" s="26" t="n">
        <v>126.24</v>
      </c>
      <c r="K34" s="0" t="s">
        <v>69</v>
      </c>
    </row>
    <row r="35" customFormat="false" ht="15" hidden="false" customHeight="false" outlineLevel="0" collapsed="false">
      <c r="A35" s="27" t="s">
        <v>70</v>
      </c>
      <c r="B35" s="28" t="n">
        <v>930785</v>
      </c>
      <c r="C35" s="22" t="s">
        <v>71</v>
      </c>
      <c r="D35" s="24" t="s">
        <v>31</v>
      </c>
      <c r="E35" s="24" t="n">
        <v>20330127</v>
      </c>
      <c r="F35" s="24"/>
      <c r="G35" s="24"/>
      <c r="H35" s="24" t="n">
        <v>719.83</v>
      </c>
      <c r="I35" s="25" t="n">
        <f aca="false">H35*6/100</f>
        <v>43.1898</v>
      </c>
      <c r="J35" s="26" t="n">
        <v>43.1898</v>
      </c>
      <c r="K35" s="0" t="s">
        <v>72</v>
      </c>
    </row>
    <row r="36" customFormat="false" ht="15" hidden="false" customHeight="false" outlineLevel="0" collapsed="false">
      <c r="A36" s="27" t="s">
        <v>70</v>
      </c>
      <c r="B36" s="28" t="n">
        <v>930785</v>
      </c>
      <c r="C36" s="22" t="s">
        <v>71</v>
      </c>
      <c r="D36" s="23" t="s">
        <v>20</v>
      </c>
      <c r="E36" s="24" t="s">
        <v>73</v>
      </c>
      <c r="F36" s="24"/>
      <c r="G36" s="24"/>
      <c r="H36" s="24" t="n">
        <v>42000</v>
      </c>
      <c r="I36" s="25" t="n">
        <f aca="false">(H36*0.7/100)*0.6</f>
        <v>176.4</v>
      </c>
      <c r="J36" s="26" t="n">
        <v>176.4</v>
      </c>
      <c r="K36" s="0" t="s">
        <v>74</v>
      </c>
    </row>
    <row r="37" s="34" customFormat="true" ht="15" hidden="false" customHeight="false" outlineLevel="0" collapsed="false">
      <c r="A37" s="27" t="s">
        <v>70</v>
      </c>
      <c r="B37" s="21" t="n">
        <v>755058</v>
      </c>
      <c r="C37" s="22" t="s">
        <v>75</v>
      </c>
      <c r="D37" s="23" t="s">
        <v>76</v>
      </c>
      <c r="E37" s="24" t="n">
        <v>441384</v>
      </c>
      <c r="F37" s="24"/>
      <c r="G37" s="24"/>
      <c r="H37" s="24" t="n">
        <v>25000</v>
      </c>
      <c r="I37" s="30" t="n">
        <f aca="false">(H37*7.5/100)*60/100</f>
        <v>1125</v>
      </c>
      <c r="J37" s="31" t="n">
        <v>1125</v>
      </c>
      <c r="K37" s="34" t="s">
        <v>77</v>
      </c>
    </row>
    <row r="38" customFormat="false" ht="15" hidden="false" customHeight="false" outlineLevel="0" collapsed="false">
      <c r="A38" s="27" t="s">
        <v>70</v>
      </c>
      <c r="B38" s="35" t="n">
        <v>849394</v>
      </c>
      <c r="C38" s="22" t="s">
        <v>78</v>
      </c>
      <c r="D38" s="23" t="s">
        <v>59</v>
      </c>
      <c r="E38" s="24" t="n">
        <v>61000963</v>
      </c>
      <c r="F38" s="24"/>
      <c r="G38" s="24"/>
      <c r="H38" s="24" t="n">
        <v>747.36</v>
      </c>
      <c r="I38" s="25" t="n">
        <f aca="false">((H38/12)*3.5)*0.6</f>
        <v>130.788</v>
      </c>
      <c r="J38" s="26" t="n">
        <v>130.8405</v>
      </c>
      <c r="K38" s="34" t="s">
        <v>79</v>
      </c>
    </row>
    <row r="39" customFormat="false" ht="15" hidden="false" customHeight="false" outlineLevel="0" collapsed="false">
      <c r="A39" s="27" t="s">
        <v>70</v>
      </c>
      <c r="B39" s="21" t="n">
        <v>862575</v>
      </c>
      <c r="C39" s="22" t="s">
        <v>80</v>
      </c>
      <c r="D39" s="42" t="s">
        <v>81</v>
      </c>
      <c r="E39" s="24" t="n">
        <v>20330635</v>
      </c>
      <c r="F39" s="24"/>
      <c r="G39" s="24"/>
      <c r="H39" s="24" t="n">
        <v>253.63</v>
      </c>
      <c r="I39" s="25" t="n">
        <f aca="false">H39*12/100</f>
        <v>30.4356</v>
      </c>
      <c r="J39" s="26" t="n">
        <v>30.4356</v>
      </c>
      <c r="K39" s="0" t="s">
        <v>82</v>
      </c>
    </row>
    <row r="40" customFormat="false" ht="15" hidden="false" customHeight="false" outlineLevel="0" collapsed="false">
      <c r="A40" s="27" t="s">
        <v>70</v>
      </c>
      <c r="B40" s="21" t="n">
        <v>882269</v>
      </c>
      <c r="C40" s="22" t="s">
        <v>83</v>
      </c>
      <c r="D40" s="23" t="s">
        <v>33</v>
      </c>
      <c r="E40" s="24" t="n">
        <v>20330186</v>
      </c>
      <c r="F40" s="24"/>
      <c r="G40" s="24"/>
      <c r="H40" s="24" t="n">
        <v>305.47</v>
      </c>
      <c r="I40" s="25" t="n">
        <f aca="false">H40*12/100</f>
        <v>36.6564</v>
      </c>
      <c r="J40" s="26" t="n">
        <v>49.962</v>
      </c>
      <c r="K40" s="34" t="s">
        <v>84</v>
      </c>
    </row>
    <row r="41" customFormat="false" ht="15" hidden="false" customHeight="false" outlineLevel="0" collapsed="false">
      <c r="A41" s="27" t="s">
        <v>70</v>
      </c>
      <c r="B41" s="21" t="n">
        <v>882269</v>
      </c>
      <c r="C41" s="22" t="s">
        <v>83</v>
      </c>
      <c r="D41" s="23" t="s">
        <v>42</v>
      </c>
      <c r="E41" s="24" t="n">
        <v>20330187</v>
      </c>
      <c r="F41" s="24"/>
      <c r="G41" s="24"/>
      <c r="H41" s="24" t="n">
        <v>110.88</v>
      </c>
      <c r="I41" s="25" t="n">
        <f aca="false">H41*15/100</f>
        <v>16.632</v>
      </c>
      <c r="J41" s="26" t="n">
        <v>16.632</v>
      </c>
      <c r="K41" s="0" t="s">
        <v>52</v>
      </c>
    </row>
    <row r="42" s="46" customFormat="true" ht="15" hidden="false" customHeight="false" outlineLevel="0" collapsed="false">
      <c r="A42" s="27" t="s">
        <v>70</v>
      </c>
      <c r="B42" s="21" t="n">
        <v>703239</v>
      </c>
      <c r="C42" s="43" t="s">
        <v>85</v>
      </c>
      <c r="D42" s="42" t="s">
        <v>31</v>
      </c>
      <c r="E42" s="29" t="n">
        <v>20330386</v>
      </c>
      <c r="F42" s="29"/>
      <c r="G42" s="29"/>
      <c r="H42" s="29" t="n">
        <v>285</v>
      </c>
      <c r="I42" s="44" t="n">
        <f aca="false">H42*6/100</f>
        <v>17.1</v>
      </c>
      <c r="J42" s="45" t="n">
        <v>17.1</v>
      </c>
      <c r="K42" s="46" t="s">
        <v>86</v>
      </c>
    </row>
    <row r="43" s="34" customFormat="true" ht="15" hidden="false" customHeight="false" outlineLevel="0" collapsed="false">
      <c r="A43" s="27" t="s">
        <v>70</v>
      </c>
      <c r="B43" s="47" t="n">
        <v>880049</v>
      </c>
      <c r="C43" s="22" t="s">
        <v>87</v>
      </c>
      <c r="D43" s="23" t="s">
        <v>88</v>
      </c>
      <c r="E43" s="24" t="n">
        <v>441356</v>
      </c>
      <c r="F43" s="24"/>
      <c r="G43" s="24" t="n">
        <v>2039</v>
      </c>
      <c r="H43" s="24" t="n">
        <v>720</v>
      </c>
      <c r="I43" s="30" t="n">
        <f aca="false">(720*23*0.02)*0.6</f>
        <v>198.72</v>
      </c>
      <c r="J43" s="31" t="n">
        <v>198.72</v>
      </c>
      <c r="K43" s="34" t="s">
        <v>89</v>
      </c>
    </row>
    <row r="44" customFormat="false" ht="15" hidden="false" customHeight="false" outlineLevel="0" collapsed="false">
      <c r="A44" s="27" t="s">
        <v>70</v>
      </c>
      <c r="B44" s="35" t="n">
        <v>465040</v>
      </c>
      <c r="C44" s="22" t="s">
        <v>90</v>
      </c>
      <c r="D44" s="23" t="s">
        <v>31</v>
      </c>
      <c r="E44" s="24" t="n">
        <v>20332102</v>
      </c>
      <c r="F44" s="24"/>
      <c r="G44" s="24"/>
      <c r="H44" s="24" t="n">
        <v>1055</v>
      </c>
      <c r="I44" s="25" t="n">
        <f aca="false">(800*6/100)+(255*7/100)</f>
        <v>65.85</v>
      </c>
      <c r="J44" s="26" t="n">
        <v>65.85</v>
      </c>
      <c r="K44" s="34" t="s">
        <v>91</v>
      </c>
    </row>
    <row r="45" customFormat="false" ht="15" hidden="false" customHeight="false" outlineLevel="0" collapsed="false">
      <c r="A45" s="27" t="s">
        <v>70</v>
      </c>
      <c r="B45" s="35" t="n">
        <v>465040</v>
      </c>
      <c r="C45" s="22" t="s">
        <v>90</v>
      </c>
      <c r="D45" s="23" t="s">
        <v>31</v>
      </c>
      <c r="E45" s="24" t="n">
        <v>20332158</v>
      </c>
      <c r="F45" s="24"/>
      <c r="G45" s="24"/>
      <c r="H45" s="24" t="n">
        <v>1055</v>
      </c>
      <c r="I45" s="25" t="n">
        <f aca="false">(800*6/100)+(255*7/100)</f>
        <v>65.85</v>
      </c>
      <c r="J45" s="26" t="n">
        <v>65.85</v>
      </c>
      <c r="K45" s="34" t="s">
        <v>91</v>
      </c>
    </row>
    <row r="46" s="51" customFormat="true" ht="15" hidden="false" customHeight="false" outlineLevel="0" collapsed="false">
      <c r="A46" s="48" t="s">
        <v>92</v>
      </c>
      <c r="B46" s="49" t="n">
        <v>773729</v>
      </c>
      <c r="C46" s="43" t="s">
        <v>93</v>
      </c>
      <c r="D46" s="42" t="s">
        <v>31</v>
      </c>
      <c r="E46" s="29" t="n">
        <v>20335402</v>
      </c>
      <c r="F46" s="29"/>
      <c r="G46" s="29"/>
      <c r="H46" s="29" t="n">
        <v>2206.29</v>
      </c>
      <c r="I46" s="44" t="n">
        <f aca="false">(800*6/100)+(800*7/100)+(606.29*8/100)</f>
        <v>152.5032</v>
      </c>
      <c r="J46" s="50" t="n">
        <v>152.48</v>
      </c>
      <c r="K46" s="51" t="s">
        <v>94</v>
      </c>
    </row>
    <row r="47" s="51" customFormat="true" ht="15" hidden="false" customHeight="false" outlineLevel="0" collapsed="false">
      <c r="A47" s="48" t="s">
        <v>92</v>
      </c>
      <c r="B47" s="49" t="n">
        <v>773729</v>
      </c>
      <c r="C47" s="43" t="s">
        <v>93</v>
      </c>
      <c r="D47" s="23" t="s">
        <v>33</v>
      </c>
      <c r="E47" s="29" t="n">
        <v>20335405</v>
      </c>
      <c r="F47" s="29"/>
      <c r="G47" s="29"/>
      <c r="H47" s="29" t="n">
        <v>219.35</v>
      </c>
      <c r="I47" s="44" t="n">
        <f aca="false">H47*12/100</f>
        <v>26.322</v>
      </c>
      <c r="J47" s="45" t="n">
        <v>26.322</v>
      </c>
      <c r="K47" s="51" t="s">
        <v>37</v>
      </c>
    </row>
    <row r="48" s="51" customFormat="true" ht="15" hidden="false" customHeight="false" outlineLevel="0" collapsed="false">
      <c r="A48" s="52" t="s">
        <v>92</v>
      </c>
      <c r="B48" s="49" t="n">
        <v>773729</v>
      </c>
      <c r="C48" s="43" t="s">
        <v>93</v>
      </c>
      <c r="D48" s="23" t="s">
        <v>42</v>
      </c>
      <c r="E48" s="29" t="n">
        <v>20335406</v>
      </c>
      <c r="F48" s="29"/>
      <c r="G48" s="29"/>
      <c r="H48" s="29" t="n">
        <v>110.88</v>
      </c>
      <c r="I48" s="44" t="n">
        <f aca="false">H48*15/100</f>
        <v>16.632</v>
      </c>
      <c r="J48" s="45" t="n">
        <v>16.632</v>
      </c>
      <c r="K48" s="51" t="s">
        <v>52</v>
      </c>
    </row>
    <row r="49" s="51" customFormat="true" ht="15" hidden="false" customHeight="false" outlineLevel="0" collapsed="false">
      <c r="A49" s="52" t="s">
        <v>92</v>
      </c>
      <c r="B49" s="49" t="n">
        <v>773729</v>
      </c>
      <c r="C49" s="43" t="s">
        <v>93</v>
      </c>
      <c r="D49" s="23" t="s">
        <v>42</v>
      </c>
      <c r="E49" s="29" t="n">
        <v>20335407</v>
      </c>
      <c r="F49" s="29"/>
      <c r="G49" s="29"/>
      <c r="H49" s="29" t="n">
        <v>172.34</v>
      </c>
      <c r="I49" s="44" t="n">
        <f aca="false">H49*15/100</f>
        <v>25.851</v>
      </c>
      <c r="J49" s="45" t="n">
        <v>25.851</v>
      </c>
      <c r="K49" s="51" t="s">
        <v>95</v>
      </c>
    </row>
    <row r="50" customFormat="false" ht="15" hidden="false" customHeight="false" outlineLevel="0" collapsed="false">
      <c r="A50" s="52" t="s">
        <v>92</v>
      </c>
      <c r="B50" s="47" t="n">
        <v>690308</v>
      </c>
      <c r="C50" s="22" t="s">
        <v>96</v>
      </c>
      <c r="D50" s="23" t="s">
        <v>31</v>
      </c>
      <c r="E50" s="24" t="n">
        <v>20332459</v>
      </c>
      <c r="F50" s="24"/>
      <c r="G50" s="24"/>
      <c r="H50" s="24" t="n">
        <v>939.84</v>
      </c>
      <c r="I50" s="25" t="n">
        <f aca="false">(800*6/100)+(139.84*7/100)</f>
        <v>57.7888</v>
      </c>
      <c r="J50" s="26" t="n">
        <v>60.53</v>
      </c>
      <c r="K50" s="0" t="s">
        <v>97</v>
      </c>
    </row>
    <row r="51" s="34" customFormat="true" ht="15" hidden="false" customHeight="false" outlineLevel="0" collapsed="false">
      <c r="A51" s="52" t="s">
        <v>92</v>
      </c>
      <c r="B51" s="21" t="n">
        <v>773696</v>
      </c>
      <c r="C51" s="22" t="s">
        <v>98</v>
      </c>
      <c r="D51" s="23" t="s">
        <v>88</v>
      </c>
      <c r="E51" s="24" t="n">
        <v>441443</v>
      </c>
      <c r="F51" s="24"/>
      <c r="G51" s="24" t="n">
        <v>2026</v>
      </c>
      <c r="H51" s="24" t="n">
        <v>2600</v>
      </c>
      <c r="I51" s="30" t="n">
        <f aca="false">(2600*10*0.02)*0.6</f>
        <v>312</v>
      </c>
      <c r="J51" s="31" t="n">
        <v>312</v>
      </c>
      <c r="K51" s="34" t="s">
        <v>99</v>
      </c>
    </row>
    <row r="52" s="34" customFormat="true" ht="15" hidden="false" customHeight="false" outlineLevel="0" collapsed="false">
      <c r="A52" s="52" t="s">
        <v>92</v>
      </c>
      <c r="B52" s="21" t="n">
        <v>773696</v>
      </c>
      <c r="C52" s="22" t="s">
        <v>98</v>
      </c>
      <c r="D52" s="23" t="s">
        <v>31</v>
      </c>
      <c r="E52" s="24" t="n">
        <v>20332892</v>
      </c>
      <c r="F52" s="24"/>
      <c r="G52" s="24"/>
      <c r="H52" s="24" t="n">
        <v>845.59</v>
      </c>
      <c r="I52" s="30" t="n">
        <f aca="false">H52*12/100</f>
        <v>101.4708</v>
      </c>
      <c r="J52" s="31" t="n">
        <v>101.4708</v>
      </c>
      <c r="K52" s="34" t="s">
        <v>100</v>
      </c>
    </row>
    <row r="53" customFormat="false" ht="15" hidden="false" customHeight="false" outlineLevel="0" collapsed="false">
      <c r="A53" s="52" t="s">
        <v>92</v>
      </c>
      <c r="B53" s="35" t="n">
        <v>607388</v>
      </c>
      <c r="C53" s="22" t="s">
        <v>101</v>
      </c>
      <c r="D53" s="24" t="s">
        <v>31</v>
      </c>
      <c r="E53" s="24" t="n">
        <v>20057959</v>
      </c>
      <c r="F53" s="24"/>
      <c r="G53" s="24"/>
      <c r="H53" s="24" t="n">
        <v>1729</v>
      </c>
      <c r="I53" s="25" t="n">
        <f aca="false">(800*6/100)+(800*7/100)+(129*8/100)</f>
        <v>114.32</v>
      </c>
      <c r="J53" s="26" t="n">
        <v>114.32</v>
      </c>
      <c r="K53" s="0" t="s">
        <v>102</v>
      </c>
    </row>
    <row r="54" customFormat="false" ht="15" hidden="false" customHeight="false" outlineLevel="0" collapsed="false">
      <c r="A54" s="52" t="s">
        <v>92</v>
      </c>
      <c r="B54" s="35" t="n">
        <v>607388</v>
      </c>
      <c r="C54" s="22" t="s">
        <v>101</v>
      </c>
      <c r="D54" s="23" t="s">
        <v>103</v>
      </c>
      <c r="E54" s="24" t="n">
        <v>20330635</v>
      </c>
      <c r="F54" s="24"/>
      <c r="G54" s="24"/>
      <c r="H54" s="24" t="n">
        <v>483</v>
      </c>
      <c r="I54" s="25" t="n">
        <f aca="false">H54*6/100*0.5</f>
        <v>14.49</v>
      </c>
      <c r="J54" s="26" t="n">
        <v>14.49</v>
      </c>
      <c r="K54" s="0" t="s">
        <v>104</v>
      </c>
    </row>
    <row r="55" customFormat="false" ht="15" hidden="false" customHeight="false" outlineLevel="0" collapsed="false">
      <c r="A55" s="52" t="s">
        <v>92</v>
      </c>
      <c r="B55" s="21" t="n">
        <v>848696</v>
      </c>
      <c r="C55" s="36" t="s">
        <v>105</v>
      </c>
      <c r="D55" s="37" t="s">
        <v>59</v>
      </c>
      <c r="E55" s="38" t="n">
        <v>61016707</v>
      </c>
      <c r="F55" s="38"/>
      <c r="G55" s="38"/>
      <c r="H55" s="38" t="n">
        <f aca="false">137.83+291.73+928.99+905.73</f>
        <v>2264.28</v>
      </c>
      <c r="I55" s="39" t="n">
        <f aca="false">((H55/12)*3.5)*0.6</f>
        <v>396.249</v>
      </c>
      <c r="J55" s="40" t="n">
        <v>411.95</v>
      </c>
      <c r="K55" s="0" t="s">
        <v>106</v>
      </c>
    </row>
    <row r="56" s="51" customFormat="true" ht="30" hidden="false" customHeight="false" outlineLevel="0" collapsed="false">
      <c r="A56" s="52" t="s">
        <v>92</v>
      </c>
      <c r="B56" s="53" t="n">
        <v>658932</v>
      </c>
      <c r="C56" s="22" t="s">
        <v>107</v>
      </c>
      <c r="D56" s="33" t="s">
        <v>108</v>
      </c>
      <c r="E56" s="24" t="n">
        <v>10077930</v>
      </c>
      <c r="F56" s="24"/>
      <c r="G56" s="24"/>
      <c r="H56" s="24" t="n">
        <v>110.88</v>
      </c>
      <c r="I56" s="25" t="n">
        <f aca="false">H56*15/100</f>
        <v>16.632</v>
      </c>
      <c r="J56" s="26" t="n">
        <v>16.632</v>
      </c>
      <c r="K56" s="51" t="s">
        <v>109</v>
      </c>
    </row>
    <row r="57" s="46" customFormat="true" ht="30" hidden="false" customHeight="false" outlineLevel="0" collapsed="false">
      <c r="A57" s="54" t="s">
        <v>92</v>
      </c>
      <c r="B57" s="53" t="n">
        <v>658932</v>
      </c>
      <c r="C57" s="43" t="s">
        <v>107</v>
      </c>
      <c r="D57" s="55" t="s">
        <v>110</v>
      </c>
      <c r="E57" s="29" t="n">
        <v>441526</v>
      </c>
      <c r="F57" s="29"/>
      <c r="G57" s="29" t="n">
        <v>2031</v>
      </c>
      <c r="H57" s="29" t="n">
        <v>720</v>
      </c>
      <c r="I57" s="44" t="n">
        <f aca="false">(H57*15*0.027)*0.6</f>
        <v>174.96</v>
      </c>
      <c r="J57" s="45" t="n">
        <v>174.96</v>
      </c>
    </row>
    <row r="58" customFormat="false" ht="15" hidden="false" customHeight="false" outlineLevel="0" collapsed="false">
      <c r="A58" s="52" t="s">
        <v>92</v>
      </c>
      <c r="B58" s="47" t="n">
        <v>294899</v>
      </c>
      <c r="C58" s="43" t="s">
        <v>111</v>
      </c>
      <c r="D58" s="23" t="s">
        <v>59</v>
      </c>
      <c r="E58" s="24" t="n">
        <v>61016692</v>
      </c>
      <c r="F58" s="24"/>
      <c r="G58" s="29"/>
      <c r="H58" s="29" t="n">
        <v>565.56</v>
      </c>
      <c r="I58" s="44" t="n">
        <f aca="false">((H58/12)*3.5)*0.6</f>
        <v>98.973</v>
      </c>
      <c r="J58" s="45" t="n">
        <v>98.973</v>
      </c>
      <c r="K58" s="34" t="s">
        <v>112</v>
      </c>
    </row>
    <row r="59" customFormat="false" ht="15" hidden="false" customHeight="false" outlineLevel="0" collapsed="false">
      <c r="A59" s="52" t="s">
        <v>92</v>
      </c>
      <c r="B59" s="47" t="n">
        <v>793853</v>
      </c>
      <c r="C59" s="22" t="s">
        <v>113</v>
      </c>
      <c r="D59" s="23" t="s">
        <v>59</v>
      </c>
      <c r="E59" s="24" t="n">
        <v>61106432</v>
      </c>
      <c r="F59" s="24"/>
      <c r="G59" s="24"/>
      <c r="H59" s="24" t="n">
        <v>666</v>
      </c>
      <c r="I59" s="25" t="n">
        <f aca="false">((H59/12)*3.5)*0.6</f>
        <v>116.55</v>
      </c>
      <c r="J59" s="26" t="n">
        <v>116.55</v>
      </c>
      <c r="K59" s="0" t="s">
        <v>114</v>
      </c>
    </row>
    <row r="60" s="34" customFormat="true" ht="15" hidden="false" customHeight="false" outlineLevel="0" collapsed="false">
      <c r="A60" s="52" t="s">
        <v>92</v>
      </c>
      <c r="B60" s="21" t="n">
        <v>876066</v>
      </c>
      <c r="C60" s="43" t="s">
        <v>115</v>
      </c>
      <c r="D60" s="42" t="s">
        <v>59</v>
      </c>
      <c r="E60" s="42" t="n">
        <v>61016793</v>
      </c>
      <c r="F60" s="42"/>
      <c r="G60" s="29"/>
      <c r="H60" s="29" t="n">
        <v>3032</v>
      </c>
      <c r="I60" s="44" t="n">
        <f aca="false">((H60/12)*3.5)*0.6</f>
        <v>530.6</v>
      </c>
      <c r="J60" s="45" t="n">
        <v>530.6</v>
      </c>
      <c r="K60" s="34" t="s">
        <v>116</v>
      </c>
    </row>
    <row r="61" s="46" customFormat="true" ht="15" hidden="false" customHeight="false" outlineLevel="0" collapsed="false">
      <c r="A61" s="52" t="s">
        <v>92</v>
      </c>
      <c r="B61" s="47" t="n">
        <v>294392</v>
      </c>
      <c r="C61" s="22" t="s">
        <v>117</v>
      </c>
      <c r="D61" s="24" t="s">
        <v>118</v>
      </c>
      <c r="E61" s="24" t="n">
        <v>20333872</v>
      </c>
      <c r="F61" s="24"/>
      <c r="G61" s="24"/>
      <c r="H61" s="24" t="n">
        <v>151.3</v>
      </c>
      <c r="I61" s="30" t="n">
        <f aca="false">H61*8/100</f>
        <v>12.104</v>
      </c>
      <c r="J61" s="31" t="n">
        <v>19.2</v>
      </c>
      <c r="K61" s="46" t="s">
        <v>119</v>
      </c>
    </row>
    <row r="62" customFormat="false" ht="15" hidden="false" customHeight="false" outlineLevel="0" collapsed="false">
      <c r="A62" s="52" t="s">
        <v>92</v>
      </c>
      <c r="B62" s="35" t="n">
        <v>294775</v>
      </c>
      <c r="C62" s="43" t="s">
        <v>120</v>
      </c>
      <c r="D62" s="29" t="s">
        <v>31</v>
      </c>
      <c r="E62" s="29" t="n">
        <v>20334620</v>
      </c>
      <c r="F62" s="29"/>
      <c r="G62" s="29"/>
      <c r="H62" s="29" t="n">
        <v>1470.9</v>
      </c>
      <c r="I62" s="44" t="n">
        <f aca="false">(800*6/100)+(670.9*7/100)</f>
        <v>94.963</v>
      </c>
      <c r="J62" s="45" t="n">
        <v>94.963</v>
      </c>
      <c r="K62" s="34" t="s">
        <v>121</v>
      </c>
      <c r="L62" s="46"/>
    </row>
    <row r="63" customFormat="false" ht="15" hidden="false" customHeight="false" outlineLevel="0" collapsed="false">
      <c r="A63" s="56" t="s">
        <v>92</v>
      </c>
      <c r="B63" s="47" t="n">
        <v>294538</v>
      </c>
      <c r="C63" s="22" t="s">
        <v>122</v>
      </c>
      <c r="D63" s="24" t="s">
        <v>31</v>
      </c>
      <c r="E63" s="24" t="n">
        <v>20334005</v>
      </c>
      <c r="F63" s="24"/>
      <c r="G63" s="24"/>
      <c r="H63" s="24" t="n">
        <v>1120</v>
      </c>
      <c r="I63" s="25" t="n">
        <f aca="false">(800*6/100)+(320*7/100)</f>
        <v>70.4</v>
      </c>
      <c r="J63" s="26" t="n">
        <v>70.4</v>
      </c>
      <c r="K63" s="34"/>
    </row>
    <row r="64" customFormat="false" ht="15.75" hidden="false" customHeight="false" outlineLevel="0" collapsed="false">
      <c r="A64" s="57"/>
      <c r="B64" s="58"/>
      <c r="C64" s="59" t="s">
        <v>123</v>
      </c>
      <c r="D64" s="60"/>
      <c r="E64" s="60"/>
      <c r="F64" s="60"/>
      <c r="G64" s="60"/>
      <c r="H64" s="60"/>
      <c r="I64" s="61"/>
      <c r="J64" s="5" t="e">
        <f aca="false">#REF!/3</f>
        <v>#REF!</v>
      </c>
      <c r="K64" s="34"/>
    </row>
  </sheetData>
  <mergeCells count="1">
    <mergeCell ref="C1:K1"/>
  </mergeCells>
  <printOptions headings="false" gridLines="true" gridLinesSet="true" horizontalCentered="false" verticalCentered="false"/>
  <pageMargins left="0.236111111111111" right="0.236111111111111" top="0.747916666666667" bottom="0.748611111111111" header="0.511805555555555" footer="0.315277777777778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>&amp;L&amp;8&amp;Z&amp;F&amp;C&amp;P&amp;RModfié le &amp;D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61"/>
  <sheetViews>
    <sheetView showFormulas="false" showGridLines="true" showRowColHeaders="true" showZeros="true" rightToLeft="false" tabSelected="false" showOutlineSymbols="true" defaultGridColor="true" view="normal" topLeftCell="A7" colorId="64" zoomScale="100" zoomScaleNormal="100" zoomScalePageLayoutView="100" workbookViewId="0">
      <selection pane="topLeft" activeCell="B48" activeCellId="1" sqref="A2:A7 B48"/>
    </sheetView>
  </sheetViews>
  <sheetFormatPr defaultRowHeight="15" zeroHeight="false" outlineLevelRow="0" outlineLevelCol="0"/>
  <cols>
    <col collapsed="false" customWidth="true" hidden="false" outlineLevel="0" max="2" min="1" style="62" width="16"/>
    <col collapsed="false" customWidth="true" hidden="false" outlineLevel="0" max="3" min="3" style="2" width="25.57"/>
    <col collapsed="false" customWidth="true" hidden="false" outlineLevel="0" max="4" min="4" style="3" width="17.71"/>
    <col collapsed="false" customWidth="true" hidden="false" outlineLevel="0" max="5" min="5" style="3" width="24.71"/>
    <col collapsed="false" customWidth="true" hidden="false" outlineLevel="0" max="6" min="6" style="3" width="4.57"/>
    <col collapsed="false" customWidth="true" hidden="false" outlineLevel="0" max="7" min="7" style="3" width="9.29"/>
    <col collapsed="false" customWidth="true" hidden="false" outlineLevel="0" max="8" min="8" style="5" width="13.29"/>
    <col collapsed="false" customWidth="true" hidden="false" outlineLevel="0" max="10" min="9" style="5" width="12.42"/>
    <col collapsed="false" customWidth="true" hidden="true" outlineLevel="0" max="11" min="11" style="0" width="34.29"/>
    <col collapsed="false" customWidth="true" hidden="false" outlineLevel="0" max="12" min="12" style="0" width="11.57"/>
    <col collapsed="false" customWidth="true" hidden="false" outlineLevel="0" max="1025" min="13" style="0" width="10.67"/>
  </cols>
  <sheetData>
    <row r="1" customFormat="false" ht="30" hidden="false" customHeight="true" outlineLevel="0" collapsed="false">
      <c r="C1" s="7"/>
      <c r="D1" s="8"/>
      <c r="E1" s="8"/>
      <c r="F1" s="8"/>
      <c r="G1" s="8"/>
      <c r="H1" s="9"/>
      <c r="I1" s="9"/>
      <c r="J1" s="9"/>
      <c r="K1" s="8"/>
    </row>
    <row r="2" s="10" customFormat="true" ht="18.75" hidden="false" customHeight="true" outlineLevel="0" collapsed="false">
      <c r="A2" s="62"/>
      <c r="B2" s="62"/>
      <c r="C2" s="10" t="s">
        <v>124</v>
      </c>
      <c r="J2" s="10" t="n">
        <f aca="false">3*120</f>
        <v>360</v>
      </c>
    </row>
    <row r="3" s="10" customFormat="true" ht="18.75" hidden="false" customHeight="true" outlineLevel="0" collapsed="false">
      <c r="A3" s="62"/>
      <c r="B3" s="62"/>
    </row>
    <row r="4" customFormat="false" ht="15" hidden="false" customHeight="false" outlineLevel="0" collapsed="false">
      <c r="C4" s="2" t="s">
        <v>125</v>
      </c>
      <c r="D4" s="12"/>
      <c r="E4" s="12" t="s">
        <v>126</v>
      </c>
      <c r="F4" s="12"/>
      <c r="G4" s="12" t="s">
        <v>127</v>
      </c>
      <c r="H4" s="10"/>
      <c r="I4" s="10"/>
      <c r="J4" s="10" t="n">
        <f aca="false">7*80</f>
        <v>560</v>
      </c>
      <c r="K4" s="12"/>
    </row>
    <row r="5" customFormat="false" ht="15" hidden="false" customHeight="false" outlineLevel="0" collapsed="false">
      <c r="D5" s="12"/>
      <c r="E5" s="12"/>
      <c r="F5" s="12"/>
      <c r="G5" s="12"/>
      <c r="H5" s="10"/>
      <c r="I5" s="10"/>
      <c r="J5" s="10"/>
      <c r="K5" s="12"/>
    </row>
    <row r="6" customFormat="false" ht="15" hidden="false" customHeight="false" outlineLevel="0" collapsed="false">
      <c r="C6" s="2" t="s">
        <v>5</v>
      </c>
      <c r="D6" s="12" t="s">
        <v>128</v>
      </c>
      <c r="E6" s="12"/>
      <c r="F6" s="12"/>
      <c r="G6" s="12"/>
      <c r="H6" s="10" t="n">
        <v>4426</v>
      </c>
      <c r="I6" s="10"/>
      <c r="J6" s="10" t="n">
        <f aca="false">H6*0.35</f>
        <v>1549.1</v>
      </c>
      <c r="K6" s="12"/>
    </row>
    <row r="7" customFormat="false" ht="15" hidden="false" customHeight="false" outlineLevel="0" collapsed="false">
      <c r="C7" s="2" t="s">
        <v>5</v>
      </c>
      <c r="D7" s="12" t="s">
        <v>129</v>
      </c>
      <c r="E7" s="12"/>
      <c r="F7" s="12"/>
      <c r="G7" s="12"/>
      <c r="H7" s="10" t="n">
        <v>4033</v>
      </c>
      <c r="I7" s="10"/>
      <c r="J7" s="10" t="n">
        <f aca="false">H7*0.35</f>
        <v>1411.55</v>
      </c>
      <c r="K7" s="12"/>
    </row>
    <row r="8" customFormat="false" ht="15" hidden="false" customHeight="false" outlineLevel="0" collapsed="false">
      <c r="C8" s="2" t="s">
        <v>5</v>
      </c>
      <c r="D8" s="12" t="s">
        <v>130</v>
      </c>
      <c r="E8" s="12"/>
      <c r="F8" s="12"/>
      <c r="G8" s="12"/>
      <c r="H8" s="10" t="n">
        <v>4017</v>
      </c>
      <c r="I8" s="10"/>
      <c r="J8" s="10" t="n">
        <f aca="false">H8*0.35</f>
        <v>1405.95</v>
      </c>
      <c r="K8" s="12"/>
    </row>
    <row r="9" customFormat="false" ht="15" hidden="false" customHeight="false" outlineLevel="0" collapsed="false">
      <c r="D9" s="12"/>
      <c r="E9" s="12"/>
      <c r="F9" s="12"/>
      <c r="G9" s="12"/>
      <c r="H9" s="10"/>
      <c r="I9" s="10"/>
      <c r="J9" s="10"/>
      <c r="K9" s="12"/>
    </row>
    <row r="10" customFormat="false" ht="15" hidden="false" customHeight="false" outlineLevel="0" collapsed="false">
      <c r="C10" s="2" t="s">
        <v>131</v>
      </c>
      <c r="D10" s="12"/>
      <c r="E10" s="12"/>
      <c r="F10" s="12"/>
      <c r="G10" s="12"/>
      <c r="H10" s="10"/>
      <c r="I10" s="10"/>
      <c r="J10" s="63" t="n">
        <f aca="false">SUM(J2:J8)</f>
        <v>5286.6</v>
      </c>
      <c r="K10" s="12"/>
    </row>
    <row r="11" customFormat="false" ht="15.75" hidden="false" customHeight="false" outlineLevel="0" collapsed="false">
      <c r="K11" s="1"/>
    </row>
    <row r="12" customFormat="false" ht="30" hidden="false" customHeight="false" outlineLevel="0" collapsed="false">
      <c r="A12" s="64"/>
      <c r="B12" s="65" t="s">
        <v>132</v>
      </c>
      <c r="C12" s="66" t="s">
        <v>11</v>
      </c>
      <c r="D12" s="16" t="s">
        <v>12</v>
      </c>
      <c r="E12" s="16" t="s">
        <v>13</v>
      </c>
      <c r="F12" s="16" t="s">
        <v>9</v>
      </c>
      <c r="G12" s="16" t="s">
        <v>14</v>
      </c>
      <c r="H12" s="67" t="s">
        <v>15</v>
      </c>
      <c r="I12" s="68" t="s">
        <v>16</v>
      </c>
      <c r="J12" s="19" t="s">
        <v>17</v>
      </c>
    </row>
    <row r="13" customFormat="false" ht="15" hidden="false" customHeight="false" outlineLevel="0" collapsed="false">
      <c r="A13" s="69" t="s">
        <v>133</v>
      </c>
      <c r="B13" s="69" t="n">
        <v>773729</v>
      </c>
      <c r="C13" s="70" t="s">
        <v>93</v>
      </c>
      <c r="D13" s="23" t="s">
        <v>31</v>
      </c>
      <c r="E13" s="24" t="n">
        <v>20338273</v>
      </c>
      <c r="F13" s="24"/>
      <c r="G13" s="24"/>
      <c r="H13" s="26" t="n">
        <v>2450.92</v>
      </c>
      <c r="I13" s="71" t="n">
        <f aca="false">(800*6/100)+(800*7/100)+(850.92*8/100)</f>
        <v>172.0736</v>
      </c>
      <c r="J13" s="72" t="n">
        <v>172.0736</v>
      </c>
      <c r="K13" s="0" t="s">
        <v>134</v>
      </c>
    </row>
    <row r="14" customFormat="false" ht="15" hidden="false" customHeight="false" outlineLevel="0" collapsed="false">
      <c r="A14" s="69" t="s">
        <v>133</v>
      </c>
      <c r="B14" s="69" t="n">
        <v>296024</v>
      </c>
      <c r="C14" s="70" t="s">
        <v>135</v>
      </c>
      <c r="D14" s="23" t="s">
        <v>62</v>
      </c>
      <c r="E14" s="24" t="n">
        <v>20336097</v>
      </c>
      <c r="F14" s="24"/>
      <c r="G14" s="24"/>
      <c r="H14" s="26" t="n">
        <v>473.33</v>
      </c>
      <c r="I14" s="71" t="n">
        <f aca="false">H14*0.12</f>
        <v>56.7996</v>
      </c>
      <c r="J14" s="26" t="n">
        <v>56.7996</v>
      </c>
      <c r="K14" s="0" t="s">
        <v>136</v>
      </c>
    </row>
    <row r="15" customFormat="false" ht="15" hidden="false" customHeight="false" outlineLevel="0" collapsed="false">
      <c r="A15" s="69" t="s">
        <v>133</v>
      </c>
      <c r="B15" s="69" t="n">
        <v>294775</v>
      </c>
      <c r="C15" s="70" t="s">
        <v>137</v>
      </c>
      <c r="D15" s="23" t="s">
        <v>33</v>
      </c>
      <c r="E15" s="24" t="n">
        <v>20336579</v>
      </c>
      <c r="F15" s="24"/>
      <c r="G15" s="24"/>
      <c r="H15" s="26" t="n">
        <v>566.24</v>
      </c>
      <c r="I15" s="71" t="n">
        <f aca="false">H15*0.12</f>
        <v>67.9488</v>
      </c>
      <c r="J15" s="26" t="n">
        <v>67.9488</v>
      </c>
      <c r="K15" s="0" t="s">
        <v>138</v>
      </c>
    </row>
    <row r="16" customFormat="false" ht="15" hidden="false" customHeight="false" outlineLevel="0" collapsed="false">
      <c r="A16" s="69" t="s">
        <v>133</v>
      </c>
      <c r="B16" s="69" t="n">
        <v>294775</v>
      </c>
      <c r="C16" s="70" t="s">
        <v>137</v>
      </c>
      <c r="D16" s="23" t="s">
        <v>31</v>
      </c>
      <c r="E16" s="24" t="n">
        <v>20336583</v>
      </c>
      <c r="F16" s="24"/>
      <c r="G16" s="24"/>
      <c r="H16" s="26" t="n">
        <v>867.13</v>
      </c>
      <c r="I16" s="71" t="n">
        <f aca="false">(800*0.06)+(67.13*0.07)</f>
        <v>52.6991</v>
      </c>
      <c r="J16" s="26" t="n">
        <v>52.6991</v>
      </c>
      <c r="K16" s="0" t="s">
        <v>139</v>
      </c>
    </row>
    <row r="17" customFormat="false" ht="15" hidden="false" customHeight="false" outlineLevel="0" collapsed="false">
      <c r="A17" s="69" t="s">
        <v>133</v>
      </c>
      <c r="B17" s="69" t="n">
        <v>310263</v>
      </c>
      <c r="C17" s="70" t="s">
        <v>140</v>
      </c>
      <c r="D17" s="23" t="s">
        <v>42</v>
      </c>
      <c r="E17" s="24" t="n">
        <v>10726234</v>
      </c>
      <c r="F17" s="24"/>
      <c r="G17" s="24"/>
      <c r="H17" s="26" t="n">
        <v>110</v>
      </c>
      <c r="I17" s="71" t="n">
        <f aca="false">H17*0.15</f>
        <v>16.5</v>
      </c>
      <c r="J17" s="26" t="n">
        <v>16.5</v>
      </c>
      <c r="K17" s="0" t="s">
        <v>141</v>
      </c>
    </row>
    <row r="18" s="76" customFormat="true" ht="30" hidden="false" customHeight="false" outlineLevel="0" collapsed="false">
      <c r="A18" s="69" t="s">
        <v>133</v>
      </c>
      <c r="B18" s="73" t="n">
        <v>722631</v>
      </c>
      <c r="C18" s="74" t="s">
        <v>142</v>
      </c>
      <c r="D18" s="24" t="s">
        <v>62</v>
      </c>
      <c r="E18" s="24" t="n">
        <v>20339115</v>
      </c>
      <c r="F18" s="24"/>
      <c r="G18" s="24"/>
      <c r="H18" s="26" t="n">
        <v>1004.23</v>
      </c>
      <c r="I18" s="75" t="n">
        <f aca="false">H18*0.12</f>
        <v>120.5076</v>
      </c>
      <c r="J18" s="26" t="n">
        <v>120.5076</v>
      </c>
      <c r="K18" s="76" t="s">
        <v>143</v>
      </c>
    </row>
    <row r="19" customFormat="false" ht="15" hidden="false" customHeight="false" outlineLevel="0" collapsed="false">
      <c r="A19" s="69" t="s">
        <v>133</v>
      </c>
      <c r="B19" s="69" t="n">
        <v>296948</v>
      </c>
      <c r="C19" s="70" t="s">
        <v>144</v>
      </c>
      <c r="D19" s="23" t="s">
        <v>31</v>
      </c>
      <c r="E19" s="29" t="n">
        <v>20336800</v>
      </c>
      <c r="F19" s="29"/>
      <c r="G19" s="24"/>
      <c r="H19" s="26" t="n">
        <v>932.5</v>
      </c>
      <c r="I19" s="71" t="n">
        <f aca="false">(800*0.06)+(132.5*0.07)</f>
        <v>57.275</v>
      </c>
      <c r="J19" s="26" t="n">
        <v>57.275</v>
      </c>
      <c r="K19" s="0" t="s">
        <v>145</v>
      </c>
    </row>
    <row r="20" customFormat="false" ht="15" hidden="false" customHeight="false" outlineLevel="0" collapsed="false">
      <c r="A20" s="69" t="s">
        <v>133</v>
      </c>
      <c r="B20" s="69" t="n">
        <v>909120</v>
      </c>
      <c r="C20" s="70" t="s">
        <v>146</v>
      </c>
      <c r="D20" s="23" t="s">
        <v>33</v>
      </c>
      <c r="E20" s="24" t="n">
        <v>20336946</v>
      </c>
      <c r="F20" s="24"/>
      <c r="G20" s="24"/>
      <c r="H20" s="31" t="n">
        <v>817.13</v>
      </c>
      <c r="I20" s="77" t="n">
        <f aca="false">H20*0.12</f>
        <v>98.0556</v>
      </c>
      <c r="J20" s="31" t="n">
        <v>98.0556</v>
      </c>
      <c r="K20" s="0" t="s">
        <v>147</v>
      </c>
    </row>
    <row r="21" s="34" customFormat="true" ht="15" hidden="false" customHeight="false" outlineLevel="0" collapsed="false">
      <c r="A21" s="69" t="s">
        <v>133</v>
      </c>
      <c r="B21" s="69" t="n">
        <v>909120</v>
      </c>
      <c r="C21" s="70" t="s">
        <v>146</v>
      </c>
      <c r="D21" s="33" t="s">
        <v>31</v>
      </c>
      <c r="E21" s="24" t="n">
        <v>20336953</v>
      </c>
      <c r="F21" s="24"/>
      <c r="G21" s="24"/>
      <c r="H21" s="26" t="n">
        <v>1035.5</v>
      </c>
      <c r="I21" s="71" t="n">
        <f aca="false">(800*0.06)+(235.5*0.07)</f>
        <v>64.485</v>
      </c>
      <c r="J21" s="26" t="n">
        <v>64.485</v>
      </c>
      <c r="K21" s="34" t="s">
        <v>148</v>
      </c>
    </row>
    <row r="22" customFormat="false" ht="15" hidden="false" customHeight="false" outlineLevel="0" collapsed="false">
      <c r="A22" s="69" t="s">
        <v>133</v>
      </c>
      <c r="B22" s="69" t="n">
        <v>896204</v>
      </c>
      <c r="C22" s="70" t="s">
        <v>149</v>
      </c>
      <c r="D22" s="23" t="s">
        <v>150</v>
      </c>
      <c r="E22" s="24" t="n">
        <v>20339275</v>
      </c>
      <c r="F22" s="24"/>
      <c r="G22" s="24"/>
      <c r="H22" s="31" t="n">
        <v>258.83</v>
      </c>
      <c r="I22" s="11" t="n">
        <f aca="false">(258.83*0.06)</f>
        <v>15.5298</v>
      </c>
      <c r="J22" s="78" t="n">
        <v>15.5298</v>
      </c>
      <c r="K22" s="0" t="s">
        <v>151</v>
      </c>
    </row>
    <row r="23" s="34" customFormat="true" ht="15" hidden="false" customHeight="false" outlineLevel="0" collapsed="false">
      <c r="A23" s="69" t="s">
        <v>133</v>
      </c>
      <c r="B23" s="69" t="n">
        <v>465040</v>
      </c>
      <c r="C23" s="70" t="s">
        <v>90</v>
      </c>
      <c r="D23" s="23" t="s">
        <v>31</v>
      </c>
      <c r="E23" s="24" t="n">
        <v>2033792</v>
      </c>
      <c r="F23" s="24"/>
      <c r="G23" s="24"/>
      <c r="H23" s="26" t="n">
        <v>1796.88</v>
      </c>
      <c r="I23" s="79" t="n">
        <f aca="false">(800*0.06)+(800*0.07)+(196.88*0.8)</f>
        <v>261.504</v>
      </c>
      <c r="J23" s="26" t="n">
        <v>261.504</v>
      </c>
      <c r="K23" s="34" t="s">
        <v>152</v>
      </c>
    </row>
    <row r="24" customFormat="false" ht="15" hidden="false" customHeight="false" outlineLevel="0" collapsed="false">
      <c r="A24" s="69" t="s">
        <v>133</v>
      </c>
      <c r="B24" s="69" t="n">
        <v>465040</v>
      </c>
      <c r="C24" s="70" t="s">
        <v>90</v>
      </c>
      <c r="D24" s="23" t="s">
        <v>31</v>
      </c>
      <c r="E24" s="24" t="n">
        <v>20338410</v>
      </c>
      <c r="F24" s="24"/>
      <c r="G24" s="24"/>
      <c r="H24" s="26" t="n">
        <v>974.43</v>
      </c>
      <c r="I24" s="79" t="n">
        <f aca="false">(800*0.06)+(174.43*0.07)</f>
        <v>60.2101</v>
      </c>
      <c r="J24" s="26" t="n">
        <v>60.2101</v>
      </c>
      <c r="K24" s="0" t="s">
        <v>153</v>
      </c>
    </row>
    <row r="25" customFormat="false" ht="15" hidden="false" customHeight="false" outlineLevel="0" collapsed="false">
      <c r="A25" s="69" t="s">
        <v>133</v>
      </c>
      <c r="B25" s="69" t="n">
        <v>123338</v>
      </c>
      <c r="C25" s="70" t="s">
        <v>154</v>
      </c>
      <c r="D25" s="23" t="s">
        <v>103</v>
      </c>
      <c r="E25" s="24" t="n">
        <v>566566</v>
      </c>
      <c r="F25" s="24"/>
      <c r="G25" s="24"/>
      <c r="H25" s="31" t="n">
        <v>1028.94</v>
      </c>
      <c r="I25" s="71" t="n">
        <f aca="false">((800*0.06)+(228.94*0.07))*0.5</f>
        <v>32.0129</v>
      </c>
      <c r="J25" s="26" t="n">
        <v>32.0129</v>
      </c>
      <c r="K25" s="0" t="s">
        <v>155</v>
      </c>
    </row>
    <row r="26" customFormat="false" ht="15" hidden="false" customHeight="false" outlineLevel="0" collapsed="false">
      <c r="A26" s="69" t="s">
        <v>133</v>
      </c>
      <c r="B26" s="69" t="n">
        <v>123340</v>
      </c>
      <c r="C26" s="70" t="s">
        <v>156</v>
      </c>
      <c r="D26" s="23" t="s">
        <v>103</v>
      </c>
      <c r="E26" s="24" t="n">
        <v>353641</v>
      </c>
      <c r="F26" s="24"/>
      <c r="G26" s="24"/>
      <c r="H26" s="31" t="n">
        <v>1007.32</v>
      </c>
      <c r="I26" s="11" t="n">
        <f aca="false">((800*0.06)+(207.32*0.07))*0.5</f>
        <v>31.2562</v>
      </c>
      <c r="J26" s="26" t="n">
        <v>31.2562</v>
      </c>
      <c r="K26" s="0" t="s">
        <v>157</v>
      </c>
    </row>
    <row r="27" customFormat="false" ht="15" hidden="false" customHeight="false" outlineLevel="0" collapsed="false">
      <c r="A27" s="69" t="s">
        <v>133</v>
      </c>
      <c r="B27" s="69" t="n">
        <v>123340</v>
      </c>
      <c r="C27" s="70" t="s">
        <v>156</v>
      </c>
      <c r="D27" s="23" t="s">
        <v>158</v>
      </c>
      <c r="E27" s="80" t="n">
        <v>10116761</v>
      </c>
      <c r="F27" s="80"/>
      <c r="G27" s="24"/>
      <c r="H27" s="81" t="n">
        <v>763.06</v>
      </c>
      <c r="I27" s="82" t="n">
        <f aca="false">H27*0.12*0.5</f>
        <v>45.7836</v>
      </c>
      <c r="J27" s="82" t="n">
        <v>45.7836</v>
      </c>
      <c r="K27" s="0" t="s">
        <v>159</v>
      </c>
    </row>
    <row r="28" s="34" customFormat="true" ht="15" hidden="false" customHeight="false" outlineLevel="0" collapsed="false">
      <c r="A28" s="69" t="s">
        <v>133</v>
      </c>
      <c r="B28" s="69" t="n">
        <v>842814</v>
      </c>
      <c r="C28" s="70" t="s">
        <v>160</v>
      </c>
      <c r="D28" s="23" t="s">
        <v>20</v>
      </c>
      <c r="E28" s="24" t="s">
        <v>161</v>
      </c>
      <c r="F28" s="24"/>
      <c r="G28" s="24"/>
      <c r="H28" s="31" t="n">
        <v>81000</v>
      </c>
      <c r="I28" s="77" t="n">
        <f aca="false">(H28*0.007)*0.6</f>
        <v>340.2</v>
      </c>
      <c r="J28" s="31" t="n">
        <v>340.2</v>
      </c>
      <c r="K28" s="34" t="s">
        <v>162</v>
      </c>
    </row>
    <row r="29" customFormat="false" ht="15" hidden="false" customHeight="false" outlineLevel="0" collapsed="false">
      <c r="A29" s="69" t="s">
        <v>133</v>
      </c>
      <c r="B29" s="69" t="n">
        <v>949962</v>
      </c>
      <c r="C29" s="70" t="s">
        <v>163</v>
      </c>
      <c r="D29" s="23" t="s">
        <v>164</v>
      </c>
      <c r="E29" s="80" t="n">
        <v>20339597</v>
      </c>
      <c r="F29" s="80"/>
      <c r="G29" s="24"/>
      <c r="H29" s="26" t="n">
        <v>91.7</v>
      </c>
      <c r="I29" s="71" t="n">
        <f aca="false">H29*0.12</f>
        <v>11.004</v>
      </c>
      <c r="J29" s="26" t="n">
        <v>11.004</v>
      </c>
      <c r="K29" s="0" t="s">
        <v>165</v>
      </c>
    </row>
    <row r="30" customFormat="false" ht="15" hidden="false" customHeight="false" outlineLevel="0" collapsed="false">
      <c r="A30" s="69" t="s">
        <v>133</v>
      </c>
      <c r="B30" s="69" t="n">
        <v>298136</v>
      </c>
      <c r="C30" s="70" t="s">
        <v>166</v>
      </c>
      <c r="D30" s="23" t="s">
        <v>164</v>
      </c>
      <c r="E30" s="24" t="n">
        <v>20338316</v>
      </c>
      <c r="F30" s="24"/>
      <c r="G30" s="24"/>
      <c r="H30" s="26" t="n">
        <v>91.7</v>
      </c>
      <c r="I30" s="71" t="n">
        <f aca="false">H30*0.12</f>
        <v>11.004</v>
      </c>
      <c r="J30" s="26" t="n">
        <v>11.004</v>
      </c>
      <c r="K30" s="0" t="s">
        <v>165</v>
      </c>
    </row>
    <row r="31" customFormat="false" ht="15" hidden="false" customHeight="false" outlineLevel="0" collapsed="false">
      <c r="A31" s="69" t="s">
        <v>133</v>
      </c>
      <c r="B31" s="69" t="n">
        <v>299445</v>
      </c>
      <c r="C31" s="70" t="s">
        <v>167</v>
      </c>
      <c r="D31" s="24" t="s">
        <v>76</v>
      </c>
      <c r="E31" s="24" t="n">
        <v>442127</v>
      </c>
      <c r="F31" s="24"/>
      <c r="G31" s="24" t="n">
        <v>2046</v>
      </c>
      <c r="H31" s="26" t="n">
        <v>531.92</v>
      </c>
      <c r="I31" s="71" t="n">
        <f aca="false">(H31*0.075)*0.6</f>
        <v>23.9364</v>
      </c>
      <c r="J31" s="26" t="n">
        <v>23.9364</v>
      </c>
      <c r="K31" s="0" t="s">
        <v>168</v>
      </c>
    </row>
    <row r="32" customFormat="false" ht="15" hidden="false" customHeight="false" outlineLevel="0" collapsed="false">
      <c r="A32" s="69" t="s">
        <v>133</v>
      </c>
      <c r="B32" s="69" t="n">
        <v>765719</v>
      </c>
      <c r="C32" s="70" t="s">
        <v>169</v>
      </c>
      <c r="D32" s="23" t="s">
        <v>42</v>
      </c>
      <c r="E32" s="24" t="n">
        <v>20310116</v>
      </c>
      <c r="F32" s="24"/>
      <c r="G32" s="24"/>
      <c r="H32" s="26" t="n">
        <v>110.88</v>
      </c>
      <c r="I32" s="71" t="n">
        <f aca="false">H32*0.15</f>
        <v>16.632</v>
      </c>
      <c r="J32" s="26" t="n">
        <f aca="false">H32*0.15</f>
        <v>16.632</v>
      </c>
      <c r="K32" s="0" t="s">
        <v>170</v>
      </c>
    </row>
    <row r="33" customFormat="false" ht="15" hidden="false" customHeight="false" outlineLevel="0" collapsed="false">
      <c r="A33" s="69" t="s">
        <v>133</v>
      </c>
      <c r="B33" s="69" t="n">
        <v>300245</v>
      </c>
      <c r="C33" s="70" t="s">
        <v>171</v>
      </c>
      <c r="D33" s="23" t="s">
        <v>172</v>
      </c>
      <c r="E33" s="24" t="n">
        <v>20340503</v>
      </c>
      <c r="F33" s="24"/>
      <c r="G33" s="24"/>
      <c r="H33" s="26" t="n">
        <v>166.92</v>
      </c>
      <c r="I33" s="71" t="n">
        <f aca="false">H33*0.12</f>
        <v>20.0304</v>
      </c>
      <c r="J33" s="26" t="n">
        <v>20.0304</v>
      </c>
      <c r="K33" s="0" t="s">
        <v>173</v>
      </c>
    </row>
    <row r="34" s="34" customFormat="true" ht="15.75" hidden="false" customHeight="false" outlineLevel="0" collapsed="false">
      <c r="A34" s="69" t="s">
        <v>133</v>
      </c>
      <c r="B34" s="69" t="n">
        <v>848696</v>
      </c>
      <c r="C34" s="83" t="s">
        <v>174</v>
      </c>
      <c r="D34" s="37" t="s">
        <v>59</v>
      </c>
      <c r="E34" s="84" t="n">
        <v>61016707</v>
      </c>
      <c r="F34" s="84"/>
      <c r="G34" s="84"/>
      <c r="H34" s="78" t="n">
        <v>291.73</v>
      </c>
      <c r="I34" s="85" t="n">
        <f aca="false">(H34/12*3.5)*0.6</f>
        <v>51.05275</v>
      </c>
      <c r="J34" s="78" t="n">
        <v>51.05275</v>
      </c>
      <c r="K34" s="34" t="s">
        <v>175</v>
      </c>
    </row>
    <row r="35" customFormat="false" ht="15" hidden="false" customHeight="false" outlineLevel="0" collapsed="false">
      <c r="A35" s="86" t="s">
        <v>176</v>
      </c>
      <c r="B35" s="69" t="n">
        <v>299445</v>
      </c>
      <c r="C35" s="66" t="s">
        <v>167</v>
      </c>
      <c r="D35" s="16" t="s">
        <v>31</v>
      </c>
      <c r="E35" s="16" t="n">
        <v>203341836</v>
      </c>
      <c r="F35" s="16"/>
      <c r="G35" s="16"/>
      <c r="H35" s="19" t="n">
        <v>639.51</v>
      </c>
      <c r="I35" s="87" t="n">
        <f aca="false">639.51*0.06</f>
        <v>38.3706</v>
      </c>
      <c r="J35" s="19" t="n">
        <v>38.3706</v>
      </c>
      <c r="K35" s="34" t="s">
        <v>177</v>
      </c>
    </row>
    <row r="36" customFormat="false" ht="15" hidden="false" customHeight="false" outlineLevel="0" collapsed="false">
      <c r="A36" s="86" t="s">
        <v>176</v>
      </c>
      <c r="B36" s="69" t="n">
        <v>299445</v>
      </c>
      <c r="C36" s="70" t="s">
        <v>167</v>
      </c>
      <c r="D36" s="23" t="s">
        <v>164</v>
      </c>
      <c r="E36" s="24" t="n">
        <v>20341842</v>
      </c>
      <c r="F36" s="24"/>
      <c r="G36" s="24"/>
      <c r="H36" s="26" t="n">
        <v>182.24</v>
      </c>
      <c r="I36" s="71" t="n">
        <f aca="false">H36*0.12</f>
        <v>21.8688</v>
      </c>
      <c r="J36" s="26" t="n">
        <v>21.8688</v>
      </c>
      <c r="K36" s="34" t="s">
        <v>178</v>
      </c>
    </row>
    <row r="37" customFormat="false" ht="15" hidden="false" customHeight="false" outlineLevel="0" collapsed="false">
      <c r="A37" s="86" t="s">
        <v>176</v>
      </c>
      <c r="B37" s="69" t="n">
        <v>123340</v>
      </c>
      <c r="C37" s="70" t="s">
        <v>156</v>
      </c>
      <c r="D37" s="24" t="s">
        <v>42</v>
      </c>
      <c r="E37" s="24" t="n">
        <v>10116761</v>
      </c>
      <c r="F37" s="24"/>
      <c r="G37" s="24"/>
      <c r="H37" s="26" t="n">
        <v>110.88</v>
      </c>
      <c r="I37" s="75" t="n">
        <f aca="false">H37*0.15</f>
        <v>16.632</v>
      </c>
      <c r="J37" s="26" t="n">
        <v>16.632</v>
      </c>
      <c r="K37" s="34" t="s">
        <v>170</v>
      </c>
    </row>
    <row r="38" customFormat="false" ht="15" hidden="false" customHeight="false" outlineLevel="0" collapsed="false">
      <c r="A38" s="86" t="s">
        <v>176</v>
      </c>
      <c r="B38" s="69" t="n">
        <v>863855</v>
      </c>
      <c r="C38" s="70" t="s">
        <v>179</v>
      </c>
      <c r="D38" s="23" t="s">
        <v>180</v>
      </c>
      <c r="E38" s="24" t="n">
        <v>2020439</v>
      </c>
      <c r="F38" s="24" t="s">
        <v>181</v>
      </c>
      <c r="G38" s="24"/>
      <c r="H38" s="26" t="n">
        <v>1124.55</v>
      </c>
      <c r="I38" s="71" t="n">
        <f aca="false">((800*0.06)+(324.55*0.07))*0.5</f>
        <v>35.35925</v>
      </c>
      <c r="J38" s="26" t="n">
        <v>35.35925</v>
      </c>
      <c r="K38" s="88" t="s">
        <v>182</v>
      </c>
    </row>
    <row r="39" customFormat="false" ht="15" hidden="false" customHeight="false" outlineLevel="0" collapsed="false">
      <c r="A39" s="86" t="s">
        <v>176</v>
      </c>
      <c r="B39" s="69" t="n">
        <v>863855</v>
      </c>
      <c r="C39" s="70" t="s">
        <v>179</v>
      </c>
      <c r="D39" s="24" t="s">
        <v>183</v>
      </c>
      <c r="E39" s="24" t="n">
        <v>20199782</v>
      </c>
      <c r="F39" s="24"/>
      <c r="G39" s="24"/>
      <c r="H39" s="89" t="n">
        <v>319.55</v>
      </c>
      <c r="I39" s="71" t="n">
        <f aca="false">H39*0.12*0.5</f>
        <v>19.173</v>
      </c>
      <c r="J39" s="26" t="n">
        <v>19.173</v>
      </c>
      <c r="K39" s="51" t="s">
        <v>184</v>
      </c>
    </row>
    <row r="40" s="51" customFormat="true" ht="15" hidden="false" customHeight="false" outlineLevel="0" collapsed="false">
      <c r="A40" s="86" t="s">
        <v>176</v>
      </c>
      <c r="B40" s="69" t="n">
        <v>863855</v>
      </c>
      <c r="C40" s="70" t="s">
        <v>179</v>
      </c>
      <c r="D40" s="33" t="s">
        <v>185</v>
      </c>
      <c r="E40" s="24" t="n">
        <v>20207893</v>
      </c>
      <c r="F40" s="24"/>
      <c r="G40" s="24"/>
      <c r="H40" s="26" t="n">
        <v>175.56</v>
      </c>
      <c r="I40" s="71" t="n">
        <f aca="false">H40*0.12*0.5</f>
        <v>10.5336</v>
      </c>
      <c r="J40" s="26" t="n">
        <v>10.5336</v>
      </c>
      <c r="K40" s="51" t="s">
        <v>186</v>
      </c>
    </row>
    <row r="41" s="51" customFormat="true" ht="15" hidden="false" customHeight="false" outlineLevel="0" collapsed="false">
      <c r="A41" s="86" t="s">
        <v>176</v>
      </c>
      <c r="B41" s="69" t="n">
        <v>765719</v>
      </c>
      <c r="C41" s="90" t="s">
        <v>169</v>
      </c>
      <c r="D41" s="23" t="s">
        <v>31</v>
      </c>
      <c r="E41" s="29" t="n">
        <v>20342513</v>
      </c>
      <c r="F41" s="29"/>
      <c r="G41" s="29"/>
      <c r="H41" s="45" t="n">
        <v>1529.32</v>
      </c>
      <c r="I41" s="91" t="n">
        <f aca="false">(800*0.06)+(729.32*0.07)*0.5</f>
        <v>73.5262</v>
      </c>
      <c r="J41" s="45" t="n">
        <v>99.0524</v>
      </c>
      <c r="K41" s="88" t="s">
        <v>187</v>
      </c>
    </row>
    <row r="42" s="51" customFormat="true" ht="15" hidden="false" customHeight="false" outlineLevel="0" collapsed="false">
      <c r="A42" s="86" t="s">
        <v>176</v>
      </c>
      <c r="B42" s="69" t="n">
        <v>860025</v>
      </c>
      <c r="C42" s="90" t="s">
        <v>188</v>
      </c>
      <c r="D42" s="23" t="s">
        <v>189</v>
      </c>
      <c r="E42" s="29" t="n">
        <v>20343756</v>
      </c>
      <c r="F42" s="29"/>
      <c r="G42" s="29"/>
      <c r="H42" s="45" t="n">
        <v>477.64</v>
      </c>
      <c r="I42" s="91" t="n">
        <f aca="false">H42*0.12</f>
        <v>57.3168</v>
      </c>
      <c r="J42" s="45" t="n">
        <v>57.3168</v>
      </c>
      <c r="K42" s="51" t="s">
        <v>190</v>
      </c>
    </row>
    <row r="43" s="51" customFormat="true" ht="15" hidden="false" customHeight="false" outlineLevel="0" collapsed="false">
      <c r="A43" s="86" t="s">
        <v>176</v>
      </c>
      <c r="B43" s="69" t="n">
        <v>304341</v>
      </c>
      <c r="C43" s="90" t="s">
        <v>191</v>
      </c>
      <c r="D43" s="24" t="s">
        <v>42</v>
      </c>
      <c r="E43" s="29" t="n">
        <v>20183530</v>
      </c>
      <c r="F43" s="29"/>
      <c r="G43" s="29"/>
      <c r="H43" s="26" t="n">
        <v>110.88</v>
      </c>
      <c r="I43" s="75" t="n">
        <f aca="false">H43*0.15</f>
        <v>16.632</v>
      </c>
      <c r="J43" s="26" t="n">
        <v>16.632</v>
      </c>
      <c r="K43" s="51" t="s">
        <v>170</v>
      </c>
    </row>
    <row r="44" customFormat="false" ht="15.75" hidden="false" customHeight="false" outlineLevel="0" collapsed="false">
      <c r="A44" s="86" t="s">
        <v>176</v>
      </c>
      <c r="B44" s="86" t="n">
        <v>581798</v>
      </c>
      <c r="C44" s="83" t="s">
        <v>192</v>
      </c>
      <c r="D44" s="37" t="s">
        <v>20</v>
      </c>
      <c r="E44" s="38" t="s">
        <v>193</v>
      </c>
      <c r="F44" s="38"/>
      <c r="G44" s="38"/>
      <c r="H44" s="40" t="n">
        <v>100000</v>
      </c>
      <c r="I44" s="82" t="n">
        <f aca="false">(H44*0.007)*0.6</f>
        <v>420</v>
      </c>
      <c r="J44" s="40" t="n">
        <v>420</v>
      </c>
      <c r="K44" s="34" t="s">
        <v>194</v>
      </c>
    </row>
    <row r="45" customFormat="false" ht="15" hidden="false" customHeight="false" outlineLevel="0" collapsed="false">
      <c r="A45" s="86" t="s">
        <v>195</v>
      </c>
      <c r="B45" s="86" t="n">
        <v>931819</v>
      </c>
      <c r="C45" s="66" t="s">
        <v>196</v>
      </c>
      <c r="D45" s="92" t="s">
        <v>197</v>
      </c>
      <c r="E45" s="16" t="n">
        <v>442355</v>
      </c>
      <c r="F45" s="16"/>
      <c r="G45" s="16" t="n">
        <v>2026</v>
      </c>
      <c r="H45" s="19" t="n">
        <v>720</v>
      </c>
      <c r="I45" s="87" t="n">
        <f aca="false">(720*10*0.027)*0.6</f>
        <v>116.64</v>
      </c>
      <c r="J45" s="87" t="n">
        <f aca="false">(720*10*0.027)*0.6</f>
        <v>116.64</v>
      </c>
      <c r="K45" s="34" t="s">
        <v>198</v>
      </c>
    </row>
    <row r="46" s="51" customFormat="true" ht="15" hidden="false" customHeight="false" outlineLevel="0" collapsed="false">
      <c r="A46" s="86" t="s">
        <v>195</v>
      </c>
      <c r="B46" s="86" t="n">
        <v>642719</v>
      </c>
      <c r="C46" s="93" t="s">
        <v>199</v>
      </c>
      <c r="D46" s="94" t="s">
        <v>88</v>
      </c>
      <c r="E46" s="95" t="n">
        <v>442382</v>
      </c>
      <c r="F46" s="95"/>
      <c r="G46" s="95"/>
      <c r="H46" s="96" t="n">
        <v>3200</v>
      </c>
      <c r="I46" s="97" t="n">
        <f aca="false">H46*14*0.02*0.6</f>
        <v>537.6</v>
      </c>
      <c r="J46" s="96" t="n">
        <v>537.6</v>
      </c>
      <c r="K46" s="34" t="s">
        <v>200</v>
      </c>
    </row>
    <row r="47" customFormat="false" ht="15" hidden="false" customHeight="false" outlineLevel="0" collapsed="false">
      <c r="A47" s="86" t="s">
        <v>195</v>
      </c>
      <c r="B47" s="86" t="n">
        <v>583445</v>
      </c>
      <c r="C47" s="90" t="s">
        <v>201</v>
      </c>
      <c r="D47" s="24" t="s">
        <v>59</v>
      </c>
      <c r="E47" s="29" t="n">
        <v>61017866</v>
      </c>
      <c r="F47" s="29"/>
      <c r="G47" s="29"/>
      <c r="H47" s="45" t="n">
        <v>1336.44</v>
      </c>
      <c r="I47" s="91" t="n">
        <f aca="false">(1336.44/12*3.5)*0.6</f>
        <v>233.877</v>
      </c>
      <c r="J47" s="45" t="n">
        <v>233.877</v>
      </c>
      <c r="K47" s="88" t="s">
        <v>202</v>
      </c>
    </row>
    <row r="48" customFormat="false" ht="15" hidden="false" customHeight="false" outlineLevel="0" collapsed="false">
      <c r="A48" s="86" t="s">
        <v>195</v>
      </c>
      <c r="B48" s="69" t="n">
        <v>228633</v>
      </c>
      <c r="C48" s="70" t="s">
        <v>203</v>
      </c>
      <c r="D48" s="23" t="s">
        <v>20</v>
      </c>
      <c r="E48" s="24" t="s">
        <v>204</v>
      </c>
      <c r="F48" s="24"/>
      <c r="G48" s="24"/>
      <c r="H48" s="26" t="n">
        <v>66000</v>
      </c>
      <c r="I48" s="71" t="n">
        <f aca="false">(66000*0.007)*0.6</f>
        <v>277.2</v>
      </c>
      <c r="J48" s="26" t="n">
        <v>277.2</v>
      </c>
      <c r="K48" s="88" t="s">
        <v>205</v>
      </c>
    </row>
    <row r="49" s="34" customFormat="true" ht="15" hidden="false" customHeight="false" outlineLevel="0" collapsed="false">
      <c r="A49" s="86" t="s">
        <v>195</v>
      </c>
      <c r="B49" s="69" t="n">
        <v>210428</v>
      </c>
      <c r="C49" s="70" t="s">
        <v>206</v>
      </c>
      <c r="D49" s="24" t="s">
        <v>42</v>
      </c>
      <c r="E49" s="24" t="n">
        <v>20192987</v>
      </c>
      <c r="F49" s="24"/>
      <c r="G49" s="24"/>
      <c r="H49" s="72" t="n">
        <v>124.94</v>
      </c>
      <c r="I49" s="75" t="n">
        <f aca="false">124.94*0.15</f>
        <v>18.741</v>
      </c>
      <c r="J49" s="26" t="n">
        <v>18.741</v>
      </c>
      <c r="K49" s="88" t="s">
        <v>207</v>
      </c>
    </row>
    <row r="50" s="34" customFormat="true" ht="15" hidden="false" customHeight="false" outlineLevel="0" collapsed="false">
      <c r="A50" s="86" t="s">
        <v>195</v>
      </c>
      <c r="B50" s="69" t="n">
        <v>367848</v>
      </c>
      <c r="C50" s="70" t="s">
        <v>208</v>
      </c>
      <c r="D50" s="23" t="s">
        <v>31</v>
      </c>
      <c r="E50" s="24" t="n">
        <v>20346925</v>
      </c>
      <c r="F50" s="24"/>
      <c r="G50" s="24"/>
      <c r="H50" s="31" t="n">
        <v>204.71</v>
      </c>
      <c r="I50" s="77" t="n">
        <f aca="false">204.71*0.06</f>
        <v>12.2826</v>
      </c>
      <c r="J50" s="31" t="n">
        <v>12.2826</v>
      </c>
    </row>
    <row r="51" customFormat="false" ht="15" hidden="false" customHeight="false" outlineLevel="0" collapsed="false">
      <c r="A51" s="86" t="s">
        <v>195</v>
      </c>
      <c r="B51" s="69" t="n">
        <v>492356</v>
      </c>
      <c r="C51" s="70" t="s">
        <v>209</v>
      </c>
      <c r="D51" s="24" t="s">
        <v>189</v>
      </c>
      <c r="E51" s="24" t="n">
        <v>20347557</v>
      </c>
      <c r="F51" s="24"/>
      <c r="G51" s="24"/>
      <c r="H51" s="26" t="n">
        <v>175.55</v>
      </c>
      <c r="I51" s="71" t="n">
        <f aca="false">175.55*0.12</f>
        <v>21.066</v>
      </c>
      <c r="J51" s="26" t="n">
        <v>21.066</v>
      </c>
      <c r="K51" s="34" t="s">
        <v>210</v>
      </c>
    </row>
    <row r="52" s="46" customFormat="true" ht="15" hidden="false" customHeight="false" outlineLevel="0" collapsed="false">
      <c r="A52" s="98" t="s">
        <v>211</v>
      </c>
      <c r="B52" s="69" t="n">
        <v>492356</v>
      </c>
      <c r="C52" s="70" t="s">
        <v>209</v>
      </c>
      <c r="D52" s="37" t="s">
        <v>20</v>
      </c>
      <c r="E52" s="24" t="s">
        <v>212</v>
      </c>
      <c r="F52" s="24"/>
      <c r="G52" s="24"/>
      <c r="H52" s="26" t="n">
        <v>60000</v>
      </c>
      <c r="I52" s="71" t="n">
        <f aca="false">(H52*0.007)*0.6</f>
        <v>252</v>
      </c>
      <c r="J52" s="26" t="n">
        <v>252</v>
      </c>
      <c r="K52" s="51" t="s">
        <v>213</v>
      </c>
    </row>
    <row r="53" s="51" customFormat="true" ht="15" hidden="false" customHeight="false" outlineLevel="0" collapsed="false">
      <c r="A53" s="98" t="s">
        <v>211</v>
      </c>
      <c r="B53" s="69" t="n">
        <v>842814</v>
      </c>
      <c r="C53" s="90" t="s">
        <v>160</v>
      </c>
      <c r="D53" s="55" t="s">
        <v>88</v>
      </c>
      <c r="E53" s="29" t="n">
        <v>442829</v>
      </c>
      <c r="F53" s="29"/>
      <c r="G53" s="29" t="n">
        <v>2039</v>
      </c>
      <c r="H53" s="45" t="n">
        <v>1500</v>
      </c>
      <c r="I53" s="91" t="n">
        <f aca="false">H53*23*0.02*0.6</f>
        <v>414</v>
      </c>
      <c r="J53" s="45" t="n">
        <v>414</v>
      </c>
      <c r="K53" s="34" t="s">
        <v>214</v>
      </c>
      <c r="L53" s="46"/>
    </row>
    <row r="54" customFormat="false" ht="15" hidden="false" customHeight="false" outlineLevel="0" collapsed="false">
      <c r="A54" s="69" t="s">
        <v>195</v>
      </c>
      <c r="B54" s="69" t="n">
        <v>288653</v>
      </c>
      <c r="C54" s="99" t="s">
        <v>215</v>
      </c>
      <c r="D54" s="42" t="s">
        <v>31</v>
      </c>
      <c r="E54" s="29" t="n">
        <v>20347737</v>
      </c>
      <c r="F54" s="29"/>
      <c r="G54" s="100"/>
      <c r="H54" s="45" t="n">
        <v>1648.62</v>
      </c>
      <c r="I54" s="91" t="n">
        <f aca="false">(800*0.06)+(800*0.07)+(48.62*0.08)</f>
        <v>107.8896</v>
      </c>
      <c r="J54" s="45" t="n">
        <v>107.8896</v>
      </c>
      <c r="K54" s="34" t="s">
        <v>216</v>
      </c>
    </row>
    <row r="55" customFormat="false" ht="15.75" hidden="false" customHeight="false" outlineLevel="0" collapsed="false">
      <c r="A55" s="86" t="s">
        <v>195</v>
      </c>
      <c r="B55" s="69" t="n">
        <v>559422</v>
      </c>
      <c r="C55" s="101" t="s">
        <v>217</v>
      </c>
      <c r="D55" s="37" t="s">
        <v>20</v>
      </c>
      <c r="E55" s="38" t="s">
        <v>218</v>
      </c>
      <c r="F55" s="38"/>
      <c r="G55" s="102"/>
      <c r="H55" s="103" t="n">
        <v>42000</v>
      </c>
      <c r="I55" s="104" t="n">
        <f aca="false">(42000*0.007)*0.6</f>
        <v>176.4</v>
      </c>
      <c r="J55" s="103" t="n">
        <v>176.4</v>
      </c>
      <c r="K55" s="34"/>
    </row>
    <row r="56" customFormat="false" ht="15.75" hidden="false" customHeight="false" outlineLevel="0" collapsed="false">
      <c r="A56" s="105"/>
      <c r="B56" s="105"/>
      <c r="C56" s="106" t="s">
        <v>219</v>
      </c>
      <c r="D56" s="107"/>
      <c r="E56" s="107"/>
      <c r="F56" s="107"/>
      <c r="G56" s="107"/>
      <c r="H56" s="108"/>
      <c r="I56" s="109"/>
      <c r="J56" s="108" t="n">
        <f aca="false">SUM(J13:J55)</f>
        <v>4529.1351</v>
      </c>
      <c r="K56" s="34"/>
    </row>
    <row r="57" customFormat="false" ht="15" hidden="false" customHeight="false" outlineLevel="0" collapsed="false">
      <c r="A57" s="110"/>
      <c r="B57" s="110"/>
      <c r="C57" s="111"/>
      <c r="D57" s="112"/>
      <c r="E57" s="112"/>
      <c r="F57" s="112"/>
      <c r="G57" s="112"/>
      <c r="H57" s="113"/>
      <c r="I57" s="97"/>
      <c r="J57" s="96"/>
      <c r="K57" s="34"/>
    </row>
    <row r="58" customFormat="false" ht="15" hidden="false" customHeight="false" outlineLevel="0" collapsed="false">
      <c r="A58" s="110"/>
      <c r="B58" s="110"/>
      <c r="C58" s="111" t="s">
        <v>220</v>
      </c>
      <c r="D58" s="112"/>
      <c r="E58" s="112"/>
      <c r="F58" s="112"/>
      <c r="G58" s="112"/>
      <c r="H58" s="113"/>
      <c r="I58" s="97"/>
      <c r="J58" s="96" t="n">
        <f aca="false">J10</f>
        <v>5286.6</v>
      </c>
      <c r="K58" s="34"/>
    </row>
    <row r="59" customFormat="false" ht="15" hidden="false" customHeight="false" outlineLevel="0" collapsed="false">
      <c r="A59" s="110"/>
      <c r="B59" s="110"/>
      <c r="C59" s="111" t="s">
        <v>221</v>
      </c>
      <c r="D59" s="112"/>
      <c r="E59" s="112"/>
      <c r="F59" s="112"/>
      <c r="G59" s="112"/>
      <c r="H59" s="113"/>
      <c r="I59" s="97"/>
      <c r="J59" s="96" t="n">
        <f aca="false">SUM(J56:J58)</f>
        <v>9815.7351</v>
      </c>
      <c r="K59" s="34"/>
    </row>
    <row r="60" s="116" customFormat="true" ht="15.75" hidden="false" customHeight="false" outlineLevel="0" collapsed="false">
      <c r="A60" s="110"/>
      <c r="B60" s="110"/>
      <c r="C60" s="114" t="s">
        <v>222</v>
      </c>
      <c r="D60" s="60"/>
      <c r="E60" s="60"/>
      <c r="F60" s="60"/>
      <c r="G60" s="60"/>
      <c r="H60" s="115"/>
      <c r="I60" s="71"/>
      <c r="J60" s="26" t="n">
        <f aca="false">J59/3</f>
        <v>3271.9117</v>
      </c>
    </row>
    <row r="61" s="120" customFormat="true" ht="15" hidden="false" customHeight="false" outlineLevel="0" collapsed="false">
      <c r="A61" s="110"/>
      <c r="B61" s="110"/>
      <c r="C61" s="117"/>
      <c r="D61" s="80"/>
      <c r="E61" s="80"/>
      <c r="F61" s="80"/>
      <c r="G61" s="80"/>
      <c r="H61" s="118"/>
      <c r="I61" s="119"/>
      <c r="J61" s="119"/>
    </row>
  </sheetData>
  <printOptions headings="false" gridLines="true" gridLinesSet="true" horizontalCentered="false" verticalCentered="false"/>
  <pageMargins left="0.236111111111111" right="0.236111111111111" top="0.748611111111111" bottom="0.748611111111111" header="0.315277777777778" footer="0.315277777777778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3 ème TRIMESTRE</oddHeader>
    <oddFooter>&amp;L&amp;8&amp;Z&amp;F&amp;C&amp;7&amp;P/&amp;N&amp;RModfié le &amp;D 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95"/>
  <sheetViews>
    <sheetView showFormulas="false" showGridLines="true" showRowColHeaders="true" showZeros="true" rightToLeft="false" tabSelected="false" showOutlineSymbols="true" defaultGridColor="true" view="normal" topLeftCell="A40" colorId="64" zoomScale="100" zoomScaleNormal="100" zoomScalePageLayoutView="100" workbookViewId="0">
      <selection pane="topLeft" activeCell="I49" activeCellId="1" sqref="A2:A7 I49"/>
    </sheetView>
  </sheetViews>
  <sheetFormatPr defaultRowHeight="15" zeroHeight="false" outlineLevelRow="0" outlineLevelCol="0"/>
  <cols>
    <col collapsed="false" customWidth="true" hidden="false" outlineLevel="0" max="1" min="1" style="62" width="16"/>
    <col collapsed="false" customWidth="true" hidden="false" outlineLevel="0" max="2" min="2" style="62" width="11.86"/>
    <col collapsed="false" customWidth="true" hidden="false" outlineLevel="0" max="3" min="3" style="2" width="27.99"/>
    <col collapsed="false" customWidth="true" hidden="false" outlineLevel="0" max="4" min="4" style="3" width="21.71"/>
    <col collapsed="false" customWidth="true" hidden="false" outlineLevel="0" max="5" min="5" style="3" width="24.71"/>
    <col collapsed="false" customWidth="true" hidden="false" outlineLevel="0" max="6" min="6" style="3" width="8.14"/>
    <col collapsed="false" customWidth="true" hidden="false" outlineLevel="0" max="7" min="7" style="3" width="10.58"/>
    <col collapsed="false" customWidth="true" hidden="false" outlineLevel="0" max="8" min="8" style="121" width="13.29"/>
    <col collapsed="false" customWidth="true" hidden="false" outlineLevel="0" max="9" min="9" style="122" width="12.42"/>
    <col collapsed="false" customWidth="true" hidden="false" outlineLevel="0" max="10" min="10" style="5" width="12.42"/>
    <col collapsed="false" customWidth="true" hidden="true" outlineLevel="0" max="11" min="11" style="0" width="34.29"/>
    <col collapsed="false" customWidth="true" hidden="false" outlineLevel="0" max="12" min="12" style="0" width="11.57"/>
    <col collapsed="false" customWidth="true" hidden="false" outlineLevel="0" max="1025" min="13" style="0" width="10.67"/>
  </cols>
  <sheetData>
    <row r="1" customFormat="false" ht="30" hidden="false" customHeight="true" outlineLevel="0" collapsed="false">
      <c r="C1" s="7"/>
      <c r="D1" s="8"/>
      <c r="E1" s="7"/>
      <c r="F1" s="7"/>
      <c r="G1" s="123"/>
      <c r="H1" s="124"/>
      <c r="I1" s="124"/>
      <c r="J1" s="9"/>
      <c r="K1" s="8"/>
    </row>
    <row r="2" s="10" customFormat="true" ht="18.75" hidden="false" customHeight="true" outlineLevel="0" collapsed="false">
      <c r="A2" s="62"/>
      <c r="B2" s="62"/>
      <c r="C2" s="10" t="s">
        <v>124</v>
      </c>
      <c r="E2" s="5"/>
      <c r="F2" s="5"/>
      <c r="G2" s="11"/>
      <c r="H2" s="125"/>
      <c r="I2" s="125"/>
      <c r="J2" s="10" t="n">
        <v>360</v>
      </c>
    </row>
    <row r="3" s="10" customFormat="true" ht="18.75" hidden="false" customHeight="true" outlineLevel="0" collapsed="false">
      <c r="A3" s="62"/>
      <c r="B3" s="62"/>
      <c r="E3" s="5"/>
      <c r="F3" s="5"/>
      <c r="G3" s="11"/>
      <c r="H3" s="125"/>
      <c r="I3" s="125"/>
    </row>
    <row r="4" customFormat="false" ht="15" hidden="false" customHeight="false" outlineLevel="0" collapsed="false">
      <c r="C4" s="2" t="s">
        <v>125</v>
      </c>
      <c r="D4" s="12"/>
      <c r="E4" s="3" t="s">
        <v>223</v>
      </c>
      <c r="G4" s="1" t="s">
        <v>127</v>
      </c>
      <c r="H4" s="125"/>
      <c r="I4" s="125"/>
      <c r="J4" s="10" t="n">
        <v>640</v>
      </c>
      <c r="K4" s="12"/>
    </row>
    <row r="5" customFormat="false" ht="15" hidden="false" customHeight="false" outlineLevel="0" collapsed="false">
      <c r="D5" s="12"/>
      <c r="G5" s="1"/>
      <c r="H5" s="125"/>
      <c r="I5" s="125"/>
      <c r="J5" s="10"/>
      <c r="K5" s="12"/>
    </row>
    <row r="6" customFormat="false" ht="15" hidden="false" customHeight="false" outlineLevel="0" collapsed="false">
      <c r="C6" s="2" t="s">
        <v>5</v>
      </c>
      <c r="D6" s="12" t="s">
        <v>224</v>
      </c>
      <c r="G6" s="1"/>
      <c r="H6" s="125"/>
      <c r="I6" s="125"/>
      <c r="J6" s="10" t="n">
        <f aca="false">3999*0.35</f>
        <v>1399.65</v>
      </c>
      <c r="K6" s="12"/>
    </row>
    <row r="7" customFormat="false" ht="15" hidden="false" customHeight="false" outlineLevel="0" collapsed="false">
      <c r="C7" s="2" t="s">
        <v>5</v>
      </c>
      <c r="D7" s="12" t="s">
        <v>225</v>
      </c>
      <c r="G7" s="1"/>
      <c r="H7" s="125"/>
      <c r="I7" s="125"/>
      <c r="J7" s="10" t="n">
        <f aca="false">3980*0.35</f>
        <v>1393</v>
      </c>
      <c r="K7" s="12"/>
    </row>
    <row r="8" customFormat="false" ht="15" hidden="false" customHeight="false" outlineLevel="0" collapsed="false">
      <c r="C8" s="2" t="s">
        <v>5</v>
      </c>
      <c r="D8" s="12" t="s">
        <v>226</v>
      </c>
      <c r="G8" s="1"/>
      <c r="H8" s="125"/>
      <c r="I8" s="125"/>
      <c r="J8" s="10" t="n">
        <v>1386</v>
      </c>
      <c r="K8" s="12"/>
    </row>
    <row r="9" customFormat="false" ht="15" hidden="false" customHeight="false" outlineLevel="0" collapsed="false">
      <c r="D9" s="12"/>
      <c r="G9" s="1"/>
      <c r="H9" s="125"/>
      <c r="I9" s="125"/>
      <c r="J9" s="10"/>
      <c r="K9" s="12"/>
    </row>
    <row r="10" customFormat="false" ht="15" hidden="false" customHeight="false" outlineLevel="0" collapsed="false">
      <c r="C10" s="2" t="s">
        <v>131</v>
      </c>
      <c r="D10" s="12"/>
      <c r="G10" s="1"/>
      <c r="H10" s="125"/>
      <c r="I10" s="125"/>
      <c r="J10" s="63" t="n">
        <f aca="false">SUM(J2:J8)</f>
        <v>5178.65</v>
      </c>
      <c r="K10" s="12"/>
    </row>
    <row r="11" customFormat="false" ht="15.75" hidden="false" customHeight="false" outlineLevel="0" collapsed="false">
      <c r="K11" s="1"/>
    </row>
    <row r="12" customFormat="false" ht="30" hidden="false" customHeight="false" outlineLevel="0" collapsed="false">
      <c r="A12" s="64"/>
      <c r="B12" s="64" t="s">
        <v>132</v>
      </c>
      <c r="C12" s="66" t="s">
        <v>11</v>
      </c>
      <c r="D12" s="16" t="s">
        <v>12</v>
      </c>
      <c r="E12" s="16" t="s">
        <v>13</v>
      </c>
      <c r="F12" s="126" t="s">
        <v>227</v>
      </c>
      <c r="G12" s="16" t="s">
        <v>14</v>
      </c>
      <c r="H12" s="127" t="s">
        <v>15</v>
      </c>
      <c r="I12" s="128" t="s">
        <v>16</v>
      </c>
      <c r="J12" s="19" t="s">
        <v>17</v>
      </c>
    </row>
    <row r="13" customFormat="false" ht="15" hidden="false" customHeight="false" outlineLevel="0" collapsed="false">
      <c r="A13" s="69" t="s">
        <v>211</v>
      </c>
      <c r="B13" s="69" t="n">
        <v>415134</v>
      </c>
      <c r="C13" s="70" t="s">
        <v>228</v>
      </c>
      <c r="D13" s="23" t="s">
        <v>229</v>
      </c>
      <c r="E13" s="24" t="n">
        <v>20350285</v>
      </c>
      <c r="F13" s="24"/>
      <c r="G13" s="24"/>
      <c r="H13" s="129" t="n">
        <v>1949.89</v>
      </c>
      <c r="I13" s="130" t="n">
        <f aca="false">(800*0.06)+(800*0.07)+(349.89*0.08)</f>
        <v>131.9912</v>
      </c>
      <c r="J13" s="131" t="n">
        <f aca="false">I13</f>
        <v>131.9912</v>
      </c>
      <c r="K13" s="0" t="s">
        <v>134</v>
      </c>
    </row>
    <row r="14" customFormat="false" ht="15" hidden="false" customHeight="false" outlineLevel="0" collapsed="false">
      <c r="A14" s="69" t="s">
        <v>211</v>
      </c>
      <c r="B14" s="69" t="n">
        <v>407702</v>
      </c>
      <c r="C14" s="70" t="s">
        <v>230</v>
      </c>
      <c r="D14" s="24" t="s">
        <v>231</v>
      </c>
      <c r="E14" s="24" t="n">
        <v>20350484</v>
      </c>
      <c r="F14" s="24"/>
      <c r="G14" s="24"/>
      <c r="H14" s="129" t="n">
        <v>2198.57</v>
      </c>
      <c r="I14" s="132" t="n">
        <f aca="false">H14*0.1</f>
        <v>219.857</v>
      </c>
      <c r="J14" s="133" t="n">
        <f aca="false">I14</f>
        <v>219.857</v>
      </c>
      <c r="K14" s="0" t="s">
        <v>136</v>
      </c>
    </row>
    <row r="15" customFormat="false" ht="15" hidden="false" customHeight="false" outlineLevel="0" collapsed="false">
      <c r="A15" s="69" t="s">
        <v>211</v>
      </c>
      <c r="B15" s="69" t="n">
        <v>407702</v>
      </c>
      <c r="C15" s="70" t="s">
        <v>230</v>
      </c>
      <c r="D15" s="23" t="s">
        <v>232</v>
      </c>
      <c r="E15" s="24" t="n">
        <v>203349652</v>
      </c>
      <c r="F15" s="24"/>
      <c r="G15" s="24"/>
      <c r="H15" s="129" t="n">
        <v>771.17</v>
      </c>
      <c r="I15" s="130" t="n">
        <f aca="false">H15*0.12</f>
        <v>92.5404</v>
      </c>
      <c r="J15" s="133" t="n">
        <f aca="false">I15</f>
        <v>92.5404</v>
      </c>
      <c r="K15" s="0" t="s">
        <v>138</v>
      </c>
    </row>
    <row r="16" customFormat="false" ht="15" hidden="false" customHeight="false" outlineLevel="0" collapsed="false">
      <c r="A16" s="69" t="s">
        <v>211</v>
      </c>
      <c r="B16" s="69" t="n">
        <v>411055</v>
      </c>
      <c r="C16" s="70" t="s">
        <v>233</v>
      </c>
      <c r="D16" s="23" t="s">
        <v>62</v>
      </c>
      <c r="E16" s="24" t="n">
        <v>20350380</v>
      </c>
      <c r="F16" s="24"/>
      <c r="G16" s="24"/>
      <c r="H16" s="129" t="n">
        <v>171.65</v>
      </c>
      <c r="I16" s="130" t="n">
        <f aca="false">H16*0.12</f>
        <v>20.598</v>
      </c>
      <c r="J16" s="133" t="n">
        <f aca="false">I16</f>
        <v>20.598</v>
      </c>
      <c r="K16" s="0" t="s">
        <v>139</v>
      </c>
    </row>
    <row r="17" customFormat="false" ht="15" hidden="false" customHeight="false" outlineLevel="0" collapsed="false">
      <c r="A17" s="69" t="s">
        <v>211</v>
      </c>
      <c r="B17" s="69" t="n">
        <v>473247</v>
      </c>
      <c r="C17" s="70" t="s">
        <v>234</v>
      </c>
      <c r="D17" s="23" t="s">
        <v>235</v>
      </c>
      <c r="E17" s="24" t="n">
        <v>61018896</v>
      </c>
      <c r="F17" s="24"/>
      <c r="G17" s="24"/>
      <c r="H17" s="129" t="n">
        <v>2427.65</v>
      </c>
      <c r="I17" s="130" t="n">
        <f aca="false">H17/12*3.5*0.6</f>
        <v>424.83875</v>
      </c>
      <c r="J17" s="133" t="n">
        <f aca="false">I17</f>
        <v>424.83875</v>
      </c>
      <c r="K17" s="0" t="s">
        <v>141</v>
      </c>
    </row>
    <row r="18" customFormat="false" ht="15" hidden="false" customHeight="false" outlineLevel="0" collapsed="false">
      <c r="A18" s="69"/>
      <c r="B18" s="69"/>
      <c r="C18" s="70"/>
      <c r="D18" s="23"/>
      <c r="E18" s="24"/>
      <c r="F18" s="24"/>
      <c r="G18" s="24"/>
      <c r="H18" s="129"/>
      <c r="I18" s="130"/>
      <c r="J18" s="134"/>
    </row>
    <row r="19" s="76" customFormat="true" ht="15.75" hidden="false" customHeight="false" outlineLevel="0" collapsed="false">
      <c r="A19" s="73"/>
      <c r="B19" s="73"/>
      <c r="C19" s="74"/>
      <c r="D19" s="24"/>
      <c r="E19" s="24"/>
      <c r="F19" s="24"/>
      <c r="G19" s="24"/>
      <c r="H19" s="129"/>
      <c r="I19" s="132"/>
      <c r="J19" s="134"/>
      <c r="K19" s="76" t="s">
        <v>143</v>
      </c>
    </row>
    <row r="20" s="34" customFormat="true" ht="15.75" hidden="false" customHeight="false" outlineLevel="0" collapsed="false">
      <c r="A20" s="69"/>
      <c r="B20" s="69"/>
      <c r="C20" s="135" t="s">
        <v>236</v>
      </c>
      <c r="D20" s="136"/>
      <c r="E20" s="137"/>
      <c r="F20" s="137"/>
      <c r="G20" s="137"/>
      <c r="H20" s="138"/>
      <c r="I20" s="139"/>
      <c r="J20" s="140" t="n">
        <f aca="false">SUM(J13:J19)</f>
        <v>889.82535</v>
      </c>
      <c r="K20" s="34" t="s">
        <v>175</v>
      </c>
    </row>
    <row r="21" customFormat="false" ht="15" hidden="false" customHeight="false" outlineLevel="0" collapsed="false">
      <c r="A21" s="141" t="s">
        <v>237</v>
      </c>
      <c r="B21" s="142" t="n">
        <v>570348</v>
      </c>
      <c r="C21" s="66" t="s">
        <v>238</v>
      </c>
      <c r="D21" s="16" t="s">
        <v>229</v>
      </c>
      <c r="E21" s="16" t="n">
        <v>20352014</v>
      </c>
      <c r="F21" s="16"/>
      <c r="G21" s="16"/>
      <c r="H21" s="143" t="n">
        <v>1756.1</v>
      </c>
      <c r="I21" s="144" t="n">
        <f aca="false">(800*0.06)+(800*0.07)+(156.1*0.08)</f>
        <v>116.488</v>
      </c>
      <c r="J21" s="19" t="n">
        <f aca="false">I21</f>
        <v>116.488</v>
      </c>
      <c r="K21" s="34" t="s">
        <v>177</v>
      </c>
    </row>
    <row r="22" customFormat="false" ht="15" hidden="false" customHeight="false" outlineLevel="0" collapsed="false">
      <c r="A22" s="86" t="s">
        <v>237</v>
      </c>
      <c r="B22" s="69" t="n">
        <v>123340</v>
      </c>
      <c r="C22" s="70" t="s">
        <v>156</v>
      </c>
      <c r="D22" s="23" t="s">
        <v>239</v>
      </c>
      <c r="E22" s="24"/>
      <c r="F22" s="24"/>
      <c r="G22" s="24"/>
      <c r="H22" s="129" t="n">
        <v>19200</v>
      </c>
      <c r="I22" s="130"/>
      <c r="J22" s="26" t="n">
        <v>118.8</v>
      </c>
      <c r="K22" s="34" t="s">
        <v>178</v>
      </c>
    </row>
    <row r="23" customFormat="false" ht="15" hidden="false" customHeight="false" outlineLevel="0" collapsed="false">
      <c r="A23" s="86" t="s">
        <v>237</v>
      </c>
      <c r="B23" s="69" t="n">
        <v>434718</v>
      </c>
      <c r="C23" s="70" t="s">
        <v>240</v>
      </c>
      <c r="D23" s="23" t="s">
        <v>33</v>
      </c>
      <c r="E23" s="24" t="n">
        <v>20353181</v>
      </c>
      <c r="F23" s="24"/>
      <c r="G23" s="24"/>
      <c r="H23" s="129" t="n">
        <v>225.63</v>
      </c>
      <c r="I23" s="130" t="n">
        <f aca="false">H23*0.12</f>
        <v>27.0756</v>
      </c>
      <c r="J23" s="26" t="n">
        <f aca="false">I23</f>
        <v>27.0756</v>
      </c>
      <c r="K23" s="34" t="s">
        <v>170</v>
      </c>
    </row>
    <row r="24" customFormat="false" ht="15" hidden="false" customHeight="false" outlineLevel="0" collapsed="false">
      <c r="A24" s="86" t="s">
        <v>237</v>
      </c>
      <c r="B24" s="69" t="n">
        <v>492261</v>
      </c>
      <c r="C24" s="70" t="s">
        <v>241</v>
      </c>
      <c r="D24" s="23" t="s">
        <v>229</v>
      </c>
      <c r="E24" s="24" t="n">
        <v>20055675</v>
      </c>
      <c r="F24" s="24"/>
      <c r="G24" s="24"/>
      <c r="H24" s="129" t="n">
        <v>1345.37</v>
      </c>
      <c r="I24" s="130" t="n">
        <f aca="false">800*0.06+545.37*0.07</f>
        <v>86.1759</v>
      </c>
      <c r="J24" s="26" t="n">
        <f aca="false">I24</f>
        <v>86.1759</v>
      </c>
      <c r="K24" s="88" t="s">
        <v>182</v>
      </c>
    </row>
    <row r="25" customFormat="false" ht="15" hidden="false" customHeight="false" outlineLevel="0" collapsed="false">
      <c r="A25" s="86" t="s">
        <v>237</v>
      </c>
      <c r="B25" s="69" t="n">
        <v>492261</v>
      </c>
      <c r="C25" s="70" t="s">
        <v>241</v>
      </c>
      <c r="D25" s="24" t="s">
        <v>242</v>
      </c>
      <c r="E25" s="24" t="n">
        <v>10077528</v>
      </c>
      <c r="F25" s="24"/>
      <c r="G25" s="24"/>
      <c r="H25" s="145" t="n">
        <v>110.88</v>
      </c>
      <c r="I25" s="130" t="n">
        <f aca="false">H25*0.15</f>
        <v>16.632</v>
      </c>
      <c r="J25" s="26" t="n">
        <f aca="false">I25</f>
        <v>16.632</v>
      </c>
      <c r="K25" s="51" t="s">
        <v>184</v>
      </c>
    </row>
    <row r="26" s="51" customFormat="true" ht="15" hidden="false" customHeight="false" outlineLevel="0" collapsed="false">
      <c r="A26" s="86" t="s">
        <v>237</v>
      </c>
      <c r="B26" s="69" t="n">
        <v>492261</v>
      </c>
      <c r="C26" s="70" t="s">
        <v>241</v>
      </c>
      <c r="D26" s="33" t="s">
        <v>59</v>
      </c>
      <c r="E26" s="24" t="n">
        <v>60017923</v>
      </c>
      <c r="F26" s="24"/>
      <c r="G26" s="24"/>
      <c r="H26" s="129" t="n">
        <v>139.2</v>
      </c>
      <c r="I26" s="130" t="n">
        <f aca="false">H26*3.5*0.06</f>
        <v>29.232</v>
      </c>
      <c r="J26" s="26" t="n">
        <f aca="false">I26</f>
        <v>29.232</v>
      </c>
      <c r="K26" s="51" t="s">
        <v>186</v>
      </c>
    </row>
    <row r="27" s="51" customFormat="true" ht="15" hidden="false" customHeight="false" outlineLevel="0" collapsed="false">
      <c r="A27" s="86" t="s">
        <v>237</v>
      </c>
      <c r="B27" s="69" t="n">
        <v>492261</v>
      </c>
      <c r="C27" s="70" t="s">
        <v>241</v>
      </c>
      <c r="D27" s="23" t="s">
        <v>229</v>
      </c>
      <c r="E27" s="29" t="n">
        <v>20248970</v>
      </c>
      <c r="F27" s="29"/>
      <c r="G27" s="29"/>
      <c r="H27" s="146" t="n">
        <v>13.12</v>
      </c>
      <c r="I27" s="147" t="n">
        <f aca="false">H27*0.06</f>
        <v>0.7872</v>
      </c>
      <c r="J27" s="45" t="n">
        <f aca="false">I27</f>
        <v>0.7872</v>
      </c>
      <c r="K27" s="88" t="s">
        <v>187</v>
      </c>
    </row>
    <row r="28" s="51" customFormat="true" ht="15" hidden="false" customHeight="false" outlineLevel="0" collapsed="false">
      <c r="A28" s="86" t="s">
        <v>237</v>
      </c>
      <c r="B28" s="69" t="n">
        <v>492261</v>
      </c>
      <c r="C28" s="70" t="s">
        <v>241</v>
      </c>
      <c r="D28" s="23" t="s">
        <v>229</v>
      </c>
      <c r="E28" s="29" t="n">
        <v>20282387</v>
      </c>
      <c r="F28" s="29"/>
      <c r="G28" s="29"/>
      <c r="H28" s="146" t="n">
        <v>12.85</v>
      </c>
      <c r="I28" s="147" t="n">
        <f aca="false">H28*0.06</f>
        <v>0.771</v>
      </c>
      <c r="J28" s="45" t="n">
        <f aca="false">I28</f>
        <v>0.771</v>
      </c>
      <c r="K28" s="88"/>
    </row>
    <row r="29" s="51" customFormat="true" ht="15" hidden="false" customHeight="false" outlineLevel="0" collapsed="false">
      <c r="A29" s="86" t="s">
        <v>237</v>
      </c>
      <c r="B29" s="69" t="n">
        <v>492261</v>
      </c>
      <c r="C29" s="70" t="s">
        <v>241</v>
      </c>
      <c r="D29" s="23" t="s">
        <v>229</v>
      </c>
      <c r="E29" s="29" t="n">
        <v>20315056</v>
      </c>
      <c r="F29" s="29"/>
      <c r="G29" s="29"/>
      <c r="H29" s="146" t="n">
        <v>444.02</v>
      </c>
      <c r="I29" s="147" t="n">
        <f aca="false">H29*0.06</f>
        <v>26.6412</v>
      </c>
      <c r="J29" s="45" t="n">
        <f aca="false">I29</f>
        <v>26.6412</v>
      </c>
      <c r="K29" s="51" t="s">
        <v>190</v>
      </c>
    </row>
    <row r="30" s="51" customFormat="true" ht="15" hidden="false" customHeight="false" outlineLevel="0" collapsed="false">
      <c r="A30" s="86" t="s">
        <v>237</v>
      </c>
      <c r="B30" s="69" t="n">
        <v>492261</v>
      </c>
      <c r="C30" s="70" t="s">
        <v>241</v>
      </c>
      <c r="D30" s="24" t="s">
        <v>229</v>
      </c>
      <c r="E30" s="29" t="n">
        <v>20324039</v>
      </c>
      <c r="F30" s="29"/>
      <c r="G30" s="29"/>
      <c r="H30" s="129" t="n">
        <v>65.61</v>
      </c>
      <c r="I30" s="132" t="n">
        <f aca="false">H30*0.06</f>
        <v>3.9366</v>
      </c>
      <c r="J30" s="26" t="n">
        <f aca="false">I30</f>
        <v>3.9366</v>
      </c>
      <c r="K30" s="51" t="s">
        <v>170</v>
      </c>
    </row>
    <row r="31" s="51" customFormat="true" ht="15" hidden="false" customHeight="false" outlineLevel="0" collapsed="false">
      <c r="A31" s="86" t="s">
        <v>237</v>
      </c>
      <c r="B31" s="69" t="n">
        <v>492261</v>
      </c>
      <c r="C31" s="70" t="s">
        <v>241</v>
      </c>
      <c r="D31" s="23" t="s">
        <v>172</v>
      </c>
      <c r="E31" s="24" t="n">
        <v>20353689</v>
      </c>
      <c r="F31" s="24"/>
      <c r="G31" s="24"/>
      <c r="H31" s="129" t="n">
        <v>391.09</v>
      </c>
      <c r="I31" s="130" t="n">
        <f aca="false">H31*0.1</f>
        <v>39.109</v>
      </c>
      <c r="J31" s="26" t="n">
        <f aca="false">I31</f>
        <v>39.109</v>
      </c>
    </row>
    <row r="32" s="51" customFormat="true" ht="15" hidden="false" customHeight="false" outlineLevel="0" collapsed="false">
      <c r="A32" s="86" t="s">
        <v>237</v>
      </c>
      <c r="B32" s="69" t="n">
        <v>646798</v>
      </c>
      <c r="C32" s="70" t="s">
        <v>243</v>
      </c>
      <c r="D32" s="24" t="s">
        <v>229</v>
      </c>
      <c r="E32" s="29" t="n">
        <v>20352335</v>
      </c>
      <c r="F32" s="29"/>
      <c r="G32" s="29"/>
      <c r="H32" s="129" t="n">
        <v>939.69</v>
      </c>
      <c r="I32" s="132" t="n">
        <f aca="false">800*0.06+139.69*0.07</f>
        <v>57.7783</v>
      </c>
      <c r="J32" s="26" t="n">
        <f aca="false">I32</f>
        <v>57.7783</v>
      </c>
    </row>
    <row r="33" s="51" customFormat="true" ht="15" hidden="false" customHeight="false" outlineLevel="0" collapsed="false">
      <c r="A33" s="86" t="s">
        <v>237</v>
      </c>
      <c r="B33" s="69" t="n">
        <v>646798</v>
      </c>
      <c r="C33" s="70" t="s">
        <v>243</v>
      </c>
      <c r="D33" s="24" t="s">
        <v>33</v>
      </c>
      <c r="E33" s="29" t="n">
        <v>20353421</v>
      </c>
      <c r="F33" s="29"/>
      <c r="G33" s="29"/>
      <c r="H33" s="129" t="n">
        <v>287.01</v>
      </c>
      <c r="I33" s="132" t="n">
        <f aca="false">H33*0.12</f>
        <v>34.4412</v>
      </c>
      <c r="J33" s="26" t="n">
        <f aca="false">I33</f>
        <v>34.4412</v>
      </c>
    </row>
    <row r="34" s="51" customFormat="true" ht="15" hidden="false" customHeight="false" outlineLevel="0" collapsed="false">
      <c r="A34" s="86" t="s">
        <v>237</v>
      </c>
      <c r="B34" s="69" t="n">
        <v>450504</v>
      </c>
      <c r="C34" s="70" t="s">
        <v>244</v>
      </c>
      <c r="D34" s="24" t="s">
        <v>229</v>
      </c>
      <c r="E34" s="29" t="n">
        <v>20353051</v>
      </c>
      <c r="F34" s="29"/>
      <c r="G34" s="29"/>
      <c r="H34" s="129" t="n">
        <v>2744.55</v>
      </c>
      <c r="I34" s="132" t="n">
        <f aca="false">800*0.06+800*0.07+1144.55*0.08</f>
        <v>195.564</v>
      </c>
      <c r="J34" s="26" t="n">
        <f aca="false">I34</f>
        <v>195.564</v>
      </c>
    </row>
    <row r="35" s="51" customFormat="true" ht="15" hidden="false" customHeight="false" outlineLevel="0" collapsed="false">
      <c r="A35" s="86" t="s">
        <v>237</v>
      </c>
      <c r="B35" s="69" t="n">
        <v>288235</v>
      </c>
      <c r="C35" s="70" t="s">
        <v>245</v>
      </c>
      <c r="D35" s="24" t="s">
        <v>33</v>
      </c>
      <c r="E35" s="29" t="n">
        <v>20351006</v>
      </c>
      <c r="F35" s="29"/>
      <c r="G35" s="29"/>
      <c r="H35" s="129" t="n">
        <v>190.85</v>
      </c>
      <c r="I35" s="132" t="n">
        <f aca="false">H35*0.12</f>
        <v>22.902</v>
      </c>
      <c r="J35" s="26" t="n">
        <f aca="false">I35</f>
        <v>22.902</v>
      </c>
    </row>
    <row r="36" s="51" customFormat="true" ht="15" hidden="false" customHeight="false" outlineLevel="0" collapsed="false">
      <c r="A36" s="86" t="s">
        <v>237</v>
      </c>
      <c r="B36" s="69" t="n">
        <v>455519</v>
      </c>
      <c r="C36" s="70" t="s">
        <v>246</v>
      </c>
      <c r="D36" s="24" t="s">
        <v>229</v>
      </c>
      <c r="E36" s="29" t="n">
        <v>20354543</v>
      </c>
      <c r="F36" s="29"/>
      <c r="G36" s="29"/>
      <c r="H36" s="129" t="n">
        <v>1061.84</v>
      </c>
      <c r="I36" s="132" t="n">
        <f aca="false">800*0.06+261.84*0.07</f>
        <v>66.3288</v>
      </c>
      <c r="J36" s="26" t="n">
        <f aca="false">I36</f>
        <v>66.3288</v>
      </c>
    </row>
    <row r="37" s="51" customFormat="true" ht="15" hidden="false" customHeight="false" outlineLevel="0" collapsed="false">
      <c r="A37" s="86" t="s">
        <v>237</v>
      </c>
      <c r="B37" s="69" t="n">
        <v>455519</v>
      </c>
      <c r="C37" s="70" t="s">
        <v>246</v>
      </c>
      <c r="D37" s="24" t="s">
        <v>33</v>
      </c>
      <c r="E37" s="29" t="n">
        <v>20354539</v>
      </c>
      <c r="F37" s="29"/>
      <c r="G37" s="29"/>
      <c r="H37" s="129" t="n">
        <v>202.7</v>
      </c>
      <c r="I37" s="132" t="n">
        <f aca="false">H37*0.12</f>
        <v>24.324</v>
      </c>
      <c r="J37" s="26" t="n">
        <f aca="false">I37</f>
        <v>24.324</v>
      </c>
    </row>
    <row r="38" s="51" customFormat="true" ht="15" hidden="false" customHeight="false" outlineLevel="0" collapsed="false">
      <c r="A38" s="86" t="s">
        <v>237</v>
      </c>
      <c r="B38" s="69" t="n">
        <v>455519</v>
      </c>
      <c r="C38" s="70" t="s">
        <v>246</v>
      </c>
      <c r="D38" s="24" t="s">
        <v>242</v>
      </c>
      <c r="E38" s="29" t="n">
        <v>20354539</v>
      </c>
      <c r="F38" s="29"/>
      <c r="G38" s="29"/>
      <c r="H38" s="129" t="n">
        <v>111.71</v>
      </c>
      <c r="I38" s="132" t="n">
        <f aca="false">H38*0.15</f>
        <v>16.7565</v>
      </c>
      <c r="J38" s="26" t="n">
        <f aca="false">I38</f>
        <v>16.7565</v>
      </c>
    </row>
    <row r="39" s="51" customFormat="true" ht="15" hidden="false" customHeight="false" outlineLevel="0" collapsed="false">
      <c r="A39" s="86" t="s">
        <v>237</v>
      </c>
      <c r="B39" s="69" t="n">
        <v>778333</v>
      </c>
      <c r="C39" s="70" t="s">
        <v>247</v>
      </c>
      <c r="D39" s="24" t="s">
        <v>33</v>
      </c>
      <c r="E39" s="29" t="n">
        <v>20354013</v>
      </c>
      <c r="F39" s="29"/>
      <c r="G39" s="29"/>
      <c r="H39" s="129" t="n">
        <v>224.52</v>
      </c>
      <c r="I39" s="132" t="n">
        <f aca="false">H39*0.12</f>
        <v>26.9424</v>
      </c>
      <c r="J39" s="26" t="n">
        <f aca="false">I39</f>
        <v>26.9424</v>
      </c>
    </row>
    <row r="40" s="51" customFormat="true" ht="15" hidden="false" customHeight="false" outlineLevel="0" collapsed="false">
      <c r="A40" s="86" t="s">
        <v>237</v>
      </c>
      <c r="B40" s="69" t="n">
        <v>766988</v>
      </c>
      <c r="C40" s="70" t="s">
        <v>248</v>
      </c>
      <c r="D40" s="24" t="s">
        <v>229</v>
      </c>
      <c r="E40" s="29" t="n">
        <v>2112715</v>
      </c>
      <c r="F40" s="29"/>
      <c r="G40" s="29"/>
      <c r="H40" s="129" t="n">
        <v>1911.08</v>
      </c>
      <c r="I40" s="132" t="n">
        <f aca="false">800*0.06+800*0.07+311.08*0.08</f>
        <v>128.8864</v>
      </c>
      <c r="J40" s="26" t="n">
        <f aca="false">I40</f>
        <v>128.8864</v>
      </c>
    </row>
    <row r="41" s="51" customFormat="true" ht="15" hidden="false" customHeight="false" outlineLevel="0" collapsed="false">
      <c r="A41" s="86" t="s">
        <v>237</v>
      </c>
      <c r="B41" s="69" t="n">
        <v>766988</v>
      </c>
      <c r="C41" s="70" t="s">
        <v>249</v>
      </c>
      <c r="D41" s="24" t="s">
        <v>59</v>
      </c>
      <c r="E41" s="29" t="n">
        <v>60016647</v>
      </c>
      <c r="F41" s="29"/>
      <c r="G41" s="29"/>
      <c r="H41" s="129" t="n">
        <v>504.36</v>
      </c>
      <c r="I41" s="132" t="n">
        <f aca="false">H41/12*3.5*0.6</f>
        <v>88.263</v>
      </c>
      <c r="J41" s="26" t="n">
        <f aca="false">I41</f>
        <v>88.263</v>
      </c>
    </row>
    <row r="42" s="51" customFormat="true" ht="15" hidden="false" customHeight="false" outlineLevel="0" collapsed="false">
      <c r="A42" s="86" t="s">
        <v>237</v>
      </c>
      <c r="B42" s="69" t="n">
        <v>233039</v>
      </c>
      <c r="C42" s="70" t="s">
        <v>250</v>
      </c>
      <c r="D42" s="24" t="s">
        <v>229</v>
      </c>
      <c r="E42" s="29" t="n">
        <v>275914</v>
      </c>
      <c r="F42" s="29"/>
      <c r="G42" s="29"/>
      <c r="H42" s="129" t="n">
        <v>1151.84</v>
      </c>
      <c r="I42" s="132" t="n">
        <f aca="false">800*0.06+351.84*0.07</f>
        <v>72.6288</v>
      </c>
      <c r="J42" s="26" t="n">
        <f aca="false">I42</f>
        <v>72.6288</v>
      </c>
    </row>
    <row r="43" s="51" customFormat="true" ht="15" hidden="false" customHeight="false" outlineLevel="0" collapsed="false">
      <c r="A43" s="86" t="s">
        <v>237</v>
      </c>
      <c r="B43" s="69" t="n">
        <v>233039</v>
      </c>
      <c r="C43" s="70" t="s">
        <v>250</v>
      </c>
      <c r="D43" s="24" t="s">
        <v>229</v>
      </c>
      <c r="E43" s="29" t="n">
        <v>20249130</v>
      </c>
      <c r="F43" s="29"/>
      <c r="G43" s="29"/>
      <c r="H43" s="129" t="n">
        <v>590.35</v>
      </c>
      <c r="I43" s="132" t="n">
        <f aca="false">H43*0.06</f>
        <v>35.421</v>
      </c>
      <c r="J43" s="26" t="n">
        <f aca="false">I43</f>
        <v>35.421</v>
      </c>
    </row>
    <row r="44" s="51" customFormat="true" ht="15" hidden="false" customHeight="false" outlineLevel="0" collapsed="false">
      <c r="A44" s="86" t="s">
        <v>237</v>
      </c>
      <c r="B44" s="69" t="n">
        <v>233039</v>
      </c>
      <c r="C44" s="70" t="s">
        <v>250</v>
      </c>
      <c r="D44" s="24" t="s">
        <v>229</v>
      </c>
      <c r="E44" s="29" t="n">
        <v>647783</v>
      </c>
      <c r="F44" s="29"/>
      <c r="G44" s="29"/>
      <c r="H44" s="129" t="n">
        <v>1148.29</v>
      </c>
      <c r="I44" s="132" t="n">
        <f aca="false">800*0.06+348.29*0.07</f>
        <v>72.3803</v>
      </c>
      <c r="J44" s="26" t="n">
        <f aca="false">I44</f>
        <v>72.3803</v>
      </c>
    </row>
    <row r="45" s="51" customFormat="true" ht="15" hidden="false" customHeight="false" outlineLevel="0" collapsed="false">
      <c r="A45" s="86" t="s">
        <v>237</v>
      </c>
      <c r="B45" s="69" t="n">
        <v>233039</v>
      </c>
      <c r="C45" s="70" t="s">
        <v>250</v>
      </c>
      <c r="D45" s="24" t="s">
        <v>172</v>
      </c>
      <c r="E45" s="29" t="n">
        <v>20142663</v>
      </c>
      <c r="F45" s="29"/>
      <c r="G45" s="29"/>
      <c r="H45" s="129" t="n">
        <v>285.55</v>
      </c>
      <c r="I45" s="132" t="n">
        <f aca="false">H45*0.1</f>
        <v>28.555</v>
      </c>
      <c r="J45" s="26" t="n">
        <f aca="false">I45</f>
        <v>28.555</v>
      </c>
    </row>
    <row r="46" s="51" customFormat="true" ht="15" hidden="false" customHeight="false" outlineLevel="0" collapsed="false">
      <c r="A46" s="86" t="s">
        <v>237</v>
      </c>
      <c r="B46" s="69" t="n">
        <v>233039</v>
      </c>
      <c r="C46" s="70" t="s">
        <v>250</v>
      </c>
      <c r="D46" s="24" t="s">
        <v>59</v>
      </c>
      <c r="E46" s="29" t="n">
        <v>61001020</v>
      </c>
      <c r="F46" s="29"/>
      <c r="G46" s="42"/>
      <c r="H46" s="29" t="n">
        <v>292.44</v>
      </c>
      <c r="I46" s="132" t="n">
        <f aca="false">H46/12*3.5*0.6</f>
        <v>51.177</v>
      </c>
      <c r="J46" s="26" t="n">
        <f aca="false">I46</f>
        <v>51.177</v>
      </c>
    </row>
    <row r="47" s="51" customFormat="true" ht="15" hidden="false" customHeight="false" outlineLevel="0" collapsed="false">
      <c r="A47" s="86" t="s">
        <v>237</v>
      </c>
      <c r="B47" s="69" t="n">
        <v>839931</v>
      </c>
      <c r="C47" s="70" t="s">
        <v>251</v>
      </c>
      <c r="D47" s="24" t="s">
        <v>59</v>
      </c>
      <c r="E47" s="29" t="n">
        <v>61000124</v>
      </c>
      <c r="F47" s="29"/>
      <c r="G47" s="29"/>
      <c r="H47" s="129" t="n">
        <v>909.11</v>
      </c>
      <c r="I47" s="132" t="n">
        <f aca="false">H47/12*3.5*0.6</f>
        <v>159.09425</v>
      </c>
      <c r="J47" s="26" t="n">
        <f aca="false">I47</f>
        <v>159.09425</v>
      </c>
    </row>
    <row r="48" s="51" customFormat="true" ht="15" hidden="false" customHeight="false" outlineLevel="0" collapsed="false">
      <c r="A48" s="86" t="s">
        <v>237</v>
      </c>
      <c r="B48" s="69" t="n">
        <v>294392</v>
      </c>
      <c r="C48" s="70" t="s">
        <v>117</v>
      </c>
      <c r="D48" s="24" t="s">
        <v>229</v>
      </c>
      <c r="E48" s="29" t="n">
        <v>20352908</v>
      </c>
      <c r="F48" s="29"/>
      <c r="G48" s="29"/>
      <c r="H48" s="129" t="n">
        <v>1975.14</v>
      </c>
      <c r="I48" s="132" t="n">
        <f aca="false">800*0.06+800*0.07+375.14*0.08</f>
        <v>134.0112</v>
      </c>
      <c r="J48" s="26" t="n">
        <f aca="false">I48</f>
        <v>134.0112</v>
      </c>
    </row>
    <row r="49" s="51" customFormat="true" ht="15" hidden="false" customHeight="false" outlineLevel="0" collapsed="false">
      <c r="A49" s="86" t="s">
        <v>237</v>
      </c>
      <c r="B49" s="69" t="n">
        <v>862831</v>
      </c>
      <c r="C49" s="70" t="s">
        <v>252</v>
      </c>
      <c r="D49" s="24" t="s">
        <v>253</v>
      </c>
      <c r="E49" s="29" t="n">
        <v>439076</v>
      </c>
      <c r="F49" s="29"/>
      <c r="G49" s="29" t="n">
        <v>2025</v>
      </c>
      <c r="H49" s="129" t="n">
        <v>600</v>
      </c>
      <c r="I49" s="132" t="n">
        <f aca="false">H49*8*0.02*0.6</f>
        <v>57.6</v>
      </c>
      <c r="J49" s="26" t="n">
        <f aca="false">I49</f>
        <v>57.6</v>
      </c>
    </row>
    <row r="50" customFormat="false" ht="15.75" hidden="false" customHeight="false" outlineLevel="0" collapsed="false">
      <c r="A50" s="148"/>
      <c r="B50" s="69"/>
      <c r="C50" s="135" t="s">
        <v>236</v>
      </c>
      <c r="D50" s="60"/>
      <c r="E50" s="60"/>
      <c r="F50" s="60"/>
      <c r="G50" s="60"/>
      <c r="H50" s="149"/>
      <c r="I50" s="150"/>
      <c r="J50" s="115" t="n">
        <f aca="false">SUM(J21:J49)</f>
        <v>1738.70265</v>
      </c>
      <c r="K50" s="34" t="s">
        <v>194</v>
      </c>
    </row>
    <row r="51" customFormat="false" ht="15" hidden="false" customHeight="false" outlineLevel="0" collapsed="false">
      <c r="A51" s="141" t="s">
        <v>254</v>
      </c>
      <c r="B51" s="142" t="n">
        <v>819472</v>
      </c>
      <c r="C51" s="66" t="s">
        <v>255</v>
      </c>
      <c r="D51" s="92" t="s">
        <v>229</v>
      </c>
      <c r="E51" s="16" t="n">
        <v>20350299</v>
      </c>
      <c r="F51" s="16"/>
      <c r="G51" s="16"/>
      <c r="H51" s="143" t="n">
        <v>1561.16</v>
      </c>
      <c r="I51" s="144" t="n">
        <f aca="false">800*0.06+761.16*0.07</f>
        <v>101.2812</v>
      </c>
      <c r="J51" s="19" t="n">
        <f aca="false">I51</f>
        <v>101.2812</v>
      </c>
      <c r="K51" s="34" t="s">
        <v>198</v>
      </c>
    </row>
    <row r="52" s="51" customFormat="true" ht="15" hidden="false" customHeight="false" outlineLevel="0" collapsed="false">
      <c r="A52" s="86" t="s">
        <v>254</v>
      </c>
      <c r="B52" s="69" t="n">
        <v>492356</v>
      </c>
      <c r="C52" s="70" t="s">
        <v>209</v>
      </c>
      <c r="D52" s="23" t="s">
        <v>256</v>
      </c>
      <c r="E52" s="151" t="n">
        <v>443646</v>
      </c>
      <c r="F52" s="151"/>
      <c r="G52" s="24"/>
      <c r="H52" s="129" t="n">
        <v>8465</v>
      </c>
      <c r="I52" s="130" t="n">
        <f aca="false">H52*0.075*0.6</f>
        <v>380.925</v>
      </c>
      <c r="J52" s="26" t="n">
        <f aca="false">I52</f>
        <v>380.925</v>
      </c>
      <c r="K52" s="34" t="s">
        <v>200</v>
      </c>
    </row>
    <row r="53" customFormat="false" ht="15" hidden="false" customHeight="false" outlineLevel="0" collapsed="false">
      <c r="A53" s="86" t="s">
        <v>254</v>
      </c>
      <c r="B53" s="69" t="n">
        <v>265570</v>
      </c>
      <c r="C53" s="90" t="s">
        <v>257</v>
      </c>
      <c r="D53" s="24" t="s">
        <v>229</v>
      </c>
      <c r="E53" s="29" t="n">
        <v>20350882</v>
      </c>
      <c r="F53" s="29"/>
      <c r="G53" s="29"/>
      <c r="H53" s="146" t="n">
        <v>2542.6</v>
      </c>
      <c r="I53" s="147" t="n">
        <f aca="false">800*0.06+800*0.07+942.6*0.08</f>
        <v>179.408</v>
      </c>
      <c r="J53" s="45" t="n">
        <f aca="false">I53</f>
        <v>179.408</v>
      </c>
      <c r="K53" s="88" t="s">
        <v>202</v>
      </c>
    </row>
    <row r="54" customFormat="false" ht="15" hidden="false" customHeight="false" outlineLevel="0" collapsed="false">
      <c r="A54" s="86" t="s">
        <v>254</v>
      </c>
      <c r="B54" s="69" t="n">
        <v>566467</v>
      </c>
      <c r="C54" s="70" t="s">
        <v>258</v>
      </c>
      <c r="D54" s="24" t="s">
        <v>229</v>
      </c>
      <c r="E54" s="24" t="n">
        <v>20350674</v>
      </c>
      <c r="F54" s="24"/>
      <c r="G54" s="24"/>
      <c r="H54" s="129" t="n">
        <v>1476.91</v>
      </c>
      <c r="I54" s="130" t="n">
        <f aca="false">800*0.06+676.91*0.07</f>
        <v>95.3837</v>
      </c>
      <c r="J54" s="26" t="n">
        <f aca="false">I54</f>
        <v>95.3837</v>
      </c>
      <c r="K54" s="88" t="s">
        <v>205</v>
      </c>
    </row>
    <row r="55" s="34" customFormat="true" ht="15" hidden="false" customHeight="false" outlineLevel="0" collapsed="false">
      <c r="A55" s="86" t="s">
        <v>254</v>
      </c>
      <c r="B55" s="69" t="n">
        <v>566467</v>
      </c>
      <c r="C55" s="70" t="s">
        <v>258</v>
      </c>
      <c r="D55" s="24" t="s">
        <v>33</v>
      </c>
      <c r="E55" s="24" t="n">
        <v>20343414</v>
      </c>
      <c r="F55" s="24"/>
      <c r="G55" s="24"/>
      <c r="H55" s="152" t="n">
        <v>271</v>
      </c>
      <c r="I55" s="132" t="n">
        <f aca="false">H55-0.12</f>
        <v>270.88</v>
      </c>
      <c r="J55" s="26" t="n">
        <f aca="false">I55</f>
        <v>270.88</v>
      </c>
      <c r="K55" s="88" t="s">
        <v>207</v>
      </c>
    </row>
    <row r="56" s="34" customFormat="true" ht="15" hidden="false" customHeight="false" outlineLevel="0" collapsed="false">
      <c r="A56" s="86" t="s">
        <v>254</v>
      </c>
      <c r="B56" s="69" t="n">
        <v>434718</v>
      </c>
      <c r="C56" s="70" t="s">
        <v>240</v>
      </c>
      <c r="D56" s="23" t="s">
        <v>229</v>
      </c>
      <c r="E56" s="24" t="n">
        <v>20353172</v>
      </c>
      <c r="F56" s="24"/>
      <c r="G56" s="24"/>
      <c r="H56" s="153" t="n">
        <v>498.17</v>
      </c>
      <c r="I56" s="154" t="n">
        <f aca="false">H56*0.06</f>
        <v>29.8902</v>
      </c>
      <c r="J56" s="31" t="n">
        <f aca="false">I56</f>
        <v>29.8902</v>
      </c>
    </row>
    <row r="57" customFormat="false" ht="15" hidden="false" customHeight="false" outlineLevel="0" collapsed="false">
      <c r="A57" s="86" t="s">
        <v>254</v>
      </c>
      <c r="B57" s="69" t="n">
        <v>434718</v>
      </c>
      <c r="C57" s="70" t="s">
        <v>240</v>
      </c>
      <c r="D57" s="23" t="s">
        <v>229</v>
      </c>
      <c r="E57" s="24" t="n">
        <v>20353178</v>
      </c>
      <c r="F57" s="24"/>
      <c r="G57" s="24"/>
      <c r="H57" s="129" t="n">
        <v>628.82</v>
      </c>
      <c r="I57" s="130" t="n">
        <f aca="false">H57*0.06</f>
        <v>37.7292</v>
      </c>
      <c r="J57" s="26" t="n">
        <f aca="false">I57</f>
        <v>37.7292</v>
      </c>
      <c r="K57" s="34" t="s">
        <v>210</v>
      </c>
    </row>
    <row r="58" s="46" customFormat="true" ht="15" hidden="false" customHeight="false" outlineLevel="0" collapsed="false">
      <c r="A58" s="86" t="s">
        <v>254</v>
      </c>
      <c r="B58" s="69" t="n">
        <v>489073</v>
      </c>
      <c r="C58" s="99" t="s">
        <v>259</v>
      </c>
      <c r="D58" s="42" t="s">
        <v>260</v>
      </c>
      <c r="E58" s="29" t="n">
        <v>443800</v>
      </c>
      <c r="F58" s="29"/>
      <c r="G58" s="42" t="n">
        <v>2033</v>
      </c>
      <c r="H58" s="155" t="n">
        <v>1200</v>
      </c>
      <c r="I58" s="156" t="n">
        <f aca="false">H58*17*0.02*0.6</f>
        <v>244.8</v>
      </c>
      <c r="J58" s="157" t="n">
        <f aca="false">I58</f>
        <v>244.8</v>
      </c>
      <c r="K58" s="51" t="s">
        <v>213</v>
      </c>
    </row>
    <row r="59" s="51" customFormat="true" ht="15" hidden="false" customHeight="false" outlineLevel="0" collapsed="false">
      <c r="A59" s="86" t="s">
        <v>254</v>
      </c>
      <c r="B59" s="69" t="n">
        <v>859813</v>
      </c>
      <c r="C59" s="90" t="s">
        <v>261</v>
      </c>
      <c r="D59" s="42" t="s">
        <v>260</v>
      </c>
      <c r="E59" s="29" t="n">
        <v>443472</v>
      </c>
      <c r="F59" s="29"/>
      <c r="G59" s="29" t="n">
        <v>2034</v>
      </c>
      <c r="H59" s="146" t="n">
        <v>1500</v>
      </c>
      <c r="I59" s="147" t="n">
        <f aca="false">H59*17*0.02*0.6</f>
        <v>306</v>
      </c>
      <c r="J59" s="45" t="n">
        <f aca="false">I59</f>
        <v>306</v>
      </c>
      <c r="K59" s="34" t="s">
        <v>214</v>
      </c>
      <c r="L59" s="46"/>
    </row>
    <row r="60" customFormat="false" ht="15" hidden="false" customHeight="false" outlineLevel="0" collapsed="false">
      <c r="A60" s="86" t="s">
        <v>254</v>
      </c>
      <c r="B60" s="69" t="n">
        <v>294523</v>
      </c>
      <c r="C60" s="99" t="s">
        <v>262</v>
      </c>
      <c r="D60" s="42" t="s">
        <v>33</v>
      </c>
      <c r="E60" s="29" t="n">
        <v>20350143</v>
      </c>
      <c r="F60" s="29"/>
      <c r="G60" s="100"/>
      <c r="H60" s="146" t="n">
        <v>198.4</v>
      </c>
      <c r="I60" s="147" t="n">
        <f aca="false">H60*0.12</f>
        <v>23.808</v>
      </c>
      <c r="J60" s="45" t="n">
        <f aca="false">I60</f>
        <v>23.808</v>
      </c>
      <c r="K60" s="34" t="s">
        <v>216</v>
      </c>
    </row>
    <row r="61" customFormat="false" ht="15" hidden="false" customHeight="false" outlineLevel="0" collapsed="false">
      <c r="A61" s="86" t="s">
        <v>254</v>
      </c>
      <c r="B61" s="69" t="n">
        <v>294523</v>
      </c>
      <c r="C61" s="99" t="s">
        <v>262</v>
      </c>
      <c r="D61" s="23" t="s">
        <v>242</v>
      </c>
      <c r="E61" s="29" t="n">
        <v>20350143</v>
      </c>
      <c r="F61" s="29"/>
      <c r="G61" s="29"/>
      <c r="H61" s="146" t="n">
        <v>110.88</v>
      </c>
      <c r="I61" s="147" t="n">
        <f aca="false">H61*0.15</f>
        <v>16.632</v>
      </c>
      <c r="J61" s="45" t="n">
        <f aca="false">I61</f>
        <v>16.632</v>
      </c>
      <c r="K61" s="34"/>
    </row>
    <row r="62" customFormat="false" ht="15" hidden="false" customHeight="false" outlineLevel="0" collapsed="false">
      <c r="A62" s="86" t="s">
        <v>254</v>
      </c>
      <c r="B62" s="69" t="n">
        <v>805394</v>
      </c>
      <c r="C62" s="99" t="s">
        <v>263</v>
      </c>
      <c r="D62" s="23" t="s">
        <v>59</v>
      </c>
      <c r="E62" s="29" t="n">
        <v>61002771</v>
      </c>
      <c r="F62" s="29"/>
      <c r="G62" s="29"/>
      <c r="H62" s="146" t="n">
        <v>307.08</v>
      </c>
      <c r="I62" s="147" t="n">
        <f aca="false">(H62/12*3.5)*0.6</f>
        <v>53.739</v>
      </c>
      <c r="J62" s="45" t="n">
        <f aca="false">I62</f>
        <v>53.739</v>
      </c>
      <c r="K62" s="34"/>
    </row>
    <row r="63" customFormat="false" ht="15" hidden="false" customHeight="false" outlineLevel="0" collapsed="false">
      <c r="A63" s="86" t="s">
        <v>254</v>
      </c>
      <c r="B63" s="69" t="n">
        <v>480704</v>
      </c>
      <c r="C63" s="99" t="s">
        <v>264</v>
      </c>
      <c r="D63" s="23" t="s">
        <v>235</v>
      </c>
      <c r="E63" s="29" t="n">
        <v>61018913</v>
      </c>
      <c r="F63" s="29"/>
      <c r="G63" s="29"/>
      <c r="H63" s="146" t="n">
        <v>1314</v>
      </c>
      <c r="I63" s="147" t="n">
        <f aca="false">H63/12*3.5*0.6</f>
        <v>229.95</v>
      </c>
      <c r="J63" s="45" t="n">
        <f aca="false">I63</f>
        <v>229.95</v>
      </c>
      <c r="K63" s="34"/>
    </row>
    <row r="64" customFormat="false" ht="15" hidden="false" customHeight="false" outlineLevel="0" collapsed="false">
      <c r="A64" s="86" t="s">
        <v>254</v>
      </c>
      <c r="B64" s="69" t="n">
        <v>278270</v>
      </c>
      <c r="C64" s="99" t="s">
        <v>265</v>
      </c>
      <c r="D64" s="23" t="s">
        <v>229</v>
      </c>
      <c r="E64" s="29" t="n">
        <v>20356191</v>
      </c>
      <c r="F64" s="29"/>
      <c r="G64" s="29"/>
      <c r="H64" s="146" t="n">
        <v>634.05</v>
      </c>
      <c r="I64" s="147" t="n">
        <f aca="false">H64*0.06</f>
        <v>38.043</v>
      </c>
      <c r="J64" s="45" t="n">
        <f aca="false">I64</f>
        <v>38.043</v>
      </c>
      <c r="K64" s="34"/>
    </row>
    <row r="65" customFormat="false" ht="15" hidden="false" customHeight="false" outlineLevel="0" collapsed="false">
      <c r="A65" s="86" t="s">
        <v>254</v>
      </c>
      <c r="B65" s="69" t="n">
        <v>774166</v>
      </c>
      <c r="C65" s="99" t="s">
        <v>266</v>
      </c>
      <c r="D65" s="23" t="s">
        <v>33</v>
      </c>
      <c r="E65" s="29" t="n">
        <v>20356204</v>
      </c>
      <c r="F65" s="29"/>
      <c r="G65" s="29"/>
      <c r="H65" s="146" t="n">
        <v>647.49</v>
      </c>
      <c r="I65" s="147" t="n">
        <f aca="false">H65*0.12</f>
        <v>77.6988</v>
      </c>
      <c r="J65" s="45" t="n">
        <f aca="false">I65</f>
        <v>77.6988</v>
      </c>
      <c r="K65" s="34"/>
    </row>
    <row r="66" customFormat="false" ht="15" hidden="false" customHeight="false" outlineLevel="0" collapsed="false">
      <c r="A66" s="86" t="s">
        <v>254</v>
      </c>
      <c r="B66" s="69" t="n">
        <v>399539</v>
      </c>
      <c r="C66" s="99" t="s">
        <v>267</v>
      </c>
      <c r="D66" s="23" t="s">
        <v>59</v>
      </c>
      <c r="E66" s="29" t="n">
        <v>61019120</v>
      </c>
      <c r="F66" s="29"/>
      <c r="G66" s="29"/>
      <c r="H66" s="146" t="n">
        <v>896.83</v>
      </c>
      <c r="I66" s="147" t="n">
        <f aca="false">H66/12*3.5*0.6</f>
        <v>156.94525</v>
      </c>
      <c r="J66" s="45" t="n">
        <f aca="false">I66</f>
        <v>156.94525</v>
      </c>
      <c r="K66" s="34"/>
    </row>
    <row r="67" customFormat="false" ht="15" hidden="false" customHeight="false" outlineLevel="0" collapsed="false">
      <c r="A67" s="86" t="s">
        <v>254</v>
      </c>
      <c r="B67" s="69" t="n">
        <v>812252</v>
      </c>
      <c r="C67" s="99" t="s">
        <v>268</v>
      </c>
      <c r="D67" s="23" t="s">
        <v>260</v>
      </c>
      <c r="E67" s="29" t="n">
        <v>443948</v>
      </c>
      <c r="F67" s="29"/>
      <c r="G67" s="29" t="n">
        <v>2037</v>
      </c>
      <c r="H67" s="146" t="n">
        <v>1692</v>
      </c>
      <c r="I67" s="147" t="n">
        <f aca="false">H67*20*0.02*0.6</f>
        <v>406.08</v>
      </c>
      <c r="J67" s="45" t="n">
        <f aca="false">I67</f>
        <v>406.08</v>
      </c>
      <c r="K67" s="34"/>
    </row>
    <row r="68" customFormat="false" ht="15" hidden="false" customHeight="false" outlineLevel="0" collapsed="false">
      <c r="A68" s="86" t="s">
        <v>254</v>
      </c>
      <c r="B68" s="69" t="n">
        <v>515179</v>
      </c>
      <c r="C68" s="99" t="s">
        <v>269</v>
      </c>
      <c r="D68" s="23" t="s">
        <v>256</v>
      </c>
      <c r="E68" s="29" t="n">
        <v>444044</v>
      </c>
      <c r="F68" s="29"/>
      <c r="G68" s="29"/>
      <c r="H68" s="146" t="n">
        <v>306.92</v>
      </c>
      <c r="I68" s="147" t="n">
        <f aca="false">H68*0.075*0.6</f>
        <v>13.8114</v>
      </c>
      <c r="J68" s="45" t="n">
        <f aca="false">I68</f>
        <v>13.8114</v>
      </c>
      <c r="K68" s="34"/>
    </row>
    <row r="69" customFormat="false" ht="15" hidden="false" customHeight="false" outlineLevel="0" collapsed="false">
      <c r="A69" s="86" t="s">
        <v>254</v>
      </c>
      <c r="B69" s="69" t="n">
        <v>726792</v>
      </c>
      <c r="C69" s="99" t="s">
        <v>270</v>
      </c>
      <c r="D69" s="23" t="s">
        <v>260</v>
      </c>
      <c r="E69" s="29" t="n">
        <v>409453</v>
      </c>
      <c r="F69" s="29"/>
      <c r="G69" s="29" t="n">
        <v>2027</v>
      </c>
      <c r="H69" s="146" t="n">
        <v>1750</v>
      </c>
      <c r="I69" s="147" t="n">
        <f aca="false">H69*11*0.02*0.6</f>
        <v>231</v>
      </c>
      <c r="J69" s="45" t="n">
        <f aca="false">I69</f>
        <v>231</v>
      </c>
      <c r="K69" s="34"/>
    </row>
    <row r="70" customFormat="false" ht="15" hidden="false" customHeight="false" outlineLevel="0" collapsed="false">
      <c r="A70" s="86" t="s">
        <v>254</v>
      </c>
      <c r="B70" s="69" t="n">
        <v>515456</v>
      </c>
      <c r="C70" s="99" t="s">
        <v>271</v>
      </c>
      <c r="D70" s="23" t="s">
        <v>229</v>
      </c>
      <c r="E70" s="29" t="n">
        <v>20358460</v>
      </c>
      <c r="F70" s="29"/>
      <c r="G70" s="29"/>
      <c r="H70" s="146" t="n">
        <v>1089.23</v>
      </c>
      <c r="I70" s="147" t="n">
        <f aca="false">800*0.06+289.23*0.07</f>
        <v>68.2461</v>
      </c>
      <c r="J70" s="45" t="n">
        <f aca="false">I70</f>
        <v>68.2461</v>
      </c>
      <c r="K70" s="34"/>
    </row>
    <row r="71" customFormat="false" ht="15" hidden="false" customHeight="false" outlineLevel="0" collapsed="false">
      <c r="A71" s="86" t="s">
        <v>254</v>
      </c>
      <c r="B71" s="69" t="n">
        <v>498511</v>
      </c>
      <c r="C71" s="99" t="s">
        <v>272</v>
      </c>
      <c r="D71" s="23" t="s">
        <v>260</v>
      </c>
      <c r="E71" s="29" t="n">
        <v>444175</v>
      </c>
      <c r="F71" s="29"/>
      <c r="G71" s="29" t="n">
        <v>2041</v>
      </c>
      <c r="H71" s="146" t="n">
        <v>1500</v>
      </c>
      <c r="I71" s="147" t="n">
        <f aca="false">H71*25*0.02*0.6</f>
        <v>450</v>
      </c>
      <c r="J71" s="45" t="n">
        <f aca="false">I71</f>
        <v>450</v>
      </c>
      <c r="K71" s="34"/>
    </row>
    <row r="72" customFormat="false" ht="15" hidden="false" customHeight="false" outlineLevel="0" collapsed="false">
      <c r="A72" s="86" t="s">
        <v>254</v>
      </c>
      <c r="B72" s="69" t="n">
        <v>792018</v>
      </c>
      <c r="C72" s="99" t="s">
        <v>273</v>
      </c>
      <c r="D72" s="23" t="s">
        <v>59</v>
      </c>
      <c r="E72" s="29" t="n">
        <v>60016648</v>
      </c>
      <c r="F72" s="29"/>
      <c r="G72" s="29"/>
      <c r="H72" s="146" t="n">
        <v>612.41</v>
      </c>
      <c r="I72" s="147" t="n">
        <f aca="false">H72/12*3.5*0.6</f>
        <v>107.17175</v>
      </c>
      <c r="J72" s="45" t="n">
        <f aca="false">I72</f>
        <v>107.17175</v>
      </c>
      <c r="K72" s="34"/>
    </row>
    <row r="73" customFormat="false" ht="15" hidden="false" customHeight="false" outlineLevel="0" collapsed="false">
      <c r="A73" s="86" t="s">
        <v>254</v>
      </c>
      <c r="B73" s="69" t="n">
        <v>614914</v>
      </c>
      <c r="C73" s="99" t="s">
        <v>274</v>
      </c>
      <c r="D73" s="23" t="s">
        <v>256</v>
      </c>
      <c r="E73" s="29" t="n">
        <v>444043</v>
      </c>
      <c r="F73" s="29"/>
      <c r="G73" s="29" t="n">
        <v>2037</v>
      </c>
      <c r="H73" s="146" t="n">
        <v>253.04</v>
      </c>
      <c r="I73" s="147" t="n">
        <f aca="false">H73*0.075*0.6</f>
        <v>11.3868</v>
      </c>
      <c r="J73" s="45" t="n">
        <f aca="false">I73</f>
        <v>11.3868</v>
      </c>
      <c r="K73" s="34"/>
    </row>
    <row r="74" customFormat="false" ht="15" hidden="false" customHeight="false" outlineLevel="0" collapsed="false">
      <c r="A74" s="86" t="s">
        <v>254</v>
      </c>
      <c r="B74" s="69" t="n">
        <v>798932</v>
      </c>
      <c r="C74" s="99" t="s">
        <v>275</v>
      </c>
      <c r="D74" s="23" t="s">
        <v>276</v>
      </c>
      <c r="E74" s="29" t="n">
        <v>20260294</v>
      </c>
      <c r="F74" s="29"/>
      <c r="G74" s="29"/>
      <c r="H74" s="146" t="n">
        <v>1704.18</v>
      </c>
      <c r="I74" s="147" t="n">
        <f aca="false">800*0.06+800*0.07+104.18*0.08*0.5</f>
        <v>108.1672</v>
      </c>
      <c r="J74" s="45" t="n">
        <f aca="false">I74</f>
        <v>108.1672</v>
      </c>
      <c r="K74" s="34"/>
    </row>
    <row r="75" customFormat="false" ht="15" hidden="false" customHeight="false" outlineLevel="0" collapsed="false">
      <c r="A75" s="86" t="s">
        <v>254</v>
      </c>
      <c r="B75" s="69" t="n">
        <v>777026</v>
      </c>
      <c r="C75" s="99" t="s">
        <v>277</v>
      </c>
      <c r="D75" s="23" t="s">
        <v>260</v>
      </c>
      <c r="E75" s="29" t="n">
        <v>444155</v>
      </c>
      <c r="F75" s="29"/>
      <c r="G75" s="29" t="n">
        <v>2052</v>
      </c>
      <c r="H75" s="146" t="n">
        <v>1500</v>
      </c>
      <c r="I75" s="147" t="n">
        <f aca="false">H75*36*0.02*0.6</f>
        <v>648</v>
      </c>
      <c r="J75" s="45" t="n">
        <f aca="false">I75</f>
        <v>648</v>
      </c>
      <c r="K75" s="34"/>
    </row>
    <row r="76" customFormat="false" ht="15" hidden="false" customHeight="false" outlineLevel="0" collapsed="false">
      <c r="A76" s="86" t="s">
        <v>254</v>
      </c>
      <c r="B76" s="69" t="n">
        <v>462817</v>
      </c>
      <c r="C76" s="99" t="s">
        <v>278</v>
      </c>
      <c r="D76" s="23" t="s">
        <v>229</v>
      </c>
      <c r="E76" s="29" t="n">
        <v>20354097</v>
      </c>
      <c r="F76" s="29"/>
      <c r="G76" s="29"/>
      <c r="H76" s="146" t="n">
        <v>1705.92</v>
      </c>
      <c r="I76" s="147" t="n">
        <f aca="false">800*0.06+800*0.07+105.92*0.08</f>
        <v>112.4736</v>
      </c>
      <c r="J76" s="45" t="n">
        <f aca="false">I76</f>
        <v>112.4736</v>
      </c>
      <c r="K76" s="34"/>
    </row>
    <row r="77" customFormat="false" ht="15" hidden="false" customHeight="false" outlineLevel="0" collapsed="false">
      <c r="A77" s="86" t="s">
        <v>254</v>
      </c>
      <c r="B77" s="69" t="n">
        <v>462817</v>
      </c>
      <c r="C77" s="99" t="s">
        <v>278</v>
      </c>
      <c r="D77" s="23" t="s">
        <v>279</v>
      </c>
      <c r="E77" s="29" t="n">
        <v>8012702014</v>
      </c>
      <c r="F77" s="29"/>
      <c r="G77" s="29"/>
      <c r="H77" s="146" t="n">
        <v>600</v>
      </c>
      <c r="I77" s="147" t="n">
        <f aca="false">H77*20*0.025*0.6</f>
        <v>180</v>
      </c>
      <c r="J77" s="45" t="n">
        <f aca="false">I77</f>
        <v>180</v>
      </c>
      <c r="K77" s="34"/>
    </row>
    <row r="78" customFormat="false" ht="15" hidden="false" customHeight="false" outlineLevel="0" collapsed="false">
      <c r="A78" s="86" t="s">
        <v>254</v>
      </c>
      <c r="B78" s="69" t="n">
        <v>462817</v>
      </c>
      <c r="C78" s="99" t="s">
        <v>278</v>
      </c>
      <c r="D78" s="23" t="s">
        <v>33</v>
      </c>
      <c r="E78" s="29" t="n">
        <v>20357832</v>
      </c>
      <c r="F78" s="29"/>
      <c r="G78" s="29"/>
      <c r="H78" s="146" t="n">
        <v>236.5</v>
      </c>
      <c r="I78" s="147" t="n">
        <f aca="false">H78*0.12</f>
        <v>28.38</v>
      </c>
      <c r="J78" s="45" t="n">
        <f aca="false">I78</f>
        <v>28.38</v>
      </c>
      <c r="K78" s="34"/>
    </row>
    <row r="79" customFormat="false" ht="15" hidden="false" customHeight="false" outlineLevel="0" collapsed="false">
      <c r="A79" s="86" t="s">
        <v>254</v>
      </c>
      <c r="B79" s="69" t="n">
        <v>531103</v>
      </c>
      <c r="C79" s="99" t="s">
        <v>280</v>
      </c>
      <c r="D79" s="23" t="s">
        <v>229</v>
      </c>
      <c r="E79" s="29" t="n">
        <v>20360225</v>
      </c>
      <c r="F79" s="29"/>
      <c r="G79" s="29"/>
      <c r="H79" s="146" t="n">
        <v>1024.33</v>
      </c>
      <c r="I79" s="147" t="n">
        <f aca="false">800*0.06+224.33*0.07</f>
        <v>63.7031</v>
      </c>
      <c r="J79" s="45" t="n">
        <f aca="false">I79</f>
        <v>63.7031</v>
      </c>
      <c r="K79" s="34"/>
    </row>
    <row r="80" customFormat="false" ht="15" hidden="false" customHeight="false" outlineLevel="0" collapsed="false">
      <c r="A80" s="86" t="s">
        <v>254</v>
      </c>
      <c r="B80" s="69" t="n">
        <v>807737</v>
      </c>
      <c r="C80" s="99" t="s">
        <v>281</v>
      </c>
      <c r="D80" s="23" t="s">
        <v>242</v>
      </c>
      <c r="E80" s="29" t="n">
        <v>60017932</v>
      </c>
      <c r="F80" s="29"/>
      <c r="G80" s="29"/>
      <c r="H80" s="146" t="n">
        <v>145.08</v>
      </c>
      <c r="I80" s="147" t="n">
        <f aca="false">H80*0.15</f>
        <v>21.762</v>
      </c>
      <c r="J80" s="45" t="n">
        <f aca="false">I80</f>
        <v>21.762</v>
      </c>
      <c r="K80" s="34"/>
    </row>
    <row r="81" customFormat="false" ht="15" hidden="false" customHeight="false" outlineLevel="0" collapsed="false">
      <c r="A81" s="86" t="s">
        <v>254</v>
      </c>
      <c r="B81" s="69" t="n">
        <v>292747</v>
      </c>
      <c r="C81" s="99" t="s">
        <v>282</v>
      </c>
      <c r="D81" s="23" t="s">
        <v>172</v>
      </c>
      <c r="E81" s="29" t="n">
        <v>20358950</v>
      </c>
      <c r="F81" s="29"/>
      <c r="G81" s="29"/>
      <c r="H81" s="146" t="n">
        <v>391.29</v>
      </c>
      <c r="I81" s="147" t="n">
        <f aca="false">H81*0.1</f>
        <v>39.129</v>
      </c>
      <c r="J81" s="45" t="n">
        <f aca="false">I81</f>
        <v>39.129</v>
      </c>
      <c r="K81" s="34"/>
    </row>
    <row r="82" customFormat="false" ht="15" hidden="false" customHeight="false" outlineLevel="0" collapsed="false">
      <c r="A82" s="86" t="s">
        <v>254</v>
      </c>
      <c r="B82" s="69" t="n">
        <v>127021</v>
      </c>
      <c r="C82" s="48" t="s">
        <v>283</v>
      </c>
      <c r="D82" s="37" t="s">
        <v>260</v>
      </c>
      <c r="E82" s="102" t="n">
        <v>60219308</v>
      </c>
      <c r="F82" s="102"/>
      <c r="G82" s="102" t="n">
        <v>2026</v>
      </c>
      <c r="H82" s="158" t="n">
        <v>1200</v>
      </c>
      <c r="I82" s="159" t="n">
        <f aca="false">H82*9*0.02*0.6</f>
        <v>129.6</v>
      </c>
      <c r="J82" s="103" t="n">
        <f aca="false">I82</f>
        <v>129.6</v>
      </c>
      <c r="K82" s="34"/>
    </row>
    <row r="83" customFormat="false" ht="15" hidden="false" customHeight="false" outlineLevel="0" collapsed="false">
      <c r="A83" s="86" t="s">
        <v>254</v>
      </c>
      <c r="B83" s="69" t="n">
        <v>515456</v>
      </c>
      <c r="C83" s="48" t="s">
        <v>271</v>
      </c>
      <c r="D83" s="37" t="s">
        <v>33</v>
      </c>
      <c r="E83" s="102"/>
      <c r="F83" s="102"/>
      <c r="G83" s="102"/>
      <c r="H83" s="158" t="n">
        <v>240</v>
      </c>
      <c r="I83" s="159" t="n">
        <f aca="false">H83*0.12</f>
        <v>28.8</v>
      </c>
      <c r="J83" s="103" t="n">
        <f aca="false">I83</f>
        <v>28.8</v>
      </c>
      <c r="K83" s="34"/>
    </row>
    <row r="84" customFormat="false" ht="15" hidden="false" customHeight="false" outlineLevel="0" collapsed="false">
      <c r="A84" s="86" t="s">
        <v>254</v>
      </c>
      <c r="B84" s="69" t="n">
        <v>834160</v>
      </c>
      <c r="C84" s="48" t="s">
        <v>284</v>
      </c>
      <c r="D84" s="37" t="s">
        <v>242</v>
      </c>
      <c r="E84" s="102" t="n">
        <v>20236368</v>
      </c>
      <c r="F84" s="102"/>
      <c r="G84" s="102"/>
      <c r="H84" s="158" t="n">
        <v>110.88</v>
      </c>
      <c r="I84" s="159" t="n">
        <f aca="false">H84*0.15</f>
        <v>16.632</v>
      </c>
      <c r="J84" s="103" t="n">
        <f aca="false">I84</f>
        <v>16.632</v>
      </c>
      <c r="K84" s="34"/>
    </row>
    <row r="85" customFormat="false" ht="15" hidden="false" customHeight="false" outlineLevel="0" collapsed="false">
      <c r="A85" s="86" t="s">
        <v>254</v>
      </c>
      <c r="B85" s="69" t="n">
        <v>559422</v>
      </c>
      <c r="C85" s="48" t="s">
        <v>217</v>
      </c>
      <c r="D85" s="37" t="s">
        <v>20</v>
      </c>
      <c r="E85" s="102" t="n">
        <v>24628603</v>
      </c>
      <c r="F85" s="102"/>
      <c r="G85" s="102"/>
      <c r="H85" s="158" t="n">
        <v>42000</v>
      </c>
      <c r="I85" s="159" t="n">
        <f aca="false">H85*0.007*0.6</f>
        <v>176.4</v>
      </c>
      <c r="J85" s="103" t="n">
        <f aca="false">I85</f>
        <v>176.4</v>
      </c>
      <c r="K85" s="34"/>
    </row>
    <row r="86" customFormat="false" ht="15" hidden="false" customHeight="false" outlineLevel="0" collapsed="false">
      <c r="A86" s="69"/>
      <c r="B86" s="69"/>
      <c r="C86" s="48"/>
      <c r="D86" s="37"/>
      <c r="E86" s="102"/>
      <c r="F86" s="102"/>
      <c r="G86" s="102"/>
      <c r="H86" s="158"/>
      <c r="I86" s="159"/>
      <c r="J86" s="103"/>
      <c r="K86" s="34"/>
    </row>
    <row r="87" customFormat="false" ht="15" hidden="false" customHeight="false" outlineLevel="0" collapsed="false">
      <c r="A87" s="69"/>
      <c r="B87" s="69"/>
      <c r="C87" s="48"/>
      <c r="D87" s="37"/>
      <c r="E87" s="102"/>
      <c r="F87" s="102"/>
      <c r="G87" s="102"/>
      <c r="H87" s="158"/>
      <c r="I87" s="159"/>
      <c r="J87" s="103"/>
      <c r="K87" s="34"/>
    </row>
    <row r="88" customFormat="false" ht="15.75" hidden="false" customHeight="false" outlineLevel="0" collapsed="false">
      <c r="A88" s="69"/>
      <c r="B88" s="69"/>
      <c r="C88" s="160" t="s">
        <v>236</v>
      </c>
      <c r="D88" s="136"/>
      <c r="E88" s="161"/>
      <c r="F88" s="161"/>
      <c r="G88" s="161"/>
      <c r="H88" s="162"/>
      <c r="I88" s="163"/>
      <c r="J88" s="164" t="n">
        <f aca="false">SUM(J51:J84)</f>
        <v>4907.4563</v>
      </c>
      <c r="K88" s="34"/>
    </row>
    <row r="89" customFormat="false" ht="15.75" hidden="false" customHeight="false" outlineLevel="0" collapsed="false">
      <c r="A89" s="69"/>
      <c r="B89" s="69"/>
      <c r="C89" s="165"/>
      <c r="D89" s="166"/>
      <c r="E89" s="167"/>
      <c r="F89" s="167"/>
      <c r="G89" s="167"/>
      <c r="H89" s="168"/>
      <c r="I89" s="169"/>
      <c r="J89" s="170"/>
      <c r="K89" s="34"/>
    </row>
    <row r="90" customFormat="false" ht="15.75" hidden="false" customHeight="false" outlineLevel="0" collapsed="false">
      <c r="A90" s="105"/>
      <c r="B90" s="105"/>
      <c r="C90" s="171" t="s">
        <v>285</v>
      </c>
      <c r="D90" s="107"/>
      <c r="E90" s="107"/>
      <c r="F90" s="107"/>
      <c r="G90" s="107"/>
      <c r="H90" s="172"/>
      <c r="I90" s="173"/>
      <c r="J90" s="108" t="n">
        <f aca="false">SUM(J20,J50,J88)</f>
        <v>7535.9843</v>
      </c>
      <c r="K90" s="34"/>
    </row>
    <row r="91" customFormat="false" ht="15" hidden="false" customHeight="false" outlineLevel="0" collapsed="false">
      <c r="A91" s="110"/>
      <c r="B91" s="110"/>
      <c r="C91" s="111"/>
      <c r="D91" s="112"/>
      <c r="E91" s="112"/>
      <c r="F91" s="112"/>
      <c r="G91" s="112"/>
      <c r="H91" s="174"/>
      <c r="I91" s="175"/>
      <c r="J91" s="96"/>
      <c r="K91" s="34"/>
    </row>
    <row r="92" customFormat="false" ht="15" hidden="false" customHeight="false" outlineLevel="0" collapsed="false">
      <c r="A92" s="110"/>
      <c r="B92" s="110"/>
      <c r="C92" s="111" t="s">
        <v>220</v>
      </c>
      <c r="D92" s="112"/>
      <c r="E92" s="112"/>
      <c r="F92" s="112"/>
      <c r="G92" s="112"/>
      <c r="H92" s="174"/>
      <c r="I92" s="175"/>
      <c r="J92" s="96" t="n">
        <f aca="false">J10</f>
        <v>5178.65</v>
      </c>
      <c r="K92" s="34"/>
    </row>
    <row r="93" customFormat="false" ht="15" hidden="false" customHeight="false" outlineLevel="0" collapsed="false">
      <c r="A93" s="110"/>
      <c r="B93" s="110"/>
      <c r="C93" s="111" t="s">
        <v>221</v>
      </c>
      <c r="D93" s="112"/>
      <c r="E93" s="112"/>
      <c r="F93" s="112"/>
      <c r="G93" s="112"/>
      <c r="H93" s="174"/>
      <c r="I93" s="175"/>
      <c r="J93" s="96" t="n">
        <f aca="false">SUM(J90:J92)</f>
        <v>12714.6343</v>
      </c>
      <c r="K93" s="34"/>
    </row>
    <row r="94" s="116" customFormat="true" ht="15.75" hidden="false" customHeight="false" outlineLevel="0" collapsed="false">
      <c r="A94" s="110"/>
      <c r="B94" s="110"/>
      <c r="C94" s="114" t="s">
        <v>222</v>
      </c>
      <c r="D94" s="60"/>
      <c r="E94" s="60"/>
      <c r="F94" s="60"/>
      <c r="G94" s="60"/>
      <c r="H94" s="176"/>
      <c r="I94" s="177"/>
      <c r="J94" s="26" t="n">
        <f aca="false">J93/3</f>
        <v>4238.21143333333</v>
      </c>
    </row>
    <row r="95" s="120" customFormat="true" ht="15" hidden="false" customHeight="false" outlineLevel="0" collapsed="false">
      <c r="A95" s="110"/>
      <c r="B95" s="110"/>
      <c r="C95" s="117"/>
      <c r="D95" s="80"/>
      <c r="E95" s="80"/>
      <c r="F95" s="80"/>
      <c r="G95" s="80"/>
      <c r="H95" s="178"/>
      <c r="I95" s="179"/>
      <c r="J95" s="119"/>
    </row>
  </sheetData>
  <printOptions headings="false" gridLines="true" gridLinesSet="true" horizontalCentered="false" verticalCentered="false"/>
  <pageMargins left="0.236111111111111" right="0.236111111111111" top="0.748611111111111" bottom="0.748611111111111" header="0.315277777777778" footer="0.315277777777778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4 ème TRIMESTRE</oddHeader>
    <oddFooter>&amp;L&amp;8&amp;Z&amp;F&amp;C&amp;7&amp;P/&amp;N&amp;RModfié le &amp;D 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86"/>
  <sheetViews>
    <sheetView showFormulas="false" showGridLines="true" showRowColHeaders="true" showZeros="true" rightToLeft="false" tabSelected="false" showOutlineSymbols="true" defaultGridColor="true" view="normal" topLeftCell="A43" colorId="64" zoomScale="150" zoomScaleNormal="150" zoomScalePageLayoutView="100" workbookViewId="0">
      <selection pane="topLeft" activeCell="D59" activeCellId="1" sqref="A2:A7 D59"/>
    </sheetView>
  </sheetViews>
  <sheetFormatPr defaultRowHeight="15" zeroHeight="false" outlineLevelRow="0" outlineLevelCol="0"/>
  <cols>
    <col collapsed="false" customWidth="true" hidden="false" outlineLevel="0" max="1" min="1" style="62" width="16"/>
    <col collapsed="false" customWidth="true" hidden="false" outlineLevel="0" max="2" min="2" style="62" width="10.42"/>
    <col collapsed="false" customWidth="true" hidden="false" outlineLevel="0" max="3" min="3" style="2" width="27.99"/>
    <col collapsed="false" customWidth="true" hidden="false" outlineLevel="0" max="4" min="4" style="3" width="21.71"/>
    <col collapsed="false" customWidth="true" hidden="false" outlineLevel="0" max="5" min="5" style="3" width="18.85"/>
    <col collapsed="false" customWidth="true" hidden="false" outlineLevel="0" max="6" min="6" style="180" width="8.42"/>
    <col collapsed="false" customWidth="true" hidden="false" outlineLevel="0" max="7" min="7" style="3" width="10.58"/>
    <col collapsed="false" customWidth="true" hidden="false" outlineLevel="0" max="8" min="8" style="121" width="13.29"/>
    <col collapsed="false" customWidth="true" hidden="false" outlineLevel="0" max="9" min="9" style="122" width="12.42"/>
    <col collapsed="false" customWidth="true" hidden="false" outlineLevel="0" max="10" min="10" style="5" width="12.42"/>
    <col collapsed="false" customWidth="true" hidden="true" outlineLevel="0" max="11" min="11" style="0" width="34.29"/>
    <col collapsed="false" customWidth="true" hidden="false" outlineLevel="0" max="1025" min="12" style="0" width="10.67"/>
  </cols>
  <sheetData>
    <row r="1" customFormat="false" ht="30" hidden="false" customHeight="true" outlineLevel="0" collapsed="false">
      <c r="C1" s="7"/>
      <c r="D1" s="8"/>
      <c r="E1" s="7"/>
      <c r="F1" s="181"/>
      <c r="G1" s="123"/>
      <c r="H1" s="124"/>
      <c r="I1" s="124"/>
      <c r="J1" s="9"/>
      <c r="K1" s="8"/>
    </row>
    <row r="2" s="10" customFormat="true" ht="18.75" hidden="false" customHeight="true" outlineLevel="0" collapsed="false">
      <c r="A2" s="62"/>
      <c r="B2" s="62"/>
      <c r="E2" s="3" t="s">
        <v>286</v>
      </c>
      <c r="F2" s="180"/>
      <c r="G2" s="1" t="s">
        <v>127</v>
      </c>
      <c r="H2" s="125"/>
      <c r="I2" s="125"/>
      <c r="J2" s="10" t="n">
        <f aca="false">6*80</f>
        <v>480</v>
      </c>
    </row>
    <row r="3" s="10" customFormat="true" ht="18.75" hidden="false" customHeight="true" outlineLevel="0" collapsed="false">
      <c r="A3" s="62"/>
      <c r="B3" s="62"/>
      <c r="E3" s="5"/>
      <c r="F3" s="182"/>
      <c r="G3" s="11"/>
      <c r="H3" s="125"/>
      <c r="I3" s="125"/>
    </row>
    <row r="4" customFormat="false" ht="15" hidden="false" customHeight="false" outlineLevel="0" collapsed="false">
      <c r="C4" s="2" t="s">
        <v>125</v>
      </c>
      <c r="D4" s="12"/>
      <c r="G4" s="1"/>
      <c r="H4" s="125"/>
      <c r="I4" s="125"/>
      <c r="J4" s="10"/>
      <c r="K4" s="12"/>
    </row>
    <row r="5" customFormat="false" ht="15" hidden="false" customHeight="false" outlineLevel="0" collapsed="false">
      <c r="D5" s="12"/>
      <c r="G5" s="1"/>
      <c r="H5" s="125"/>
      <c r="I5" s="125"/>
      <c r="J5" s="10"/>
      <c r="K5" s="12"/>
    </row>
    <row r="6" customFormat="false" ht="15" hidden="false" customHeight="false" outlineLevel="0" collapsed="false">
      <c r="C6" s="2" t="s">
        <v>5</v>
      </c>
      <c r="D6" s="12" t="s">
        <v>287</v>
      </c>
      <c r="G6" s="1"/>
      <c r="H6" s="125"/>
      <c r="I6" s="125"/>
      <c r="J6" s="10" t="n">
        <v>1379</v>
      </c>
      <c r="K6" s="12"/>
    </row>
    <row r="7" customFormat="false" ht="15" hidden="false" customHeight="false" outlineLevel="0" collapsed="false">
      <c r="C7" s="2" t="s">
        <v>5</v>
      </c>
      <c r="D7" s="12" t="s">
        <v>288</v>
      </c>
      <c r="G7" s="1"/>
      <c r="H7" s="125"/>
      <c r="I7" s="125"/>
      <c r="J7" s="10" t="n">
        <v>1502.55</v>
      </c>
      <c r="K7" s="12"/>
    </row>
    <row r="8" customFormat="false" ht="15" hidden="false" customHeight="false" outlineLevel="0" collapsed="false">
      <c r="C8" s="2" t="s">
        <v>5</v>
      </c>
      <c r="D8" s="12" t="s">
        <v>289</v>
      </c>
      <c r="G8" s="1"/>
      <c r="H8" s="125"/>
      <c r="I8" s="125"/>
      <c r="J8" s="10" t="n">
        <v>1621.55</v>
      </c>
      <c r="K8" s="12"/>
    </row>
    <row r="9" customFormat="false" ht="15" hidden="false" customHeight="false" outlineLevel="0" collapsed="false">
      <c r="D9" s="12"/>
      <c r="G9" s="1"/>
      <c r="H9" s="125"/>
      <c r="I9" s="125"/>
      <c r="J9" s="10"/>
      <c r="K9" s="12"/>
    </row>
    <row r="10" customFormat="false" ht="15" hidden="false" customHeight="false" outlineLevel="0" collapsed="false">
      <c r="C10" s="2" t="s">
        <v>131</v>
      </c>
      <c r="D10" s="12"/>
      <c r="G10" s="1"/>
      <c r="H10" s="125"/>
      <c r="I10" s="125"/>
      <c r="J10" s="63" t="n">
        <f aca="false">SUM(J2:J8)</f>
        <v>4983.1</v>
      </c>
      <c r="K10" s="12"/>
    </row>
    <row r="11" customFormat="false" ht="15.75" hidden="false" customHeight="false" outlineLevel="0" collapsed="false">
      <c r="K11" s="1"/>
    </row>
    <row r="12" customFormat="false" ht="30" hidden="false" customHeight="false" outlineLevel="0" collapsed="false">
      <c r="A12" s="64"/>
      <c r="B12" s="183" t="s">
        <v>10</v>
      </c>
      <c r="C12" s="15" t="s">
        <v>11</v>
      </c>
      <c r="D12" s="16" t="s">
        <v>12</v>
      </c>
      <c r="E12" s="16" t="s">
        <v>13</v>
      </c>
      <c r="F12" s="126" t="s">
        <v>227</v>
      </c>
      <c r="G12" s="16" t="s">
        <v>14</v>
      </c>
      <c r="H12" s="184" t="s">
        <v>15</v>
      </c>
      <c r="I12" s="185" t="s">
        <v>16</v>
      </c>
      <c r="J12" s="19" t="s">
        <v>17</v>
      </c>
    </row>
    <row r="13" customFormat="false" ht="15" hidden="false" customHeight="false" outlineLevel="0" collapsed="false">
      <c r="A13" s="69" t="s">
        <v>290</v>
      </c>
      <c r="B13" s="110" t="n">
        <v>294775</v>
      </c>
      <c r="C13" s="22" t="s">
        <v>291</v>
      </c>
      <c r="D13" s="24" t="s">
        <v>62</v>
      </c>
      <c r="E13" s="24" t="n">
        <v>20360895</v>
      </c>
      <c r="F13" s="100"/>
      <c r="G13" s="24"/>
      <c r="H13" s="129" t="n">
        <v>244.83</v>
      </c>
      <c r="I13" s="132" t="n">
        <f aca="false">H13*0.12</f>
        <v>29.3796</v>
      </c>
      <c r="J13" s="133" t="n">
        <f aca="false">I13</f>
        <v>29.3796</v>
      </c>
      <c r="K13" s="0" t="s">
        <v>134</v>
      </c>
    </row>
    <row r="14" customFormat="false" ht="15" hidden="false" customHeight="false" outlineLevel="0" collapsed="false">
      <c r="A14" s="69" t="s">
        <v>290</v>
      </c>
      <c r="B14" s="110" t="n">
        <v>591383</v>
      </c>
      <c r="C14" s="22" t="s">
        <v>292</v>
      </c>
      <c r="D14" s="23" t="s">
        <v>293</v>
      </c>
      <c r="E14" s="24" t="n">
        <v>20364861</v>
      </c>
      <c r="F14" s="100"/>
      <c r="G14" s="24"/>
      <c r="H14" s="129" t="n">
        <v>914.77</v>
      </c>
      <c r="I14" s="130" t="n">
        <f aca="false">((800*0.06)+(114.77*0.07))</f>
        <v>56.0339</v>
      </c>
      <c r="J14" s="133" t="n">
        <f aca="false">I14</f>
        <v>56.0339</v>
      </c>
      <c r="K14" s="0" t="s">
        <v>136</v>
      </c>
    </row>
    <row r="15" customFormat="false" ht="15" hidden="false" customHeight="false" outlineLevel="0" collapsed="false">
      <c r="A15" s="69" t="s">
        <v>290</v>
      </c>
      <c r="B15" s="110" t="n">
        <v>556862</v>
      </c>
      <c r="C15" s="22" t="s">
        <v>294</v>
      </c>
      <c r="D15" s="23" t="s">
        <v>295</v>
      </c>
      <c r="E15" s="24" t="n">
        <v>20363991</v>
      </c>
      <c r="F15" s="100"/>
      <c r="G15" s="24"/>
      <c r="H15" s="129" t="n">
        <v>199.62</v>
      </c>
      <c r="I15" s="130" t="n">
        <f aca="false">H15*0.12</f>
        <v>23.9544</v>
      </c>
      <c r="J15" s="133" t="n">
        <f aca="false">I15</f>
        <v>23.9544</v>
      </c>
      <c r="K15" s="0" t="s">
        <v>138</v>
      </c>
    </row>
    <row r="16" customFormat="false" ht="15" hidden="false" customHeight="false" outlineLevel="0" collapsed="false">
      <c r="A16" s="69" t="s">
        <v>290</v>
      </c>
      <c r="B16" s="110" t="n">
        <v>556862</v>
      </c>
      <c r="C16" s="22" t="s">
        <v>294</v>
      </c>
      <c r="D16" s="23" t="s">
        <v>296</v>
      </c>
      <c r="E16" s="24" t="n">
        <v>61020478</v>
      </c>
      <c r="F16" s="100"/>
      <c r="G16" s="24"/>
      <c r="H16" s="129" t="n">
        <v>688.32</v>
      </c>
      <c r="I16" s="130" t="n">
        <f aca="false">(H16/12*3.5)*0.6</f>
        <v>120.456</v>
      </c>
      <c r="J16" s="134" t="n">
        <f aca="false">I16</f>
        <v>120.456</v>
      </c>
      <c r="K16" s="0" t="s">
        <v>139</v>
      </c>
    </row>
    <row r="17" customFormat="false" ht="15" hidden="false" customHeight="false" outlineLevel="0" collapsed="false">
      <c r="A17" s="69" t="s">
        <v>290</v>
      </c>
      <c r="B17" s="110" t="n">
        <v>731291</v>
      </c>
      <c r="C17" s="22" t="s">
        <v>297</v>
      </c>
      <c r="D17" s="23" t="s">
        <v>298</v>
      </c>
      <c r="E17" s="24" t="n">
        <v>610729</v>
      </c>
      <c r="F17" s="100"/>
      <c r="G17" s="24" t="n">
        <v>2036</v>
      </c>
      <c r="H17" s="129" t="n">
        <v>1500</v>
      </c>
      <c r="I17" s="130" t="n">
        <f aca="false">(H17*19*0.02)*0.6</f>
        <v>342</v>
      </c>
      <c r="J17" s="134" t="n">
        <f aca="false">I17</f>
        <v>342</v>
      </c>
      <c r="K17" s="0" t="s">
        <v>141</v>
      </c>
    </row>
    <row r="18" customFormat="false" ht="15" hidden="false" customHeight="false" outlineLevel="0" collapsed="false">
      <c r="A18" s="69" t="s">
        <v>290</v>
      </c>
      <c r="B18" s="110" t="n">
        <v>548742</v>
      </c>
      <c r="C18" s="22" t="s">
        <v>299</v>
      </c>
      <c r="D18" s="23" t="s">
        <v>33</v>
      </c>
      <c r="E18" s="24" t="n">
        <v>20362467</v>
      </c>
      <c r="F18" s="100"/>
      <c r="G18" s="24"/>
      <c r="H18" s="129" t="n">
        <v>208.59</v>
      </c>
      <c r="I18" s="130" t="n">
        <f aca="false">H18*0.12</f>
        <v>25.0308</v>
      </c>
      <c r="J18" s="134" t="n">
        <f aca="false">I18</f>
        <v>25.0308</v>
      </c>
    </row>
    <row r="19" customFormat="false" ht="15" hidden="false" customHeight="false" outlineLevel="0" collapsed="false">
      <c r="A19" s="69" t="s">
        <v>290</v>
      </c>
      <c r="B19" s="110" t="n">
        <v>314323</v>
      </c>
      <c r="C19" s="22" t="s">
        <v>300</v>
      </c>
      <c r="D19" s="23" t="s">
        <v>296</v>
      </c>
      <c r="E19" s="24" t="n">
        <v>61019914</v>
      </c>
      <c r="F19" s="100"/>
      <c r="G19" s="24"/>
      <c r="H19" s="129" t="n">
        <v>1354.2</v>
      </c>
      <c r="I19" s="130" t="n">
        <f aca="false">(H19/12*3.5)*0.6</f>
        <v>236.985</v>
      </c>
      <c r="J19" s="134" t="n">
        <f aca="false">I19</f>
        <v>236.985</v>
      </c>
    </row>
    <row r="20" customFormat="false" ht="15" hidden="false" customHeight="false" outlineLevel="0" collapsed="false">
      <c r="A20" s="69" t="s">
        <v>290</v>
      </c>
      <c r="B20" s="110" t="n">
        <v>597572</v>
      </c>
      <c r="C20" s="22" t="s">
        <v>301</v>
      </c>
      <c r="D20" s="23" t="s">
        <v>298</v>
      </c>
      <c r="E20" s="24" t="n">
        <v>610905</v>
      </c>
      <c r="F20" s="100"/>
      <c r="G20" s="24" t="n">
        <v>2028</v>
      </c>
      <c r="H20" s="129" t="n">
        <v>1200</v>
      </c>
      <c r="I20" s="130" t="n">
        <f aca="false">(H20*11*0.02)*0.6</f>
        <v>158.4</v>
      </c>
      <c r="J20" s="134" t="n">
        <f aca="false">I20</f>
        <v>158.4</v>
      </c>
    </row>
    <row r="21" customFormat="false" ht="15" hidden="false" customHeight="false" outlineLevel="0" collapsed="false">
      <c r="A21" s="69" t="s">
        <v>290</v>
      </c>
      <c r="B21" s="110" t="n">
        <v>597551</v>
      </c>
      <c r="C21" s="22" t="s">
        <v>302</v>
      </c>
      <c r="D21" s="23" t="s">
        <v>298</v>
      </c>
      <c r="E21" s="24" t="n">
        <v>610917</v>
      </c>
      <c r="F21" s="100"/>
      <c r="G21" s="24" t="n">
        <v>2026</v>
      </c>
      <c r="H21" s="129" t="n">
        <v>1200</v>
      </c>
      <c r="I21" s="130" t="n">
        <f aca="false">(H21*9*0.02)*0.6</f>
        <v>129.6</v>
      </c>
      <c r="J21" s="134" t="n">
        <f aca="false">I21</f>
        <v>129.6</v>
      </c>
    </row>
    <row r="22" customFormat="false" ht="15" hidden="false" customHeight="false" outlineLevel="0" collapsed="false">
      <c r="A22" s="69" t="s">
        <v>290</v>
      </c>
      <c r="B22" s="110" t="n">
        <v>819472</v>
      </c>
      <c r="C22" s="22" t="s">
        <v>303</v>
      </c>
      <c r="D22" s="23" t="s">
        <v>298</v>
      </c>
      <c r="E22" s="24" t="n">
        <v>610771</v>
      </c>
      <c r="F22" s="100"/>
      <c r="G22" s="24" t="n">
        <v>2030</v>
      </c>
      <c r="H22" s="129" t="n">
        <v>1100</v>
      </c>
      <c r="I22" s="130" t="n">
        <f aca="false">(H22*13*0.02)*0.6</f>
        <v>171.6</v>
      </c>
      <c r="J22" s="134" t="n">
        <f aca="false">I22</f>
        <v>171.6</v>
      </c>
    </row>
    <row r="23" customFormat="false" ht="15" hidden="false" customHeight="false" outlineLevel="0" collapsed="false">
      <c r="A23" s="69" t="s">
        <v>290</v>
      </c>
      <c r="B23" s="110" t="n">
        <v>543930</v>
      </c>
      <c r="C23" s="22" t="s">
        <v>304</v>
      </c>
      <c r="D23" s="23" t="s">
        <v>305</v>
      </c>
      <c r="E23" s="24" t="n">
        <v>20362492</v>
      </c>
      <c r="F23" s="100"/>
      <c r="G23" s="24"/>
      <c r="H23" s="129" t="n">
        <v>156.69</v>
      </c>
      <c r="I23" s="130" t="n">
        <f aca="false">H23*0.12</f>
        <v>18.8028</v>
      </c>
      <c r="J23" s="134" t="n">
        <f aca="false">I23</f>
        <v>18.8028</v>
      </c>
    </row>
    <row r="24" customFormat="false" ht="15" hidden="false" customHeight="false" outlineLevel="0" collapsed="false">
      <c r="A24" s="69" t="s">
        <v>290</v>
      </c>
      <c r="B24" s="110" t="n">
        <v>601423</v>
      </c>
      <c r="C24" s="186" t="s">
        <v>306</v>
      </c>
      <c r="D24" s="187" t="s">
        <v>293</v>
      </c>
      <c r="E24" s="100" t="n">
        <v>20365397</v>
      </c>
      <c r="F24" s="100"/>
      <c r="G24" s="100"/>
      <c r="H24" s="188" t="n">
        <v>1172.15</v>
      </c>
      <c r="I24" s="189" t="n">
        <f aca="false">(800*0.06)+(372.15*0.07)</f>
        <v>74.0505</v>
      </c>
      <c r="J24" s="134" t="n">
        <f aca="false">I24</f>
        <v>74.0505</v>
      </c>
    </row>
    <row r="25" customFormat="false" ht="15" hidden="false" customHeight="false" outlineLevel="0" collapsed="false">
      <c r="A25" s="69" t="s">
        <v>290</v>
      </c>
      <c r="B25" s="110" t="n">
        <v>601423</v>
      </c>
      <c r="C25" s="186" t="s">
        <v>306</v>
      </c>
      <c r="D25" s="187" t="s">
        <v>33</v>
      </c>
      <c r="E25" s="100" t="n">
        <v>20365411</v>
      </c>
      <c r="F25" s="100"/>
      <c r="G25" s="100"/>
      <c r="H25" s="188" t="n">
        <v>130.66</v>
      </c>
      <c r="I25" s="189" t="n">
        <f aca="false">H25*0.12</f>
        <v>15.6792</v>
      </c>
      <c r="J25" s="134" t="n">
        <f aca="false">I25</f>
        <v>15.6792</v>
      </c>
    </row>
    <row r="26" customFormat="false" ht="15" hidden="false" customHeight="false" outlineLevel="0" collapsed="false">
      <c r="A26" s="69" t="s">
        <v>290</v>
      </c>
      <c r="B26" s="110" t="n">
        <v>606245</v>
      </c>
      <c r="C26" s="22" t="s">
        <v>307</v>
      </c>
      <c r="D26" s="23" t="s">
        <v>33</v>
      </c>
      <c r="E26" s="24" t="n">
        <v>20365809</v>
      </c>
      <c r="F26" s="100"/>
      <c r="H26" s="24" t="n">
        <v>454.46</v>
      </c>
      <c r="I26" s="130" t="n">
        <f aca="false">H26*0.12</f>
        <v>54.5352</v>
      </c>
      <c r="J26" s="134" t="n">
        <f aca="false">I26</f>
        <v>54.5352</v>
      </c>
    </row>
    <row r="27" customFormat="false" ht="15" hidden="false" customHeight="false" outlineLevel="0" collapsed="false">
      <c r="A27" s="69" t="s">
        <v>290</v>
      </c>
      <c r="B27" s="110" t="n">
        <v>905099</v>
      </c>
      <c r="C27" s="22" t="s">
        <v>308</v>
      </c>
      <c r="D27" s="23" t="s">
        <v>42</v>
      </c>
      <c r="E27" s="24" t="n">
        <v>20248133</v>
      </c>
      <c r="F27" s="100"/>
      <c r="G27" s="24"/>
      <c r="H27" s="129" t="n">
        <v>111.71</v>
      </c>
      <c r="I27" s="130" t="n">
        <f aca="false">H27*0.15</f>
        <v>16.7565</v>
      </c>
      <c r="J27" s="134" t="n">
        <f aca="false">I27</f>
        <v>16.7565</v>
      </c>
    </row>
    <row r="28" customFormat="false" ht="15" hidden="false" customHeight="false" outlineLevel="0" collapsed="false">
      <c r="A28" s="69" t="s">
        <v>290</v>
      </c>
      <c r="B28" s="110" t="n">
        <v>705800</v>
      </c>
      <c r="C28" s="186" t="s">
        <v>309</v>
      </c>
      <c r="D28" s="187" t="s">
        <v>298</v>
      </c>
      <c r="E28" s="100" t="n">
        <v>611030</v>
      </c>
      <c r="F28" s="100"/>
      <c r="G28" s="100" t="n">
        <v>2039</v>
      </c>
      <c r="H28" s="188" t="n">
        <v>1692</v>
      </c>
      <c r="I28" s="189" t="n">
        <f aca="false">(H28*22*0.02)*0.6</f>
        <v>446.688</v>
      </c>
      <c r="J28" s="134" t="n">
        <f aca="false">I28</f>
        <v>446.688</v>
      </c>
      <c r="K28" s="46"/>
    </row>
    <row r="29" customFormat="false" ht="15" hidden="false" customHeight="false" outlineLevel="0" collapsed="false">
      <c r="A29" s="69" t="s">
        <v>290</v>
      </c>
      <c r="B29" s="110" t="n">
        <v>756960</v>
      </c>
      <c r="C29" s="22" t="s">
        <v>310</v>
      </c>
      <c r="D29" s="23" t="s">
        <v>296</v>
      </c>
      <c r="E29" s="24" t="n">
        <v>61020598</v>
      </c>
      <c r="F29" s="100"/>
      <c r="G29" s="24"/>
      <c r="H29" s="129" t="n">
        <v>663.96</v>
      </c>
      <c r="I29" s="130" t="n">
        <f aca="false">(H29/12*3.5)*0.6</f>
        <v>116.193</v>
      </c>
      <c r="J29" s="134" t="n">
        <f aca="false">I29</f>
        <v>116.193</v>
      </c>
    </row>
    <row r="30" customFormat="false" ht="15.75" hidden="false" customHeight="false" outlineLevel="0" collapsed="false">
      <c r="A30" s="69"/>
      <c r="B30" s="110"/>
      <c r="C30" s="190"/>
      <c r="D30" s="24"/>
      <c r="E30" s="24"/>
      <c r="F30" s="100"/>
      <c r="G30" s="24"/>
      <c r="H30" s="129"/>
      <c r="I30" s="132"/>
      <c r="J30" s="134"/>
    </row>
    <row r="31" customFormat="false" ht="15.75" hidden="false" customHeight="false" outlineLevel="0" collapsed="false">
      <c r="A31" s="191"/>
      <c r="B31" s="192"/>
      <c r="C31" s="193" t="s">
        <v>311</v>
      </c>
      <c r="D31" s="136"/>
      <c r="E31" s="137"/>
      <c r="F31" s="194"/>
      <c r="G31" s="137"/>
      <c r="H31" s="138"/>
      <c r="I31" s="139"/>
      <c r="J31" s="140" t="n">
        <f aca="false">SUM(J13:J30)</f>
        <v>2036.1449</v>
      </c>
    </row>
    <row r="32" customFormat="false" ht="15" hidden="false" customHeight="false" outlineLevel="0" collapsed="false">
      <c r="A32" s="142" t="s">
        <v>312</v>
      </c>
      <c r="B32" s="195" t="n">
        <v>411055</v>
      </c>
      <c r="C32" s="15" t="s">
        <v>233</v>
      </c>
      <c r="D32" s="16" t="s">
        <v>62</v>
      </c>
      <c r="E32" s="16" t="n">
        <v>20350380</v>
      </c>
      <c r="F32" s="126"/>
      <c r="G32" s="16"/>
      <c r="H32" s="143" t="n">
        <v>172.9</v>
      </c>
      <c r="I32" s="144" t="n">
        <f aca="false">H32*0.12</f>
        <v>20.748</v>
      </c>
      <c r="J32" s="19" t="n">
        <f aca="false">I32</f>
        <v>20.748</v>
      </c>
      <c r="K32" s="76" t="s">
        <v>143</v>
      </c>
      <c r="L32" s="76"/>
    </row>
    <row r="33" s="76" customFormat="true" ht="15" hidden="false" customHeight="false" outlineLevel="0" collapsed="false">
      <c r="A33" s="3" t="s">
        <v>312</v>
      </c>
      <c r="B33" s="196" t="n">
        <v>848696</v>
      </c>
      <c r="C33" s="197" t="s">
        <v>313</v>
      </c>
      <c r="D33" s="198" t="s">
        <v>296</v>
      </c>
      <c r="E33" s="199" t="s">
        <v>314</v>
      </c>
      <c r="F33" s="199"/>
      <c r="G33" s="199"/>
      <c r="H33" s="200" t="n">
        <v>1470.84</v>
      </c>
      <c r="I33" s="201" t="n">
        <f aca="false">(H33/12*3.5)*0.6</f>
        <v>257.397</v>
      </c>
      <c r="J33" s="202" t="n">
        <f aca="false">I33</f>
        <v>257.397</v>
      </c>
      <c r="K33" s="203" t="s">
        <v>175</v>
      </c>
      <c r="L33" s="34"/>
    </row>
    <row r="34" s="34" customFormat="true" ht="15" hidden="false" customHeight="false" outlineLevel="0" collapsed="false">
      <c r="A34" s="69" t="s">
        <v>312</v>
      </c>
      <c r="B34" s="204" t="n">
        <v>848696</v>
      </c>
      <c r="C34" s="22" t="s">
        <v>315</v>
      </c>
      <c r="D34" s="23" t="s">
        <v>296</v>
      </c>
      <c r="E34" s="24" t="n">
        <v>61020956</v>
      </c>
      <c r="F34" s="100"/>
      <c r="G34" s="24"/>
      <c r="H34" s="129" t="n">
        <v>663.96</v>
      </c>
      <c r="I34" s="130" t="n">
        <f aca="false">(H34/12*3.5)*0.6</f>
        <v>116.193</v>
      </c>
      <c r="J34" s="26" t="n">
        <f aca="false">I34</f>
        <v>116.193</v>
      </c>
      <c r="K34" s="34" t="s">
        <v>177</v>
      </c>
    </row>
    <row r="35" customFormat="false" ht="15" hidden="false" customHeight="false" outlineLevel="0" collapsed="false">
      <c r="A35" s="69" t="s">
        <v>312</v>
      </c>
      <c r="B35" s="110" t="n">
        <v>621969</v>
      </c>
      <c r="C35" s="43" t="s">
        <v>316</v>
      </c>
      <c r="D35" s="42" t="s">
        <v>317</v>
      </c>
      <c r="E35" s="29" t="n">
        <v>610986</v>
      </c>
      <c r="F35" s="29"/>
      <c r="G35" s="29" t="n">
        <v>2048</v>
      </c>
      <c r="H35" s="146" t="n">
        <v>1200</v>
      </c>
      <c r="I35" s="147" t="n">
        <f aca="false">(H35*31*0.02)*0.6</f>
        <v>446.4</v>
      </c>
      <c r="J35" s="45" t="n">
        <f aca="false">I35</f>
        <v>446.4</v>
      </c>
      <c r="K35" s="34" t="s">
        <v>178</v>
      </c>
    </row>
    <row r="36" customFormat="false" ht="15" hidden="false" customHeight="false" outlineLevel="0" collapsed="false">
      <c r="A36" s="205" t="s">
        <v>312</v>
      </c>
      <c r="B36" s="110" t="n">
        <v>623396</v>
      </c>
      <c r="C36" s="22" t="s">
        <v>318</v>
      </c>
      <c r="D36" s="24" t="s">
        <v>62</v>
      </c>
      <c r="E36" s="24" t="n">
        <v>20367851</v>
      </c>
      <c r="F36" s="100"/>
      <c r="G36" s="24"/>
      <c r="H36" s="145" t="n">
        <v>263.11</v>
      </c>
      <c r="I36" s="130" t="n">
        <f aca="false">H36*0.12</f>
        <v>31.5732</v>
      </c>
      <c r="J36" s="26" t="n">
        <f aca="false">I36</f>
        <v>31.5732</v>
      </c>
      <c r="K36" s="34" t="s">
        <v>170</v>
      </c>
    </row>
    <row r="37" customFormat="false" ht="15" hidden="false" customHeight="false" outlineLevel="0" collapsed="false">
      <c r="A37" s="62" t="s">
        <v>312</v>
      </c>
      <c r="B37" s="62" t="n">
        <v>606245</v>
      </c>
      <c r="C37" s="22" t="s">
        <v>319</v>
      </c>
      <c r="D37" s="33" t="s">
        <v>31</v>
      </c>
      <c r="E37" s="24" t="n">
        <v>20368089</v>
      </c>
      <c r="F37" s="100"/>
      <c r="G37" s="24"/>
      <c r="H37" s="129" t="n">
        <v>520.71</v>
      </c>
      <c r="I37" s="130" t="n">
        <f aca="false">H37*0.06</f>
        <v>31.2426</v>
      </c>
      <c r="J37" s="26" t="n">
        <f aca="false">I37</f>
        <v>31.2426</v>
      </c>
      <c r="K37" s="88" t="s">
        <v>182</v>
      </c>
    </row>
    <row r="38" customFormat="false" ht="22.5" hidden="false" customHeight="false" outlineLevel="0" collapsed="false">
      <c r="A38" s="205" t="s">
        <v>312</v>
      </c>
      <c r="B38" s="62" t="n">
        <v>606245</v>
      </c>
      <c r="C38" s="22" t="s">
        <v>319</v>
      </c>
      <c r="D38" s="33" t="s">
        <v>33</v>
      </c>
      <c r="E38" s="24" t="n">
        <v>20370530</v>
      </c>
      <c r="F38" s="100"/>
      <c r="G38" s="206" t="s">
        <v>320</v>
      </c>
      <c r="H38" s="129"/>
      <c r="I38" s="130" t="n">
        <f aca="false">H38*0.12</f>
        <v>0</v>
      </c>
      <c r="J38" s="26"/>
      <c r="K38" s="51" t="s">
        <v>184</v>
      </c>
    </row>
    <row r="39" customFormat="false" ht="15" hidden="false" customHeight="false" outlineLevel="0" collapsed="false">
      <c r="A39" s="205" t="s">
        <v>312</v>
      </c>
      <c r="B39" s="110" t="n">
        <v>653485</v>
      </c>
      <c r="C39" s="22" t="s">
        <v>321</v>
      </c>
      <c r="D39" s="33" t="s">
        <v>31</v>
      </c>
      <c r="E39" s="29" t="n">
        <v>20368897</v>
      </c>
      <c r="F39" s="100"/>
      <c r="G39" s="29"/>
      <c r="H39" s="146" t="n">
        <v>1715.24</v>
      </c>
      <c r="I39" s="147" t="n">
        <f aca="false">(800*0.06)+(800*0.07)+(115*0.08)</f>
        <v>113.2</v>
      </c>
      <c r="J39" s="45" t="n">
        <f aca="false">I39</f>
        <v>113.2</v>
      </c>
      <c r="K39" s="51" t="s">
        <v>186</v>
      </c>
      <c r="L39" s="51"/>
    </row>
    <row r="40" s="51" customFormat="true" ht="15" hidden="false" customHeight="false" outlineLevel="0" collapsed="false">
      <c r="A40" s="69" t="s">
        <v>312</v>
      </c>
      <c r="B40" s="110" t="n">
        <v>653485</v>
      </c>
      <c r="C40" s="22" t="s">
        <v>321</v>
      </c>
      <c r="D40" s="23" t="s">
        <v>33</v>
      </c>
      <c r="E40" s="29" t="n">
        <v>20369764</v>
      </c>
      <c r="F40" s="100"/>
      <c r="G40" s="29"/>
      <c r="H40" s="146" t="n">
        <v>209.95</v>
      </c>
      <c r="I40" s="147" t="n">
        <f aca="false">H40*0.12</f>
        <v>25.194</v>
      </c>
      <c r="J40" s="45" t="n">
        <f aca="false">I40</f>
        <v>25.194</v>
      </c>
    </row>
    <row r="41" s="51" customFormat="true" ht="15" hidden="false" customHeight="false" outlineLevel="0" collapsed="false">
      <c r="A41" s="69" t="s">
        <v>312</v>
      </c>
      <c r="B41" s="110" t="n">
        <v>465040</v>
      </c>
      <c r="C41" s="22" t="s">
        <v>90</v>
      </c>
      <c r="D41" s="23" t="s">
        <v>31</v>
      </c>
      <c r="E41" s="29" t="n">
        <v>20368838</v>
      </c>
      <c r="F41" s="100"/>
      <c r="G41" s="29"/>
      <c r="H41" s="146" t="n">
        <v>1446.15</v>
      </c>
      <c r="I41" s="147" t="n">
        <f aca="false">(800*0.06)+(646.15*0.07)</f>
        <v>93.2305</v>
      </c>
      <c r="J41" s="45" t="n">
        <f aca="false">I41</f>
        <v>93.2305</v>
      </c>
      <c r="K41" s="88" t="s">
        <v>187</v>
      </c>
    </row>
    <row r="42" s="51" customFormat="true" ht="15" hidden="false" customHeight="false" outlineLevel="0" collapsed="false">
      <c r="A42" s="69" t="s">
        <v>312</v>
      </c>
      <c r="B42" s="110" t="n">
        <v>119792</v>
      </c>
      <c r="C42" s="22" t="s">
        <v>322</v>
      </c>
      <c r="D42" s="23" t="s">
        <v>260</v>
      </c>
      <c r="E42" s="24" t="n">
        <v>445819</v>
      </c>
      <c r="F42" s="100"/>
      <c r="G42" s="24" t="n">
        <v>2029</v>
      </c>
      <c r="H42" s="129" t="n">
        <v>3200</v>
      </c>
      <c r="I42" s="130" t="n">
        <f aca="false">(H42*12*0.02)*0.6</f>
        <v>460.8</v>
      </c>
      <c r="J42" s="26" t="n">
        <f aca="false">I42</f>
        <v>460.8</v>
      </c>
      <c r="K42" s="88"/>
    </row>
    <row r="43" s="51" customFormat="true" ht="15" hidden="false" customHeight="false" outlineLevel="0" collapsed="false">
      <c r="A43" s="69" t="s">
        <v>312</v>
      </c>
      <c r="B43" s="110" t="n">
        <v>397325</v>
      </c>
      <c r="C43" s="22" t="s">
        <v>323</v>
      </c>
      <c r="D43" s="24" t="s">
        <v>298</v>
      </c>
      <c r="E43" s="29" t="n">
        <v>611082</v>
      </c>
      <c r="F43" s="100"/>
      <c r="G43" s="29" t="n">
        <v>2038</v>
      </c>
      <c r="H43" s="129" t="n">
        <v>1200</v>
      </c>
      <c r="I43" s="132" t="n">
        <f aca="false">(H43*21*0.02)*0.6</f>
        <v>302.4</v>
      </c>
      <c r="J43" s="26" t="n">
        <f aca="false">I43</f>
        <v>302.4</v>
      </c>
      <c r="K43" s="51" t="s">
        <v>190</v>
      </c>
    </row>
    <row r="44" s="51" customFormat="true" ht="15" hidden="false" customHeight="false" outlineLevel="0" collapsed="false">
      <c r="A44" s="69" t="s">
        <v>312</v>
      </c>
      <c r="B44" s="110" t="n">
        <v>857776</v>
      </c>
      <c r="C44" s="22" t="s">
        <v>324</v>
      </c>
      <c r="D44" s="24" t="s">
        <v>296</v>
      </c>
      <c r="E44" s="29" t="n">
        <v>61020955</v>
      </c>
      <c r="F44" s="100"/>
      <c r="G44" s="29"/>
      <c r="H44" s="129" t="n">
        <v>700.08</v>
      </c>
      <c r="I44" s="130" t="n">
        <f aca="false">(H44/12*3.5)*0.6</f>
        <v>122.514</v>
      </c>
      <c r="J44" s="26" t="n">
        <f aca="false">I44</f>
        <v>122.514</v>
      </c>
      <c r="K44" s="51" t="s">
        <v>170</v>
      </c>
    </row>
    <row r="45" s="51" customFormat="true" ht="15" hidden="false" customHeight="false" outlineLevel="0" collapsed="false">
      <c r="A45" s="69" t="s">
        <v>312</v>
      </c>
      <c r="B45" s="110" t="n">
        <v>857776</v>
      </c>
      <c r="C45" s="22" t="s">
        <v>324</v>
      </c>
      <c r="D45" s="24" t="s">
        <v>325</v>
      </c>
      <c r="E45" s="29" t="n">
        <v>20191996</v>
      </c>
      <c r="F45" s="100" t="s">
        <v>181</v>
      </c>
      <c r="G45" s="100"/>
      <c r="H45" s="129" t="n">
        <v>1677.16</v>
      </c>
      <c r="I45" s="132" t="n">
        <f aca="false">((800*0.06)+(800*0.07)+(77.16*0.08))*0.5</f>
        <v>55.0864</v>
      </c>
      <c r="J45" s="26" t="n">
        <f aca="false">I45</f>
        <v>55.0864</v>
      </c>
    </row>
    <row r="46" s="51" customFormat="true" ht="15" hidden="false" customHeight="false" outlineLevel="0" collapsed="false">
      <c r="A46" s="69" t="s">
        <v>312</v>
      </c>
      <c r="B46" s="110" t="n">
        <v>358802</v>
      </c>
      <c r="C46" s="22" t="s">
        <v>326</v>
      </c>
      <c r="D46" s="24" t="s">
        <v>31</v>
      </c>
      <c r="E46" s="29" t="n">
        <v>20368677</v>
      </c>
      <c r="F46" s="100"/>
      <c r="G46" s="29"/>
      <c r="H46" s="129" t="n">
        <v>1605.23</v>
      </c>
      <c r="I46" s="132" t="n">
        <f aca="false">((800*0.06)+(800*0.07)+(5.23*0.08))</f>
        <v>104.4184</v>
      </c>
      <c r="J46" s="26" t="n">
        <f aca="false">I46</f>
        <v>104.4184</v>
      </c>
    </row>
    <row r="47" s="51" customFormat="true" ht="15" hidden="false" customHeight="false" outlineLevel="0" collapsed="false">
      <c r="A47" s="69" t="s">
        <v>312</v>
      </c>
      <c r="B47" s="110" t="n">
        <v>515456</v>
      </c>
      <c r="C47" s="22" t="s">
        <v>327</v>
      </c>
      <c r="D47" s="24" t="s">
        <v>33</v>
      </c>
      <c r="E47" s="29" t="n">
        <v>20371620</v>
      </c>
      <c r="F47" s="100"/>
      <c r="G47" s="29"/>
      <c r="H47" s="129" t="n">
        <v>235.26</v>
      </c>
      <c r="I47" s="132" t="n">
        <f aca="false">H47*0.12</f>
        <v>28.2312</v>
      </c>
      <c r="J47" s="26" t="n">
        <f aca="false">I47</f>
        <v>28.2312</v>
      </c>
    </row>
    <row r="48" s="51" customFormat="true" ht="15" hidden="false" customHeight="false" outlineLevel="0" collapsed="false">
      <c r="A48" s="69" t="s">
        <v>312</v>
      </c>
      <c r="B48" s="110" t="n">
        <v>672695</v>
      </c>
      <c r="C48" s="22" t="s">
        <v>328</v>
      </c>
      <c r="D48" s="24" t="s">
        <v>31</v>
      </c>
      <c r="E48" s="29" t="n">
        <v>20370552</v>
      </c>
      <c r="F48" s="100"/>
      <c r="G48" s="29"/>
      <c r="H48" s="129" t="n">
        <v>1286.92</v>
      </c>
      <c r="I48" s="132" t="n">
        <f aca="false">(800*0.06)+(486.92*0.07)</f>
        <v>82.0844</v>
      </c>
      <c r="J48" s="26" t="n">
        <f aca="false">I48</f>
        <v>82.0844</v>
      </c>
    </row>
    <row r="49" s="51" customFormat="true" ht="15" hidden="false" customHeight="false" outlineLevel="0" collapsed="false">
      <c r="A49" s="69" t="s">
        <v>312</v>
      </c>
      <c r="B49" s="110" t="n">
        <v>727461</v>
      </c>
      <c r="C49" s="22" t="s">
        <v>329</v>
      </c>
      <c r="D49" s="24" t="s">
        <v>20</v>
      </c>
      <c r="E49" s="29"/>
      <c r="F49" s="100"/>
      <c r="G49" s="29"/>
      <c r="H49" s="129" t="n">
        <v>40000</v>
      </c>
      <c r="I49" s="132" t="n">
        <f aca="false">(H49*0.007)*0.6</f>
        <v>168</v>
      </c>
      <c r="J49" s="26" t="n">
        <f aca="false">I49</f>
        <v>168</v>
      </c>
    </row>
    <row r="50" s="51" customFormat="true" ht="15" hidden="false" customHeight="false" outlineLevel="0" collapsed="false">
      <c r="A50" s="69" t="s">
        <v>312</v>
      </c>
      <c r="B50" s="110" t="n">
        <v>784374</v>
      </c>
      <c r="C50" s="22" t="s">
        <v>330</v>
      </c>
      <c r="D50" s="24" t="s">
        <v>20</v>
      </c>
      <c r="E50" s="29"/>
      <c r="F50" s="100"/>
      <c r="G50" s="29"/>
      <c r="H50" s="129" t="n">
        <v>40000</v>
      </c>
      <c r="I50" s="132" t="n">
        <f aca="false">(H50*0.007)*0.6</f>
        <v>168</v>
      </c>
      <c r="J50" s="26" t="n">
        <f aca="false">I50</f>
        <v>168</v>
      </c>
    </row>
    <row r="51" s="51" customFormat="true" ht="15" hidden="false" customHeight="false" outlineLevel="0" collapsed="false">
      <c r="A51" s="69" t="s">
        <v>312</v>
      </c>
      <c r="B51" s="207" t="n">
        <v>904456</v>
      </c>
      <c r="C51" s="197" t="s">
        <v>331</v>
      </c>
      <c r="D51" s="199" t="s">
        <v>296</v>
      </c>
      <c r="E51" s="199" t="s">
        <v>332</v>
      </c>
      <c r="F51" s="199"/>
      <c r="G51" s="199"/>
      <c r="H51" s="200" t="n">
        <v>847.82</v>
      </c>
      <c r="I51" s="208" t="n">
        <f aca="false">(H51/12*3.5)*0.6</f>
        <v>148.3685</v>
      </c>
      <c r="J51" s="202" t="n">
        <f aca="false">I51</f>
        <v>148.3685</v>
      </c>
    </row>
    <row r="52" s="51" customFormat="true" ht="15" hidden="false" customHeight="false" outlineLevel="0" collapsed="false">
      <c r="A52" s="69"/>
      <c r="B52" s="110"/>
      <c r="C52" s="22"/>
      <c r="D52" s="24"/>
      <c r="E52" s="29"/>
      <c r="F52" s="100"/>
      <c r="G52" s="29"/>
      <c r="H52" s="129"/>
      <c r="I52" s="132"/>
      <c r="J52" s="26" t="n">
        <f aca="false">I52</f>
        <v>0</v>
      </c>
    </row>
    <row r="53" s="51" customFormat="true" ht="15.75" hidden="false" customHeight="false" outlineLevel="0" collapsed="false">
      <c r="A53" s="69"/>
      <c r="B53" s="110"/>
      <c r="C53" s="22"/>
      <c r="D53" s="24"/>
      <c r="E53" s="29"/>
      <c r="F53" s="100"/>
      <c r="G53" s="29"/>
      <c r="H53" s="129"/>
      <c r="I53" s="132"/>
      <c r="J53" s="40"/>
    </row>
    <row r="54" s="51" customFormat="true" ht="15.75" hidden="false" customHeight="false" outlineLevel="0" collapsed="false">
      <c r="A54" s="69"/>
      <c r="B54" s="110"/>
      <c r="C54" s="193" t="s">
        <v>333</v>
      </c>
      <c r="D54" s="60"/>
      <c r="E54" s="60"/>
      <c r="F54" s="194"/>
      <c r="G54" s="60"/>
      <c r="H54" s="149"/>
      <c r="I54" s="209"/>
      <c r="J54" s="210" t="n">
        <f aca="false">SUM(J32:J53)</f>
        <v>2775.0812</v>
      </c>
    </row>
    <row r="55" s="51" customFormat="true" ht="15" hidden="false" customHeight="false" outlineLevel="0" collapsed="false">
      <c r="A55" s="211" t="s">
        <v>334</v>
      </c>
      <c r="B55" s="212" t="n">
        <v>243203</v>
      </c>
      <c r="C55" s="15" t="s">
        <v>335</v>
      </c>
      <c r="D55" s="92" t="s">
        <v>325</v>
      </c>
      <c r="E55" s="16" t="n">
        <v>59210</v>
      </c>
      <c r="F55" s="126" t="s">
        <v>181</v>
      </c>
      <c r="G55" s="16"/>
      <c r="H55" s="143" t="n">
        <v>1562.9</v>
      </c>
      <c r="I55" s="213" t="n">
        <f aca="false">((800*0.06)+(762.9*0.07))*0.5</f>
        <v>50.7015</v>
      </c>
      <c r="J55" s="19" t="n">
        <f aca="false">I55</f>
        <v>50.7015</v>
      </c>
    </row>
    <row r="56" s="51" customFormat="true" ht="15" hidden="false" customHeight="false" outlineLevel="0" collapsed="false">
      <c r="A56" s="214" t="s">
        <v>334</v>
      </c>
      <c r="B56" s="215" t="n">
        <v>555120</v>
      </c>
      <c r="C56" s="22" t="s">
        <v>336</v>
      </c>
      <c r="D56" s="23" t="s">
        <v>325</v>
      </c>
      <c r="E56" s="151" t="n">
        <v>20156908</v>
      </c>
      <c r="F56" s="216" t="s">
        <v>181</v>
      </c>
      <c r="G56" s="24"/>
      <c r="H56" s="129" t="n">
        <v>2254.79</v>
      </c>
      <c r="I56" s="147" t="n">
        <f aca="false">((800*0.06)+(800*0.07)+(654.79*0.08))*0.5</f>
        <v>78.1916</v>
      </c>
      <c r="J56" s="26" t="n">
        <f aca="false">I56</f>
        <v>78.1916</v>
      </c>
    </row>
    <row r="57" s="51" customFormat="true" ht="15" hidden="false" customHeight="false" outlineLevel="0" collapsed="false">
      <c r="A57" s="217" t="s">
        <v>334</v>
      </c>
      <c r="B57" s="218" t="n">
        <v>591621</v>
      </c>
      <c r="C57" s="22" t="s">
        <v>337</v>
      </c>
      <c r="D57" s="24" t="s">
        <v>296</v>
      </c>
      <c r="E57" s="24" t="n">
        <v>61021085</v>
      </c>
      <c r="F57" s="100"/>
      <c r="G57" s="24"/>
      <c r="H57" s="129" t="n">
        <v>565.56</v>
      </c>
      <c r="I57" s="130" t="n">
        <f aca="false">(H57/12*3.5)*0.6</f>
        <v>98.973</v>
      </c>
      <c r="J57" s="26" t="n">
        <f aca="false">I57</f>
        <v>98.973</v>
      </c>
      <c r="K57" s="34" t="s">
        <v>194</v>
      </c>
    </row>
    <row r="58" customFormat="false" ht="15" hidden="false" customHeight="false" outlineLevel="0" collapsed="false">
      <c r="A58" s="217" t="s">
        <v>334</v>
      </c>
      <c r="B58" s="218" t="n">
        <v>672533</v>
      </c>
      <c r="C58" s="22" t="s">
        <v>338</v>
      </c>
      <c r="D58" s="23" t="s">
        <v>242</v>
      </c>
      <c r="E58" s="24" t="n">
        <v>10103536</v>
      </c>
      <c r="F58" s="100"/>
      <c r="G58" s="24"/>
      <c r="H58" s="129" t="n">
        <v>112.51</v>
      </c>
      <c r="I58" s="147" t="n">
        <f aca="false">H58*0.15</f>
        <v>16.8765</v>
      </c>
      <c r="J58" s="26" t="n">
        <f aca="false">I58</f>
        <v>16.8765</v>
      </c>
      <c r="K58" s="34" t="s">
        <v>198</v>
      </c>
      <c r="L58" s="51"/>
    </row>
    <row r="59" customFormat="false" ht="15" hidden="false" customHeight="false" outlineLevel="0" collapsed="false">
      <c r="A59" s="219" t="s">
        <v>334</v>
      </c>
      <c r="B59" s="218" t="n">
        <v>683835</v>
      </c>
      <c r="C59" s="220" t="s">
        <v>339</v>
      </c>
      <c r="D59" s="42" t="s">
        <v>298</v>
      </c>
      <c r="E59" s="29" t="n">
        <v>611145</v>
      </c>
      <c r="F59" s="29"/>
      <c r="G59" s="42" t="n">
        <v>2035</v>
      </c>
      <c r="H59" s="155" t="n">
        <v>1764.72</v>
      </c>
      <c r="I59" s="156" t="n">
        <f aca="false">(H59*18*0.02)*0.6</f>
        <v>381.17952</v>
      </c>
      <c r="J59" s="157" t="n">
        <f aca="false">I59</f>
        <v>381.17952</v>
      </c>
      <c r="K59" s="34" t="s">
        <v>200</v>
      </c>
    </row>
    <row r="60" s="51" customFormat="true" ht="15" hidden="false" customHeight="false" outlineLevel="0" collapsed="false">
      <c r="A60" s="221" t="s">
        <v>334</v>
      </c>
      <c r="B60" s="218" t="n">
        <v>944900</v>
      </c>
      <c r="C60" s="43" t="s">
        <v>340</v>
      </c>
      <c r="D60" s="42" t="s">
        <v>31</v>
      </c>
      <c r="E60" s="29" t="n">
        <v>20370995</v>
      </c>
      <c r="F60" s="100"/>
      <c r="G60" s="29"/>
      <c r="H60" s="146" t="n">
        <v>675.22</v>
      </c>
      <c r="I60" s="147" t="n">
        <f aca="false">H60*0.06</f>
        <v>40.5132</v>
      </c>
      <c r="J60" s="45" t="n">
        <f aca="false">I60</f>
        <v>40.5132</v>
      </c>
      <c r="K60" s="88" t="s">
        <v>202</v>
      </c>
    </row>
    <row r="61" customFormat="false" ht="15" hidden="false" customHeight="false" outlineLevel="0" collapsed="false">
      <c r="A61" s="217" t="s">
        <v>334</v>
      </c>
      <c r="B61" s="218" t="n">
        <v>662380</v>
      </c>
      <c r="C61" s="220" t="s">
        <v>341</v>
      </c>
      <c r="D61" s="42" t="s">
        <v>342</v>
      </c>
      <c r="E61" s="29" t="n">
        <v>445892</v>
      </c>
      <c r="F61" s="100"/>
      <c r="G61" s="29" t="n">
        <v>2022</v>
      </c>
      <c r="H61" s="146" t="n">
        <v>6562.68</v>
      </c>
      <c r="I61" s="147" t="n">
        <f aca="false">(H61*5*0.018)*0.6</f>
        <v>354.38472</v>
      </c>
      <c r="J61" s="45" t="n">
        <f aca="false">I61</f>
        <v>354.38472</v>
      </c>
      <c r="K61" s="88" t="s">
        <v>205</v>
      </c>
      <c r="L61" s="34"/>
    </row>
    <row r="62" customFormat="false" ht="15" hidden="false" customHeight="false" outlineLevel="0" collapsed="false">
      <c r="A62" s="217" t="s">
        <v>334</v>
      </c>
      <c r="B62" s="218" t="n">
        <v>603592</v>
      </c>
      <c r="C62" s="220" t="s">
        <v>343</v>
      </c>
      <c r="D62" s="23" t="s">
        <v>150</v>
      </c>
      <c r="E62" s="29" t="n">
        <v>20372499</v>
      </c>
      <c r="F62" s="100"/>
      <c r="G62" s="29"/>
      <c r="H62" s="146" t="n">
        <v>819.85</v>
      </c>
      <c r="I62" s="147" t="n">
        <f aca="false">(800*0.06)+(19.85*0.07)</f>
        <v>49.3895</v>
      </c>
      <c r="J62" s="45" t="n">
        <f aca="false">I62</f>
        <v>49.3895</v>
      </c>
      <c r="K62" s="88" t="s">
        <v>207</v>
      </c>
      <c r="L62" s="34"/>
    </row>
    <row r="63" s="34" customFormat="true" ht="15" hidden="false" customHeight="false" outlineLevel="0" collapsed="false">
      <c r="A63" s="217" t="s">
        <v>334</v>
      </c>
      <c r="B63" s="218" t="n">
        <v>603592</v>
      </c>
      <c r="C63" s="220" t="s">
        <v>343</v>
      </c>
      <c r="D63" s="23" t="s">
        <v>189</v>
      </c>
      <c r="E63" s="29" t="n">
        <v>20370742</v>
      </c>
      <c r="F63" s="100"/>
      <c r="G63" s="29"/>
      <c r="H63" s="146" t="n">
        <v>546.23</v>
      </c>
      <c r="I63" s="147" t="n">
        <f aca="false">H63*0.12</f>
        <v>65.5476</v>
      </c>
      <c r="J63" s="45" t="n">
        <f aca="false">I63</f>
        <v>65.5476</v>
      </c>
    </row>
    <row r="64" s="34" customFormat="true" ht="15" hidden="false" customHeight="false" outlineLevel="0" collapsed="false">
      <c r="A64" s="217" t="s">
        <v>334</v>
      </c>
      <c r="B64" s="218" t="n">
        <v>737949</v>
      </c>
      <c r="C64" s="220" t="s">
        <v>344</v>
      </c>
      <c r="D64" s="23" t="s">
        <v>296</v>
      </c>
      <c r="E64" s="29" t="n">
        <v>61021492</v>
      </c>
      <c r="F64" s="100"/>
      <c r="G64" s="29"/>
      <c r="H64" s="146" t="n">
        <v>1764.86</v>
      </c>
      <c r="I64" s="147" t="n">
        <f aca="false">(H64/12*3.5)*0.6</f>
        <v>308.8505</v>
      </c>
      <c r="J64" s="45" t="n">
        <f aca="false">I64</f>
        <v>308.8505</v>
      </c>
      <c r="K64" s="34" t="s">
        <v>210</v>
      </c>
      <c r="L64" s="46"/>
    </row>
    <row r="65" customFormat="false" ht="15" hidden="false" customHeight="false" outlineLevel="0" collapsed="false">
      <c r="A65" s="217" t="s">
        <v>334</v>
      </c>
      <c r="B65" s="218" t="n">
        <v>297299</v>
      </c>
      <c r="C65" s="220" t="s">
        <v>345</v>
      </c>
      <c r="D65" s="23" t="s">
        <v>33</v>
      </c>
      <c r="E65" s="29" t="n">
        <v>20370435</v>
      </c>
      <c r="F65" s="100"/>
      <c r="G65" s="29"/>
      <c r="H65" s="146" t="n">
        <v>224.81</v>
      </c>
      <c r="I65" s="147" t="n">
        <f aca="false">H65*0.12</f>
        <v>26.9772</v>
      </c>
      <c r="J65" s="45" t="n">
        <f aca="false">I65</f>
        <v>26.9772</v>
      </c>
      <c r="K65" s="51" t="s">
        <v>213</v>
      </c>
      <c r="L65" s="51"/>
    </row>
    <row r="66" s="46" customFormat="true" ht="15" hidden="false" customHeight="false" outlineLevel="0" collapsed="false">
      <c r="A66" s="217" t="s">
        <v>334</v>
      </c>
      <c r="B66" s="218" t="n">
        <v>297299</v>
      </c>
      <c r="C66" s="220" t="s">
        <v>345</v>
      </c>
      <c r="D66" s="23" t="s">
        <v>242</v>
      </c>
      <c r="E66" s="29" t="n">
        <v>20370435</v>
      </c>
      <c r="F66" s="100"/>
      <c r="G66" s="29"/>
      <c r="H66" s="146" t="n">
        <v>112.09</v>
      </c>
      <c r="I66" s="147" t="n">
        <f aca="false">H66*0.15</f>
        <v>16.8135</v>
      </c>
      <c r="J66" s="45" t="n">
        <f aca="false">I66</f>
        <v>16.8135</v>
      </c>
      <c r="K66" s="34" t="s">
        <v>214</v>
      </c>
    </row>
    <row r="67" s="51" customFormat="true" ht="15" hidden="false" customHeight="false" outlineLevel="0" collapsed="false">
      <c r="A67" s="217" t="s">
        <v>334</v>
      </c>
      <c r="B67" s="218" t="n">
        <v>773729</v>
      </c>
      <c r="C67" s="220" t="s">
        <v>93</v>
      </c>
      <c r="D67" s="23" t="s">
        <v>31</v>
      </c>
      <c r="E67" s="29" t="n">
        <v>20335402</v>
      </c>
      <c r="F67" s="100"/>
      <c r="G67" s="29"/>
      <c r="H67" s="146" t="n">
        <v>2206.29</v>
      </c>
      <c r="I67" s="147" t="n">
        <f aca="false">(800*0.06)+(800*0.07)+(606.29*0.08)</f>
        <v>152.5032</v>
      </c>
      <c r="J67" s="45" t="n">
        <f aca="false">I67</f>
        <v>152.5032</v>
      </c>
      <c r="K67" s="34" t="s">
        <v>216</v>
      </c>
    </row>
    <row r="68" customFormat="false" ht="15" hidden="false" customHeight="false" outlineLevel="0" collapsed="false">
      <c r="A68" s="217" t="s">
        <v>334</v>
      </c>
      <c r="B68" s="218" t="n">
        <v>693701</v>
      </c>
      <c r="C68" s="220" t="s">
        <v>346</v>
      </c>
      <c r="D68" s="23" t="s">
        <v>31</v>
      </c>
      <c r="E68" s="29" t="n">
        <v>20372078</v>
      </c>
      <c r="F68" s="100"/>
      <c r="G68" s="29"/>
      <c r="H68" s="146" t="n">
        <v>1224.58</v>
      </c>
      <c r="I68" s="132" t="n">
        <f aca="false">(800*0.06)+(424.58*0.07)</f>
        <v>77.7206</v>
      </c>
      <c r="J68" s="45" t="n">
        <f aca="false">I68</f>
        <v>77.7206</v>
      </c>
      <c r="K68" s="34"/>
    </row>
    <row r="69" customFormat="false" ht="15" hidden="false" customHeight="false" outlineLevel="0" collapsed="false">
      <c r="A69" s="217" t="s">
        <v>334</v>
      </c>
      <c r="B69" s="218" t="n">
        <v>792018</v>
      </c>
      <c r="C69" s="220" t="s">
        <v>273</v>
      </c>
      <c r="D69" s="23" t="s">
        <v>33</v>
      </c>
      <c r="E69" s="29" t="n">
        <v>20373413</v>
      </c>
      <c r="F69" s="100"/>
      <c r="G69" s="29"/>
      <c r="H69" s="146" t="n">
        <v>35.33</v>
      </c>
      <c r="I69" s="147" t="n">
        <f aca="false">H69*0.12</f>
        <v>4.2396</v>
      </c>
      <c r="J69" s="45" t="n">
        <f aca="false">I69</f>
        <v>4.2396</v>
      </c>
      <c r="K69" s="34"/>
    </row>
    <row r="70" customFormat="false" ht="15" hidden="false" customHeight="false" outlineLevel="0" collapsed="false">
      <c r="A70" s="217" t="s">
        <v>334</v>
      </c>
      <c r="B70" s="218" t="n">
        <v>581937</v>
      </c>
      <c r="C70" s="220" t="s">
        <v>347</v>
      </c>
      <c r="D70" s="42" t="s">
        <v>31</v>
      </c>
      <c r="E70" s="29" t="n">
        <v>20366282</v>
      </c>
      <c r="F70" s="29"/>
      <c r="G70" s="29"/>
      <c r="H70" s="146" t="n">
        <v>880.61</v>
      </c>
      <c r="I70" s="222" t="n">
        <f aca="false">(800*0.06)+(80.61*0.07)</f>
        <v>53.6427</v>
      </c>
      <c r="J70" s="45" t="n">
        <f aca="false">I70</f>
        <v>53.6427</v>
      </c>
      <c r="K70" s="34"/>
    </row>
    <row r="71" customFormat="false" ht="15" hidden="false" customHeight="false" outlineLevel="0" collapsed="false">
      <c r="A71" s="217" t="s">
        <v>334</v>
      </c>
      <c r="B71" s="218" t="n">
        <v>702294</v>
      </c>
      <c r="C71" s="220" t="s">
        <v>348</v>
      </c>
      <c r="D71" s="23" t="s">
        <v>31</v>
      </c>
      <c r="E71" s="29" t="n">
        <v>20372620</v>
      </c>
      <c r="F71" s="100"/>
      <c r="G71" s="29"/>
      <c r="H71" s="146" t="n">
        <v>1475.18</v>
      </c>
      <c r="I71" s="132" t="n">
        <f aca="false">(800*0.06)+(675.18*0.07)</f>
        <v>95.2626</v>
      </c>
      <c r="J71" s="45" t="n">
        <f aca="false">I71</f>
        <v>95.2626</v>
      </c>
      <c r="K71" s="34"/>
    </row>
    <row r="72" customFormat="false" ht="15" hidden="false" customHeight="false" outlineLevel="0" collapsed="false">
      <c r="A72" s="217" t="s">
        <v>334</v>
      </c>
      <c r="B72" s="218" t="n">
        <v>693638</v>
      </c>
      <c r="C72" s="220" t="s">
        <v>349</v>
      </c>
      <c r="D72" s="23" t="s">
        <v>31</v>
      </c>
      <c r="E72" s="29" t="n">
        <v>20372075</v>
      </c>
      <c r="F72" s="100"/>
      <c r="G72" s="29"/>
      <c r="H72" s="146" t="n">
        <v>1461.33</v>
      </c>
      <c r="I72" s="132" t="n">
        <f aca="false">(800*0.06)+(661.33*0.07)</f>
        <v>94.2931</v>
      </c>
      <c r="J72" s="45" t="n">
        <f aca="false">I72</f>
        <v>94.2931</v>
      </c>
      <c r="K72" s="34"/>
    </row>
    <row r="73" customFormat="false" ht="15" hidden="false" customHeight="false" outlineLevel="0" collapsed="false">
      <c r="A73" s="217" t="s">
        <v>334</v>
      </c>
      <c r="B73" s="218" t="n">
        <v>727461</v>
      </c>
      <c r="C73" s="220" t="s">
        <v>350</v>
      </c>
      <c r="D73" s="23" t="s">
        <v>33</v>
      </c>
      <c r="E73" s="29" t="n">
        <v>20373685</v>
      </c>
      <c r="F73" s="100"/>
      <c r="G73" s="29"/>
      <c r="H73" s="146" t="n">
        <v>184.71</v>
      </c>
      <c r="I73" s="147" t="n">
        <f aca="false">H73*0.12</f>
        <v>22.1652</v>
      </c>
      <c r="J73" s="45" t="n">
        <f aca="false">I73</f>
        <v>22.1652</v>
      </c>
      <c r="K73" s="34"/>
    </row>
    <row r="74" customFormat="false" ht="15.75" hidden="false" customHeight="false" outlineLevel="0" collapsed="false">
      <c r="A74" s="223"/>
      <c r="B74" s="218"/>
      <c r="C74" s="220"/>
      <c r="D74" s="23"/>
      <c r="E74" s="29"/>
      <c r="F74" s="100"/>
      <c r="G74" s="29"/>
      <c r="H74" s="146"/>
      <c r="I74" s="147"/>
      <c r="J74" s="103"/>
      <c r="K74" s="34"/>
    </row>
    <row r="75" customFormat="false" ht="15.75" hidden="false" customHeight="false" outlineLevel="0" collapsed="false">
      <c r="A75" s="224"/>
      <c r="B75" s="225"/>
      <c r="C75" s="226" t="s">
        <v>351</v>
      </c>
      <c r="D75" s="136"/>
      <c r="E75" s="161"/>
      <c r="F75" s="194"/>
      <c r="G75" s="161"/>
      <c r="H75" s="162"/>
      <c r="I75" s="227"/>
      <c r="J75" s="228" t="n">
        <f aca="false">SUM(J55:J73)</f>
        <v>1988.22534</v>
      </c>
      <c r="K75" s="34"/>
    </row>
    <row r="76" customFormat="false" ht="15" hidden="false" customHeight="false" outlineLevel="0" collapsed="false">
      <c r="A76" s="195"/>
      <c r="B76" s="195"/>
      <c r="C76" s="229" t="s">
        <v>285</v>
      </c>
      <c r="D76" s="16"/>
      <c r="E76" s="16"/>
      <c r="F76" s="126"/>
      <c r="G76" s="16"/>
      <c r="H76" s="143"/>
      <c r="I76" s="144"/>
      <c r="J76" s="19" t="n">
        <f aca="false">SUM(J31,J54,J75)</f>
        <v>6799.45144</v>
      </c>
      <c r="K76" s="34"/>
    </row>
    <row r="77" customFormat="false" ht="15" hidden="false" customHeight="false" outlineLevel="0" collapsed="false">
      <c r="A77" s="230"/>
      <c r="B77" s="110"/>
      <c r="C77" s="70"/>
      <c r="D77" s="24"/>
      <c r="E77" s="24"/>
      <c r="F77" s="100"/>
      <c r="G77" s="24"/>
      <c r="H77" s="129"/>
      <c r="I77" s="130"/>
      <c r="J77" s="26"/>
      <c r="K77" s="34"/>
    </row>
    <row r="78" customFormat="false" ht="15" hidden="false" customHeight="false" outlineLevel="0" collapsed="false">
      <c r="A78" s="110"/>
      <c r="B78" s="110"/>
      <c r="C78" s="70" t="s">
        <v>220</v>
      </c>
      <c r="D78" s="24"/>
      <c r="E78" s="24"/>
      <c r="F78" s="100"/>
      <c r="G78" s="24"/>
      <c r="H78" s="129"/>
      <c r="I78" s="130"/>
      <c r="J78" s="26" t="n">
        <f aca="false">J10</f>
        <v>4983.1</v>
      </c>
      <c r="K78" s="34"/>
    </row>
    <row r="79" customFormat="false" ht="15" hidden="false" customHeight="false" outlineLevel="0" collapsed="false">
      <c r="A79" s="110"/>
      <c r="B79" s="110"/>
      <c r="C79" s="70" t="s">
        <v>221</v>
      </c>
      <c r="D79" s="24"/>
      <c r="E79" s="24"/>
      <c r="F79" s="100"/>
      <c r="G79" s="24"/>
      <c r="H79" s="129"/>
      <c r="I79" s="130"/>
      <c r="J79" s="26" t="n">
        <f aca="false">SUM(J76:J78)</f>
        <v>11782.55144</v>
      </c>
      <c r="K79" s="34"/>
    </row>
    <row r="80" customFormat="false" ht="15.75" hidden="false" customHeight="false" outlineLevel="0" collapsed="false">
      <c r="A80" s="110"/>
      <c r="B80" s="110"/>
      <c r="C80" s="114" t="s">
        <v>222</v>
      </c>
      <c r="D80" s="60"/>
      <c r="E80" s="60"/>
      <c r="F80" s="194"/>
      <c r="G80" s="60"/>
      <c r="H80" s="149"/>
      <c r="I80" s="231"/>
      <c r="J80" s="115" t="n">
        <f aca="false">J79/3</f>
        <v>3927.51714666667</v>
      </c>
      <c r="K80" s="34"/>
    </row>
    <row r="81" customFormat="false" ht="15" hidden="false" customHeight="false" outlineLevel="0" collapsed="false">
      <c r="A81" s="110"/>
      <c r="B81" s="110"/>
      <c r="C81" s="117"/>
      <c r="D81" s="80"/>
      <c r="E81" s="80"/>
      <c r="F81" s="232"/>
      <c r="G81" s="80"/>
      <c r="H81" s="178"/>
      <c r="I81" s="233"/>
      <c r="J81" s="118"/>
      <c r="K81" s="34"/>
    </row>
    <row r="82" customFormat="false" ht="15" hidden="false" customHeight="false" outlineLevel="0" collapsed="false">
      <c r="A82" s="110"/>
      <c r="B82" s="110"/>
      <c r="C82" s="117"/>
      <c r="D82" s="80"/>
      <c r="E82" s="80"/>
      <c r="F82" s="232"/>
      <c r="G82" s="80"/>
      <c r="H82" s="178"/>
      <c r="I82" s="233"/>
      <c r="J82" s="118"/>
      <c r="K82" s="34"/>
    </row>
    <row r="83" customFormat="false" ht="15" hidden="false" customHeight="false" outlineLevel="0" collapsed="false">
      <c r="A83" s="110"/>
      <c r="B83" s="110"/>
      <c r="C83" s="117"/>
      <c r="D83" s="80"/>
      <c r="E83" s="80"/>
      <c r="F83" s="232"/>
      <c r="G83" s="80"/>
      <c r="H83" s="178"/>
      <c r="I83" s="233"/>
      <c r="J83" s="118"/>
      <c r="K83" s="34"/>
    </row>
    <row r="84" customFormat="false" ht="15" hidden="false" customHeight="false" outlineLevel="0" collapsed="false">
      <c r="A84" s="110"/>
      <c r="B84" s="110"/>
      <c r="C84" s="117"/>
      <c r="D84" s="80"/>
      <c r="E84" s="80"/>
      <c r="F84" s="232"/>
      <c r="G84" s="80"/>
      <c r="H84" s="178"/>
      <c r="I84" s="233"/>
      <c r="J84" s="118"/>
      <c r="K84" s="34"/>
    </row>
    <row r="85" customFormat="false" ht="15" hidden="false" customHeight="false" outlineLevel="0" collapsed="false">
      <c r="A85" s="110"/>
      <c r="B85" s="110"/>
      <c r="C85" s="117"/>
      <c r="D85" s="80"/>
      <c r="E85" s="80"/>
      <c r="F85" s="232"/>
      <c r="G85" s="80"/>
      <c r="H85" s="178"/>
      <c r="I85" s="233"/>
      <c r="J85" s="118"/>
      <c r="K85" s="34"/>
    </row>
    <row r="86" customFormat="false" ht="15" hidden="false" customHeight="false" outlineLevel="0" collapsed="false">
      <c r="K86" s="116"/>
      <c r="L86" s="116"/>
    </row>
  </sheetData>
  <printOptions headings="false" gridLines="true" gridLinesSet="true" horizontalCentered="false" verticalCentered="false"/>
  <pageMargins left="0.236111111111111" right="0.236111111111111" top="0.748611111111111" bottom="0.748611111111111" header="0.315277777777778" footer="0.315277777777778"/>
  <pageSetup paperSize="9" scale="91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1ER TRIMESTRE 2017</oddHeader>
    <oddFooter>&amp;L&amp;8&amp;Z&amp;F&amp;C&amp;7&amp;P/&amp;N&amp;RModfié le &amp;D </oddFooter>
  </headerFooter>
  <rowBreaks count="3" manualBreakCount="3">
    <brk id="31" man="true" max="16383" min="0"/>
    <brk id="54" man="true" max="16383" min="0"/>
    <brk id="75" man="true" max="16383" min="0"/>
  </rowBreaks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83"/>
  <sheetViews>
    <sheetView showFormulas="false" showGridLines="true" showRowColHeaders="true" showZeros="true" rightToLeft="false" tabSelected="false" showOutlineSymbols="true" defaultGridColor="true" view="normal" topLeftCell="A25" colorId="64" zoomScale="100" zoomScaleNormal="100" zoomScalePageLayoutView="100" workbookViewId="0">
      <selection pane="topLeft" activeCell="I39" activeCellId="1" sqref="A2:A7 I39"/>
    </sheetView>
  </sheetViews>
  <sheetFormatPr defaultRowHeight="15" zeroHeight="false" outlineLevelRow="0" outlineLevelCol="0"/>
  <cols>
    <col collapsed="false" customWidth="true" hidden="false" outlineLevel="0" max="1" min="1" style="34" width="9.29"/>
    <col collapsed="false" customWidth="true" hidden="false" outlineLevel="0" max="2" min="2" style="204" width="14.57"/>
    <col collapsed="false" customWidth="true" hidden="false" outlineLevel="0" max="3" min="3" style="234" width="27.99"/>
    <col collapsed="false" customWidth="true" hidden="false" outlineLevel="0" max="4" min="4" style="3" width="22.28"/>
    <col collapsed="false" customWidth="true" hidden="false" outlineLevel="0" max="5" min="5" style="3" width="16.86"/>
    <col collapsed="false" customWidth="true" hidden="false" outlineLevel="0" max="6" min="6" style="235" width="10.71"/>
    <col collapsed="false" customWidth="true" hidden="false" outlineLevel="0" max="7" min="7" style="3" width="10.58"/>
    <col collapsed="false" customWidth="true" hidden="false" outlineLevel="0" max="8" min="8" style="121" width="13.29"/>
    <col collapsed="false" customWidth="true" hidden="false" outlineLevel="0" max="9" min="9" style="122" width="12.42"/>
    <col collapsed="false" customWidth="true" hidden="false" outlineLevel="0" max="10" min="10" style="5" width="13.57"/>
    <col collapsed="false" customWidth="true" hidden="true" outlineLevel="0" max="11" min="11" style="0" width="2.29"/>
    <col collapsed="false" customWidth="true" hidden="true" outlineLevel="0" max="12" min="12" style="0" width="7"/>
    <col collapsed="false" customWidth="true" hidden="false" outlineLevel="0" max="1025" min="13" style="0" width="10.67"/>
  </cols>
  <sheetData>
    <row r="1" customFormat="false" ht="15" hidden="false" customHeight="false" outlineLevel="0" collapsed="false">
      <c r="C1" s="234" t="s">
        <v>125</v>
      </c>
      <c r="D1" s="76"/>
      <c r="F1" s="3" t="s">
        <v>352</v>
      </c>
      <c r="G1" s="180"/>
      <c r="H1" s="1" t="s">
        <v>127</v>
      </c>
      <c r="I1" s="125"/>
      <c r="J1" s="10" t="n">
        <f aca="false">5*80</f>
        <v>400</v>
      </c>
      <c r="K1" s="12"/>
    </row>
    <row r="2" customFormat="false" ht="15" hidden="false" customHeight="false" outlineLevel="0" collapsed="false">
      <c r="D2" s="76"/>
      <c r="G2" s="1"/>
      <c r="I2" s="125"/>
      <c r="J2" s="10"/>
      <c r="K2" s="12"/>
    </row>
    <row r="3" customFormat="false" ht="15" hidden="false" customHeight="false" outlineLevel="0" collapsed="false">
      <c r="C3" s="234" t="s">
        <v>5</v>
      </c>
      <c r="D3" s="76" t="s">
        <v>6</v>
      </c>
      <c r="G3" s="1"/>
      <c r="I3" s="125"/>
      <c r="J3" s="10" t="n">
        <v>1506</v>
      </c>
      <c r="K3" s="12"/>
    </row>
    <row r="4" customFormat="false" ht="15" hidden="false" customHeight="false" outlineLevel="0" collapsed="false">
      <c r="C4" s="234" t="s">
        <v>5</v>
      </c>
      <c r="D4" s="76" t="s">
        <v>7</v>
      </c>
      <c r="G4" s="1"/>
      <c r="I4" s="125"/>
      <c r="J4" s="10" t="n">
        <v>1621.2</v>
      </c>
      <c r="K4" s="12"/>
    </row>
    <row r="5" customFormat="false" ht="15" hidden="false" customHeight="false" outlineLevel="0" collapsed="false">
      <c r="C5" s="234" t="s">
        <v>5</v>
      </c>
      <c r="D5" s="76" t="s">
        <v>8</v>
      </c>
      <c r="G5" s="1"/>
      <c r="I5" s="125"/>
      <c r="J5" s="10" t="n">
        <v>1488.9</v>
      </c>
      <c r="K5" s="12"/>
    </row>
    <row r="6" customFormat="false" ht="15" hidden="false" customHeight="false" outlineLevel="0" collapsed="false">
      <c r="D6" s="76"/>
      <c r="G6" s="1"/>
      <c r="I6" s="125"/>
      <c r="J6" s="10"/>
      <c r="K6" s="12"/>
    </row>
    <row r="7" customFormat="false" ht="15" hidden="false" customHeight="false" outlineLevel="0" collapsed="false">
      <c r="C7" s="234" t="s">
        <v>131</v>
      </c>
      <c r="D7" s="76"/>
      <c r="G7" s="1"/>
      <c r="I7" s="125"/>
      <c r="J7" s="63" t="n">
        <f aca="false">SUM(J1:J5)</f>
        <v>5016.1</v>
      </c>
      <c r="K7" s="12"/>
    </row>
    <row r="8" customFormat="false" ht="15.75" hidden="false" customHeight="false" outlineLevel="0" collapsed="false">
      <c r="K8" s="1"/>
    </row>
    <row r="9" customFormat="false" ht="30.75" hidden="false" customHeight="false" outlineLevel="0" collapsed="false">
      <c r="B9" s="236"/>
      <c r="C9" s="237" t="s">
        <v>11</v>
      </c>
      <c r="D9" s="16" t="s">
        <v>12</v>
      </c>
      <c r="E9" s="16" t="s">
        <v>13</v>
      </c>
      <c r="F9" s="126" t="s">
        <v>353</v>
      </c>
      <c r="G9" s="16" t="s">
        <v>14</v>
      </c>
      <c r="H9" s="238" t="s">
        <v>15</v>
      </c>
      <c r="I9" s="185" t="s">
        <v>16</v>
      </c>
      <c r="J9" s="239" t="s">
        <v>17</v>
      </c>
      <c r="K9" s="240"/>
      <c r="L9" s="241" t="s">
        <v>354</v>
      </c>
    </row>
    <row r="10" customFormat="false" ht="15" hidden="false" customHeight="false" outlineLevel="0" collapsed="false">
      <c r="A10" s="242" t="s">
        <v>355</v>
      </c>
      <c r="B10" s="243" t="n">
        <v>838612</v>
      </c>
      <c r="C10" s="244" t="s">
        <v>356</v>
      </c>
      <c r="D10" s="24" t="s">
        <v>298</v>
      </c>
      <c r="E10" s="29" t="n">
        <v>611420</v>
      </c>
      <c r="F10" s="245"/>
      <c r="G10" s="29" t="n">
        <v>2050</v>
      </c>
      <c r="H10" s="146" t="n">
        <v>1200</v>
      </c>
      <c r="I10" s="147" t="n">
        <f aca="false">(H10*34*0.02)*0.6</f>
        <v>489.6</v>
      </c>
      <c r="J10" s="50" t="n">
        <f aca="false">I10</f>
        <v>489.6</v>
      </c>
      <c r="K10" s="240"/>
      <c r="L10" s="246"/>
    </row>
    <row r="11" customFormat="false" ht="15" hidden="false" customHeight="false" outlineLevel="0" collapsed="false">
      <c r="A11" s="247" t="s">
        <v>355</v>
      </c>
      <c r="B11" s="248" t="n">
        <v>533374</v>
      </c>
      <c r="C11" s="249" t="s">
        <v>357</v>
      </c>
      <c r="D11" s="250" t="s">
        <v>298</v>
      </c>
      <c r="E11" s="250" t="s">
        <v>358</v>
      </c>
      <c r="F11" s="199"/>
      <c r="G11" s="250" t="n">
        <v>2041</v>
      </c>
      <c r="H11" s="251" t="n">
        <v>1500</v>
      </c>
      <c r="I11" s="252" t="n">
        <f aca="false">(H11*24*0.02)*0.6</f>
        <v>432</v>
      </c>
      <c r="J11" s="50" t="n">
        <f aca="false">I11</f>
        <v>432</v>
      </c>
      <c r="K11" s="240"/>
      <c r="L11" s="246"/>
    </row>
    <row r="12" customFormat="false" ht="15" hidden="false" customHeight="false" outlineLevel="0" collapsed="false">
      <c r="A12" s="253" t="s">
        <v>355</v>
      </c>
      <c r="B12" s="254" t="n">
        <v>760929</v>
      </c>
      <c r="C12" s="244" t="s">
        <v>359</v>
      </c>
      <c r="D12" s="24" t="s">
        <v>298</v>
      </c>
      <c r="E12" s="29" t="n">
        <v>611355</v>
      </c>
      <c r="F12" s="245"/>
      <c r="G12" s="29" t="n">
        <v>2047</v>
      </c>
      <c r="H12" s="146" t="n">
        <v>1200</v>
      </c>
      <c r="I12" s="147" t="n">
        <f aca="false">(H12*30*0.02)*0.6</f>
        <v>432</v>
      </c>
      <c r="J12" s="50" t="n">
        <f aca="false">I12</f>
        <v>432</v>
      </c>
      <c r="K12" s="240"/>
      <c r="L12" s="246"/>
    </row>
    <row r="13" customFormat="false" ht="15" hidden="false" customHeight="false" outlineLevel="0" collapsed="false">
      <c r="A13" s="253" t="s">
        <v>355</v>
      </c>
      <c r="B13" s="254" t="n">
        <v>646798</v>
      </c>
      <c r="C13" s="244" t="s">
        <v>243</v>
      </c>
      <c r="D13" s="24" t="s">
        <v>298</v>
      </c>
      <c r="E13" s="29" t="n">
        <v>611307</v>
      </c>
      <c r="F13" s="245"/>
      <c r="G13" s="29" t="n">
        <v>2039</v>
      </c>
      <c r="H13" s="146" t="n">
        <v>1200</v>
      </c>
      <c r="I13" s="147" t="n">
        <f aca="false">(H13*22*0.02)*0.6</f>
        <v>316.8</v>
      </c>
      <c r="J13" s="50" t="n">
        <f aca="false">I13</f>
        <v>316.8</v>
      </c>
      <c r="K13" s="240"/>
      <c r="L13" s="246"/>
    </row>
    <row r="14" customFormat="false" ht="15" hidden="false" customHeight="false" outlineLevel="0" collapsed="false">
      <c r="A14" s="253" t="s">
        <v>355</v>
      </c>
      <c r="B14" s="254" t="n">
        <v>760929</v>
      </c>
      <c r="C14" s="244" t="s">
        <v>359</v>
      </c>
      <c r="D14" s="24" t="s">
        <v>296</v>
      </c>
      <c r="E14" s="29" t="n">
        <v>61021546</v>
      </c>
      <c r="F14" s="245"/>
      <c r="G14" s="29"/>
      <c r="H14" s="146" t="n">
        <v>711.72</v>
      </c>
      <c r="I14" s="147" t="n">
        <f aca="false">(H14/12*3.5)*0.6</f>
        <v>124.551</v>
      </c>
      <c r="J14" s="50" t="n">
        <f aca="false">I14</f>
        <v>124.551</v>
      </c>
      <c r="K14" s="240"/>
      <c r="L14" s="246"/>
    </row>
    <row r="15" customFormat="false" ht="15" hidden="false" customHeight="false" outlineLevel="0" collapsed="false">
      <c r="A15" s="253" t="s">
        <v>355</v>
      </c>
      <c r="B15" s="254" t="n">
        <v>760929</v>
      </c>
      <c r="C15" s="244" t="s">
        <v>359</v>
      </c>
      <c r="D15" s="24" t="s">
        <v>360</v>
      </c>
      <c r="E15" s="24" t="n">
        <v>20074789</v>
      </c>
      <c r="F15" s="245" t="s">
        <v>181</v>
      </c>
      <c r="G15" s="24"/>
      <c r="H15" s="129" t="n">
        <v>1455.59</v>
      </c>
      <c r="I15" s="132" t="n">
        <f aca="false">((800*0.06)+(655.59*0.07))*0.5</f>
        <v>46.94565</v>
      </c>
      <c r="J15" s="50" t="n">
        <f aca="false">I15</f>
        <v>46.94565</v>
      </c>
      <c r="K15" s="240"/>
      <c r="L15" s="246"/>
    </row>
    <row r="16" customFormat="false" ht="15" hidden="false" customHeight="false" outlineLevel="0" collapsed="false">
      <c r="A16" s="253" t="s">
        <v>355</v>
      </c>
      <c r="B16" s="254" t="n">
        <v>569553</v>
      </c>
      <c r="C16" s="244" t="s">
        <v>361</v>
      </c>
      <c r="D16" s="24" t="s">
        <v>108</v>
      </c>
      <c r="E16" s="29" t="n">
        <v>20375548</v>
      </c>
      <c r="F16" s="245"/>
      <c r="G16" s="29"/>
      <c r="H16" s="146" t="n">
        <v>378.97</v>
      </c>
      <c r="I16" s="147" t="n">
        <f aca="false">H16*0.15</f>
        <v>56.8455</v>
      </c>
      <c r="J16" s="50" t="n">
        <f aca="false">I16</f>
        <v>56.8455</v>
      </c>
      <c r="K16" s="240"/>
      <c r="L16" s="246"/>
    </row>
    <row r="17" customFormat="false" ht="15" hidden="false" customHeight="false" outlineLevel="0" collapsed="false">
      <c r="A17" s="253" t="s">
        <v>355</v>
      </c>
      <c r="B17" s="254" t="n">
        <v>117637</v>
      </c>
      <c r="C17" s="255" t="s">
        <v>362</v>
      </c>
      <c r="D17" s="95" t="s">
        <v>33</v>
      </c>
      <c r="E17" s="95" t="n">
        <v>20377154</v>
      </c>
      <c r="F17" s="256"/>
      <c r="G17" s="95"/>
      <c r="H17" s="257" t="n">
        <v>331.3</v>
      </c>
      <c r="I17" s="147" t="n">
        <f aca="false">H17*0.12</f>
        <v>39.756</v>
      </c>
      <c r="J17" s="50" t="n">
        <f aca="false">I17</f>
        <v>39.756</v>
      </c>
      <c r="K17" s="240" t="s">
        <v>139</v>
      </c>
      <c r="L17" s="246"/>
    </row>
    <row r="18" customFormat="false" ht="15" hidden="false" customHeight="false" outlineLevel="0" collapsed="false">
      <c r="A18" s="253" t="s">
        <v>355</v>
      </c>
      <c r="B18" s="254" t="n">
        <v>789065</v>
      </c>
      <c r="C18" s="255" t="s">
        <v>363</v>
      </c>
      <c r="D18" s="95" t="s">
        <v>33</v>
      </c>
      <c r="E18" s="95" t="n">
        <v>20379299</v>
      </c>
      <c r="F18" s="256"/>
      <c r="G18" s="95"/>
      <c r="H18" s="257" t="n">
        <v>498.15</v>
      </c>
      <c r="I18" s="147" t="n">
        <f aca="false">H18*0.12</f>
        <v>59.778</v>
      </c>
      <c r="J18" s="50" t="n">
        <f aca="false">I18</f>
        <v>59.778</v>
      </c>
      <c r="K18" s="240"/>
      <c r="L18" s="246"/>
    </row>
    <row r="19" customFormat="false" ht="15" hidden="false" customHeight="false" outlineLevel="0" collapsed="false">
      <c r="A19" s="253" t="s">
        <v>355</v>
      </c>
      <c r="B19" s="254" t="n">
        <v>521956</v>
      </c>
      <c r="C19" s="255" t="s">
        <v>364</v>
      </c>
      <c r="D19" s="95" t="s">
        <v>31</v>
      </c>
      <c r="E19" s="95" t="n">
        <v>20379246</v>
      </c>
      <c r="F19" s="256"/>
      <c r="G19" s="95"/>
      <c r="H19" s="257" t="n">
        <v>288.8</v>
      </c>
      <c r="I19" s="258" t="n">
        <f aca="false">H19*0.06</f>
        <v>17.328</v>
      </c>
      <c r="J19" s="50" t="n">
        <f aca="false">I19</f>
        <v>17.328</v>
      </c>
      <c r="K19" s="240" t="s">
        <v>141</v>
      </c>
      <c r="L19" s="246"/>
    </row>
    <row r="20" customFormat="false" ht="15" hidden="false" customHeight="false" outlineLevel="0" collapsed="false">
      <c r="A20" s="253" t="s">
        <v>355</v>
      </c>
      <c r="B20" s="254" t="n">
        <v>521956</v>
      </c>
      <c r="C20" s="255" t="s">
        <v>364</v>
      </c>
      <c r="D20" s="95" t="s">
        <v>31</v>
      </c>
      <c r="E20" s="95" t="n">
        <v>20379254</v>
      </c>
      <c r="F20" s="256"/>
      <c r="G20" s="95"/>
      <c r="H20" s="257" t="n">
        <v>676.62</v>
      </c>
      <c r="I20" s="258" t="n">
        <f aca="false">H20*0.06</f>
        <v>40.5972</v>
      </c>
      <c r="J20" s="50" t="n">
        <f aca="false">I20</f>
        <v>40.5972</v>
      </c>
      <c r="K20" s="240"/>
      <c r="L20" s="246"/>
    </row>
    <row r="21" customFormat="false" ht="15" hidden="false" customHeight="false" outlineLevel="0" collapsed="false">
      <c r="A21" s="259"/>
      <c r="B21" s="254"/>
      <c r="C21" s="260"/>
      <c r="D21" s="24"/>
      <c r="E21" s="29"/>
      <c r="F21" s="245"/>
      <c r="G21" s="29"/>
      <c r="H21" s="146"/>
      <c r="I21" s="147"/>
      <c r="J21" s="50"/>
      <c r="K21" s="261"/>
      <c r="L21" s="246"/>
    </row>
    <row r="22" customFormat="false" ht="15" hidden="false" customHeight="false" outlineLevel="0" collapsed="false">
      <c r="A22" s="259"/>
      <c r="B22" s="254"/>
      <c r="C22" s="260"/>
      <c r="D22" s="24"/>
      <c r="E22" s="29"/>
      <c r="F22" s="245"/>
      <c r="G22" s="29"/>
      <c r="H22" s="146"/>
      <c r="I22" s="147"/>
      <c r="J22" s="50"/>
      <c r="K22" s="261"/>
      <c r="L22" s="246"/>
    </row>
    <row r="23" customFormat="false" ht="15" hidden="false" customHeight="false" outlineLevel="0" collapsed="false">
      <c r="A23" s="259"/>
      <c r="B23" s="254"/>
      <c r="C23" s="260"/>
      <c r="D23" s="24"/>
      <c r="E23" s="29"/>
      <c r="F23" s="245"/>
      <c r="G23" s="29"/>
      <c r="H23" s="146"/>
      <c r="I23" s="147"/>
      <c r="J23" s="50"/>
      <c r="K23" s="261"/>
      <c r="L23" s="246"/>
    </row>
    <row r="24" customFormat="false" ht="15.75" hidden="false" customHeight="false" outlineLevel="0" collapsed="false">
      <c r="A24" s="262"/>
      <c r="B24" s="263"/>
      <c r="C24" s="264" t="s">
        <v>365</v>
      </c>
      <c r="D24" s="60"/>
      <c r="E24" s="161"/>
      <c r="F24" s="265"/>
      <c r="G24" s="161"/>
      <c r="H24" s="162"/>
      <c r="I24" s="163"/>
      <c r="J24" s="266" t="n">
        <f aca="false">SUM(J10:J23)</f>
        <v>2056.20135</v>
      </c>
      <c r="K24" s="267"/>
      <c r="L24" s="268"/>
    </row>
    <row r="25" customFormat="false" ht="21" hidden="false" customHeight="false" outlineLevel="0" collapsed="false">
      <c r="A25" s="269" t="s">
        <v>366</v>
      </c>
      <c r="B25" s="270" t="n">
        <v>773696</v>
      </c>
      <c r="C25" s="271" t="s">
        <v>367</v>
      </c>
      <c r="D25" s="16" t="s">
        <v>260</v>
      </c>
      <c r="E25" s="272" t="n">
        <v>441443</v>
      </c>
      <c r="F25" s="273"/>
      <c r="G25" s="272" t="n">
        <v>2026</v>
      </c>
      <c r="H25" s="274" t="n">
        <v>600</v>
      </c>
      <c r="I25" s="275" t="n">
        <f aca="false">(H25*9*0.02)*0.6</f>
        <v>64.8</v>
      </c>
      <c r="J25" s="213" t="n">
        <f aca="false">I25</f>
        <v>64.8</v>
      </c>
      <c r="K25" s="276"/>
      <c r="L25" s="277"/>
      <c r="M25" s="278" t="s">
        <v>368</v>
      </c>
    </row>
    <row r="26" customFormat="false" ht="15.75" hidden="false" customHeight="false" outlineLevel="0" collapsed="false">
      <c r="A26" s="279" t="s">
        <v>366</v>
      </c>
      <c r="B26" s="254" t="n">
        <v>857776</v>
      </c>
      <c r="C26" s="280" t="s">
        <v>324</v>
      </c>
      <c r="D26" s="95" t="s">
        <v>33</v>
      </c>
      <c r="E26" s="24" t="n">
        <v>20379483</v>
      </c>
      <c r="F26" s="245"/>
      <c r="G26" s="24"/>
      <c r="H26" s="129" t="n">
        <v>210.07</v>
      </c>
      <c r="I26" s="147" t="n">
        <f aca="false">H26*0.12</f>
        <v>25.2084</v>
      </c>
      <c r="J26" s="281" t="n">
        <f aca="false">I26</f>
        <v>25.2084</v>
      </c>
      <c r="K26" s="240"/>
      <c r="L26" s="246"/>
    </row>
    <row r="27" customFormat="false" ht="15.75" hidden="false" customHeight="false" outlineLevel="0" collapsed="false">
      <c r="A27" s="279" t="s">
        <v>366</v>
      </c>
      <c r="B27" s="254" t="n">
        <v>414852</v>
      </c>
      <c r="C27" s="280" t="s">
        <v>369</v>
      </c>
      <c r="D27" s="24" t="s">
        <v>296</v>
      </c>
      <c r="E27" s="24" t="n">
        <v>60010792</v>
      </c>
      <c r="F27" s="245"/>
      <c r="G27" s="24"/>
      <c r="H27" s="129" t="n">
        <v>145.8</v>
      </c>
      <c r="I27" s="130" t="n">
        <f aca="false">(H27/12*3.5)*0.6</f>
        <v>25.515</v>
      </c>
      <c r="J27" s="281" t="n">
        <f aca="false">I27</f>
        <v>25.515</v>
      </c>
      <c r="K27" s="261" t="s">
        <v>177</v>
      </c>
      <c r="L27" s="246"/>
    </row>
    <row r="28" customFormat="false" ht="15.75" hidden="false" customHeight="false" outlineLevel="0" collapsed="false">
      <c r="A28" s="279" t="s">
        <v>366</v>
      </c>
      <c r="B28" s="254" t="n">
        <v>813408</v>
      </c>
      <c r="C28" s="280" t="s">
        <v>370</v>
      </c>
      <c r="D28" s="24" t="s">
        <v>325</v>
      </c>
      <c r="E28" s="24" t="n">
        <v>20380382</v>
      </c>
      <c r="F28" s="245"/>
      <c r="G28" s="24"/>
      <c r="H28" s="129" t="n">
        <v>2089.09</v>
      </c>
      <c r="I28" s="130" t="n">
        <f aca="false">(800*0.06)+(800*0.07)+(489.09*0.08)</f>
        <v>143.1272</v>
      </c>
      <c r="J28" s="281" t="n">
        <f aca="false">I28</f>
        <v>143.1272</v>
      </c>
      <c r="K28" s="261" t="s">
        <v>178</v>
      </c>
      <c r="L28" s="246"/>
    </row>
    <row r="29" customFormat="false" ht="15.75" hidden="false" customHeight="false" outlineLevel="0" collapsed="false">
      <c r="A29" s="279" t="s">
        <v>366</v>
      </c>
      <c r="B29" s="254" t="n">
        <v>797110</v>
      </c>
      <c r="C29" s="280" t="s">
        <v>371</v>
      </c>
      <c r="D29" s="24" t="s">
        <v>325</v>
      </c>
      <c r="E29" s="24" t="n">
        <v>20379837</v>
      </c>
      <c r="F29" s="245"/>
      <c r="G29" s="24"/>
      <c r="H29" s="129" t="n">
        <v>2217.18</v>
      </c>
      <c r="I29" s="130" t="n">
        <f aca="false">(800*0.06)+(800*0.07)+(617.18*0.08)</f>
        <v>153.3744</v>
      </c>
      <c r="J29" s="281" t="n">
        <f aca="false">I29</f>
        <v>153.3744</v>
      </c>
      <c r="K29" s="261"/>
      <c r="L29" s="246"/>
    </row>
    <row r="30" customFormat="false" ht="15.75" hidden="false" customHeight="false" outlineLevel="0" collapsed="false">
      <c r="A30" s="279" t="s">
        <v>366</v>
      </c>
      <c r="B30" s="254" t="n">
        <v>843169</v>
      </c>
      <c r="C30" s="280" t="s">
        <v>372</v>
      </c>
      <c r="D30" s="24" t="s">
        <v>108</v>
      </c>
      <c r="E30" s="24" t="n">
        <v>20379488</v>
      </c>
      <c r="F30" s="245"/>
      <c r="G30" s="24"/>
      <c r="H30" s="129" t="n">
        <v>201.93</v>
      </c>
      <c r="I30" s="147" t="n">
        <f aca="false">H30*0.15</f>
        <v>30.2895</v>
      </c>
      <c r="J30" s="281" t="n">
        <f aca="false">I30</f>
        <v>30.2895</v>
      </c>
      <c r="K30" s="261"/>
      <c r="L30" s="246"/>
    </row>
    <row r="31" s="51" customFormat="true" ht="15.75" hidden="false" customHeight="false" outlineLevel="0" collapsed="false">
      <c r="A31" s="279" t="s">
        <v>366</v>
      </c>
      <c r="B31" s="254" t="n">
        <v>294016</v>
      </c>
      <c r="C31" s="280" t="s">
        <v>373</v>
      </c>
      <c r="D31" s="24" t="s">
        <v>33</v>
      </c>
      <c r="E31" s="24" t="n">
        <v>20380292</v>
      </c>
      <c r="F31" s="245"/>
      <c r="G31" s="24"/>
      <c r="H31" s="129" t="n">
        <v>298.23</v>
      </c>
      <c r="I31" s="147" t="n">
        <f aca="false">H31*0.12</f>
        <v>35.7876</v>
      </c>
      <c r="J31" s="281" t="n">
        <f aca="false">I31</f>
        <v>35.7876</v>
      </c>
      <c r="K31" s="261"/>
      <c r="L31" s="246"/>
    </row>
    <row r="32" s="51" customFormat="true" ht="15.75" hidden="false" customHeight="false" outlineLevel="0" collapsed="false">
      <c r="A32" s="279" t="s">
        <v>366</v>
      </c>
      <c r="B32" s="254" t="n">
        <v>294016</v>
      </c>
      <c r="C32" s="280" t="s">
        <v>373</v>
      </c>
      <c r="D32" s="24" t="s">
        <v>108</v>
      </c>
      <c r="E32" s="24" t="n">
        <v>20380292</v>
      </c>
      <c r="F32" s="245"/>
      <c r="G32" s="24"/>
      <c r="H32" s="129" t="n">
        <v>112.52</v>
      </c>
      <c r="I32" s="147" t="n">
        <f aca="false">H32*0.15</f>
        <v>16.878</v>
      </c>
      <c r="J32" s="281" t="n">
        <f aca="false">I32</f>
        <v>16.878</v>
      </c>
      <c r="K32" s="261"/>
      <c r="L32" s="246"/>
    </row>
    <row r="33" s="51" customFormat="true" ht="15" hidden="false" customHeight="true" outlineLevel="0" collapsed="false">
      <c r="A33" s="279" t="s">
        <v>366</v>
      </c>
      <c r="B33" s="254" t="n">
        <v>294016</v>
      </c>
      <c r="C33" s="280" t="s">
        <v>373</v>
      </c>
      <c r="D33" s="24" t="s">
        <v>374</v>
      </c>
      <c r="E33" s="24" t="n">
        <v>441468</v>
      </c>
      <c r="F33" s="282" t="s">
        <v>375</v>
      </c>
      <c r="G33" s="24" t="n">
        <v>2026</v>
      </c>
      <c r="H33" s="129" t="n">
        <v>600</v>
      </c>
      <c r="I33" s="147" t="n">
        <f aca="false">(H33*9*0.025*0.6)*0.5</f>
        <v>40.5</v>
      </c>
      <c r="J33" s="281" t="n">
        <f aca="false">I33</f>
        <v>40.5</v>
      </c>
      <c r="K33" s="261"/>
      <c r="L33" s="246"/>
    </row>
    <row r="34" s="51" customFormat="true" ht="15.75" hidden="false" customHeight="false" outlineLevel="0" collapsed="false">
      <c r="A34" s="279" t="s">
        <v>366</v>
      </c>
      <c r="B34" s="254" t="n">
        <v>751934</v>
      </c>
      <c r="C34" s="280" t="s">
        <v>376</v>
      </c>
      <c r="D34" s="24" t="s">
        <v>31</v>
      </c>
      <c r="E34" s="24" t="n">
        <v>20377707</v>
      </c>
      <c r="F34" s="245"/>
      <c r="G34" s="24"/>
      <c r="H34" s="129" t="n">
        <v>1075.89</v>
      </c>
      <c r="I34" s="130" t="n">
        <f aca="false">(800*0.06)+(275.89*0.07)</f>
        <v>67.3123</v>
      </c>
      <c r="J34" s="281" t="n">
        <f aca="false">I34</f>
        <v>67.3123</v>
      </c>
      <c r="K34" s="261" t="s">
        <v>170</v>
      </c>
      <c r="L34" s="246"/>
    </row>
    <row r="35" s="51" customFormat="true" ht="15.75" hidden="false" customHeight="false" outlineLevel="0" collapsed="false">
      <c r="A35" s="279" t="s">
        <v>366</v>
      </c>
      <c r="B35" s="254" t="n">
        <v>659424</v>
      </c>
      <c r="C35" s="280" t="s">
        <v>377</v>
      </c>
      <c r="D35" s="24" t="s">
        <v>298</v>
      </c>
      <c r="E35" s="24" t="n">
        <v>611437</v>
      </c>
      <c r="F35" s="245"/>
      <c r="G35" s="24" t="n">
        <v>2036</v>
      </c>
      <c r="H35" s="129" t="n">
        <v>1020</v>
      </c>
      <c r="I35" s="156" t="n">
        <f aca="false">(H35*22*0.02)*0.6</f>
        <v>269.28</v>
      </c>
      <c r="J35" s="281" t="n">
        <f aca="false">I35</f>
        <v>269.28</v>
      </c>
      <c r="K35" s="283" t="s">
        <v>182</v>
      </c>
      <c r="L35" s="246"/>
    </row>
    <row r="36" s="51" customFormat="true" ht="15.75" hidden="false" customHeight="false" outlineLevel="0" collapsed="false">
      <c r="A36" s="279" t="s">
        <v>366</v>
      </c>
      <c r="B36" s="254" t="n">
        <v>659426</v>
      </c>
      <c r="C36" s="280" t="s">
        <v>378</v>
      </c>
      <c r="D36" s="24" t="s">
        <v>298</v>
      </c>
      <c r="E36" s="24" t="n">
        <v>611438</v>
      </c>
      <c r="F36" s="245"/>
      <c r="G36" s="24" t="n">
        <v>2039</v>
      </c>
      <c r="H36" s="129" t="n">
        <v>720</v>
      </c>
      <c r="I36" s="156" t="n">
        <f aca="false">(H36*19*0.02)*0.6</f>
        <v>164.16</v>
      </c>
      <c r="J36" s="281" t="n">
        <f aca="false">I36</f>
        <v>164.16</v>
      </c>
      <c r="K36" s="284" t="s">
        <v>184</v>
      </c>
      <c r="L36" s="246"/>
    </row>
    <row r="37" s="51" customFormat="true" ht="15.75" hidden="false" customHeight="false" outlineLevel="0" collapsed="false">
      <c r="A37" s="279" t="s">
        <v>366</v>
      </c>
      <c r="B37" s="254" t="n">
        <v>611396</v>
      </c>
      <c r="C37" s="285" t="s">
        <v>379</v>
      </c>
      <c r="D37" s="24" t="s">
        <v>296</v>
      </c>
      <c r="E37" s="24" t="s">
        <v>380</v>
      </c>
      <c r="F37" s="245"/>
      <c r="G37" s="24"/>
      <c r="H37" s="129" t="n">
        <v>854.06</v>
      </c>
      <c r="I37" s="286" t="n">
        <f aca="false">(H37/12*3.5)*0.6</f>
        <v>149.4605</v>
      </c>
      <c r="J37" s="133" t="n">
        <f aca="false">I37</f>
        <v>149.4605</v>
      </c>
      <c r="K37" s="284" t="s">
        <v>186</v>
      </c>
      <c r="L37" s="287"/>
    </row>
    <row r="38" s="51" customFormat="true" ht="14.25" hidden="false" customHeight="true" outlineLevel="0" collapsed="false">
      <c r="A38" s="279" t="s">
        <v>366</v>
      </c>
      <c r="B38" s="254" t="n">
        <v>849012</v>
      </c>
      <c r="C38" s="288" t="s">
        <v>381</v>
      </c>
      <c r="D38" s="38" t="s">
        <v>33</v>
      </c>
      <c r="E38" s="38" t="n">
        <v>20288250</v>
      </c>
      <c r="F38" s="289" t="s">
        <v>181</v>
      </c>
      <c r="G38" s="38"/>
      <c r="H38" s="290" t="n">
        <v>241.33</v>
      </c>
      <c r="I38" s="147" t="n">
        <f aca="false">(H38*0.12)*0.5</f>
        <v>14.4798</v>
      </c>
      <c r="J38" s="133" t="n">
        <f aca="false">I38</f>
        <v>14.4798</v>
      </c>
      <c r="K38" s="291"/>
      <c r="L38" s="292"/>
    </row>
    <row r="39" s="51" customFormat="true" ht="14.25" hidden="false" customHeight="true" outlineLevel="0" collapsed="false">
      <c r="A39" s="279" t="s">
        <v>366</v>
      </c>
      <c r="B39" s="254" t="n">
        <v>849012</v>
      </c>
      <c r="C39" s="288" t="s">
        <v>381</v>
      </c>
      <c r="D39" s="38" t="s">
        <v>382</v>
      </c>
      <c r="E39" s="38" t="n">
        <v>425327</v>
      </c>
      <c r="F39" s="289" t="s">
        <v>181</v>
      </c>
      <c r="G39" s="38"/>
      <c r="H39" s="290" t="n">
        <v>1501</v>
      </c>
      <c r="I39" s="71" t="n">
        <f aca="false">((H39*0.075)*0.6)*0.5</f>
        <v>33.7725</v>
      </c>
      <c r="J39" s="133" t="n">
        <f aca="false">I39</f>
        <v>33.7725</v>
      </c>
      <c r="K39" s="291"/>
      <c r="L39" s="292"/>
    </row>
    <row r="40" s="51" customFormat="true" ht="14.25" hidden="false" customHeight="true" outlineLevel="0" collapsed="false">
      <c r="A40" s="279" t="s">
        <v>366</v>
      </c>
      <c r="B40" s="254" t="n">
        <v>848696</v>
      </c>
      <c r="C40" s="288" t="s">
        <v>313</v>
      </c>
      <c r="D40" s="38" t="s">
        <v>296</v>
      </c>
      <c r="E40" s="38" t="n">
        <v>61012022</v>
      </c>
      <c r="F40" s="289"/>
      <c r="G40" s="38"/>
      <c r="H40" s="290" t="n">
        <v>1423.56</v>
      </c>
      <c r="I40" s="147" t="n">
        <f aca="false">(H40/12*3.5)*0.6</f>
        <v>249.123</v>
      </c>
      <c r="J40" s="133" t="n">
        <f aca="false">I40</f>
        <v>249.123</v>
      </c>
      <c r="K40" s="291"/>
      <c r="L40" s="292"/>
    </row>
    <row r="41" s="51" customFormat="true" ht="14.25" hidden="false" customHeight="true" outlineLevel="0" collapsed="false">
      <c r="A41" s="293" t="s">
        <v>366</v>
      </c>
      <c r="B41" s="294" t="n">
        <v>848696</v>
      </c>
      <c r="C41" s="295" t="s">
        <v>383</v>
      </c>
      <c r="D41" s="296" t="s">
        <v>296</v>
      </c>
      <c r="E41" s="296" t="s">
        <v>384</v>
      </c>
      <c r="F41" s="296"/>
      <c r="G41" s="296"/>
      <c r="H41" s="297" t="n">
        <v>760.2</v>
      </c>
      <c r="I41" s="201" t="n">
        <f aca="false">(H41/12*3.5)*0.6</f>
        <v>133.035</v>
      </c>
      <c r="J41" s="298" t="n">
        <f aca="false">I41</f>
        <v>133.035</v>
      </c>
      <c r="K41" s="291"/>
      <c r="L41" s="292"/>
    </row>
    <row r="42" s="51" customFormat="true" ht="14.25" hidden="false" customHeight="true" outlineLevel="0" collapsed="false">
      <c r="A42" s="279" t="s">
        <v>366</v>
      </c>
      <c r="B42" s="254" t="n">
        <v>526276</v>
      </c>
      <c r="C42" s="288" t="s">
        <v>385</v>
      </c>
      <c r="D42" s="38" t="s">
        <v>296</v>
      </c>
      <c r="E42" s="38" t="n">
        <v>61022143</v>
      </c>
      <c r="F42" s="289"/>
      <c r="G42" s="38"/>
      <c r="H42" s="290" t="n">
        <v>1083.96</v>
      </c>
      <c r="I42" s="147" t="n">
        <f aca="false">(H42/12*3.5)*0.6</f>
        <v>189.693</v>
      </c>
      <c r="J42" s="133" t="n">
        <f aca="false">I42</f>
        <v>189.693</v>
      </c>
      <c r="K42" s="291"/>
      <c r="L42" s="292"/>
    </row>
    <row r="43" s="51" customFormat="true" ht="14.25" hidden="false" customHeight="true" outlineLevel="0" collapsed="false">
      <c r="A43" s="279" t="s">
        <v>366</v>
      </c>
      <c r="B43" s="254" t="n">
        <v>850489</v>
      </c>
      <c r="C43" s="288" t="s">
        <v>386</v>
      </c>
      <c r="D43" s="38" t="s">
        <v>296</v>
      </c>
      <c r="E43" s="38" t="s">
        <v>387</v>
      </c>
      <c r="F43" s="289"/>
      <c r="G43" s="38"/>
      <c r="H43" s="290" t="n">
        <v>709.99</v>
      </c>
      <c r="I43" s="147" t="n">
        <f aca="false">(H43/12*3.5)*0.6</f>
        <v>124.24825</v>
      </c>
      <c r="J43" s="133" t="n">
        <f aca="false">I43</f>
        <v>124.24825</v>
      </c>
      <c r="K43" s="291"/>
      <c r="L43" s="292"/>
    </row>
    <row r="44" s="51" customFormat="true" ht="14.25" hidden="false" customHeight="true" outlineLevel="0" collapsed="false">
      <c r="A44" s="279" t="s">
        <v>366</v>
      </c>
      <c r="B44" s="254" t="n">
        <v>839223</v>
      </c>
      <c r="C44" s="288" t="s">
        <v>388</v>
      </c>
      <c r="D44" s="38" t="s">
        <v>33</v>
      </c>
      <c r="E44" s="38" t="n">
        <v>20382192</v>
      </c>
      <c r="F44" s="289"/>
      <c r="G44" s="38"/>
      <c r="H44" s="290" t="n">
        <v>190.17</v>
      </c>
      <c r="I44" s="147" t="n">
        <f aca="false">H44*0.12</f>
        <v>22.8204</v>
      </c>
      <c r="J44" s="133" t="n">
        <f aca="false">I44</f>
        <v>22.8204</v>
      </c>
      <c r="K44" s="291"/>
      <c r="L44" s="292"/>
    </row>
    <row r="45" s="51" customFormat="true" ht="14.25" hidden="false" customHeight="true" outlineLevel="0" collapsed="false">
      <c r="A45" s="279" t="s">
        <v>366</v>
      </c>
      <c r="B45" s="254" t="n">
        <v>841184</v>
      </c>
      <c r="C45" s="288" t="s">
        <v>389</v>
      </c>
      <c r="D45" s="38" t="s">
        <v>31</v>
      </c>
      <c r="E45" s="38" t="n">
        <v>20381768</v>
      </c>
      <c r="F45" s="289"/>
      <c r="G45" s="38"/>
      <c r="H45" s="290" t="n">
        <v>1141.46</v>
      </c>
      <c r="I45" s="299" t="n">
        <f aca="false">(800*0.06)+(341.46*0.07)</f>
        <v>71.9022</v>
      </c>
      <c r="J45" s="133" t="n">
        <f aca="false">I45</f>
        <v>71.9022</v>
      </c>
      <c r="K45" s="291"/>
      <c r="L45" s="292"/>
    </row>
    <row r="46" s="51" customFormat="true" ht="14.25" hidden="false" customHeight="true" outlineLevel="0" collapsed="false">
      <c r="A46" s="279" t="s">
        <v>366</v>
      </c>
      <c r="B46" s="254" t="n">
        <v>841184</v>
      </c>
      <c r="C46" s="288" t="s">
        <v>389</v>
      </c>
      <c r="D46" s="38" t="s">
        <v>390</v>
      </c>
      <c r="E46" s="38"/>
      <c r="F46" s="289"/>
      <c r="G46" s="38"/>
      <c r="H46" s="290"/>
      <c r="I46" s="299"/>
      <c r="J46" s="133" t="n">
        <f aca="false">I46</f>
        <v>0</v>
      </c>
      <c r="K46" s="291"/>
      <c r="L46" s="292"/>
    </row>
    <row r="47" s="51" customFormat="true" ht="14.25" hidden="false" customHeight="true" outlineLevel="0" collapsed="false">
      <c r="A47" s="279" t="s">
        <v>366</v>
      </c>
      <c r="B47" s="254" t="n">
        <v>851740</v>
      </c>
      <c r="C47" s="288" t="s">
        <v>391</v>
      </c>
      <c r="D47" s="38" t="s">
        <v>33</v>
      </c>
      <c r="E47" s="38" t="n">
        <v>20382263</v>
      </c>
      <c r="F47" s="289"/>
      <c r="G47" s="38"/>
      <c r="H47" s="290" t="n">
        <v>200.81</v>
      </c>
      <c r="I47" s="147" t="n">
        <f aca="false">H47*0.12</f>
        <v>24.0972</v>
      </c>
      <c r="J47" s="133" t="n">
        <f aca="false">I47</f>
        <v>24.0972</v>
      </c>
      <c r="K47" s="291"/>
      <c r="L47" s="292"/>
    </row>
    <row r="48" s="51" customFormat="true" ht="14.25" hidden="false" customHeight="true" outlineLevel="0" collapsed="false">
      <c r="A48" s="279" t="s">
        <v>366</v>
      </c>
      <c r="B48" s="254" t="n">
        <v>715253</v>
      </c>
      <c r="C48" s="288" t="s">
        <v>392</v>
      </c>
      <c r="D48" s="38" t="s">
        <v>189</v>
      </c>
      <c r="E48" s="38" t="n">
        <v>20381465</v>
      </c>
      <c r="F48" s="289"/>
      <c r="G48" s="38"/>
      <c r="H48" s="290" t="n">
        <v>906.39</v>
      </c>
      <c r="I48" s="147" t="n">
        <f aca="false">H48*0.12</f>
        <v>108.7668</v>
      </c>
      <c r="J48" s="133" t="n">
        <f aca="false">I48</f>
        <v>108.7668</v>
      </c>
      <c r="K48" s="291"/>
      <c r="L48" s="292"/>
    </row>
    <row r="49" s="51" customFormat="true" ht="14.25" hidden="false" customHeight="true" outlineLevel="0" collapsed="false">
      <c r="A49" s="279" t="s">
        <v>366</v>
      </c>
      <c r="B49" s="254" t="n">
        <v>715253</v>
      </c>
      <c r="C49" s="288" t="s">
        <v>392</v>
      </c>
      <c r="D49" s="38" t="s">
        <v>189</v>
      </c>
      <c r="E49" s="38" t="n">
        <v>20381470</v>
      </c>
      <c r="F49" s="289"/>
      <c r="G49" s="38"/>
      <c r="H49" s="290" t="n">
        <v>447.08</v>
      </c>
      <c r="I49" s="147" t="n">
        <f aca="false">H49*0.12</f>
        <v>53.6496</v>
      </c>
      <c r="J49" s="133" t="n">
        <f aca="false">I49</f>
        <v>53.6496</v>
      </c>
      <c r="K49" s="291"/>
      <c r="L49" s="292"/>
    </row>
    <row r="50" s="51" customFormat="true" ht="12.75" hidden="false" customHeight="true" outlineLevel="0" collapsed="false">
      <c r="A50" s="300"/>
      <c r="B50" s="254"/>
      <c r="C50" s="288"/>
      <c r="D50" s="38"/>
      <c r="E50" s="38"/>
      <c r="F50" s="289"/>
      <c r="G50" s="38"/>
      <c r="H50" s="290"/>
      <c r="I50" s="299"/>
      <c r="J50" s="133" t="n">
        <f aca="false">I50</f>
        <v>0</v>
      </c>
      <c r="K50" s="291"/>
      <c r="L50" s="292"/>
    </row>
    <row r="51" s="51" customFormat="true" ht="12.75" hidden="false" customHeight="true" outlineLevel="0" collapsed="false">
      <c r="A51" s="300"/>
      <c r="B51" s="254"/>
      <c r="C51" s="288"/>
      <c r="D51" s="38"/>
      <c r="E51" s="38"/>
      <c r="F51" s="289"/>
      <c r="G51" s="38"/>
      <c r="H51" s="290"/>
      <c r="I51" s="299"/>
      <c r="J51" s="133" t="n">
        <f aca="false">I51</f>
        <v>0</v>
      </c>
      <c r="K51" s="291"/>
      <c r="L51" s="292"/>
    </row>
    <row r="52" s="51" customFormat="true" ht="12.75" hidden="false" customHeight="true" outlineLevel="0" collapsed="false">
      <c r="A52" s="300"/>
      <c r="B52" s="254"/>
      <c r="C52" s="288"/>
      <c r="D52" s="38"/>
      <c r="E52" s="38"/>
      <c r="F52" s="289"/>
      <c r="G52" s="38"/>
      <c r="H52" s="290"/>
      <c r="I52" s="299"/>
      <c r="J52" s="133" t="n">
        <f aca="false">I52</f>
        <v>0</v>
      </c>
      <c r="K52" s="291"/>
      <c r="L52" s="292"/>
    </row>
    <row r="53" customFormat="false" ht="15.75" hidden="false" customHeight="false" outlineLevel="0" collapsed="false">
      <c r="A53" s="301"/>
      <c r="B53" s="302"/>
      <c r="C53" s="264" t="s">
        <v>393</v>
      </c>
      <c r="D53" s="60"/>
      <c r="E53" s="137"/>
      <c r="F53" s="265"/>
      <c r="G53" s="137"/>
      <c r="H53" s="138"/>
      <c r="I53" s="139"/>
      <c r="J53" s="303" t="n">
        <f aca="false">SUM(J25:J52)</f>
        <v>2211.28065</v>
      </c>
      <c r="K53" s="304" t="s">
        <v>187</v>
      </c>
      <c r="L53" s="305"/>
    </row>
    <row r="54" s="46" customFormat="true" ht="15" hidden="false" customHeight="false" outlineLevel="0" collapsed="false">
      <c r="A54" s="253" t="s">
        <v>394</v>
      </c>
      <c r="B54" s="306" t="n">
        <v>761980</v>
      </c>
      <c r="C54" s="307" t="s">
        <v>395</v>
      </c>
      <c r="D54" s="95" t="s">
        <v>31</v>
      </c>
      <c r="E54" s="95" t="n">
        <v>20083422</v>
      </c>
      <c r="F54" s="256"/>
      <c r="G54" s="95"/>
      <c r="H54" s="308" t="n">
        <v>1493.83</v>
      </c>
      <c r="I54" s="309" t="n">
        <f aca="false">(800*0.06)+(693.83*0.07)</f>
        <v>96.5681</v>
      </c>
      <c r="J54" s="96" t="n">
        <f aca="false">I54</f>
        <v>96.5681</v>
      </c>
      <c r="K54" s="34" t="s">
        <v>198</v>
      </c>
      <c r="L54" s="310"/>
    </row>
    <row r="55" customFormat="false" ht="14.25" hidden="false" customHeight="true" outlineLevel="0" collapsed="false">
      <c r="A55" s="253" t="s">
        <v>394</v>
      </c>
      <c r="B55" s="254" t="n">
        <v>603592</v>
      </c>
      <c r="C55" s="311" t="s">
        <v>396</v>
      </c>
      <c r="D55" s="24" t="s">
        <v>189</v>
      </c>
      <c r="E55" s="24" t="n">
        <v>20370742</v>
      </c>
      <c r="F55" s="245"/>
      <c r="G55" s="24"/>
      <c r="H55" s="153" t="n">
        <v>552.97</v>
      </c>
      <c r="I55" s="154" t="n">
        <f aca="false">H55*0.12</f>
        <v>66.3564</v>
      </c>
      <c r="J55" s="31" t="n">
        <f aca="false">I55</f>
        <v>66.3564</v>
      </c>
      <c r="L55" s="312" t="n">
        <v>20.08</v>
      </c>
    </row>
    <row r="56" customFormat="false" ht="14.25" hidden="false" customHeight="true" outlineLevel="0" collapsed="false">
      <c r="A56" s="253" t="s">
        <v>394</v>
      </c>
      <c r="B56" s="254" t="n">
        <v>951455</v>
      </c>
      <c r="C56" s="311" t="s">
        <v>397</v>
      </c>
      <c r="D56" s="24" t="s">
        <v>62</v>
      </c>
      <c r="E56" s="24" t="n">
        <v>20384573</v>
      </c>
      <c r="F56" s="245"/>
      <c r="G56" s="24"/>
      <c r="H56" s="129" t="n">
        <v>319.19</v>
      </c>
      <c r="I56" s="154" t="n">
        <f aca="false">H56*0.12</f>
        <v>38.3028</v>
      </c>
      <c r="J56" s="26" t="n">
        <f aca="false">I56</f>
        <v>38.3028</v>
      </c>
      <c r="K56" s="34" t="s">
        <v>210</v>
      </c>
      <c r="L56" s="246"/>
    </row>
    <row r="57" customFormat="false" ht="14.25" hidden="false" customHeight="true" outlineLevel="0" collapsed="false">
      <c r="A57" s="253" t="s">
        <v>394</v>
      </c>
      <c r="B57" s="254" t="n">
        <v>524936</v>
      </c>
      <c r="C57" s="313" t="s">
        <v>398</v>
      </c>
      <c r="D57" s="24" t="s">
        <v>62</v>
      </c>
      <c r="E57" s="29" t="n">
        <v>20360252</v>
      </c>
      <c r="F57" s="245"/>
      <c r="G57" s="42"/>
      <c r="H57" s="146" t="n">
        <v>1463.39</v>
      </c>
      <c r="I57" s="154" t="n">
        <f aca="false">H57*0.12</f>
        <v>175.6068</v>
      </c>
      <c r="J57" s="157" t="n">
        <f aca="false">I57</f>
        <v>175.6068</v>
      </c>
      <c r="K57" s="51" t="s">
        <v>213</v>
      </c>
      <c r="L57" s="314" t="n">
        <v>558.57</v>
      </c>
      <c r="M57" s="235" t="s">
        <v>368</v>
      </c>
    </row>
    <row r="58" customFormat="false" ht="14.25" hidden="false" customHeight="true" outlineLevel="0" collapsed="false">
      <c r="A58" s="253" t="s">
        <v>394</v>
      </c>
      <c r="B58" s="254" t="n">
        <v>546111</v>
      </c>
      <c r="C58" s="313" t="s">
        <v>399</v>
      </c>
      <c r="D58" s="29" t="s">
        <v>31</v>
      </c>
      <c r="E58" s="29" t="n">
        <v>20385017</v>
      </c>
      <c r="F58" s="245"/>
      <c r="G58" s="29"/>
      <c r="H58" s="146" t="n">
        <v>1814.16</v>
      </c>
      <c r="I58" s="309" t="n">
        <f aca="false">(800*0.06)+(800*0.07)+(214.16*0.08)</f>
        <v>121.1328</v>
      </c>
      <c r="J58" s="45" t="n">
        <f aca="false">I58</f>
        <v>121.1328</v>
      </c>
      <c r="K58" s="34" t="s">
        <v>214</v>
      </c>
      <c r="L58" s="314"/>
    </row>
    <row r="59" customFormat="false" ht="14.25" hidden="false" customHeight="true" outlineLevel="0" collapsed="false">
      <c r="A59" s="253" t="s">
        <v>394</v>
      </c>
      <c r="B59" s="254" t="n">
        <v>763711</v>
      </c>
      <c r="C59" s="313" t="s">
        <v>400</v>
      </c>
      <c r="D59" s="24" t="s">
        <v>296</v>
      </c>
      <c r="E59" s="29" t="n">
        <v>61022702</v>
      </c>
      <c r="F59" s="245"/>
      <c r="G59" s="29"/>
      <c r="H59" s="146" t="n">
        <v>688.32</v>
      </c>
      <c r="I59" s="147" t="n">
        <f aca="false">(H59/12*3.5)*0.6</f>
        <v>120.456</v>
      </c>
      <c r="J59" s="45" t="n">
        <f aca="false">I59</f>
        <v>120.456</v>
      </c>
      <c r="K59" s="34"/>
      <c r="L59" s="246"/>
    </row>
    <row r="60" customFormat="false" ht="14.25" hidden="false" customHeight="true" outlineLevel="0" collapsed="false">
      <c r="A60" s="253" t="s">
        <v>394</v>
      </c>
      <c r="B60" s="254" t="n">
        <v>586459</v>
      </c>
      <c r="C60" s="313" t="s">
        <v>401</v>
      </c>
      <c r="D60" s="24" t="s">
        <v>296</v>
      </c>
      <c r="E60" s="29" t="n">
        <v>61022815</v>
      </c>
      <c r="F60" s="245"/>
      <c r="G60" s="29"/>
      <c r="H60" s="146" t="n">
        <v>2518.8</v>
      </c>
      <c r="I60" s="147" t="n">
        <f aca="false">(H60/12*3.5)*0.6</f>
        <v>440.79</v>
      </c>
      <c r="J60" s="45" t="n">
        <f aca="false">I60</f>
        <v>440.79</v>
      </c>
      <c r="K60" s="34"/>
      <c r="L60" s="246"/>
    </row>
    <row r="61" customFormat="false" ht="14.25" hidden="false" customHeight="true" outlineLevel="0" collapsed="false">
      <c r="A61" s="253" t="s">
        <v>394</v>
      </c>
      <c r="B61" s="254" t="n">
        <v>526276</v>
      </c>
      <c r="C61" s="313" t="s">
        <v>385</v>
      </c>
      <c r="D61" s="24" t="s">
        <v>402</v>
      </c>
      <c r="E61" s="29" t="n">
        <v>807618</v>
      </c>
      <c r="F61" s="245"/>
      <c r="G61" s="29" t="n">
        <v>2033</v>
      </c>
      <c r="H61" s="146" t="n">
        <v>600</v>
      </c>
      <c r="I61" s="156" t="n">
        <f aca="false">(H61*16*0.02)*0.6</f>
        <v>115.2</v>
      </c>
      <c r="J61" s="45" t="n">
        <f aca="false">I61</f>
        <v>115.2</v>
      </c>
      <c r="K61" s="34"/>
      <c r="L61" s="246"/>
    </row>
    <row r="62" customFormat="false" ht="14.25" hidden="false" customHeight="true" outlineLevel="0" collapsed="false">
      <c r="A62" s="253" t="s">
        <v>394</v>
      </c>
      <c r="B62" s="254" t="n">
        <v>855692</v>
      </c>
      <c r="C62" s="313" t="s">
        <v>403</v>
      </c>
      <c r="D62" s="24" t="s">
        <v>296</v>
      </c>
      <c r="E62" s="29" t="n">
        <v>61022909</v>
      </c>
      <c r="F62" s="245"/>
      <c r="G62" s="29"/>
      <c r="H62" s="146" t="n">
        <v>145.08</v>
      </c>
      <c r="I62" s="147" t="n">
        <f aca="false">(H62/12*3.5)*0.6</f>
        <v>25.389</v>
      </c>
      <c r="J62" s="45" t="n">
        <f aca="false">I62</f>
        <v>25.389</v>
      </c>
      <c r="K62" s="34"/>
      <c r="L62" s="246"/>
    </row>
    <row r="63" customFormat="false" ht="14.25" hidden="false" customHeight="true" outlineLevel="0" collapsed="false">
      <c r="A63" s="253" t="s">
        <v>394</v>
      </c>
      <c r="B63" s="254" t="n">
        <v>855692</v>
      </c>
      <c r="C63" s="313" t="s">
        <v>403</v>
      </c>
      <c r="D63" s="24" t="s">
        <v>298</v>
      </c>
      <c r="E63" s="29" t="n">
        <v>806101</v>
      </c>
      <c r="F63" s="245"/>
      <c r="G63" s="29" t="n">
        <v>2045</v>
      </c>
      <c r="H63" s="146" t="n">
        <v>1200</v>
      </c>
      <c r="I63" s="156" t="n">
        <f aca="false">(H63*28*0.02)*0.6</f>
        <v>403.2</v>
      </c>
      <c r="J63" s="45" t="n">
        <f aca="false">I63</f>
        <v>403.2</v>
      </c>
      <c r="K63" s="34"/>
      <c r="L63" s="246"/>
    </row>
    <row r="64" customFormat="false" ht="14.25" hidden="false" customHeight="true" outlineLevel="0" collapsed="false">
      <c r="A64" s="253" t="s">
        <v>394</v>
      </c>
      <c r="B64" s="254" t="n">
        <v>789809</v>
      </c>
      <c r="C64" s="313" t="s">
        <v>404</v>
      </c>
      <c r="D64" s="24" t="s">
        <v>296</v>
      </c>
      <c r="E64" s="29" t="n">
        <v>61022957</v>
      </c>
      <c r="F64" s="245"/>
      <c r="G64" s="29"/>
      <c r="H64" s="146" t="n">
        <v>766.65</v>
      </c>
      <c r="I64" s="147" t="n">
        <f aca="false">(H64/12*3.5)*0.6</f>
        <v>134.16375</v>
      </c>
      <c r="J64" s="45" t="n">
        <f aca="false">I64</f>
        <v>134.16375</v>
      </c>
      <c r="K64" s="34"/>
      <c r="L64" s="246"/>
    </row>
    <row r="65" customFormat="false" ht="14.25" hidden="false" customHeight="true" outlineLevel="0" collapsed="false">
      <c r="A65" s="253" t="s">
        <v>394</v>
      </c>
      <c r="B65" s="254" t="n">
        <v>261094</v>
      </c>
      <c r="C65" s="313" t="s">
        <v>405</v>
      </c>
      <c r="D65" s="24" t="s">
        <v>293</v>
      </c>
      <c r="E65" s="29" t="n">
        <v>20386931</v>
      </c>
      <c r="F65" s="245"/>
      <c r="G65" s="29"/>
      <c r="H65" s="146" t="n">
        <v>1228.42</v>
      </c>
      <c r="I65" s="147" t="n">
        <f aca="false">(800*0.06)+(428.43*0.07)</f>
        <v>77.9901</v>
      </c>
      <c r="J65" s="45" t="n">
        <f aca="false">I65</f>
        <v>77.9901</v>
      </c>
      <c r="K65" s="34"/>
      <c r="L65" s="246"/>
    </row>
    <row r="66" customFormat="false" ht="14.25" hidden="false" customHeight="true" outlineLevel="0" collapsed="false">
      <c r="A66" s="253" t="s">
        <v>394</v>
      </c>
      <c r="B66" s="254" t="n">
        <v>583445</v>
      </c>
      <c r="C66" s="313" t="s">
        <v>201</v>
      </c>
      <c r="D66" s="24" t="s">
        <v>296</v>
      </c>
      <c r="E66" s="29" t="n">
        <v>61017866</v>
      </c>
      <c r="F66" s="245"/>
      <c r="G66" s="29"/>
      <c r="H66" s="146" t="n">
        <v>1056.36</v>
      </c>
      <c r="I66" s="147" t="n">
        <f aca="false">(H66/12*3.5)*0.6</f>
        <v>184.863</v>
      </c>
      <c r="J66" s="45" t="n">
        <f aca="false">I66</f>
        <v>184.863</v>
      </c>
      <c r="K66" s="34"/>
      <c r="L66" s="246"/>
    </row>
    <row r="67" customFormat="false" ht="14.25" hidden="false" customHeight="true" outlineLevel="0" collapsed="false">
      <c r="A67" s="253" t="s">
        <v>394</v>
      </c>
      <c r="B67" s="73" t="n">
        <v>559803</v>
      </c>
      <c r="C67" s="315" t="s">
        <v>406</v>
      </c>
      <c r="D67" s="38" t="s">
        <v>33</v>
      </c>
      <c r="E67" s="38" t="n">
        <v>20388053</v>
      </c>
      <c r="F67" s="289"/>
      <c r="G67" s="102"/>
      <c r="H67" s="158" t="n">
        <v>201.3</v>
      </c>
      <c r="I67" s="154" t="n">
        <f aca="false">H67*0.12</f>
        <v>24.156</v>
      </c>
      <c r="J67" s="103" t="n">
        <f aca="false">I67</f>
        <v>24.156</v>
      </c>
      <c r="K67" s="34"/>
      <c r="L67" s="246"/>
    </row>
    <row r="68" customFormat="false" ht="14.25" hidden="false" customHeight="true" outlineLevel="0" collapsed="false">
      <c r="A68" s="253" t="s">
        <v>394</v>
      </c>
      <c r="B68" s="254" t="n">
        <v>707630</v>
      </c>
      <c r="C68" s="316" t="s">
        <v>407</v>
      </c>
      <c r="D68" s="38" t="s">
        <v>296</v>
      </c>
      <c r="E68" s="102" t="n">
        <v>60015776</v>
      </c>
      <c r="F68" s="289"/>
      <c r="G68" s="102"/>
      <c r="H68" s="158" t="n">
        <v>145.08</v>
      </c>
      <c r="I68" s="147" t="n">
        <f aca="false">(H68/12*3.5)*0.6</f>
        <v>25.389</v>
      </c>
      <c r="J68" s="103" t="n">
        <f aca="false">I68</f>
        <v>25.389</v>
      </c>
      <c r="K68" s="34"/>
      <c r="L68" s="246"/>
    </row>
    <row r="69" customFormat="false" ht="12.75" hidden="false" customHeight="true" outlineLevel="0" collapsed="false">
      <c r="A69" s="253" t="s">
        <v>394</v>
      </c>
      <c r="B69" s="254" t="n">
        <v>782333</v>
      </c>
      <c r="C69" s="317" t="s">
        <v>408</v>
      </c>
      <c r="D69" s="318" t="s">
        <v>298</v>
      </c>
      <c r="E69" s="102" t="s">
        <v>409</v>
      </c>
      <c r="F69" s="319"/>
      <c r="G69" s="102" t="n">
        <v>2033</v>
      </c>
      <c r="H69" s="158" t="n">
        <v>1100</v>
      </c>
      <c r="I69" s="146" t="n">
        <f aca="false">(H69*16*0.02)*0.6</f>
        <v>211.2</v>
      </c>
      <c r="J69" s="320" t="n">
        <f aca="false">I69</f>
        <v>211.2</v>
      </c>
      <c r="K69" s="34"/>
      <c r="L69" s="246"/>
      <c r="M69" s="321" t="s">
        <v>368</v>
      </c>
    </row>
    <row r="70" customFormat="false" ht="14.25" hidden="false" customHeight="true" outlineLevel="0" collapsed="false">
      <c r="A70" s="253" t="s">
        <v>394</v>
      </c>
      <c r="B70" s="254" t="n">
        <v>782333</v>
      </c>
      <c r="C70" s="316" t="s">
        <v>408</v>
      </c>
      <c r="D70" s="38" t="s">
        <v>20</v>
      </c>
      <c r="E70" s="102" t="s">
        <v>410</v>
      </c>
      <c r="F70" s="289"/>
      <c r="G70" s="102"/>
      <c r="H70" s="158" t="n">
        <v>45000</v>
      </c>
      <c r="I70" s="132" t="n">
        <f aca="false">(H70*0.007)*0.6</f>
        <v>189</v>
      </c>
      <c r="J70" s="103" t="n">
        <f aca="false">I70</f>
        <v>189</v>
      </c>
      <c r="K70" s="34"/>
      <c r="L70" s="246"/>
    </row>
    <row r="71" customFormat="false" ht="14.25" hidden="false" customHeight="true" outlineLevel="0" collapsed="false">
      <c r="A71" s="253" t="s">
        <v>394</v>
      </c>
      <c r="B71" s="254" t="n">
        <v>782329</v>
      </c>
      <c r="C71" s="316" t="s">
        <v>411</v>
      </c>
      <c r="D71" s="38" t="s">
        <v>298</v>
      </c>
      <c r="E71" s="102" t="n">
        <v>821833</v>
      </c>
      <c r="F71" s="289"/>
      <c r="G71" s="102" t="n">
        <v>2040</v>
      </c>
      <c r="H71" s="158" t="n">
        <v>1700</v>
      </c>
      <c r="I71" s="156" t="n">
        <f aca="false">(H71*23*0.02)*0.6</f>
        <v>469.2</v>
      </c>
      <c r="J71" s="103" t="n">
        <f aca="false">I71</f>
        <v>469.2</v>
      </c>
      <c r="K71" s="34"/>
      <c r="L71" s="246"/>
    </row>
    <row r="72" customFormat="false" ht="14.25" hidden="false" customHeight="true" outlineLevel="0" collapsed="false">
      <c r="A72" s="253" t="s">
        <v>394</v>
      </c>
      <c r="B72" s="254" t="n">
        <v>782329</v>
      </c>
      <c r="C72" s="316" t="s">
        <v>411</v>
      </c>
      <c r="D72" s="38" t="s">
        <v>20</v>
      </c>
      <c r="E72" s="102" t="s">
        <v>412</v>
      </c>
      <c r="F72" s="289"/>
      <c r="G72" s="102"/>
      <c r="H72" s="158" t="n">
        <v>45000</v>
      </c>
      <c r="I72" s="132" t="n">
        <f aca="false">(H72*0.007)*0.6</f>
        <v>189</v>
      </c>
      <c r="J72" s="103" t="n">
        <f aca="false">I72</f>
        <v>189</v>
      </c>
      <c r="K72" s="34"/>
      <c r="L72" s="246"/>
    </row>
    <row r="73" customFormat="false" ht="14.25" hidden="false" customHeight="true" outlineLevel="0" collapsed="false">
      <c r="A73" s="253" t="s">
        <v>394</v>
      </c>
      <c r="B73" s="254" t="n">
        <v>760929</v>
      </c>
      <c r="C73" s="316" t="s">
        <v>359</v>
      </c>
      <c r="D73" s="38" t="s">
        <v>31</v>
      </c>
      <c r="E73" s="102" t="n">
        <v>20388622</v>
      </c>
      <c r="F73" s="289"/>
      <c r="G73" s="102"/>
      <c r="H73" s="158" t="n">
        <v>1073.3</v>
      </c>
      <c r="I73" s="159" t="n">
        <f aca="false">(800*0.06)+(273.3*0.07)</f>
        <v>67.131</v>
      </c>
      <c r="J73" s="103" t="n">
        <f aca="false">I73</f>
        <v>67.131</v>
      </c>
      <c r="K73" s="34"/>
      <c r="L73" s="246"/>
    </row>
    <row r="74" customFormat="false" ht="14.25" hidden="false" customHeight="true" outlineLevel="0" collapsed="false">
      <c r="A74" s="253" t="s">
        <v>394</v>
      </c>
      <c r="B74" s="254" t="n">
        <v>157437</v>
      </c>
      <c r="C74" s="316" t="s">
        <v>413</v>
      </c>
      <c r="D74" s="38" t="s">
        <v>31</v>
      </c>
      <c r="E74" s="102" t="n">
        <v>20388379</v>
      </c>
      <c r="F74" s="289"/>
      <c r="G74" s="102"/>
      <c r="H74" s="158" t="n">
        <v>93</v>
      </c>
      <c r="I74" s="159" t="n">
        <f aca="false">93*0.06</f>
        <v>5.58</v>
      </c>
      <c r="J74" s="103" t="n">
        <f aca="false">I74</f>
        <v>5.58</v>
      </c>
      <c r="K74" s="34"/>
      <c r="L74" s="246"/>
    </row>
    <row r="75" customFormat="false" ht="14.25" hidden="false" customHeight="true" outlineLevel="0" collapsed="false">
      <c r="A75" s="322"/>
      <c r="B75" s="254"/>
      <c r="C75" s="316"/>
      <c r="D75" s="38"/>
      <c r="E75" s="102"/>
      <c r="F75" s="289"/>
      <c r="G75" s="102"/>
      <c r="H75" s="158"/>
      <c r="I75" s="159"/>
      <c r="J75" s="103" t="n">
        <f aca="false">I75</f>
        <v>0</v>
      </c>
      <c r="K75" s="34"/>
      <c r="L75" s="246"/>
    </row>
    <row r="76" customFormat="false" ht="14.25" hidden="false" customHeight="true" outlineLevel="0" collapsed="false">
      <c r="A76" s="322"/>
      <c r="B76" s="254"/>
      <c r="C76" s="316"/>
      <c r="D76" s="38"/>
      <c r="E76" s="102"/>
      <c r="F76" s="289"/>
      <c r="G76" s="102"/>
      <c r="H76" s="158"/>
      <c r="I76" s="159"/>
      <c r="J76" s="103"/>
      <c r="K76" s="34"/>
      <c r="L76" s="246"/>
    </row>
    <row r="77" s="116" customFormat="true" ht="14.25" hidden="false" customHeight="true" outlineLevel="0" collapsed="false">
      <c r="A77" s="322"/>
      <c r="B77" s="254"/>
      <c r="C77" s="316"/>
      <c r="D77" s="38"/>
      <c r="E77" s="102"/>
      <c r="F77" s="289"/>
      <c r="G77" s="102"/>
      <c r="H77" s="158"/>
      <c r="I77" s="159"/>
      <c r="J77" s="103"/>
      <c r="K77" s="34"/>
      <c r="L77" s="268"/>
    </row>
    <row r="78" s="120" customFormat="true" ht="15.75" hidden="false" customHeight="false" outlineLevel="0" collapsed="false">
      <c r="A78" s="323"/>
      <c r="B78" s="324"/>
      <c r="C78" s="325" t="s">
        <v>414</v>
      </c>
      <c r="D78" s="107"/>
      <c r="E78" s="326"/>
      <c r="F78" s="327"/>
      <c r="G78" s="326"/>
      <c r="H78" s="328"/>
      <c r="I78" s="329"/>
      <c r="J78" s="330" t="n">
        <f aca="false">SUM(J54:J77)</f>
        <v>3180.67475</v>
      </c>
      <c r="K78" s="34"/>
      <c r="L78" s="331"/>
    </row>
    <row r="79" s="120" customFormat="true" ht="15.75" hidden="false" customHeight="false" outlineLevel="0" collapsed="false">
      <c r="A79" s="332"/>
      <c r="B79" s="302"/>
      <c r="C79" s="333" t="s">
        <v>285</v>
      </c>
      <c r="D79" s="334"/>
      <c r="E79" s="335"/>
      <c r="F79" s="336"/>
      <c r="G79" s="335"/>
      <c r="H79" s="337"/>
      <c r="I79" s="173"/>
      <c r="J79" s="108" t="n">
        <f aca="false">SUM(J24,J53,J78)</f>
        <v>7448.15675</v>
      </c>
      <c r="K79" s="34"/>
    </row>
    <row r="80" s="120" customFormat="true" ht="15.75" hidden="false" customHeight="false" outlineLevel="0" collapsed="false">
      <c r="A80" s="338"/>
      <c r="B80" s="339"/>
      <c r="C80" s="340"/>
      <c r="D80" s="335"/>
      <c r="E80" s="335"/>
      <c r="F80" s="336"/>
      <c r="G80" s="335"/>
      <c r="H80" s="337"/>
      <c r="I80" s="341"/>
      <c r="J80" s="342"/>
      <c r="K80" s="34"/>
    </row>
    <row r="81" s="120" customFormat="true" ht="15" hidden="false" customHeight="false" outlineLevel="0" collapsed="false">
      <c r="A81" s="338"/>
      <c r="B81" s="343"/>
      <c r="C81" s="344" t="s">
        <v>220</v>
      </c>
      <c r="D81" s="345"/>
      <c r="E81" s="345"/>
      <c r="F81" s="346"/>
      <c r="G81" s="345"/>
      <c r="H81" s="347"/>
      <c r="I81" s="348"/>
      <c r="J81" s="349" t="n">
        <f aca="false">J7</f>
        <v>5016.1</v>
      </c>
      <c r="K81" s="34"/>
    </row>
    <row r="82" customFormat="false" ht="15" hidden="false" customHeight="false" outlineLevel="0" collapsed="false">
      <c r="B82" s="343"/>
      <c r="C82" s="350" t="s">
        <v>221</v>
      </c>
      <c r="D82" s="351"/>
      <c r="E82" s="351"/>
      <c r="F82" s="352"/>
      <c r="G82" s="351"/>
      <c r="H82" s="353"/>
      <c r="I82" s="354"/>
      <c r="J82" s="355" t="n">
        <f aca="false">SUM(J79,J81)</f>
        <v>12464.25675</v>
      </c>
      <c r="K82" s="34"/>
      <c r="L82" s="120"/>
    </row>
    <row r="83" customFormat="false" ht="15.75" hidden="false" customHeight="false" outlineLevel="0" collapsed="false">
      <c r="B83" s="343"/>
      <c r="C83" s="356" t="s">
        <v>222</v>
      </c>
      <c r="D83" s="357"/>
      <c r="E83" s="357"/>
      <c r="F83" s="358"/>
      <c r="G83" s="357"/>
      <c r="H83" s="359"/>
      <c r="I83" s="360"/>
      <c r="J83" s="361" t="n">
        <f aca="false">J82/3</f>
        <v>4154.75225</v>
      </c>
      <c r="K83" s="116"/>
      <c r="L83" s="120"/>
    </row>
  </sheetData>
  <printOptions headings="false" gridLines="true" gridLinesSet="true" horizontalCentered="true" verticalCentered="true"/>
  <pageMargins left="0.236111111111111" right="0.236111111111111" top="0.39375" bottom="0.39375" header="0.315277777777778" footer="0.315277777777778"/>
  <pageSetup paperSize="9" scale="81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2èmeTRIMESTRE 2017</oddHeader>
    <oddFooter>&amp;L&amp;8&amp;Z&amp;F&amp;C&amp;7&amp;P/&amp;N&amp;RModfié le &amp;D </oddFooter>
  </headerFooter>
  <rowBreaks count="2" manualBreakCount="2">
    <brk id="24" man="true" max="16383" min="0"/>
    <brk id="53" man="true" max="16383" min="0"/>
  </rowBreaks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92"/>
  <sheetViews>
    <sheetView showFormulas="false" showGridLines="true" showRowColHeaders="true" showZeros="true" rightToLeft="false" tabSelected="false" showOutlineSymbols="true" defaultGridColor="true" view="normal" topLeftCell="A51" colorId="64" zoomScale="100" zoomScaleNormal="100" zoomScalePageLayoutView="100" workbookViewId="0">
      <selection pane="topLeft" activeCell="I58" activeCellId="1" sqref="A2:A7 I58"/>
    </sheetView>
  </sheetViews>
  <sheetFormatPr defaultRowHeight="18.75" zeroHeight="false" outlineLevelRow="0" outlineLevelCol="0"/>
  <cols>
    <col collapsed="false" customWidth="true" hidden="false" outlineLevel="0" max="1" min="1" style="62" width="10.71"/>
    <col collapsed="false" customWidth="true" hidden="false" outlineLevel="0" max="2" min="2" style="62" width="17.42"/>
    <col collapsed="false" customWidth="true" hidden="false" outlineLevel="0" max="3" min="3" style="2" width="27.99"/>
    <col collapsed="false" customWidth="true" hidden="false" outlineLevel="0" max="4" min="4" style="362" width="21.71"/>
    <col collapsed="false" customWidth="true" hidden="false" outlineLevel="0" max="5" min="5" style="363" width="24.71"/>
    <col collapsed="false" customWidth="true" hidden="false" outlineLevel="0" max="6" min="6" style="181" width="3.71"/>
    <col collapsed="false" customWidth="true" hidden="false" outlineLevel="0" max="7" min="7" style="3" width="10.58"/>
    <col collapsed="false" customWidth="true" hidden="false" outlineLevel="0" max="8" min="8" style="121" width="13.29"/>
    <col collapsed="false" customWidth="true" hidden="false" outlineLevel="0" max="9" min="9" style="122" width="12.42"/>
    <col collapsed="false" customWidth="true" hidden="false" outlineLevel="0" max="10" min="10" style="5" width="12.42"/>
    <col collapsed="false" customWidth="true" hidden="true" outlineLevel="0" max="11" min="11" style="0" width="34.29"/>
    <col collapsed="false" customWidth="true" hidden="true" outlineLevel="0" max="12" min="12" style="0" width="11.57"/>
    <col collapsed="false" customWidth="true" hidden="false" outlineLevel="0" max="1025" min="13" style="0" width="10.67"/>
  </cols>
  <sheetData>
    <row r="1" customFormat="false" ht="18.75" hidden="false" customHeight="false" outlineLevel="0" collapsed="false">
      <c r="A1" s="62" t="n">
        <v>2017</v>
      </c>
      <c r="C1" s="364" t="s">
        <v>125</v>
      </c>
      <c r="D1" s="365"/>
      <c r="G1" s="3" t="s">
        <v>415</v>
      </c>
      <c r="H1" s="3" t="s">
        <v>127</v>
      </c>
      <c r="J1" s="121" t="n">
        <f aca="false">8.5*80</f>
        <v>680</v>
      </c>
      <c r="K1" s="12"/>
    </row>
    <row r="2" customFormat="false" ht="18.75" hidden="false" customHeight="false" outlineLevel="0" collapsed="false">
      <c r="C2" s="364" t="s">
        <v>416</v>
      </c>
      <c r="D2" s="365"/>
      <c r="E2" s="363" t="s">
        <v>417</v>
      </c>
      <c r="G2" s="3" t="s">
        <v>418</v>
      </c>
      <c r="H2" s="363" t="s">
        <v>419</v>
      </c>
      <c r="I2" s="125"/>
      <c r="J2" s="121" t="n">
        <f aca="false">7.66*96</f>
        <v>735.36</v>
      </c>
      <c r="K2" s="12"/>
    </row>
    <row r="3" customFormat="false" ht="18.75" hidden="false" customHeight="false" outlineLevel="0" collapsed="false">
      <c r="C3" s="364" t="s">
        <v>5</v>
      </c>
      <c r="D3" s="365" t="s">
        <v>128</v>
      </c>
      <c r="G3" s="1"/>
      <c r="H3" s="125"/>
      <c r="I3" s="125"/>
      <c r="J3" s="125" t="n">
        <v>1802.5</v>
      </c>
      <c r="K3" s="12"/>
    </row>
    <row r="4" customFormat="false" ht="18.75" hidden="false" customHeight="false" outlineLevel="0" collapsed="false">
      <c r="C4" s="364" t="s">
        <v>5</v>
      </c>
      <c r="D4" s="365" t="s">
        <v>129</v>
      </c>
      <c r="G4" s="1"/>
      <c r="H4" s="125"/>
      <c r="I4" s="125"/>
      <c r="J4" s="125" t="n">
        <v>1758.4</v>
      </c>
      <c r="K4" s="12"/>
    </row>
    <row r="5" customFormat="false" ht="18.75" hidden="false" customHeight="false" outlineLevel="0" collapsed="false">
      <c r="C5" s="364" t="s">
        <v>5</v>
      </c>
      <c r="D5" s="365" t="s">
        <v>130</v>
      </c>
      <c r="G5" s="1"/>
      <c r="H5" s="125"/>
      <c r="I5" s="125"/>
      <c r="J5" s="125" t="n">
        <v>1622.95</v>
      </c>
      <c r="K5" s="12"/>
    </row>
    <row r="6" customFormat="false" ht="19.5" hidden="false" customHeight="false" outlineLevel="0" collapsed="false">
      <c r="C6" s="366" t="s">
        <v>420</v>
      </c>
      <c r="D6" s="367" t="s">
        <v>421</v>
      </c>
      <c r="G6" s="1"/>
      <c r="H6" s="125"/>
      <c r="I6" s="125"/>
      <c r="J6" s="10"/>
      <c r="K6" s="12"/>
    </row>
    <row r="7" customFormat="false" ht="19.5" hidden="false" customHeight="false" outlineLevel="0" collapsed="false">
      <c r="C7" s="368" t="s">
        <v>131</v>
      </c>
      <c r="D7" s="369"/>
      <c r="G7" s="1"/>
      <c r="H7" s="125"/>
      <c r="I7" s="125"/>
      <c r="J7" s="370" t="n">
        <f aca="false">SUM(J1:J5)</f>
        <v>6599.21</v>
      </c>
      <c r="K7" s="12"/>
    </row>
    <row r="8" customFormat="false" ht="19.5" hidden="false" customHeight="false" outlineLevel="0" collapsed="false">
      <c r="K8" s="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84" t="s">
        <v>15</v>
      </c>
      <c r="I9" s="128" t="s">
        <v>16</v>
      </c>
      <c r="J9" s="19" t="s">
        <v>17</v>
      </c>
    </row>
    <row r="10" customFormat="false" ht="18.75" hidden="true" customHeight="false" outlineLevel="0" collapsed="false">
      <c r="A10" s="73"/>
      <c r="B10" s="73" t="s">
        <v>424</v>
      </c>
      <c r="C10" s="375" t="s">
        <v>425</v>
      </c>
      <c r="D10" s="376" t="s">
        <v>426</v>
      </c>
      <c r="E10" s="377" t="s">
        <v>427</v>
      </c>
      <c r="F10" s="378"/>
      <c r="G10" s="24"/>
      <c r="H10" s="129" t="n">
        <v>100</v>
      </c>
      <c r="I10" s="132"/>
      <c r="J10" s="379" t="n">
        <f aca="false">I10</f>
        <v>0</v>
      </c>
    </row>
    <row r="11" customFormat="false" ht="18.75" hidden="true" customHeight="false" outlineLevel="0" collapsed="false">
      <c r="A11" s="73"/>
      <c r="B11" s="73" t="s">
        <v>424</v>
      </c>
      <c r="C11" s="375" t="s">
        <v>425</v>
      </c>
      <c r="D11" s="376" t="s">
        <v>428</v>
      </c>
      <c r="E11" s="377" t="s">
        <v>427</v>
      </c>
      <c r="F11" s="378"/>
      <c r="G11" s="24"/>
      <c r="H11" s="129" t="n">
        <v>100</v>
      </c>
      <c r="I11" s="132"/>
      <c r="J11" s="379" t="n">
        <f aca="false">I11</f>
        <v>0</v>
      </c>
    </row>
    <row r="12" customFormat="false" ht="18.75" hidden="true" customHeight="false" outlineLevel="0" collapsed="false">
      <c r="A12" s="73"/>
      <c r="B12" s="73" t="s">
        <v>424</v>
      </c>
      <c r="C12" s="375" t="s">
        <v>425</v>
      </c>
      <c r="D12" s="376" t="s">
        <v>429</v>
      </c>
      <c r="E12" s="377" t="s">
        <v>427</v>
      </c>
      <c r="F12" s="378"/>
      <c r="G12" s="24"/>
      <c r="H12" s="129" t="n">
        <v>100</v>
      </c>
      <c r="I12" s="132" t="n">
        <f aca="false">H12*0.12</f>
        <v>12</v>
      </c>
      <c r="J12" s="379" t="n">
        <f aca="false">I12</f>
        <v>12</v>
      </c>
    </row>
    <row r="13" customFormat="false" ht="18.75" hidden="true" customHeight="false" outlineLevel="0" collapsed="false">
      <c r="A13" s="73"/>
      <c r="B13" s="73" t="s">
        <v>424</v>
      </c>
      <c r="C13" s="375" t="s">
        <v>424</v>
      </c>
      <c r="D13" s="376" t="s">
        <v>430</v>
      </c>
      <c r="E13" s="377" t="s">
        <v>427</v>
      </c>
      <c r="F13" s="378"/>
      <c r="G13" s="24"/>
      <c r="H13" s="129" t="n">
        <v>100</v>
      </c>
      <c r="I13" s="132" t="n">
        <f aca="false">H13*0.15</f>
        <v>15</v>
      </c>
      <c r="J13" s="379" t="n">
        <f aca="false">I13</f>
        <v>15</v>
      </c>
    </row>
    <row r="14" customFormat="false" ht="18.75" hidden="true" customHeight="false" outlineLevel="0" collapsed="false">
      <c r="A14" s="73"/>
      <c r="B14" s="73" t="s">
        <v>424</v>
      </c>
      <c r="C14" s="375" t="s">
        <v>424</v>
      </c>
      <c r="D14" s="376" t="s">
        <v>431</v>
      </c>
      <c r="E14" s="377" t="s">
        <v>427</v>
      </c>
      <c r="F14" s="378"/>
      <c r="G14" s="24"/>
      <c r="H14" s="129" t="n">
        <v>100</v>
      </c>
      <c r="I14" s="132" t="n">
        <f aca="false">H14*0.12</f>
        <v>12</v>
      </c>
      <c r="J14" s="379" t="n">
        <f aca="false">I14</f>
        <v>12</v>
      </c>
    </row>
    <row r="15" customFormat="false" ht="18.75" hidden="true" customHeight="false" outlineLevel="0" collapsed="false">
      <c r="A15" s="73"/>
      <c r="B15" s="73" t="s">
        <v>424</v>
      </c>
      <c r="C15" s="375" t="s">
        <v>424</v>
      </c>
      <c r="D15" s="376" t="s">
        <v>432</v>
      </c>
      <c r="E15" s="377" t="s">
        <v>427</v>
      </c>
      <c r="F15" s="378"/>
      <c r="G15" s="24"/>
      <c r="H15" s="129" t="n">
        <v>100</v>
      </c>
      <c r="I15" s="132" t="n">
        <f aca="false">H15*0.12</f>
        <v>12</v>
      </c>
      <c r="J15" s="379" t="n">
        <f aca="false">I15</f>
        <v>12</v>
      </c>
    </row>
    <row r="16" customFormat="false" ht="18.75" hidden="true" customHeight="false" outlineLevel="0" collapsed="false">
      <c r="A16" s="73"/>
      <c r="B16" s="73" t="s">
        <v>424</v>
      </c>
      <c r="C16" s="375" t="s">
        <v>424</v>
      </c>
      <c r="D16" s="376" t="s">
        <v>189</v>
      </c>
      <c r="E16" s="377" t="s">
        <v>427</v>
      </c>
      <c r="F16" s="378"/>
      <c r="G16" s="24"/>
      <c r="H16" s="129" t="n">
        <v>100</v>
      </c>
      <c r="I16" s="132" t="n">
        <f aca="false">H16*0.12</f>
        <v>12</v>
      </c>
      <c r="J16" s="379" t="n">
        <f aca="false">I16</f>
        <v>12</v>
      </c>
    </row>
    <row r="17" customFormat="false" ht="18.75" hidden="true" customHeight="false" outlineLevel="0" collapsed="false">
      <c r="A17" s="73"/>
      <c r="B17" s="73" t="s">
        <v>424</v>
      </c>
      <c r="C17" s="375" t="s">
        <v>424</v>
      </c>
      <c r="D17" s="376" t="s">
        <v>296</v>
      </c>
      <c r="E17" s="377" t="s">
        <v>427</v>
      </c>
      <c r="F17" s="378"/>
      <c r="G17" s="95"/>
      <c r="H17" s="129" t="n">
        <v>100</v>
      </c>
      <c r="I17" s="380" t="n">
        <f aca="false">((H17/12)*3.5)*0.6</f>
        <v>17.5</v>
      </c>
      <c r="J17" s="379" t="n">
        <f aca="false">I17</f>
        <v>17.5</v>
      </c>
    </row>
    <row r="18" customFormat="false" ht="18.75" hidden="true" customHeight="false" outlineLevel="0" collapsed="false">
      <c r="A18" s="73"/>
      <c r="B18" s="73" t="s">
        <v>424</v>
      </c>
      <c r="C18" s="375" t="s">
        <v>424</v>
      </c>
      <c r="D18" s="376" t="s">
        <v>433</v>
      </c>
      <c r="E18" s="377" t="s">
        <v>427</v>
      </c>
      <c r="F18" s="378"/>
      <c r="G18" s="95"/>
      <c r="H18" s="129" t="n">
        <v>100</v>
      </c>
      <c r="I18" s="132" t="n">
        <f aca="false">H18*0.12</f>
        <v>12</v>
      </c>
      <c r="J18" s="379" t="n">
        <f aca="false">I18</f>
        <v>12</v>
      </c>
    </row>
    <row r="19" customFormat="false" ht="18.75" hidden="true" customHeight="false" outlineLevel="0" collapsed="false">
      <c r="A19" s="73"/>
      <c r="B19" s="73" t="s">
        <v>424</v>
      </c>
      <c r="C19" s="375" t="s">
        <v>424</v>
      </c>
      <c r="D19" s="376" t="s">
        <v>434</v>
      </c>
      <c r="E19" s="377" t="s">
        <v>427</v>
      </c>
      <c r="F19" s="378"/>
      <c r="G19" s="95"/>
      <c r="H19" s="129" t="n">
        <v>100</v>
      </c>
      <c r="I19" s="132" t="n">
        <f aca="false">H19*0.12</f>
        <v>12</v>
      </c>
      <c r="J19" s="379" t="n">
        <f aca="false">I19</f>
        <v>12</v>
      </c>
    </row>
    <row r="20" customFormat="false" ht="18.75" hidden="true" customHeight="false" outlineLevel="0" collapsed="false">
      <c r="A20" s="73"/>
      <c r="B20" s="73" t="s">
        <v>424</v>
      </c>
      <c r="C20" s="375" t="s">
        <v>424</v>
      </c>
      <c r="D20" s="376" t="s">
        <v>435</v>
      </c>
      <c r="E20" s="377" t="s">
        <v>427</v>
      </c>
      <c r="F20" s="378"/>
      <c r="G20" s="95" t="n">
        <v>2050</v>
      </c>
      <c r="H20" s="381" t="n">
        <v>1000</v>
      </c>
      <c r="I20" s="380" t="e">
        <f aca="false">(H20*#REF!*0.027)*0.6</f>
        <v>#REF!</v>
      </c>
      <c r="J20" s="379" t="e">
        <f aca="false">I20</f>
        <v>#REF!</v>
      </c>
    </row>
    <row r="21" customFormat="false" ht="18.75" hidden="true" customHeight="false" outlineLevel="0" collapsed="false">
      <c r="A21" s="73"/>
      <c r="B21" s="73" t="s">
        <v>424</v>
      </c>
      <c r="C21" s="375" t="s">
        <v>424</v>
      </c>
      <c r="D21" s="376" t="s">
        <v>436</v>
      </c>
      <c r="E21" s="377" t="s">
        <v>427</v>
      </c>
      <c r="F21" s="378"/>
      <c r="G21" s="95" t="n">
        <v>2050</v>
      </c>
      <c r="H21" s="381" t="n">
        <v>1000</v>
      </c>
      <c r="I21" s="380" t="e">
        <f aca="false">(H21*#REF!*0.018)*0.6</f>
        <v>#REF!</v>
      </c>
      <c r="J21" s="379" t="e">
        <f aca="false">I21</f>
        <v>#REF!</v>
      </c>
    </row>
    <row r="22" customFormat="false" ht="18.75" hidden="true" customHeight="false" outlineLevel="0" collapsed="false">
      <c r="A22" s="73"/>
      <c r="B22" s="73" t="s">
        <v>424</v>
      </c>
      <c r="C22" s="375" t="s">
        <v>424</v>
      </c>
      <c r="D22" s="376" t="s">
        <v>437</v>
      </c>
      <c r="E22" s="377" t="s">
        <v>427</v>
      </c>
      <c r="F22" s="378"/>
      <c r="G22" s="95" t="n">
        <v>2050</v>
      </c>
      <c r="H22" s="381" t="n">
        <v>1000</v>
      </c>
      <c r="I22" s="380" t="e">
        <f aca="false">(H22*#REF!*0.02)*0.6</f>
        <v>#REF!</v>
      </c>
      <c r="J22" s="379" t="e">
        <f aca="false">I22</f>
        <v>#REF!</v>
      </c>
    </row>
    <row r="23" customFormat="false" ht="18.75" hidden="true" customHeight="false" outlineLevel="0" collapsed="false">
      <c r="A23" s="73"/>
      <c r="B23" s="73" t="s">
        <v>424</v>
      </c>
      <c r="C23" s="375" t="s">
        <v>424</v>
      </c>
      <c r="D23" s="376" t="s">
        <v>438</v>
      </c>
      <c r="E23" s="377" t="s">
        <v>427</v>
      </c>
      <c r="F23" s="378"/>
      <c r="G23" s="95" t="n">
        <v>2050</v>
      </c>
      <c r="H23" s="381" t="n">
        <v>1000</v>
      </c>
      <c r="I23" s="380" t="e">
        <f aca="false">(H23*#REF!*0.02)*0.6</f>
        <v>#REF!</v>
      </c>
      <c r="J23" s="379" t="e">
        <f aca="false">I23</f>
        <v>#REF!</v>
      </c>
    </row>
    <row r="24" customFormat="false" ht="18.75" hidden="true" customHeight="false" outlineLevel="0" collapsed="false">
      <c r="A24" s="73"/>
      <c r="B24" s="73" t="s">
        <v>424</v>
      </c>
      <c r="C24" s="375" t="s">
        <v>424</v>
      </c>
      <c r="D24" s="376" t="s">
        <v>439</v>
      </c>
      <c r="E24" s="377" t="s">
        <v>427</v>
      </c>
      <c r="F24" s="378"/>
      <c r="G24" s="95" t="n">
        <v>2050</v>
      </c>
      <c r="H24" s="381" t="n">
        <v>1000</v>
      </c>
      <c r="I24" s="380" t="e">
        <f aca="false">(H24*#REF!*0.02)*0.6</f>
        <v>#REF!</v>
      </c>
      <c r="J24" s="379" t="e">
        <f aca="false">I24</f>
        <v>#REF!</v>
      </c>
    </row>
    <row r="25" customFormat="false" ht="18.75" hidden="true" customHeight="false" outlineLevel="0" collapsed="false">
      <c r="A25" s="73"/>
      <c r="B25" s="73" t="s">
        <v>424</v>
      </c>
      <c r="C25" s="375" t="s">
        <v>424</v>
      </c>
      <c r="D25" s="376" t="s">
        <v>440</v>
      </c>
      <c r="E25" s="377" t="s">
        <v>427</v>
      </c>
      <c r="F25" s="378"/>
      <c r="G25" s="95" t="n">
        <v>2050</v>
      </c>
      <c r="H25" s="381" t="n">
        <v>1000</v>
      </c>
      <c r="I25" s="380" t="e">
        <f aca="false">(H25*#REF!*0.027)*0.6</f>
        <v>#REF!</v>
      </c>
      <c r="J25" s="379" t="e">
        <f aca="false">I25</f>
        <v>#REF!</v>
      </c>
    </row>
    <row r="26" customFormat="false" ht="18.75" hidden="true" customHeight="false" outlineLevel="0" collapsed="false">
      <c r="A26" s="73"/>
      <c r="B26" s="73" t="s">
        <v>424</v>
      </c>
      <c r="C26" s="375" t="s">
        <v>424</v>
      </c>
      <c r="D26" s="376" t="s">
        <v>441</v>
      </c>
      <c r="E26" s="377" t="s">
        <v>427</v>
      </c>
      <c r="F26" s="378"/>
      <c r="G26" s="95" t="n">
        <v>2050</v>
      </c>
      <c r="H26" s="381" t="n">
        <v>1000</v>
      </c>
      <c r="I26" s="380" t="e">
        <f aca="false">(H26*#REF!*0.026)*0.6</f>
        <v>#REF!</v>
      </c>
      <c r="J26" s="379" t="e">
        <f aca="false">I26</f>
        <v>#REF!</v>
      </c>
    </row>
    <row r="27" customFormat="false" ht="18.75" hidden="true" customHeight="false" outlineLevel="0" collapsed="false">
      <c r="A27" s="73"/>
      <c r="B27" s="73" t="s">
        <v>424</v>
      </c>
      <c r="C27" s="375" t="s">
        <v>424</v>
      </c>
      <c r="D27" s="376" t="s">
        <v>442</v>
      </c>
      <c r="E27" s="377" t="s">
        <v>427</v>
      </c>
      <c r="F27" s="378"/>
      <c r="G27" s="95"/>
      <c r="H27" s="381" t="n">
        <v>10000</v>
      </c>
      <c r="I27" s="380" t="n">
        <f aca="false">H27*0.075*0.6</f>
        <v>450</v>
      </c>
      <c r="J27" s="379" t="n">
        <f aca="false">I27</f>
        <v>450</v>
      </c>
    </row>
    <row r="28" customFormat="false" ht="18.75" hidden="true" customHeight="false" outlineLevel="0" collapsed="false">
      <c r="A28" s="73"/>
      <c r="B28" s="73" t="s">
        <v>424</v>
      </c>
      <c r="C28" s="375" t="s">
        <v>424</v>
      </c>
      <c r="D28" s="376" t="s">
        <v>374</v>
      </c>
      <c r="E28" s="377" t="s">
        <v>427</v>
      </c>
      <c r="F28" s="378"/>
      <c r="G28" s="95" t="n">
        <v>2050</v>
      </c>
      <c r="H28" s="381" t="n">
        <v>1000</v>
      </c>
      <c r="I28" s="380" t="e">
        <f aca="false">(H28*#REF!*0.025)*0.6</f>
        <v>#REF!</v>
      </c>
      <c r="J28" s="379" t="e">
        <f aca="false">I28</f>
        <v>#REF!</v>
      </c>
    </row>
    <row r="29" customFormat="false" ht="18.75" hidden="true" customHeight="false" outlineLevel="0" collapsed="false">
      <c r="A29" s="73"/>
      <c r="B29" s="73" t="s">
        <v>424</v>
      </c>
      <c r="C29" s="375" t="s">
        <v>424</v>
      </c>
      <c r="D29" s="376" t="s">
        <v>443</v>
      </c>
      <c r="E29" s="377" t="s">
        <v>427</v>
      </c>
      <c r="F29" s="378"/>
      <c r="G29" s="95"/>
      <c r="H29" s="381" t="n">
        <v>150000</v>
      </c>
      <c r="I29" s="132" t="n">
        <f aca="false">(H29*0.007)*0.6</f>
        <v>630</v>
      </c>
      <c r="J29" s="379" t="n">
        <f aca="false">I29</f>
        <v>630</v>
      </c>
    </row>
    <row r="30" customFormat="false" ht="18.75" hidden="false" customHeight="false" outlineLevel="0" collapsed="false">
      <c r="A30" s="69" t="s">
        <v>444</v>
      </c>
      <c r="B30" s="69" t="n">
        <v>960341</v>
      </c>
      <c r="C30" s="70" t="s">
        <v>445</v>
      </c>
      <c r="D30" s="382" t="s">
        <v>33</v>
      </c>
      <c r="E30" s="383" t="n">
        <v>20393259</v>
      </c>
      <c r="F30" s="282"/>
      <c r="G30" s="24"/>
      <c r="H30" s="129" t="n">
        <v>204.72</v>
      </c>
      <c r="I30" s="130" t="n">
        <f aca="false">H30*0.12</f>
        <v>24.5664</v>
      </c>
      <c r="J30" s="131" t="n">
        <f aca="false">I30</f>
        <v>24.5664</v>
      </c>
      <c r="K30" s="0" t="s">
        <v>134</v>
      </c>
    </row>
    <row r="31" customFormat="false" ht="18" hidden="false" customHeight="true" outlineLevel="0" collapsed="false">
      <c r="A31" s="69" t="s">
        <v>444</v>
      </c>
      <c r="B31" s="69" t="n">
        <v>960341</v>
      </c>
      <c r="C31" s="70" t="s">
        <v>445</v>
      </c>
      <c r="D31" s="382" t="s">
        <v>293</v>
      </c>
      <c r="E31" s="383" t="n">
        <v>20391907</v>
      </c>
      <c r="F31" s="282"/>
      <c r="G31" s="24"/>
      <c r="H31" s="129" t="n">
        <v>1884.52</v>
      </c>
      <c r="I31" s="132" t="n">
        <f aca="false">(800*0.06)+(800*0.07)+(284*0.08)</f>
        <v>126.72</v>
      </c>
      <c r="J31" s="131" t="n">
        <f aca="false">I31</f>
        <v>126.72</v>
      </c>
      <c r="K31" s="0" t="s">
        <v>136</v>
      </c>
    </row>
    <row r="32" customFormat="false" ht="18" hidden="false" customHeight="true" outlineLevel="0" collapsed="false">
      <c r="A32" s="69" t="s">
        <v>444</v>
      </c>
      <c r="B32" s="69" t="n">
        <v>960341</v>
      </c>
      <c r="C32" s="70" t="s">
        <v>445</v>
      </c>
      <c r="D32" s="382" t="s">
        <v>434</v>
      </c>
      <c r="E32" s="383" t="n">
        <v>20389779</v>
      </c>
      <c r="F32" s="282"/>
      <c r="G32" s="24"/>
      <c r="H32" s="129" t="n">
        <v>27.49</v>
      </c>
      <c r="I32" s="130" t="n">
        <f aca="false">H32*0.12</f>
        <v>3.2988</v>
      </c>
      <c r="J32" s="131" t="n">
        <f aca="false">I32</f>
        <v>3.2988</v>
      </c>
    </row>
    <row r="33" customFormat="false" ht="18" hidden="false" customHeight="true" outlineLevel="0" collapsed="false">
      <c r="A33" s="69" t="s">
        <v>444</v>
      </c>
      <c r="B33" s="69" t="n">
        <v>944900</v>
      </c>
      <c r="C33" s="70" t="s">
        <v>340</v>
      </c>
      <c r="D33" s="382" t="s">
        <v>33</v>
      </c>
      <c r="E33" s="383" t="n">
        <v>20389877</v>
      </c>
      <c r="F33" s="282"/>
      <c r="G33" s="24"/>
      <c r="H33" s="129" t="n">
        <v>247.54</v>
      </c>
      <c r="I33" s="130" t="n">
        <f aca="false">H33*0.12</f>
        <v>29.7048</v>
      </c>
      <c r="J33" s="131" t="n">
        <f aca="false">I33</f>
        <v>29.7048</v>
      </c>
      <c r="K33" s="0" t="s">
        <v>138</v>
      </c>
    </row>
    <row r="34" customFormat="false" ht="18" hidden="false" customHeight="true" outlineLevel="0" collapsed="false">
      <c r="A34" s="69" t="s">
        <v>444</v>
      </c>
      <c r="B34" s="69" t="n">
        <v>960430</v>
      </c>
      <c r="C34" s="70" t="s">
        <v>446</v>
      </c>
      <c r="D34" s="382" t="s">
        <v>293</v>
      </c>
      <c r="E34" s="383" t="n">
        <v>20390775</v>
      </c>
      <c r="F34" s="282"/>
      <c r="G34" s="24"/>
      <c r="H34" s="129" t="n">
        <v>1920.78</v>
      </c>
      <c r="I34" s="132" t="n">
        <f aca="false">(800*0.06)+(800*0.07)+(320.78*0.08)</f>
        <v>129.6624</v>
      </c>
      <c r="J34" s="131" t="n">
        <f aca="false">I34</f>
        <v>129.6624</v>
      </c>
    </row>
    <row r="35" customFormat="false" ht="18" hidden="false" customHeight="true" outlineLevel="0" collapsed="false">
      <c r="A35" s="69" t="s">
        <v>444</v>
      </c>
      <c r="B35" s="69" t="n">
        <v>960430</v>
      </c>
      <c r="C35" s="70" t="s">
        <v>446</v>
      </c>
      <c r="D35" s="382" t="s">
        <v>33</v>
      </c>
      <c r="E35" s="383" t="n">
        <v>20390162</v>
      </c>
      <c r="F35" s="282"/>
      <c r="G35" s="24"/>
      <c r="H35" s="129" t="n">
        <v>298.55</v>
      </c>
      <c r="I35" s="130" t="n">
        <f aca="false">H35*0.12</f>
        <v>35.826</v>
      </c>
      <c r="J35" s="131" t="n">
        <f aca="false">I35</f>
        <v>35.826</v>
      </c>
      <c r="K35" s="0" t="s">
        <v>139</v>
      </c>
    </row>
    <row r="36" customFormat="false" ht="18" hidden="false" customHeight="true" outlineLevel="0" collapsed="false">
      <c r="A36" s="69" t="s">
        <v>444</v>
      </c>
      <c r="B36" s="69" t="n">
        <v>849012</v>
      </c>
      <c r="C36" s="70" t="s">
        <v>381</v>
      </c>
      <c r="D36" s="382" t="s">
        <v>296</v>
      </c>
      <c r="E36" s="383" t="n">
        <v>610223166</v>
      </c>
      <c r="F36" s="282"/>
      <c r="G36" s="24"/>
      <c r="H36" s="129" t="n">
        <v>760.2</v>
      </c>
      <c r="I36" s="130" t="n">
        <f aca="false">(H36/12*3.5)*0.6</f>
        <v>133.035</v>
      </c>
      <c r="J36" s="131" t="n">
        <f aca="false">I36</f>
        <v>133.035</v>
      </c>
    </row>
    <row r="37" customFormat="false" ht="18" hidden="false" customHeight="true" outlineLevel="0" collapsed="false">
      <c r="A37" s="384" t="s">
        <v>444</v>
      </c>
      <c r="B37" s="384" t="n">
        <v>849012</v>
      </c>
      <c r="C37" s="385" t="s">
        <v>381</v>
      </c>
      <c r="D37" s="386" t="s">
        <v>33</v>
      </c>
      <c r="E37" s="387" t="s">
        <v>447</v>
      </c>
      <c r="F37" s="388"/>
      <c r="G37" s="199"/>
      <c r="H37" s="200" t="n">
        <v>229.08</v>
      </c>
      <c r="I37" s="201" t="n">
        <f aca="false">H37*0.12</f>
        <v>27.4896</v>
      </c>
      <c r="J37" s="131" t="n">
        <f aca="false">I37</f>
        <v>27.4896</v>
      </c>
    </row>
    <row r="38" customFormat="false" ht="18" hidden="false" customHeight="true" outlineLevel="0" collapsed="false">
      <c r="A38" s="69" t="s">
        <v>444</v>
      </c>
      <c r="B38" s="69" t="n">
        <v>869731</v>
      </c>
      <c r="C38" s="70" t="s">
        <v>448</v>
      </c>
      <c r="D38" s="382" t="s">
        <v>296</v>
      </c>
      <c r="E38" s="383" t="n">
        <v>61023303</v>
      </c>
      <c r="F38" s="282"/>
      <c r="G38" s="24"/>
      <c r="H38" s="129" t="n">
        <v>145.08</v>
      </c>
      <c r="I38" s="130" t="n">
        <f aca="false">(H38/12*3.5)*0.6</f>
        <v>25.389</v>
      </c>
      <c r="J38" s="131" t="n">
        <f aca="false">I38</f>
        <v>25.389</v>
      </c>
    </row>
    <row r="39" customFormat="false" ht="18" hidden="false" customHeight="true" outlineLevel="0" collapsed="false">
      <c r="A39" s="69" t="s">
        <v>444</v>
      </c>
      <c r="B39" s="86" t="n">
        <v>711633</v>
      </c>
      <c r="C39" s="70" t="s">
        <v>449</v>
      </c>
      <c r="D39" s="362" t="s">
        <v>298</v>
      </c>
      <c r="E39" s="69" t="n">
        <v>806103</v>
      </c>
      <c r="F39" s="389"/>
      <c r="G39" s="24" t="n">
        <v>2041</v>
      </c>
      <c r="H39" s="129" t="n">
        <v>1700</v>
      </c>
      <c r="I39" s="147" t="n">
        <f aca="false">(H39*24*0.02)*0.6</f>
        <v>489.6</v>
      </c>
      <c r="J39" s="131" t="n">
        <f aca="false">I39</f>
        <v>489.6</v>
      </c>
    </row>
    <row r="40" customFormat="false" ht="18" hidden="false" customHeight="true" outlineLevel="0" collapsed="false">
      <c r="A40" s="69" t="s">
        <v>444</v>
      </c>
      <c r="B40" s="69" t="n">
        <v>782333</v>
      </c>
      <c r="C40" s="70" t="s">
        <v>408</v>
      </c>
      <c r="D40" s="362" t="s">
        <v>298</v>
      </c>
      <c r="E40" s="383" t="n">
        <v>822500</v>
      </c>
      <c r="F40" s="282"/>
      <c r="G40" s="24" t="n">
        <v>2036</v>
      </c>
      <c r="H40" s="129" t="n">
        <v>1100</v>
      </c>
      <c r="I40" s="147" t="n">
        <f aca="false">(H40*19*0.02)*0.6</f>
        <v>250.8</v>
      </c>
      <c r="J40" s="131" t="n">
        <f aca="false">I40</f>
        <v>250.8</v>
      </c>
    </row>
    <row r="41" customFormat="false" ht="18" hidden="false" customHeight="true" outlineLevel="0" collapsed="false">
      <c r="A41" s="69" t="s">
        <v>444</v>
      </c>
      <c r="B41" s="69" t="n">
        <v>789809</v>
      </c>
      <c r="C41" s="70" t="s">
        <v>450</v>
      </c>
      <c r="D41" s="382" t="s">
        <v>235</v>
      </c>
      <c r="E41" s="383" t="n">
        <v>61022957</v>
      </c>
      <c r="F41" s="282"/>
      <c r="G41" s="24"/>
      <c r="H41" s="129" t="n">
        <v>766.65</v>
      </c>
      <c r="I41" s="130" t="n">
        <f aca="false">(H41/12*3.5)*0.6</f>
        <v>134.16375</v>
      </c>
      <c r="J41" s="131" t="n">
        <f aca="false">I41</f>
        <v>134.16375</v>
      </c>
      <c r="K41" s="0" t="s">
        <v>141</v>
      </c>
    </row>
    <row r="42" customFormat="false" ht="18" hidden="false" customHeight="true" outlineLevel="0" collapsed="false">
      <c r="A42" s="69" t="s">
        <v>444</v>
      </c>
      <c r="B42" s="69" t="n">
        <v>674507</v>
      </c>
      <c r="C42" s="70" t="s">
        <v>451</v>
      </c>
      <c r="D42" s="382" t="s">
        <v>33</v>
      </c>
      <c r="E42" s="383" t="n">
        <v>20393955</v>
      </c>
      <c r="F42" s="282"/>
      <c r="G42" s="24"/>
      <c r="H42" s="129" t="n">
        <v>171.79</v>
      </c>
      <c r="I42" s="130" t="n">
        <f aca="false">H42*0.12</f>
        <v>20.6148</v>
      </c>
      <c r="J42" s="131" t="n">
        <f aca="false">I42</f>
        <v>20.6148</v>
      </c>
    </row>
    <row r="43" customFormat="false" ht="18" hidden="false" customHeight="true" outlineLevel="0" collapsed="false">
      <c r="A43" s="69" t="s">
        <v>444</v>
      </c>
      <c r="B43" s="69" t="n">
        <v>674507</v>
      </c>
      <c r="C43" s="70" t="s">
        <v>451</v>
      </c>
      <c r="D43" s="382" t="s">
        <v>108</v>
      </c>
      <c r="E43" s="383" t="n">
        <v>20393956</v>
      </c>
      <c r="F43" s="282"/>
      <c r="G43" s="24"/>
      <c r="H43" s="129" t="n">
        <v>112.72</v>
      </c>
      <c r="I43" s="130" t="n">
        <f aca="false">H43*0.15</f>
        <v>16.908</v>
      </c>
      <c r="J43" s="131" t="n">
        <f aca="false">I43</f>
        <v>16.908</v>
      </c>
    </row>
    <row r="44" customFormat="false" ht="18" hidden="false" customHeight="true" outlineLevel="0" collapsed="false">
      <c r="A44" s="69" t="s">
        <v>444</v>
      </c>
      <c r="B44" s="69" t="n">
        <v>520444</v>
      </c>
      <c r="C44" s="70" t="s">
        <v>452</v>
      </c>
      <c r="D44" s="382" t="s">
        <v>293</v>
      </c>
      <c r="E44" s="383" t="n">
        <v>20393603</v>
      </c>
      <c r="F44" s="282"/>
      <c r="G44" s="24"/>
      <c r="H44" s="129" t="n">
        <v>1036.61</v>
      </c>
      <c r="I44" s="132" t="n">
        <f aca="false">(800*0.06)+(263.61*0.07)</f>
        <v>66.4527</v>
      </c>
      <c r="J44" s="131" t="n">
        <f aca="false">I44</f>
        <v>66.4527</v>
      </c>
    </row>
    <row r="45" customFormat="false" ht="18" hidden="false" customHeight="true" outlineLevel="0" collapsed="false">
      <c r="A45" s="69" t="s">
        <v>444</v>
      </c>
      <c r="B45" s="69" t="n">
        <v>492267</v>
      </c>
      <c r="C45" s="70" t="s">
        <v>453</v>
      </c>
      <c r="D45" s="382" t="s">
        <v>158</v>
      </c>
      <c r="E45" s="383" t="n">
        <v>10881831</v>
      </c>
      <c r="F45" s="282" t="s">
        <v>181</v>
      </c>
      <c r="G45" s="24"/>
      <c r="H45" s="129" t="n">
        <v>239.89</v>
      </c>
      <c r="I45" s="130" t="n">
        <f aca="false">H45*0.12*0.5</f>
        <v>14.3934</v>
      </c>
      <c r="J45" s="131" t="n">
        <f aca="false">I45</f>
        <v>14.3934</v>
      </c>
    </row>
    <row r="46" s="34" customFormat="true" ht="19.5" hidden="false" customHeight="false" outlineLevel="0" collapsed="false">
      <c r="A46" s="390" t="s">
        <v>128</v>
      </c>
      <c r="B46" s="69"/>
      <c r="C46" s="135" t="s">
        <v>454</v>
      </c>
      <c r="D46" s="391"/>
      <c r="E46" s="392"/>
      <c r="F46" s="393"/>
      <c r="G46" s="137"/>
      <c r="H46" s="138"/>
      <c r="I46" s="139"/>
      <c r="J46" s="140" t="n">
        <f aca="false">SUM(J30:J45)</f>
        <v>1528.62465</v>
      </c>
      <c r="K46" s="34" t="s">
        <v>175</v>
      </c>
    </row>
    <row r="47" customFormat="false" ht="19.5" hidden="false" customHeight="false" outlineLevel="0" collapsed="false">
      <c r="A47" s="142" t="s">
        <v>455</v>
      </c>
      <c r="B47" s="142" t="n">
        <v>431621</v>
      </c>
      <c r="C47" s="66" t="s">
        <v>456</v>
      </c>
      <c r="D47" s="382" t="s">
        <v>430</v>
      </c>
      <c r="E47" s="373" t="n">
        <v>10058471</v>
      </c>
      <c r="F47" s="374"/>
      <c r="G47" s="16"/>
      <c r="H47" s="185" t="n">
        <v>113.12</v>
      </c>
      <c r="I47" s="132" t="n">
        <f aca="false">H47*0.15</f>
        <v>16.968</v>
      </c>
      <c r="J47" s="19" t="n">
        <f aca="false">I47</f>
        <v>16.968</v>
      </c>
      <c r="K47" s="34" t="s">
        <v>177</v>
      </c>
    </row>
    <row r="48" customFormat="false" ht="18.75" hidden="false" customHeight="false" outlineLevel="0" collapsed="false">
      <c r="A48" s="69" t="s">
        <v>455</v>
      </c>
      <c r="B48" s="69" t="n">
        <v>664441</v>
      </c>
      <c r="C48" s="70" t="s">
        <v>457</v>
      </c>
      <c r="D48" s="382" t="s">
        <v>430</v>
      </c>
      <c r="E48" s="383" t="n">
        <v>10098758</v>
      </c>
      <c r="F48" s="282"/>
      <c r="G48" s="24"/>
      <c r="H48" s="132" t="n">
        <v>113.12</v>
      </c>
      <c r="I48" s="132" t="n">
        <f aca="false">H48*0.15</f>
        <v>16.968</v>
      </c>
      <c r="J48" s="19" t="n">
        <f aca="false">I48</f>
        <v>16.968</v>
      </c>
      <c r="K48" s="34" t="s">
        <v>178</v>
      </c>
    </row>
    <row r="49" customFormat="false" ht="18.75" hidden="false" customHeight="false" outlineLevel="0" collapsed="false">
      <c r="A49" s="205" t="s">
        <v>455</v>
      </c>
      <c r="B49" s="69" t="n">
        <v>963163</v>
      </c>
      <c r="C49" s="70" t="s">
        <v>458</v>
      </c>
      <c r="D49" s="394" t="s">
        <v>437</v>
      </c>
      <c r="E49" s="383" t="n">
        <v>823305</v>
      </c>
      <c r="F49" s="282"/>
      <c r="G49" s="24" t="n">
        <v>2033</v>
      </c>
      <c r="H49" s="132" t="n">
        <v>1200</v>
      </c>
      <c r="I49" s="222" t="n">
        <f aca="false">(H49*16*0.02)*0.6</f>
        <v>230.4</v>
      </c>
      <c r="J49" s="26" t="n">
        <f aca="false">I49</f>
        <v>230.4</v>
      </c>
      <c r="K49" s="88" t="s">
        <v>182</v>
      </c>
      <c r="L49" s="0" t="s">
        <v>459</v>
      </c>
    </row>
    <row r="50" s="51" customFormat="true" ht="18.75" hidden="false" customHeight="false" outlineLevel="0" collapsed="false">
      <c r="A50" s="205" t="s">
        <v>455</v>
      </c>
      <c r="B50" s="69" t="n">
        <v>932605</v>
      </c>
      <c r="C50" s="70" t="s">
        <v>460</v>
      </c>
      <c r="D50" s="394" t="s">
        <v>461</v>
      </c>
      <c r="E50" s="383" t="n">
        <v>806104</v>
      </c>
      <c r="F50" s="282"/>
      <c r="G50" s="24" t="n">
        <v>2056</v>
      </c>
      <c r="H50" s="132" t="n">
        <v>840</v>
      </c>
      <c r="I50" s="222" t="n">
        <f aca="false">(H50*39*0.02)*0.6</f>
        <v>393.12</v>
      </c>
      <c r="J50" s="26" t="n">
        <f aca="false">I50</f>
        <v>393.12</v>
      </c>
      <c r="K50" s="51" t="s">
        <v>186</v>
      </c>
    </row>
    <row r="51" s="51" customFormat="true" ht="18.75" hidden="false" customHeight="false" outlineLevel="0" collapsed="false">
      <c r="A51" s="69" t="s">
        <v>455</v>
      </c>
      <c r="B51" s="69" t="n">
        <v>964206</v>
      </c>
      <c r="C51" s="70" t="s">
        <v>462</v>
      </c>
      <c r="D51" s="394" t="s">
        <v>426</v>
      </c>
      <c r="E51" s="395" t="n">
        <v>20394708</v>
      </c>
      <c r="F51" s="282"/>
      <c r="G51" s="29"/>
      <c r="H51" s="222" t="n">
        <v>1131.73</v>
      </c>
      <c r="I51" s="222" t="n">
        <f aca="false">(800*0.06)+(331.73*0.07)</f>
        <v>71.2211</v>
      </c>
      <c r="J51" s="45" t="n">
        <f aca="false">I51</f>
        <v>71.2211</v>
      </c>
      <c r="K51" s="88"/>
    </row>
    <row r="52" s="51" customFormat="true" ht="18.75" hidden="false" customHeight="false" outlineLevel="0" collapsed="false">
      <c r="A52" s="69" t="s">
        <v>455</v>
      </c>
      <c r="B52" s="69" t="n">
        <v>300245</v>
      </c>
      <c r="C52" s="70" t="s">
        <v>171</v>
      </c>
      <c r="D52" s="394" t="s">
        <v>461</v>
      </c>
      <c r="E52" s="395" t="n">
        <v>806105</v>
      </c>
      <c r="F52" s="282"/>
      <c r="G52" s="29" t="n">
        <v>2052</v>
      </c>
      <c r="H52" s="222" t="n">
        <v>600</v>
      </c>
      <c r="I52" s="222" t="n">
        <f aca="false">(H52*35*0.02)*0.6</f>
        <v>252</v>
      </c>
      <c r="J52" s="45" t="n">
        <f aca="false">I52</f>
        <v>252</v>
      </c>
      <c r="K52" s="88"/>
    </row>
    <row r="53" s="51" customFormat="true" ht="18.75" hidden="false" customHeight="false" outlineLevel="0" collapsed="false">
      <c r="A53" s="69" t="s">
        <v>455</v>
      </c>
      <c r="B53" s="69" t="n">
        <v>548742</v>
      </c>
      <c r="C53" s="70" t="s">
        <v>299</v>
      </c>
      <c r="D53" s="394" t="s">
        <v>426</v>
      </c>
      <c r="E53" s="395" t="n">
        <v>20396984</v>
      </c>
      <c r="F53" s="282"/>
      <c r="G53" s="29"/>
      <c r="H53" s="222" t="n">
        <v>738.99</v>
      </c>
      <c r="I53" s="222" t="n">
        <f aca="false">H53*0.06</f>
        <v>44.3394</v>
      </c>
      <c r="J53" s="45" t="n">
        <f aca="false">I53</f>
        <v>44.3394</v>
      </c>
      <c r="K53" s="51" t="s">
        <v>190</v>
      </c>
    </row>
    <row r="54" s="51" customFormat="true" ht="18.75" hidden="false" customHeight="false" outlineLevel="0" collapsed="false">
      <c r="A54" s="86" t="s">
        <v>455</v>
      </c>
      <c r="B54" s="69" t="n">
        <v>548743</v>
      </c>
      <c r="C54" s="70" t="s">
        <v>299</v>
      </c>
      <c r="D54" s="394" t="s">
        <v>426</v>
      </c>
      <c r="E54" s="395" t="n">
        <v>20397882</v>
      </c>
      <c r="F54" s="282"/>
      <c r="G54" s="29"/>
      <c r="H54" s="132" t="n">
        <v>995.63</v>
      </c>
      <c r="I54" s="132" t="n">
        <f aca="false">(800*0.06)+(195.63*0.07)</f>
        <v>61.6941</v>
      </c>
      <c r="J54" s="26" t="n">
        <f aca="false">I54</f>
        <v>61.6941</v>
      </c>
      <c r="K54" s="51" t="s">
        <v>170</v>
      </c>
    </row>
    <row r="55" s="51" customFormat="true" ht="18.75" hidden="false" customHeight="false" outlineLevel="0" collapsed="false">
      <c r="A55" s="69" t="s">
        <v>455</v>
      </c>
      <c r="B55" s="69" t="n">
        <v>674507</v>
      </c>
      <c r="C55" s="70" t="s">
        <v>463</v>
      </c>
      <c r="D55" s="394" t="s">
        <v>461</v>
      </c>
      <c r="E55" s="383" t="n">
        <v>823670</v>
      </c>
      <c r="F55" s="282"/>
      <c r="G55" s="24" t="n">
        <v>2047</v>
      </c>
      <c r="H55" s="132" t="n">
        <v>840</v>
      </c>
      <c r="I55" s="222" t="n">
        <f aca="false">(H55*30*0.02)*0.6</f>
        <v>302.4</v>
      </c>
      <c r="J55" s="26" t="n">
        <f aca="false">I55</f>
        <v>302.4</v>
      </c>
    </row>
    <row r="56" s="51" customFormat="true" ht="18.75" hidden="false" customHeight="false" outlineLevel="0" collapsed="false">
      <c r="A56" s="69" t="s">
        <v>455</v>
      </c>
      <c r="B56" s="69" t="n">
        <v>960341</v>
      </c>
      <c r="C56" s="70" t="s">
        <v>445</v>
      </c>
      <c r="D56" s="394" t="s">
        <v>461</v>
      </c>
      <c r="E56" s="395" t="n">
        <v>823575</v>
      </c>
      <c r="F56" s="282"/>
      <c r="G56" s="29" t="n">
        <v>2050</v>
      </c>
      <c r="H56" s="132" t="n">
        <v>1200</v>
      </c>
      <c r="I56" s="222" t="n">
        <f aca="false">(H56*33*0.02)*0.6</f>
        <v>475.2</v>
      </c>
      <c r="J56" s="26" t="n">
        <f aca="false">I56</f>
        <v>475.2</v>
      </c>
    </row>
    <row r="57" s="51" customFormat="true" ht="18.75" hidden="false" customHeight="false" outlineLevel="0" collapsed="false">
      <c r="A57" s="69" t="s">
        <v>455</v>
      </c>
      <c r="B57" s="69" t="n">
        <v>961947</v>
      </c>
      <c r="C57" s="70" t="s">
        <v>464</v>
      </c>
      <c r="D57" s="394" t="s">
        <v>426</v>
      </c>
      <c r="E57" s="395" t="n">
        <v>20391946</v>
      </c>
      <c r="F57" s="282"/>
      <c r="G57" s="29"/>
      <c r="H57" s="132" t="n">
        <v>1161.1</v>
      </c>
      <c r="I57" s="222" t="n">
        <f aca="false">(800*0.06)+(361.1*0.07)</f>
        <v>73.277</v>
      </c>
      <c r="J57" s="26" t="n">
        <f aca="false">I57</f>
        <v>73.277</v>
      </c>
    </row>
    <row r="58" s="51" customFormat="true" ht="18.75" hidden="false" customHeight="false" outlineLevel="0" collapsed="false">
      <c r="A58" s="69" t="s">
        <v>455</v>
      </c>
      <c r="B58" s="69" t="n">
        <v>616905</v>
      </c>
      <c r="C58" s="70" t="s">
        <v>465</v>
      </c>
      <c r="D58" s="394" t="s">
        <v>296</v>
      </c>
      <c r="E58" s="395" t="n">
        <v>60004666</v>
      </c>
      <c r="F58" s="282" t="s">
        <v>181</v>
      </c>
      <c r="G58" s="29"/>
      <c r="H58" s="132" t="n">
        <v>1022.73</v>
      </c>
      <c r="I58" s="222" t="n">
        <f aca="false">(H58/12*3.5)*0.6*0.5</f>
        <v>89.488875</v>
      </c>
      <c r="J58" s="26" t="n">
        <f aca="false">I58</f>
        <v>89.488875</v>
      </c>
    </row>
    <row r="59" customFormat="false" ht="19.5" hidden="false" customHeight="false" outlineLevel="0" collapsed="false">
      <c r="A59" s="396" t="s">
        <v>129</v>
      </c>
      <c r="B59" s="69"/>
      <c r="C59" s="135" t="s">
        <v>236</v>
      </c>
      <c r="D59" s="391"/>
      <c r="E59" s="397"/>
      <c r="F59" s="393"/>
      <c r="G59" s="60"/>
      <c r="H59" s="150"/>
      <c r="I59" s="150"/>
      <c r="J59" s="303" t="n">
        <f aca="false">SUM(J47:J58)</f>
        <v>2027.076475</v>
      </c>
      <c r="K59" s="34" t="s">
        <v>194</v>
      </c>
    </row>
    <row r="60" customFormat="false" ht="18.75" hidden="false" customHeight="false" outlineLevel="0" collapsed="false">
      <c r="A60" s="142" t="s">
        <v>466</v>
      </c>
      <c r="B60" s="142" t="n">
        <v>968621</v>
      </c>
      <c r="C60" s="66" t="s">
        <v>467</v>
      </c>
      <c r="D60" s="398" t="s">
        <v>293</v>
      </c>
      <c r="E60" s="373" t="n">
        <v>20399997</v>
      </c>
      <c r="F60" s="374"/>
      <c r="G60" s="16"/>
      <c r="H60" s="185" t="n">
        <v>1337.97</v>
      </c>
      <c r="I60" s="222" t="n">
        <f aca="false">(800*0.06)+(537.97*0.07)</f>
        <v>85.6579</v>
      </c>
      <c r="J60" s="19" t="n">
        <f aca="false">I60</f>
        <v>85.6579</v>
      </c>
      <c r="K60" s="34" t="s">
        <v>198</v>
      </c>
      <c r="L60" s="0" t="s">
        <v>468</v>
      </c>
    </row>
    <row r="61" s="51" customFormat="true" ht="18.75" hidden="false" customHeight="false" outlineLevel="0" collapsed="false">
      <c r="A61" s="69" t="s">
        <v>466</v>
      </c>
      <c r="B61" s="69" t="n">
        <v>260070</v>
      </c>
      <c r="C61" s="70" t="s">
        <v>469</v>
      </c>
      <c r="D61" s="382" t="s">
        <v>189</v>
      </c>
      <c r="E61" s="383" t="n">
        <v>20406003</v>
      </c>
      <c r="F61" s="399"/>
      <c r="G61" s="24"/>
      <c r="H61" s="132" t="n">
        <v>94.95</v>
      </c>
      <c r="I61" s="132" t="n">
        <f aca="false">H61*0.12</f>
        <v>11.394</v>
      </c>
      <c r="J61" s="26" t="n">
        <f aca="false">I61</f>
        <v>11.394</v>
      </c>
      <c r="K61" s="34" t="s">
        <v>200</v>
      </c>
    </row>
    <row r="62" customFormat="false" ht="18.75" hidden="false" customHeight="false" outlineLevel="0" collapsed="false">
      <c r="A62" s="69" t="s">
        <v>466</v>
      </c>
      <c r="B62" s="69" t="n">
        <v>260070</v>
      </c>
      <c r="C62" s="70" t="s">
        <v>469</v>
      </c>
      <c r="D62" s="382" t="s">
        <v>428</v>
      </c>
      <c r="E62" s="395" t="n">
        <v>20402456</v>
      </c>
      <c r="F62" s="282"/>
      <c r="G62" s="29"/>
      <c r="H62" s="222" t="n">
        <v>611.69</v>
      </c>
      <c r="I62" s="222" t="n">
        <f aca="false">(611.69*0.06)</f>
        <v>36.7014</v>
      </c>
      <c r="J62" s="45" t="n">
        <f aca="false">I62</f>
        <v>36.7014</v>
      </c>
      <c r="K62" s="88" t="s">
        <v>202</v>
      </c>
    </row>
    <row r="63" customFormat="false" ht="18.75" hidden="false" customHeight="false" outlineLevel="0" collapsed="false">
      <c r="A63" s="69" t="s">
        <v>466</v>
      </c>
      <c r="B63" s="69" t="n">
        <v>729789</v>
      </c>
      <c r="C63" s="70" t="s">
        <v>470</v>
      </c>
      <c r="D63" s="382" t="s">
        <v>441</v>
      </c>
      <c r="E63" s="383" t="n">
        <v>611756</v>
      </c>
      <c r="F63" s="282"/>
      <c r="G63" s="24" t="n">
        <v>2032</v>
      </c>
      <c r="H63" s="132" t="n">
        <v>600</v>
      </c>
      <c r="I63" s="222" t="n">
        <f aca="false">(H63*15*0.027)*0.6</f>
        <v>145.8</v>
      </c>
      <c r="J63" s="26" t="n">
        <f aca="false">I63</f>
        <v>145.8</v>
      </c>
      <c r="K63" s="88" t="s">
        <v>205</v>
      </c>
      <c r="M63" s="400" t="s">
        <v>368</v>
      </c>
    </row>
    <row r="64" s="34" customFormat="true" ht="18.75" hidden="false" customHeight="false" outlineLevel="0" collapsed="false">
      <c r="A64" s="69" t="s">
        <v>466</v>
      </c>
      <c r="B64" s="69" t="n">
        <v>729790</v>
      </c>
      <c r="C64" s="70" t="s">
        <v>470</v>
      </c>
      <c r="D64" s="382" t="s">
        <v>430</v>
      </c>
      <c r="E64" s="401" t="n">
        <v>20380756</v>
      </c>
      <c r="F64" s="282" t="s">
        <v>181</v>
      </c>
      <c r="G64" s="24"/>
      <c r="H64" s="132" t="n">
        <v>113.82</v>
      </c>
      <c r="I64" s="222" t="n">
        <f aca="false">H64*0.15*0.5</f>
        <v>8.5365</v>
      </c>
      <c r="J64" s="26" t="n">
        <f aca="false">I64</f>
        <v>8.5365</v>
      </c>
      <c r="K64" s="88"/>
    </row>
    <row r="65" s="34" customFormat="true" ht="18.75" hidden="false" customHeight="false" outlineLevel="0" collapsed="false">
      <c r="A65" s="69" t="s">
        <v>466</v>
      </c>
      <c r="B65" s="69" t="n">
        <v>729790</v>
      </c>
      <c r="C65" s="70" t="s">
        <v>470</v>
      </c>
      <c r="D65" s="382" t="s">
        <v>172</v>
      </c>
      <c r="E65" s="401" t="n">
        <v>20380756</v>
      </c>
      <c r="F65" s="282" t="s">
        <v>181</v>
      </c>
      <c r="G65" s="24"/>
      <c r="H65" s="132" t="n">
        <v>128.85</v>
      </c>
      <c r="I65" s="222" t="n">
        <f aca="false">H65*0.1*0.5</f>
        <v>6.4425</v>
      </c>
      <c r="J65" s="26" t="n">
        <f aca="false">I65</f>
        <v>6.4425</v>
      </c>
      <c r="K65" s="88"/>
    </row>
    <row r="66" s="34" customFormat="true" ht="18.75" hidden="false" customHeight="false" outlineLevel="0" collapsed="false">
      <c r="A66" s="69" t="s">
        <v>466</v>
      </c>
      <c r="B66" s="69" t="n">
        <v>729789</v>
      </c>
      <c r="C66" s="70" t="s">
        <v>470</v>
      </c>
      <c r="D66" s="382" t="s">
        <v>429</v>
      </c>
      <c r="E66" s="401" t="n">
        <v>20380756</v>
      </c>
      <c r="F66" s="282" t="s">
        <v>181</v>
      </c>
      <c r="G66" s="24"/>
      <c r="H66" s="402" t="n">
        <v>322.57</v>
      </c>
      <c r="I66" s="402" t="n">
        <f aca="false">H66*0.12*0.5</f>
        <v>19.3542</v>
      </c>
      <c r="J66" s="31" t="n">
        <f aca="false">I66</f>
        <v>19.3542</v>
      </c>
    </row>
    <row r="67" customFormat="false" ht="18.75" hidden="false" customHeight="false" outlineLevel="0" collapsed="false">
      <c r="A67" s="205" t="s">
        <v>466</v>
      </c>
      <c r="B67" s="69" t="n">
        <v>729789</v>
      </c>
      <c r="C67" s="70" t="s">
        <v>470</v>
      </c>
      <c r="D67" s="382" t="s">
        <v>426</v>
      </c>
      <c r="E67" s="383" t="n">
        <v>20380742</v>
      </c>
      <c r="F67" s="282" t="s">
        <v>181</v>
      </c>
      <c r="G67" s="24"/>
      <c r="H67" s="132" t="n">
        <v>2476.73</v>
      </c>
      <c r="I67" s="222" t="n">
        <f aca="false">((800*0.06)+(800*0.07)+(876.73*0.08))*0.5</f>
        <v>87.0692</v>
      </c>
      <c r="J67" s="26" t="n">
        <f aca="false">I67</f>
        <v>87.0692</v>
      </c>
      <c r="K67" s="34" t="s">
        <v>210</v>
      </c>
    </row>
    <row r="68" s="46" customFormat="true" ht="18.75" hidden="false" customHeight="false" outlineLevel="0" collapsed="false">
      <c r="A68" s="403" t="s">
        <v>466</v>
      </c>
      <c r="B68" s="69" t="n">
        <v>611396</v>
      </c>
      <c r="C68" s="99" t="s">
        <v>379</v>
      </c>
      <c r="D68" s="382" t="s">
        <v>429</v>
      </c>
      <c r="E68" s="395" t="n">
        <v>20401766</v>
      </c>
      <c r="F68" s="282"/>
      <c r="G68" s="42"/>
      <c r="H68" s="222" t="n">
        <v>254.78</v>
      </c>
      <c r="I68" s="222" t="n">
        <f aca="false">H68*0.12</f>
        <v>30.5736</v>
      </c>
      <c r="J68" s="404" t="n">
        <f aca="false">I68</f>
        <v>30.5736</v>
      </c>
      <c r="K68" s="51" t="s">
        <v>213</v>
      </c>
    </row>
    <row r="69" s="46" customFormat="true" ht="18.75" hidden="false" customHeight="false" outlineLevel="0" collapsed="false">
      <c r="A69" s="98" t="s">
        <v>466</v>
      </c>
      <c r="B69" s="69" t="n">
        <v>611396</v>
      </c>
      <c r="C69" s="99" t="s">
        <v>379</v>
      </c>
      <c r="D69" s="382" t="s">
        <v>430</v>
      </c>
      <c r="E69" s="395" t="n">
        <v>20401766</v>
      </c>
      <c r="F69" s="282"/>
      <c r="G69" s="42"/>
      <c r="H69" s="222" t="n">
        <v>113.12</v>
      </c>
      <c r="I69" s="222" t="n">
        <f aca="false">H69*0.15</f>
        <v>16.968</v>
      </c>
      <c r="J69" s="404" t="n">
        <f aca="false">I69</f>
        <v>16.968</v>
      </c>
      <c r="K69" s="51"/>
    </row>
    <row r="70" s="51" customFormat="true" ht="18.75" hidden="false" customHeight="false" outlineLevel="0" collapsed="false">
      <c r="A70" s="69" t="s">
        <v>466</v>
      </c>
      <c r="B70" s="69" t="n">
        <v>957574</v>
      </c>
      <c r="C70" s="90" t="s">
        <v>471</v>
      </c>
      <c r="D70" s="382" t="s">
        <v>442</v>
      </c>
      <c r="E70" s="395" t="n">
        <v>449631</v>
      </c>
      <c r="F70" s="282"/>
      <c r="G70" s="29" t="n">
        <v>2041</v>
      </c>
      <c r="H70" s="222" t="n">
        <v>523.96</v>
      </c>
      <c r="I70" s="75" t="n">
        <f aca="false">(H70*0.075)*0.6</f>
        <v>23.5782</v>
      </c>
      <c r="J70" s="45" t="n">
        <f aca="false">I70</f>
        <v>23.5782</v>
      </c>
      <c r="K70" s="34" t="s">
        <v>214</v>
      </c>
      <c r="L70" s="46"/>
    </row>
    <row r="71" customFormat="false" ht="18.75" hidden="false" customHeight="false" outlineLevel="0" collapsed="false">
      <c r="A71" s="69" t="s">
        <v>466</v>
      </c>
      <c r="B71" s="69" t="n">
        <v>957574</v>
      </c>
      <c r="C71" s="90" t="s">
        <v>471</v>
      </c>
      <c r="D71" s="382" t="s">
        <v>442</v>
      </c>
      <c r="E71" s="395" t="n">
        <v>449632</v>
      </c>
      <c r="F71" s="282"/>
      <c r="G71" s="250" t="n">
        <v>2041</v>
      </c>
      <c r="H71" s="222" t="n">
        <v>17840.31806099</v>
      </c>
      <c r="I71" s="75" t="n">
        <f aca="false">(H71*0.075)*0.6</f>
        <v>802.81431274455</v>
      </c>
      <c r="J71" s="45" t="n">
        <f aca="false">I71</f>
        <v>802.81431274455</v>
      </c>
      <c r="K71" s="34" t="s">
        <v>216</v>
      </c>
    </row>
    <row r="72" customFormat="false" ht="18.75" hidden="false" customHeight="false" outlineLevel="0" collapsed="false">
      <c r="A72" s="69" t="s">
        <v>466</v>
      </c>
      <c r="B72" s="69" t="n">
        <v>273587</v>
      </c>
      <c r="C72" s="99" t="s">
        <v>472</v>
      </c>
      <c r="D72" s="382" t="s">
        <v>189</v>
      </c>
      <c r="E72" s="395" t="n">
        <v>20405665</v>
      </c>
      <c r="F72" s="282"/>
      <c r="G72" s="29"/>
      <c r="H72" s="222" t="n">
        <v>602.57</v>
      </c>
      <c r="I72" s="222" t="n">
        <f aca="false">H72*0.12</f>
        <v>72.3084</v>
      </c>
      <c r="J72" s="45" t="n">
        <f aca="false">I72</f>
        <v>72.3084</v>
      </c>
      <c r="K72" s="34"/>
    </row>
    <row r="73" customFormat="false" ht="18.75" hidden="false" customHeight="false" outlineLevel="0" collapsed="false">
      <c r="A73" s="69" t="s">
        <v>466</v>
      </c>
      <c r="B73" s="69" t="n">
        <v>273587</v>
      </c>
      <c r="C73" s="99" t="s">
        <v>472</v>
      </c>
      <c r="D73" s="382" t="s">
        <v>428</v>
      </c>
      <c r="E73" s="395" t="n">
        <v>20406329</v>
      </c>
      <c r="F73" s="282"/>
      <c r="G73" s="29"/>
      <c r="H73" s="222" t="n">
        <v>394.07</v>
      </c>
      <c r="I73" s="222" t="n">
        <f aca="false">H73*0.06</f>
        <v>23.6442</v>
      </c>
      <c r="J73" s="45" t="n">
        <f aca="false">I73</f>
        <v>23.6442</v>
      </c>
      <c r="K73" s="34"/>
    </row>
    <row r="74" customFormat="false" ht="18.75" hidden="false" customHeight="false" outlineLevel="0" collapsed="false">
      <c r="A74" s="69" t="s">
        <v>466</v>
      </c>
      <c r="B74" s="69" t="n">
        <v>644354</v>
      </c>
      <c r="C74" s="99" t="s">
        <v>473</v>
      </c>
      <c r="D74" s="382" t="s">
        <v>429</v>
      </c>
      <c r="E74" s="395" t="n">
        <v>20402700</v>
      </c>
      <c r="F74" s="282"/>
      <c r="G74" s="29"/>
      <c r="H74" s="222" t="n">
        <v>188.58</v>
      </c>
      <c r="I74" s="222" t="n">
        <f aca="false">H74*0.12</f>
        <v>22.6296</v>
      </c>
      <c r="J74" s="45" t="n">
        <f aca="false">I74</f>
        <v>22.6296</v>
      </c>
      <c r="K74" s="34"/>
    </row>
    <row r="75" customFormat="false" ht="18.75" hidden="false" customHeight="false" outlineLevel="0" collapsed="false">
      <c r="A75" s="69" t="s">
        <v>466</v>
      </c>
      <c r="B75" s="69" t="n">
        <v>644354</v>
      </c>
      <c r="C75" s="99" t="s">
        <v>473</v>
      </c>
      <c r="D75" s="382" t="s">
        <v>430</v>
      </c>
      <c r="E75" s="395" t="n">
        <v>20402700</v>
      </c>
      <c r="F75" s="282"/>
      <c r="G75" s="29"/>
      <c r="H75" s="222" t="n">
        <v>113.12</v>
      </c>
      <c r="I75" s="222" t="n">
        <f aca="false">H75*0.15</f>
        <v>16.968</v>
      </c>
      <c r="J75" s="45" t="n">
        <f aca="false">I75</f>
        <v>16.968</v>
      </c>
      <c r="K75" s="34"/>
    </row>
    <row r="76" customFormat="false" ht="18.75" hidden="false" customHeight="false" outlineLevel="0" collapsed="false">
      <c r="A76" s="69" t="s">
        <v>466</v>
      </c>
      <c r="B76" s="69" t="n">
        <v>228411</v>
      </c>
      <c r="C76" s="99" t="s">
        <v>474</v>
      </c>
      <c r="D76" s="382" t="s">
        <v>429</v>
      </c>
      <c r="E76" s="395" t="n">
        <v>10864094</v>
      </c>
      <c r="F76" s="282" t="s">
        <v>181</v>
      </c>
      <c r="G76" s="29"/>
      <c r="H76" s="222" t="n">
        <v>505.43</v>
      </c>
      <c r="I76" s="222" t="n">
        <f aca="false">H76*0.12*0.5</f>
        <v>30.3258</v>
      </c>
      <c r="J76" s="45" t="n">
        <f aca="false">I76</f>
        <v>30.3258</v>
      </c>
      <c r="K76" s="34"/>
    </row>
    <row r="77" customFormat="false" ht="18.75" hidden="false" customHeight="false" outlineLevel="0" collapsed="false">
      <c r="A77" s="69" t="s">
        <v>466</v>
      </c>
      <c r="B77" s="69" t="n">
        <v>842467</v>
      </c>
      <c r="C77" s="99" t="s">
        <v>475</v>
      </c>
      <c r="D77" s="382" t="s">
        <v>429</v>
      </c>
      <c r="E77" s="395" t="n">
        <v>20293822</v>
      </c>
      <c r="F77" s="282" t="s">
        <v>181</v>
      </c>
      <c r="G77" s="29"/>
      <c r="H77" s="222" t="n">
        <v>1010</v>
      </c>
      <c r="I77" s="222" t="n">
        <f aca="false">H77*0.12*0.5</f>
        <v>60.6</v>
      </c>
      <c r="J77" s="45" t="n">
        <f aca="false">I77</f>
        <v>60.6</v>
      </c>
      <c r="K77" s="34"/>
    </row>
    <row r="78" customFormat="false" ht="18.75" hidden="false" customHeight="false" outlineLevel="0" collapsed="false">
      <c r="A78" s="69" t="s">
        <v>466</v>
      </c>
      <c r="B78" s="69" t="n">
        <v>964206</v>
      </c>
      <c r="C78" s="99" t="s">
        <v>476</v>
      </c>
      <c r="D78" s="382" t="s">
        <v>429</v>
      </c>
      <c r="E78" s="395" t="n">
        <v>20402584</v>
      </c>
      <c r="F78" s="282"/>
      <c r="G78" s="29"/>
      <c r="H78" s="222" t="n">
        <v>373.67</v>
      </c>
      <c r="I78" s="222" t="n">
        <f aca="false">H78*0.12</f>
        <v>44.8404</v>
      </c>
      <c r="J78" s="45" t="n">
        <f aca="false">I78</f>
        <v>44.8404</v>
      </c>
      <c r="K78" s="34"/>
    </row>
    <row r="79" customFormat="false" ht="18.75" hidden="false" customHeight="false" outlineLevel="0" collapsed="false">
      <c r="A79" s="69" t="s">
        <v>466</v>
      </c>
      <c r="B79" s="69" t="n">
        <v>492261</v>
      </c>
      <c r="C79" s="99" t="s">
        <v>477</v>
      </c>
      <c r="D79" s="382" t="s">
        <v>296</v>
      </c>
      <c r="E79" s="395" t="n">
        <v>60017923</v>
      </c>
      <c r="F79" s="282"/>
      <c r="G79" s="29"/>
      <c r="H79" s="222" t="n">
        <v>145.08</v>
      </c>
      <c r="I79" s="222" t="n">
        <f aca="false">(H79/12*3.5)*0.6</f>
        <v>25.389</v>
      </c>
      <c r="J79" s="45" t="n">
        <f aca="false">I79</f>
        <v>25.389</v>
      </c>
      <c r="K79" s="34"/>
    </row>
    <row r="80" customFormat="false" ht="18.75" hidden="false" customHeight="false" outlineLevel="0" collapsed="false">
      <c r="A80" s="69" t="s">
        <v>466</v>
      </c>
      <c r="B80" s="69" t="n">
        <v>741050</v>
      </c>
      <c r="C80" s="99" t="s">
        <v>478</v>
      </c>
      <c r="D80" s="382" t="s">
        <v>441</v>
      </c>
      <c r="E80" s="395" t="n">
        <v>611788</v>
      </c>
      <c r="F80" s="282"/>
      <c r="G80" s="29" t="n">
        <v>2032</v>
      </c>
      <c r="H80" s="222" t="n">
        <v>600</v>
      </c>
      <c r="I80" s="222" t="n">
        <f aca="false">(H80*15*0.027)*0.6</f>
        <v>145.8</v>
      </c>
      <c r="J80" s="45" t="n">
        <f aca="false">I80</f>
        <v>145.8</v>
      </c>
      <c r="K80" s="34"/>
      <c r="M80" s="46" t="s">
        <v>479</v>
      </c>
    </row>
    <row r="81" customFormat="false" ht="18.75" hidden="false" customHeight="false" outlineLevel="0" collapsed="false">
      <c r="A81" s="69" t="s">
        <v>466</v>
      </c>
      <c r="B81" s="69" t="n">
        <v>741050</v>
      </c>
      <c r="C81" s="99" t="s">
        <v>478</v>
      </c>
      <c r="D81" s="382" t="s">
        <v>434</v>
      </c>
      <c r="E81" s="395" t="n">
        <v>20388862</v>
      </c>
      <c r="F81" s="282" t="s">
        <v>181</v>
      </c>
      <c r="G81" s="29"/>
      <c r="H81" s="222" t="n">
        <v>71.74</v>
      </c>
      <c r="I81" s="222" t="n">
        <f aca="false">H81*0.12*0.5</f>
        <v>4.3044</v>
      </c>
      <c r="J81" s="45" t="n">
        <f aca="false">I81</f>
        <v>4.3044</v>
      </c>
      <c r="K81" s="34"/>
    </row>
    <row r="82" customFormat="false" ht="18.75" hidden="false" customHeight="false" outlineLevel="0" collapsed="false">
      <c r="A82" s="69" t="s">
        <v>466</v>
      </c>
      <c r="B82" s="69" t="n">
        <v>741050</v>
      </c>
      <c r="C82" s="99" t="s">
        <v>478</v>
      </c>
      <c r="D82" s="382" t="s">
        <v>426</v>
      </c>
      <c r="E82" s="395" t="n">
        <v>20388862</v>
      </c>
      <c r="F82" s="282" t="s">
        <v>181</v>
      </c>
      <c r="G82" s="29"/>
      <c r="H82" s="222" t="n">
        <v>1726.05</v>
      </c>
      <c r="I82" s="222" t="n">
        <f aca="false">((800*0.06)+(800*0.07)+(126.05*0.08))*0.5</f>
        <v>57.042</v>
      </c>
      <c r="J82" s="45" t="n">
        <f aca="false">I82</f>
        <v>57.042</v>
      </c>
      <c r="K82" s="34"/>
    </row>
    <row r="83" customFormat="false" ht="18.75" hidden="false" customHeight="false" outlineLevel="0" collapsed="false">
      <c r="A83" s="69"/>
      <c r="B83" s="69"/>
      <c r="C83" s="99"/>
      <c r="D83" s="382"/>
      <c r="E83" s="395"/>
      <c r="F83" s="282"/>
      <c r="G83" s="29"/>
      <c r="H83" s="222"/>
      <c r="I83" s="222"/>
      <c r="J83" s="45" t="n">
        <f aca="false">I83</f>
        <v>0</v>
      </c>
      <c r="K83" s="34"/>
      <c r="N83" s="405"/>
    </row>
    <row r="84" customFormat="false" ht="18.75" hidden="false" customHeight="false" outlineLevel="0" collapsed="false">
      <c r="A84" s="69"/>
      <c r="B84" s="69"/>
      <c r="C84" s="99"/>
      <c r="D84" s="382"/>
      <c r="E84" s="395"/>
      <c r="F84" s="282"/>
      <c r="G84" s="29"/>
      <c r="H84" s="222"/>
      <c r="I84" s="222"/>
      <c r="J84" s="45" t="n">
        <f aca="false">I84</f>
        <v>0</v>
      </c>
      <c r="K84" s="34"/>
    </row>
    <row r="85" customFormat="false" ht="19.5" hidden="false" customHeight="false" outlineLevel="0" collapsed="false">
      <c r="A85" s="406" t="s">
        <v>130</v>
      </c>
      <c r="B85" s="69"/>
      <c r="C85" s="160" t="s">
        <v>236</v>
      </c>
      <c r="D85" s="391"/>
      <c r="E85" s="407"/>
      <c r="F85" s="393"/>
      <c r="G85" s="161"/>
      <c r="H85" s="408"/>
      <c r="I85" s="408"/>
      <c r="J85" s="409" t="n">
        <f aca="false">SUM(J60:J84)</f>
        <v>1778.74161274455</v>
      </c>
      <c r="K85" s="34"/>
    </row>
    <row r="86" customFormat="false" ht="19.5" hidden="false" customHeight="false" outlineLevel="0" collapsed="false">
      <c r="A86" s="69"/>
      <c r="B86" s="69"/>
      <c r="C86" s="165"/>
      <c r="D86" s="410"/>
      <c r="E86" s="411"/>
      <c r="F86" s="412"/>
      <c r="G86" s="167"/>
      <c r="H86" s="413"/>
      <c r="I86" s="414"/>
      <c r="J86" s="170"/>
      <c r="K86" s="34"/>
    </row>
    <row r="87" customFormat="false" ht="19.5" hidden="false" customHeight="false" outlineLevel="0" collapsed="false">
      <c r="A87" s="105"/>
      <c r="B87" s="105"/>
      <c r="C87" s="171" t="s">
        <v>285</v>
      </c>
      <c r="D87" s="415"/>
      <c r="E87" s="416"/>
      <c r="F87" s="417"/>
      <c r="G87" s="107"/>
      <c r="H87" s="418"/>
      <c r="I87" s="419"/>
      <c r="J87" s="108" t="n">
        <f aca="false">SUM(J46,J59,J85)</f>
        <v>5334.44273774455</v>
      </c>
      <c r="K87" s="34"/>
    </row>
    <row r="88" customFormat="false" ht="18.75" hidden="false" customHeight="false" outlineLevel="0" collapsed="false">
      <c r="A88" s="110"/>
      <c r="B88" s="110"/>
      <c r="C88" s="111"/>
      <c r="D88" s="420"/>
      <c r="E88" s="421"/>
      <c r="F88" s="422"/>
      <c r="G88" s="112"/>
      <c r="H88" s="423"/>
      <c r="I88" s="380"/>
      <c r="J88" s="96"/>
      <c r="K88" s="34"/>
    </row>
    <row r="89" customFormat="false" ht="18.75" hidden="false" customHeight="false" outlineLevel="0" collapsed="false">
      <c r="A89" s="110"/>
      <c r="B89" s="110"/>
      <c r="C89" s="111" t="s">
        <v>220</v>
      </c>
      <c r="D89" s="420"/>
      <c r="E89" s="421"/>
      <c r="F89" s="422"/>
      <c r="G89" s="112"/>
      <c r="H89" s="423"/>
      <c r="I89" s="380"/>
      <c r="J89" s="96" t="n">
        <f aca="false">J7</f>
        <v>6599.21</v>
      </c>
      <c r="K89" s="34"/>
    </row>
    <row r="90" customFormat="false" ht="19.5" hidden="false" customHeight="false" outlineLevel="0" collapsed="false">
      <c r="A90" s="110"/>
      <c r="B90" s="110"/>
      <c r="C90" s="111" t="s">
        <v>221</v>
      </c>
      <c r="D90" s="420"/>
      <c r="E90" s="421"/>
      <c r="F90" s="422"/>
      <c r="G90" s="112"/>
      <c r="H90" s="423"/>
      <c r="I90" s="380"/>
      <c r="J90" s="113" t="n">
        <f aca="false">SUM(J87:J89)</f>
        <v>11933.6527377446</v>
      </c>
      <c r="K90" s="34"/>
    </row>
    <row r="91" s="116" customFormat="true" ht="19.5" hidden="false" customHeight="false" outlineLevel="0" collapsed="false">
      <c r="A91" s="110"/>
      <c r="B91" s="110"/>
      <c r="C91" s="114" t="s">
        <v>222</v>
      </c>
      <c r="D91" s="391"/>
      <c r="E91" s="397"/>
      <c r="F91" s="393"/>
      <c r="G91" s="60"/>
      <c r="H91" s="424"/>
      <c r="I91" s="425"/>
      <c r="J91" s="210" t="n">
        <f aca="false">J90/3</f>
        <v>3977.88424591485</v>
      </c>
    </row>
    <row r="92" s="120" customFormat="true" ht="18.75" hidden="false" customHeight="false" outlineLevel="0" collapsed="false">
      <c r="A92" s="110"/>
      <c r="B92" s="110"/>
      <c r="C92" s="117"/>
      <c r="D92" s="426"/>
      <c r="E92" s="427"/>
      <c r="F92" s="428"/>
      <c r="G92" s="80"/>
      <c r="H92" s="178"/>
      <c r="I92" s="179"/>
      <c r="J92" s="118"/>
    </row>
  </sheetData>
  <dataValidations count="4">
    <dataValidation allowBlank="true" operator="between" prompt="Liste choix" showDropDown="false" showErrorMessage="true" showInputMessage="true" sqref="D47:D48 D60:D64 D66:D84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65" type="list">
      <formula1>"MOBILE2016,MOBILE Regio,REEBOU Family,P.J.,REEBOU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10:D29 D49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50:D58" type="list">
      <formula1>"MOBILE2016,MOBILE Regio,REEBOUfamily,REEBOUpack,REEBOUpro,REEBOUinvest,LOGGIA,MEDICIS,RC,RC ENSEIGN,ZENITH60op100,ZENITH60op25,HORIZONT60invest,HORIZONT60protect,HORIZONT60capi,HELIOS100protect,HELIOS60invest,HELIOS100invest,FOCUS,NOVA,BSH"</formula1>
      <formula2>0</formula2>
    </dataValidation>
  </dataValidations>
  <printOptions headings="false" gridLines="true" gridLinesSet="true" horizontalCentered="false" verticalCentered="false"/>
  <pageMargins left="0.236111111111111" right="0.236111111111111" top="0.747916666666667" bottom="0.748611111111111" header="0.315277777777778" footer="0.315277777777778"/>
  <pageSetup paperSize="9" scale="67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3èmeTRIMESTRE 2017</oddHeader>
    <oddFooter>&amp;L&amp;8&amp;Z&amp;F&amp;C&amp;7&amp;P/&amp;N&amp;RModfié le &amp;D </oddFooter>
  </headerFooter>
  <rowBreaks count="3" manualBreakCount="3">
    <brk id="46" man="true" max="16383" min="0"/>
    <brk id="59" man="true" max="16383" min="0"/>
    <brk id="85" man="true" max="16383" min="0"/>
  </rowBreaks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00"/>
  <sheetViews>
    <sheetView showFormulas="false" showGridLines="true" showRowColHeaders="true" showZeros="true" rightToLeft="false" tabSelected="false" showOutlineSymbols="true" defaultGridColor="true" view="normal" topLeftCell="A57" colorId="64" zoomScale="100" zoomScaleNormal="100" zoomScalePageLayoutView="100" workbookViewId="0">
      <selection pane="topLeft" activeCell="A67" activeCellId="1" sqref="A2:A7 A67"/>
    </sheetView>
  </sheetViews>
  <sheetFormatPr defaultRowHeight="18.75" zeroHeight="false" outlineLevelRow="0" outlineLevelCol="0"/>
  <cols>
    <col collapsed="false" customWidth="false" hidden="false" outlineLevel="0" max="1" min="1" style="62" width="11.42"/>
    <col collapsed="false" customWidth="true" hidden="false" outlineLevel="0" max="2" min="2" style="62" width="17.42"/>
    <col collapsed="false" customWidth="true" hidden="false" outlineLevel="0" max="3" min="3" style="2" width="30.43"/>
    <col collapsed="false" customWidth="true" hidden="false" outlineLevel="0" max="4" min="4" style="362" width="21.71"/>
    <col collapsed="false" customWidth="true" hidden="false" outlineLevel="0" max="5" min="5" style="363" width="24.71"/>
    <col collapsed="false" customWidth="true" hidden="false" outlineLevel="0" max="6" min="6" style="181" width="3.71"/>
    <col collapsed="false" customWidth="true" hidden="false" outlineLevel="0" max="7" min="7" style="3" width="10.14"/>
    <col collapsed="false" customWidth="true" hidden="false" outlineLevel="0" max="8" min="8" style="121" width="13.14"/>
    <col collapsed="false" customWidth="true" hidden="false" outlineLevel="0" max="9" min="9" style="122" width="12.42"/>
    <col collapsed="false" customWidth="true" hidden="false" outlineLevel="0" max="10" min="10" style="5" width="12.14"/>
    <col collapsed="false" customWidth="true" hidden="false" outlineLevel="0" max="11" min="11" style="429" width="17.71"/>
    <col collapsed="false" customWidth="true" hidden="false" outlineLevel="0" max="13" min="12" style="0" width="9.29"/>
    <col collapsed="false" customWidth="true" hidden="false" outlineLevel="0" max="1025" min="14" style="0" width="10.67"/>
  </cols>
  <sheetData>
    <row r="1" customFormat="false" ht="18.75" hidden="false" customHeight="false" outlineLevel="0" collapsed="false">
      <c r="A1" s="62" t="n">
        <v>2017</v>
      </c>
      <c r="C1" s="22" t="s">
        <v>125</v>
      </c>
      <c r="D1" s="382" t="n">
        <v>3</v>
      </c>
      <c r="E1" s="2"/>
      <c r="G1" s="3" t="s">
        <v>480</v>
      </c>
      <c r="H1" s="3" t="s">
        <v>127</v>
      </c>
      <c r="J1" s="10" t="n">
        <f aca="false">3*80</f>
        <v>240</v>
      </c>
    </row>
    <row r="2" customFormat="false" ht="18.75" hidden="false" customHeight="false" outlineLevel="0" collapsed="false">
      <c r="C2" s="22" t="s">
        <v>416</v>
      </c>
      <c r="D2" s="382"/>
      <c r="E2" s="363" t="s">
        <v>481</v>
      </c>
      <c r="G2" s="3" t="n">
        <f aca="false">7*8</f>
        <v>56</v>
      </c>
      <c r="H2" s="363" t="s">
        <v>419</v>
      </c>
      <c r="I2" s="125"/>
      <c r="J2" s="10" t="n">
        <f aca="false">56*7.66</f>
        <v>428.96</v>
      </c>
    </row>
    <row r="3" customFormat="false" ht="18.75" hidden="false" customHeight="false" outlineLevel="0" collapsed="false">
      <c r="C3" s="22" t="s">
        <v>5</v>
      </c>
      <c r="D3" s="382" t="s">
        <v>224</v>
      </c>
      <c r="G3" s="1"/>
      <c r="H3" s="125"/>
      <c r="I3" s="125"/>
      <c r="J3" s="10" t="n">
        <v>1806.7</v>
      </c>
    </row>
    <row r="4" customFormat="false" ht="18.75" hidden="false" customHeight="false" outlineLevel="0" collapsed="false">
      <c r="C4" s="22" t="s">
        <v>5</v>
      </c>
      <c r="D4" s="382" t="s">
        <v>225</v>
      </c>
      <c r="G4" s="1"/>
      <c r="H4" s="125"/>
      <c r="I4" s="125"/>
      <c r="J4" s="10" t="n">
        <v>1825.95</v>
      </c>
    </row>
    <row r="5" customFormat="false" ht="18.75" hidden="false" customHeight="false" outlineLevel="0" collapsed="false">
      <c r="C5" s="22" t="s">
        <v>5</v>
      </c>
      <c r="D5" s="382" t="s">
        <v>226</v>
      </c>
      <c r="G5" s="1"/>
      <c r="H5" s="125"/>
      <c r="I5" s="125"/>
      <c r="J5" s="10" t="n">
        <v>1827.7</v>
      </c>
    </row>
    <row r="6" customFormat="false" ht="18.75" hidden="false" customHeight="false" outlineLevel="0" collapsed="false">
      <c r="C6" s="22" t="s">
        <v>420</v>
      </c>
      <c r="D6" s="430" t="s">
        <v>482</v>
      </c>
      <c r="E6" s="2"/>
      <c r="G6" s="1"/>
      <c r="H6" s="125"/>
      <c r="I6" s="125"/>
      <c r="J6" s="10"/>
    </row>
    <row r="7" customFormat="false" ht="18.75" hidden="false" customHeight="false" outlineLevel="0" collapsed="false">
      <c r="C7" s="22" t="s">
        <v>131</v>
      </c>
      <c r="D7" s="382"/>
      <c r="G7" s="1"/>
      <c r="H7" s="125"/>
      <c r="I7" s="125"/>
      <c r="J7" s="63" t="n">
        <f aca="false">SUM(J1:J5)</f>
        <v>6129.31</v>
      </c>
    </row>
    <row r="8" customFormat="false" ht="19.5" hidden="false" customHeight="false" outlineLevel="0" collapsed="false">
      <c r="K8" s="43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84" t="s">
        <v>15</v>
      </c>
      <c r="I9" s="128" t="s">
        <v>16</v>
      </c>
      <c r="J9" s="19" t="s">
        <v>17</v>
      </c>
    </row>
    <row r="10" customFormat="false" ht="18.75" hidden="true" customHeight="false" outlineLevel="0" collapsed="false">
      <c r="A10" s="73"/>
      <c r="B10" s="73" t="s">
        <v>424</v>
      </c>
      <c r="C10" s="375" t="s">
        <v>425</v>
      </c>
      <c r="D10" s="376" t="s">
        <v>426</v>
      </c>
      <c r="E10" s="377" t="s">
        <v>427</v>
      </c>
      <c r="F10" s="378"/>
      <c r="G10" s="24"/>
      <c r="H10" s="129" t="n">
        <v>100</v>
      </c>
      <c r="I10" s="132"/>
      <c r="J10" s="379" t="n">
        <f aca="false">I10</f>
        <v>0</v>
      </c>
    </row>
    <row r="11" customFormat="false" ht="18.75" hidden="true" customHeight="false" outlineLevel="0" collapsed="false">
      <c r="A11" s="73"/>
      <c r="B11" s="73" t="s">
        <v>424</v>
      </c>
      <c r="C11" s="375" t="s">
        <v>425</v>
      </c>
      <c r="D11" s="376" t="s">
        <v>428</v>
      </c>
      <c r="E11" s="377" t="s">
        <v>427</v>
      </c>
      <c r="F11" s="378"/>
      <c r="G11" s="24"/>
      <c r="H11" s="129" t="n">
        <v>100</v>
      </c>
      <c r="I11" s="132"/>
      <c r="J11" s="379" t="n">
        <f aca="false">I11</f>
        <v>0</v>
      </c>
    </row>
    <row r="12" customFormat="false" ht="18.75" hidden="true" customHeight="false" outlineLevel="0" collapsed="false">
      <c r="A12" s="73"/>
      <c r="B12" s="73" t="s">
        <v>424</v>
      </c>
      <c r="C12" s="375" t="s">
        <v>425</v>
      </c>
      <c r="D12" s="376" t="s">
        <v>429</v>
      </c>
      <c r="E12" s="377" t="s">
        <v>427</v>
      </c>
      <c r="F12" s="378"/>
      <c r="G12" s="24"/>
      <c r="H12" s="129" t="n">
        <v>100</v>
      </c>
      <c r="I12" s="132" t="n">
        <f aca="false">H12*0.12</f>
        <v>12</v>
      </c>
      <c r="J12" s="379" t="n">
        <f aca="false">I12</f>
        <v>12</v>
      </c>
    </row>
    <row r="13" customFormat="false" ht="18.75" hidden="true" customHeight="false" outlineLevel="0" collapsed="false">
      <c r="A13" s="73"/>
      <c r="B13" s="73" t="s">
        <v>424</v>
      </c>
      <c r="C13" s="375" t="s">
        <v>424</v>
      </c>
      <c r="D13" s="376" t="s">
        <v>430</v>
      </c>
      <c r="E13" s="377" t="s">
        <v>427</v>
      </c>
      <c r="F13" s="378"/>
      <c r="G13" s="24"/>
      <c r="H13" s="129" t="n">
        <v>100</v>
      </c>
      <c r="I13" s="132" t="n">
        <f aca="false">H13*0.15</f>
        <v>15</v>
      </c>
      <c r="J13" s="379" t="n">
        <f aca="false">I13</f>
        <v>15</v>
      </c>
    </row>
    <row r="14" customFormat="false" ht="18.75" hidden="true" customHeight="false" outlineLevel="0" collapsed="false">
      <c r="A14" s="73"/>
      <c r="B14" s="73" t="s">
        <v>424</v>
      </c>
      <c r="C14" s="375" t="s">
        <v>424</v>
      </c>
      <c r="D14" s="376" t="s">
        <v>431</v>
      </c>
      <c r="E14" s="377" t="s">
        <v>427</v>
      </c>
      <c r="F14" s="378"/>
      <c r="G14" s="24"/>
      <c r="H14" s="129" t="n">
        <v>100</v>
      </c>
      <c r="I14" s="132" t="n">
        <f aca="false">H14*0.12</f>
        <v>12</v>
      </c>
      <c r="J14" s="379" t="n">
        <f aca="false">I14</f>
        <v>12</v>
      </c>
    </row>
    <row r="15" customFormat="false" ht="18.75" hidden="true" customHeight="false" outlineLevel="0" collapsed="false">
      <c r="A15" s="73"/>
      <c r="B15" s="73" t="s">
        <v>424</v>
      </c>
      <c r="C15" s="375" t="s">
        <v>424</v>
      </c>
      <c r="D15" s="376" t="s">
        <v>432</v>
      </c>
      <c r="E15" s="377" t="s">
        <v>427</v>
      </c>
      <c r="F15" s="378"/>
      <c r="G15" s="24"/>
      <c r="H15" s="129" t="n">
        <v>100</v>
      </c>
      <c r="I15" s="132" t="n">
        <f aca="false">H15*0.12</f>
        <v>12</v>
      </c>
      <c r="J15" s="379" t="n">
        <f aca="false">I15</f>
        <v>12</v>
      </c>
    </row>
    <row r="16" customFormat="false" ht="18.75" hidden="true" customHeight="false" outlineLevel="0" collapsed="false">
      <c r="A16" s="73"/>
      <c r="B16" s="73" t="s">
        <v>424</v>
      </c>
      <c r="C16" s="375" t="s">
        <v>424</v>
      </c>
      <c r="D16" s="376" t="s">
        <v>189</v>
      </c>
      <c r="E16" s="377" t="s">
        <v>427</v>
      </c>
      <c r="F16" s="378"/>
      <c r="G16" s="24"/>
      <c r="H16" s="129" t="n">
        <v>100</v>
      </c>
      <c r="I16" s="132" t="n">
        <f aca="false">H16*0.12</f>
        <v>12</v>
      </c>
      <c r="J16" s="379" t="n">
        <f aca="false">I16</f>
        <v>12</v>
      </c>
    </row>
    <row r="17" customFormat="false" ht="18.75" hidden="true" customHeight="false" outlineLevel="0" collapsed="false">
      <c r="A17" s="73"/>
      <c r="B17" s="73" t="s">
        <v>424</v>
      </c>
      <c r="C17" s="375" t="s">
        <v>424</v>
      </c>
      <c r="D17" s="376" t="s">
        <v>296</v>
      </c>
      <c r="E17" s="377" t="s">
        <v>427</v>
      </c>
      <c r="F17" s="378"/>
      <c r="G17" s="95"/>
      <c r="H17" s="129" t="n">
        <v>100</v>
      </c>
      <c r="I17" s="380" t="n">
        <f aca="false">((H17/12)*3.5)*0.6</f>
        <v>17.5</v>
      </c>
      <c r="J17" s="379" t="n">
        <f aca="false">I17</f>
        <v>17.5</v>
      </c>
    </row>
    <row r="18" customFormat="false" ht="18.75" hidden="true" customHeight="false" outlineLevel="0" collapsed="false">
      <c r="A18" s="73"/>
      <c r="B18" s="73" t="s">
        <v>424</v>
      </c>
      <c r="C18" s="375" t="s">
        <v>424</v>
      </c>
      <c r="D18" s="376" t="s">
        <v>433</v>
      </c>
      <c r="E18" s="377" t="s">
        <v>427</v>
      </c>
      <c r="F18" s="378"/>
      <c r="G18" s="95"/>
      <c r="H18" s="129" t="n">
        <v>100</v>
      </c>
      <c r="I18" s="132" t="n">
        <f aca="false">H18*0.12</f>
        <v>12</v>
      </c>
      <c r="J18" s="379" t="n">
        <f aca="false">I18</f>
        <v>12</v>
      </c>
    </row>
    <row r="19" customFormat="false" ht="18.75" hidden="true" customHeight="false" outlineLevel="0" collapsed="false">
      <c r="A19" s="73"/>
      <c r="B19" s="73" t="s">
        <v>424</v>
      </c>
      <c r="C19" s="375" t="s">
        <v>424</v>
      </c>
      <c r="D19" s="376" t="s">
        <v>434</v>
      </c>
      <c r="E19" s="377" t="s">
        <v>427</v>
      </c>
      <c r="F19" s="378"/>
      <c r="G19" s="95"/>
      <c r="H19" s="129" t="n">
        <v>100</v>
      </c>
      <c r="I19" s="132" t="n">
        <f aca="false">H19*0.12</f>
        <v>12</v>
      </c>
      <c r="J19" s="379" t="n">
        <f aca="false">I19</f>
        <v>12</v>
      </c>
    </row>
    <row r="20" customFormat="false" ht="18.75" hidden="true" customHeight="false" outlineLevel="0" collapsed="false">
      <c r="A20" s="73"/>
      <c r="B20" s="73" t="s">
        <v>424</v>
      </c>
      <c r="C20" s="375" t="s">
        <v>424</v>
      </c>
      <c r="D20" s="376" t="s">
        <v>435</v>
      </c>
      <c r="E20" s="377" t="s">
        <v>427</v>
      </c>
      <c r="F20" s="378"/>
      <c r="G20" s="95" t="n">
        <v>2050</v>
      </c>
      <c r="H20" s="381" t="n">
        <v>1000</v>
      </c>
      <c r="I20" s="380" t="e">
        <f aca="false">(H20*#REF!*0.027)*0.6</f>
        <v>#REF!</v>
      </c>
      <c r="J20" s="379" t="e">
        <f aca="false">I20</f>
        <v>#REF!</v>
      </c>
    </row>
    <row r="21" customFormat="false" ht="18.75" hidden="true" customHeight="false" outlineLevel="0" collapsed="false">
      <c r="A21" s="73"/>
      <c r="B21" s="73" t="s">
        <v>424</v>
      </c>
      <c r="C21" s="375" t="s">
        <v>424</v>
      </c>
      <c r="D21" s="376" t="s">
        <v>436</v>
      </c>
      <c r="E21" s="377" t="s">
        <v>427</v>
      </c>
      <c r="F21" s="378"/>
      <c r="G21" s="95" t="n">
        <v>2050</v>
      </c>
      <c r="H21" s="381" t="n">
        <v>1000</v>
      </c>
      <c r="I21" s="380" t="e">
        <f aca="false">(H21*#REF!*0.018)*0.6</f>
        <v>#REF!</v>
      </c>
      <c r="J21" s="379" t="e">
        <f aca="false">I21</f>
        <v>#REF!</v>
      </c>
    </row>
    <row r="22" customFormat="false" ht="18.75" hidden="true" customHeight="false" outlineLevel="0" collapsed="false">
      <c r="A22" s="73"/>
      <c r="B22" s="73" t="s">
        <v>424</v>
      </c>
      <c r="C22" s="375" t="s">
        <v>424</v>
      </c>
      <c r="D22" s="376" t="s">
        <v>437</v>
      </c>
      <c r="E22" s="377" t="s">
        <v>427</v>
      </c>
      <c r="F22" s="378"/>
      <c r="G22" s="95" t="n">
        <v>2050</v>
      </c>
      <c r="H22" s="381" t="n">
        <v>1000</v>
      </c>
      <c r="I22" s="380" t="e">
        <f aca="false">(H22*#REF!*0.02)*0.6</f>
        <v>#REF!</v>
      </c>
      <c r="J22" s="379" t="e">
        <f aca="false">I22</f>
        <v>#REF!</v>
      </c>
    </row>
    <row r="23" customFormat="false" ht="18.75" hidden="true" customHeight="false" outlineLevel="0" collapsed="false">
      <c r="A23" s="73"/>
      <c r="B23" s="73" t="s">
        <v>424</v>
      </c>
      <c r="C23" s="375" t="s">
        <v>424</v>
      </c>
      <c r="D23" s="376" t="s">
        <v>438</v>
      </c>
      <c r="E23" s="377" t="s">
        <v>427</v>
      </c>
      <c r="F23" s="378"/>
      <c r="G23" s="95" t="n">
        <v>2050</v>
      </c>
      <c r="H23" s="381" t="n">
        <v>1000</v>
      </c>
      <c r="I23" s="380" t="e">
        <f aca="false">(H23*#REF!*0.02)*0.6</f>
        <v>#REF!</v>
      </c>
      <c r="J23" s="379" t="e">
        <f aca="false">I23</f>
        <v>#REF!</v>
      </c>
    </row>
    <row r="24" customFormat="false" ht="18.75" hidden="true" customHeight="false" outlineLevel="0" collapsed="false">
      <c r="A24" s="73"/>
      <c r="B24" s="73" t="s">
        <v>424</v>
      </c>
      <c r="C24" s="375" t="s">
        <v>424</v>
      </c>
      <c r="D24" s="376" t="s">
        <v>439</v>
      </c>
      <c r="E24" s="377" t="s">
        <v>427</v>
      </c>
      <c r="F24" s="378"/>
      <c r="G24" s="95" t="n">
        <v>2050</v>
      </c>
      <c r="H24" s="381" t="n">
        <v>1000</v>
      </c>
      <c r="I24" s="380" t="e">
        <f aca="false">(H24*#REF!*0.02)*0.6</f>
        <v>#REF!</v>
      </c>
      <c r="J24" s="379" t="e">
        <f aca="false">I24</f>
        <v>#REF!</v>
      </c>
    </row>
    <row r="25" customFormat="false" ht="18.75" hidden="true" customHeight="false" outlineLevel="0" collapsed="false">
      <c r="A25" s="73"/>
      <c r="B25" s="73" t="s">
        <v>424</v>
      </c>
      <c r="C25" s="375" t="s">
        <v>424</v>
      </c>
      <c r="D25" s="376" t="s">
        <v>440</v>
      </c>
      <c r="E25" s="377" t="s">
        <v>427</v>
      </c>
      <c r="F25" s="378"/>
      <c r="G25" s="95" t="n">
        <v>2050</v>
      </c>
      <c r="H25" s="381" t="n">
        <v>1000</v>
      </c>
      <c r="I25" s="380" t="e">
        <f aca="false">(H25*#REF!*0.027)*0.6</f>
        <v>#REF!</v>
      </c>
      <c r="J25" s="379" t="e">
        <f aca="false">I25</f>
        <v>#REF!</v>
      </c>
    </row>
    <row r="26" customFormat="false" ht="18.75" hidden="true" customHeight="false" outlineLevel="0" collapsed="false">
      <c r="A26" s="73"/>
      <c r="B26" s="73" t="s">
        <v>424</v>
      </c>
      <c r="C26" s="375" t="s">
        <v>424</v>
      </c>
      <c r="D26" s="376" t="s">
        <v>441</v>
      </c>
      <c r="E26" s="377" t="s">
        <v>427</v>
      </c>
      <c r="F26" s="378"/>
      <c r="G26" s="95" t="n">
        <v>2050</v>
      </c>
      <c r="H26" s="381" t="n">
        <v>1000</v>
      </c>
      <c r="I26" s="380" t="e">
        <f aca="false">(H26*#REF!*0.026)*0.6</f>
        <v>#REF!</v>
      </c>
      <c r="J26" s="379" t="e">
        <f aca="false">I26</f>
        <v>#REF!</v>
      </c>
    </row>
    <row r="27" customFormat="false" ht="18.75" hidden="true" customHeight="false" outlineLevel="0" collapsed="false">
      <c r="A27" s="73"/>
      <c r="B27" s="73" t="s">
        <v>424</v>
      </c>
      <c r="C27" s="375" t="s">
        <v>424</v>
      </c>
      <c r="D27" s="376" t="s">
        <v>442</v>
      </c>
      <c r="E27" s="377" t="s">
        <v>427</v>
      </c>
      <c r="F27" s="378"/>
      <c r="G27" s="95"/>
      <c r="H27" s="381" t="n">
        <v>10000</v>
      </c>
      <c r="I27" s="380" t="n">
        <f aca="false">H27*0.075*0.6</f>
        <v>450</v>
      </c>
      <c r="J27" s="379" t="n">
        <f aca="false">I27</f>
        <v>450</v>
      </c>
    </row>
    <row r="28" customFormat="false" ht="18.75" hidden="true" customHeight="false" outlineLevel="0" collapsed="false">
      <c r="A28" s="73"/>
      <c r="B28" s="73" t="s">
        <v>424</v>
      </c>
      <c r="C28" s="375" t="s">
        <v>424</v>
      </c>
      <c r="D28" s="376" t="s">
        <v>374</v>
      </c>
      <c r="E28" s="377" t="s">
        <v>427</v>
      </c>
      <c r="F28" s="378"/>
      <c r="G28" s="95" t="n">
        <v>2050</v>
      </c>
      <c r="H28" s="381" t="n">
        <v>1000</v>
      </c>
      <c r="I28" s="380" t="e">
        <f aca="false">(H28*#REF!*0.025)*0.6</f>
        <v>#REF!</v>
      </c>
      <c r="J28" s="379" t="e">
        <f aca="false">I28</f>
        <v>#REF!</v>
      </c>
    </row>
    <row r="29" customFormat="false" ht="18.75" hidden="true" customHeight="false" outlineLevel="0" collapsed="false">
      <c r="A29" s="73"/>
      <c r="B29" s="73" t="s">
        <v>424</v>
      </c>
      <c r="C29" s="375" t="s">
        <v>424</v>
      </c>
      <c r="D29" s="376" t="s">
        <v>443</v>
      </c>
      <c r="E29" s="377" t="s">
        <v>427</v>
      </c>
      <c r="F29" s="378"/>
      <c r="G29" s="95"/>
      <c r="H29" s="381" t="n">
        <v>150000</v>
      </c>
      <c r="I29" s="132" t="n">
        <f aca="false">(H29*0.007)*0.6</f>
        <v>630</v>
      </c>
      <c r="J29" s="379" t="n">
        <f aca="false">I29</f>
        <v>630</v>
      </c>
    </row>
    <row r="30" customFormat="false" ht="18.75" hidden="false" customHeight="false" outlineLevel="0" collapsed="false">
      <c r="A30" s="432" t="s">
        <v>483</v>
      </c>
      <c r="B30" s="432" t="n">
        <v>967212</v>
      </c>
      <c r="C30" s="70" t="s">
        <v>484</v>
      </c>
      <c r="D30" s="394" t="s">
        <v>426</v>
      </c>
      <c r="E30" s="395" t="n">
        <v>20398312</v>
      </c>
      <c r="F30" s="282"/>
      <c r="G30" s="29"/>
      <c r="H30" s="132" t="n">
        <v>914.95</v>
      </c>
      <c r="I30" s="222" t="n">
        <f aca="false">(800*0.06)+(114.95*0.07)</f>
        <v>56.0465</v>
      </c>
      <c r="J30" s="26" t="n">
        <f aca="false">I30</f>
        <v>56.0465</v>
      </c>
    </row>
    <row r="31" customFormat="false" ht="18" hidden="false" customHeight="true" outlineLevel="0" collapsed="false">
      <c r="A31" s="432" t="s">
        <v>483</v>
      </c>
      <c r="B31" s="432" t="n">
        <v>969675</v>
      </c>
      <c r="C31" s="70" t="s">
        <v>485</v>
      </c>
      <c r="D31" s="382" t="s">
        <v>486</v>
      </c>
      <c r="E31" s="383" t="n">
        <v>20402715</v>
      </c>
      <c r="F31" s="282"/>
      <c r="G31" s="24"/>
      <c r="H31" s="129" t="n">
        <v>433.75</v>
      </c>
      <c r="I31" s="130" t="n">
        <f aca="false">H31*0.06</f>
        <v>26.025</v>
      </c>
      <c r="J31" s="131" t="n">
        <f aca="false">I31</f>
        <v>26.025</v>
      </c>
    </row>
    <row r="32" customFormat="false" ht="18" hidden="false" customHeight="true" outlineLevel="0" collapsed="false">
      <c r="A32" s="432" t="s">
        <v>483</v>
      </c>
      <c r="B32" s="432" t="n">
        <v>964321</v>
      </c>
      <c r="C32" s="70" t="s">
        <v>487</v>
      </c>
      <c r="D32" s="382" t="s">
        <v>296</v>
      </c>
      <c r="E32" s="383" t="n">
        <v>61023856</v>
      </c>
      <c r="F32" s="282"/>
      <c r="G32" s="24"/>
      <c r="H32" s="129" t="n">
        <v>892.44</v>
      </c>
      <c r="I32" s="130" t="n">
        <f aca="false">(H32/12*3.5)*0.6</f>
        <v>156.177</v>
      </c>
      <c r="J32" s="131" t="n">
        <f aca="false">I32</f>
        <v>156.177</v>
      </c>
    </row>
    <row r="33" customFormat="false" ht="18" hidden="false" customHeight="true" outlineLevel="0" collapsed="false">
      <c r="A33" s="432" t="s">
        <v>483</v>
      </c>
      <c r="B33" s="432" t="n">
        <v>965877</v>
      </c>
      <c r="C33" s="70" t="s">
        <v>488</v>
      </c>
      <c r="D33" s="382" t="s">
        <v>426</v>
      </c>
      <c r="E33" s="383" t="n">
        <v>20406261</v>
      </c>
      <c r="F33" s="282"/>
      <c r="G33" s="24"/>
      <c r="H33" s="129" t="n">
        <v>238.07</v>
      </c>
      <c r="I33" s="130" t="n">
        <f aca="false">H33*0.06</f>
        <v>14.2842</v>
      </c>
      <c r="J33" s="131" t="n">
        <f aca="false">I33</f>
        <v>14.2842</v>
      </c>
    </row>
    <row r="34" customFormat="false" ht="18" hidden="false" customHeight="true" outlineLevel="0" collapsed="false">
      <c r="A34" s="432" t="s">
        <v>483</v>
      </c>
      <c r="B34" s="432" t="n">
        <v>965877</v>
      </c>
      <c r="C34" s="70" t="s">
        <v>488</v>
      </c>
      <c r="D34" s="382" t="s">
        <v>426</v>
      </c>
      <c r="E34" s="383" t="n">
        <v>20406289</v>
      </c>
      <c r="F34" s="282"/>
      <c r="G34" s="24"/>
      <c r="H34" s="129" t="n">
        <v>528.16</v>
      </c>
      <c r="I34" s="130" t="n">
        <f aca="false">H34*0.06</f>
        <v>31.6896</v>
      </c>
      <c r="J34" s="131" t="n">
        <f aca="false">I34</f>
        <v>31.6896</v>
      </c>
    </row>
    <row r="35" customFormat="false" ht="18" hidden="false" customHeight="true" outlineLevel="0" collapsed="false">
      <c r="A35" s="432" t="s">
        <v>483</v>
      </c>
      <c r="B35" s="432" t="n">
        <v>965877</v>
      </c>
      <c r="C35" s="70" t="s">
        <v>488</v>
      </c>
      <c r="D35" s="382" t="s">
        <v>429</v>
      </c>
      <c r="E35" s="383" t="n">
        <v>20406294</v>
      </c>
      <c r="F35" s="282"/>
      <c r="G35" s="24"/>
      <c r="H35" s="129" t="n">
        <v>197.57</v>
      </c>
      <c r="I35" s="132" t="n">
        <f aca="false">H35*0.12</f>
        <v>23.7084</v>
      </c>
      <c r="J35" s="131" t="n">
        <f aca="false">I35</f>
        <v>23.7084</v>
      </c>
    </row>
    <row r="36" customFormat="false" ht="18" hidden="false" customHeight="true" outlineLevel="0" collapsed="false">
      <c r="A36" s="432" t="s">
        <v>483</v>
      </c>
      <c r="B36" s="432" t="n">
        <v>278619</v>
      </c>
      <c r="C36" s="70" t="s">
        <v>489</v>
      </c>
      <c r="D36" s="382" t="s">
        <v>437</v>
      </c>
      <c r="E36" s="383" t="n">
        <v>806159</v>
      </c>
      <c r="F36" s="282"/>
      <c r="G36" s="24" t="n">
        <v>2032</v>
      </c>
      <c r="H36" s="129" t="n">
        <v>1500</v>
      </c>
      <c r="I36" s="222" t="n">
        <f aca="false">(H36*15*0.02)*0.6</f>
        <v>270</v>
      </c>
      <c r="J36" s="131" t="n">
        <f aca="false">I36</f>
        <v>270</v>
      </c>
    </row>
    <row r="37" customFormat="false" ht="18" hidden="false" customHeight="true" outlineLevel="0" collapsed="false">
      <c r="A37" s="432" t="s">
        <v>483</v>
      </c>
      <c r="B37" s="432" t="n">
        <v>299582</v>
      </c>
      <c r="C37" s="70" t="s">
        <v>490</v>
      </c>
      <c r="D37" s="382" t="s">
        <v>437</v>
      </c>
      <c r="E37" s="383" t="n">
        <v>806158</v>
      </c>
      <c r="F37" s="282"/>
      <c r="G37" s="24" t="n">
        <v>2043</v>
      </c>
      <c r="H37" s="129" t="n">
        <v>1500</v>
      </c>
      <c r="I37" s="222" t="n">
        <f aca="false">(H37*26*0.02)*0.6</f>
        <v>468</v>
      </c>
      <c r="J37" s="131" t="n">
        <f aca="false">I37</f>
        <v>468</v>
      </c>
    </row>
    <row r="38" customFormat="false" ht="18" hidden="false" customHeight="true" outlineLevel="0" collapsed="false">
      <c r="A38" s="432" t="s">
        <v>483</v>
      </c>
      <c r="B38" s="432" t="n">
        <v>693638</v>
      </c>
      <c r="C38" s="70" t="s">
        <v>491</v>
      </c>
      <c r="D38" s="382" t="s">
        <v>429</v>
      </c>
      <c r="E38" s="383" t="n">
        <v>20404939</v>
      </c>
      <c r="F38" s="282"/>
      <c r="G38" s="24"/>
      <c r="H38" s="129" t="n">
        <v>256.49</v>
      </c>
      <c r="I38" s="132" t="n">
        <f aca="false">H38*0.12</f>
        <v>30.7788</v>
      </c>
      <c r="J38" s="131" t="n">
        <f aca="false">I38</f>
        <v>30.7788</v>
      </c>
    </row>
    <row r="39" customFormat="false" ht="18" hidden="false" customHeight="true" outlineLevel="0" collapsed="false">
      <c r="A39" s="432" t="s">
        <v>483</v>
      </c>
      <c r="B39" s="432" t="n">
        <v>273601</v>
      </c>
      <c r="C39" s="70" t="s">
        <v>492</v>
      </c>
      <c r="D39" s="382" t="s">
        <v>428</v>
      </c>
      <c r="E39" s="383" t="n">
        <v>20406326</v>
      </c>
      <c r="F39" s="282"/>
      <c r="G39" s="24"/>
      <c r="H39" s="129" t="n">
        <v>658.13</v>
      </c>
      <c r="I39" s="130" t="n">
        <f aca="false">H39*0.06</f>
        <v>39.4878</v>
      </c>
      <c r="J39" s="131" t="n">
        <f aca="false">I39</f>
        <v>39.4878</v>
      </c>
    </row>
    <row r="40" customFormat="false" ht="18" hidden="false" customHeight="true" outlineLevel="0" collapsed="false">
      <c r="A40" s="432" t="s">
        <v>483</v>
      </c>
      <c r="B40" s="432" t="n">
        <v>880049</v>
      </c>
      <c r="C40" s="70" t="s">
        <v>493</v>
      </c>
      <c r="D40" s="382" t="s">
        <v>443</v>
      </c>
      <c r="E40" s="433" t="s">
        <v>494</v>
      </c>
      <c r="F40" s="434"/>
      <c r="G40" s="24"/>
      <c r="H40" s="129" t="n">
        <v>60000</v>
      </c>
      <c r="I40" s="132" t="n">
        <f aca="false">(H40*0.007)*0.6</f>
        <v>252</v>
      </c>
      <c r="J40" s="131" t="n">
        <f aca="false">I40</f>
        <v>252</v>
      </c>
    </row>
    <row r="41" customFormat="false" ht="18" hidden="false" customHeight="true" outlineLevel="0" collapsed="false">
      <c r="A41" s="432" t="s">
        <v>483</v>
      </c>
      <c r="B41" s="432" t="n">
        <v>880049</v>
      </c>
      <c r="C41" s="70" t="s">
        <v>493</v>
      </c>
      <c r="D41" s="382" t="s">
        <v>443</v>
      </c>
      <c r="E41" s="383" t="s">
        <v>495</v>
      </c>
      <c r="F41" s="282"/>
      <c r="G41" s="24"/>
      <c r="H41" s="129" t="n">
        <v>60000</v>
      </c>
      <c r="I41" s="132" t="n">
        <f aca="false">(H41*0.007)*0.6</f>
        <v>252</v>
      </c>
      <c r="J41" s="131" t="n">
        <f aca="false">I41</f>
        <v>252</v>
      </c>
    </row>
    <row r="42" customFormat="false" ht="18" hidden="false" customHeight="true" outlineLevel="0" collapsed="false">
      <c r="A42" s="432" t="s">
        <v>483</v>
      </c>
      <c r="B42" s="432" t="n">
        <v>880049</v>
      </c>
      <c r="C42" s="70" t="s">
        <v>493</v>
      </c>
      <c r="D42" s="382" t="s">
        <v>443</v>
      </c>
      <c r="E42" s="383" t="s">
        <v>496</v>
      </c>
      <c r="F42" s="282"/>
      <c r="G42" s="24"/>
      <c r="H42" s="129" t="n">
        <v>60000</v>
      </c>
      <c r="I42" s="132" t="n">
        <f aca="false">(H42*0.007)*0.6</f>
        <v>252</v>
      </c>
      <c r="J42" s="131" t="n">
        <f aca="false">I42</f>
        <v>252</v>
      </c>
    </row>
    <row r="43" customFormat="false" ht="18" hidden="false" customHeight="true" outlineLevel="0" collapsed="false">
      <c r="A43" s="432" t="s">
        <v>483</v>
      </c>
      <c r="B43" s="432" t="n">
        <v>481859</v>
      </c>
      <c r="C43" s="70" t="s">
        <v>497</v>
      </c>
      <c r="D43" s="382" t="s">
        <v>437</v>
      </c>
      <c r="E43" s="383" t="n">
        <v>807016</v>
      </c>
      <c r="F43" s="282"/>
      <c r="G43" s="24" t="n">
        <v>2035</v>
      </c>
      <c r="H43" s="129" t="n">
        <v>1200</v>
      </c>
      <c r="I43" s="222" t="n">
        <f aca="false">(H43*18*0.02)*0.6</f>
        <v>259.2</v>
      </c>
      <c r="J43" s="133" t="n">
        <f aca="false">I43</f>
        <v>259.2</v>
      </c>
    </row>
    <row r="44" customFormat="false" ht="18" hidden="false" customHeight="true" outlineLevel="0" collapsed="false">
      <c r="A44" s="432" t="s">
        <v>483</v>
      </c>
      <c r="B44" s="432" t="n">
        <v>523424</v>
      </c>
      <c r="C44" s="70" t="s">
        <v>498</v>
      </c>
      <c r="D44" s="382" t="s">
        <v>437</v>
      </c>
      <c r="E44" s="383" t="n">
        <v>807015</v>
      </c>
      <c r="F44" s="282"/>
      <c r="G44" s="24" t="n">
        <v>2031</v>
      </c>
      <c r="H44" s="129" t="n">
        <v>1104</v>
      </c>
      <c r="I44" s="222" t="n">
        <f aca="false">(H44*14*0.02)*0.6</f>
        <v>185.472</v>
      </c>
      <c r="J44" s="133" t="n">
        <f aca="false">I44</f>
        <v>185.472</v>
      </c>
    </row>
    <row r="45" customFormat="false" ht="18" hidden="false" customHeight="true" outlineLevel="0" collapsed="false">
      <c r="A45" s="432" t="s">
        <v>483</v>
      </c>
      <c r="B45" s="432" t="n">
        <v>837955</v>
      </c>
      <c r="C45" s="70" t="s">
        <v>499</v>
      </c>
      <c r="D45" s="382" t="s">
        <v>429</v>
      </c>
      <c r="E45" s="383" t="n">
        <v>20406981</v>
      </c>
      <c r="F45" s="282"/>
      <c r="G45" s="24"/>
      <c r="H45" s="129" t="n">
        <v>308.59</v>
      </c>
      <c r="I45" s="132" t="n">
        <f aca="false">H45*0.12</f>
        <v>37.0308</v>
      </c>
      <c r="J45" s="133" t="n">
        <f aca="false">I45</f>
        <v>37.0308</v>
      </c>
    </row>
    <row r="46" customFormat="false" ht="18" hidden="false" customHeight="true" outlineLevel="0" collapsed="false">
      <c r="A46" s="432" t="s">
        <v>483</v>
      </c>
      <c r="B46" s="432" t="n">
        <v>729789</v>
      </c>
      <c r="C46" s="70" t="s">
        <v>500</v>
      </c>
      <c r="D46" s="382" t="s">
        <v>296</v>
      </c>
      <c r="E46" s="383" t="n">
        <v>61024785</v>
      </c>
      <c r="F46" s="282"/>
      <c r="G46" s="24"/>
      <c r="H46" s="129" t="n">
        <v>688.32</v>
      </c>
      <c r="I46" s="130" t="n">
        <f aca="false">(H46/12*3.5)*0.6</f>
        <v>120.456</v>
      </c>
      <c r="J46" s="133" t="n">
        <f aca="false">I46</f>
        <v>120.456</v>
      </c>
    </row>
    <row r="47" customFormat="false" ht="18" hidden="false" customHeight="true" outlineLevel="0" collapsed="false">
      <c r="A47" s="432" t="s">
        <v>483</v>
      </c>
      <c r="B47" s="432" t="n">
        <v>348319</v>
      </c>
      <c r="C47" s="70" t="s">
        <v>501</v>
      </c>
      <c r="D47" s="382" t="s">
        <v>429</v>
      </c>
      <c r="E47" s="383" t="n">
        <v>20405030</v>
      </c>
      <c r="F47" s="282"/>
      <c r="G47" s="24"/>
      <c r="H47" s="129" t="n">
        <v>152.77</v>
      </c>
      <c r="I47" s="132" t="n">
        <f aca="false">H47*0.12</f>
        <v>18.3324</v>
      </c>
      <c r="J47" s="133" t="n">
        <f aca="false">I47</f>
        <v>18.3324</v>
      </c>
    </row>
    <row r="48" customFormat="false" ht="18" hidden="false" customHeight="true" outlineLevel="0" collapsed="false">
      <c r="A48" s="435"/>
      <c r="B48" s="432"/>
      <c r="C48" s="70"/>
      <c r="D48" s="382"/>
      <c r="E48" s="383"/>
      <c r="F48" s="282"/>
      <c r="G48" s="24"/>
      <c r="H48" s="129"/>
      <c r="I48" s="130"/>
      <c r="J48" s="131"/>
    </row>
    <row r="49" s="34" customFormat="true" ht="19.5" hidden="false" customHeight="false" outlineLevel="0" collapsed="false">
      <c r="A49" s="390" t="s">
        <v>483</v>
      </c>
      <c r="B49" s="436"/>
      <c r="C49" s="135" t="s">
        <v>454</v>
      </c>
      <c r="D49" s="391"/>
      <c r="E49" s="392"/>
      <c r="F49" s="393"/>
      <c r="G49" s="137"/>
      <c r="H49" s="138"/>
      <c r="I49" s="139"/>
      <c r="J49" s="140" t="n">
        <f aca="false">SUM(J30,J31:J48)</f>
        <v>2492.6885</v>
      </c>
      <c r="K49" s="429"/>
    </row>
    <row r="50" customFormat="false" ht="19.5" hidden="false" customHeight="false" outlineLevel="0" collapsed="false">
      <c r="A50" s="142" t="s">
        <v>502</v>
      </c>
      <c r="B50" s="69" t="n">
        <v>299582</v>
      </c>
      <c r="C50" s="70" t="s">
        <v>490</v>
      </c>
      <c r="D50" s="382" t="s">
        <v>443</v>
      </c>
      <c r="E50" s="373" t="s">
        <v>503</v>
      </c>
      <c r="F50" s="374"/>
      <c r="G50" s="16"/>
      <c r="H50" s="185" t="n">
        <v>110000</v>
      </c>
      <c r="I50" s="132" t="n">
        <f aca="false">(H50*0.007)*0.6</f>
        <v>462</v>
      </c>
      <c r="J50" s="19" t="n">
        <f aca="false">I50</f>
        <v>462</v>
      </c>
      <c r="K50" s="437"/>
    </row>
    <row r="51" customFormat="false" ht="19.5" hidden="false" customHeight="false" outlineLevel="0" collapsed="false">
      <c r="A51" s="142" t="s">
        <v>502</v>
      </c>
      <c r="B51" s="69" t="n">
        <v>834437</v>
      </c>
      <c r="C51" s="70" t="s">
        <v>43</v>
      </c>
      <c r="D51" s="382" t="s">
        <v>437</v>
      </c>
      <c r="E51" s="383" t="n">
        <v>807080</v>
      </c>
      <c r="F51" s="282"/>
      <c r="G51" s="24" t="n">
        <v>2049</v>
      </c>
      <c r="H51" s="132" t="n">
        <v>1704</v>
      </c>
      <c r="I51" s="222" t="n">
        <f aca="false">(H51*32*0.02)*0.6</f>
        <v>654.336</v>
      </c>
      <c r="J51" s="26" t="n">
        <f aca="false">I51</f>
        <v>654.336</v>
      </c>
      <c r="K51" s="438"/>
      <c r="L51" s="0" t="s">
        <v>504</v>
      </c>
    </row>
    <row r="52" s="51" customFormat="true" ht="19.5" hidden="false" customHeight="false" outlineLevel="0" collapsed="false">
      <c r="A52" s="142" t="s">
        <v>502</v>
      </c>
      <c r="B52" s="69" t="n">
        <v>739606</v>
      </c>
      <c r="C52" s="70" t="s">
        <v>505</v>
      </c>
      <c r="D52" s="382" t="s">
        <v>437</v>
      </c>
      <c r="E52" s="383" t="n">
        <v>807875</v>
      </c>
      <c r="F52" s="282"/>
      <c r="G52" s="24" t="n">
        <v>2043</v>
      </c>
      <c r="H52" s="132" t="n">
        <v>1704</v>
      </c>
      <c r="I52" s="222" t="n">
        <f aca="false">(H52*26*0.02)*0.6</f>
        <v>531.648</v>
      </c>
      <c r="J52" s="26" t="n">
        <f aca="false">I52</f>
        <v>531.648</v>
      </c>
      <c r="K52" s="439"/>
    </row>
    <row r="53" s="51" customFormat="true" ht="19.5" hidden="false" customHeight="false" outlineLevel="0" collapsed="false">
      <c r="A53" s="142" t="s">
        <v>502</v>
      </c>
      <c r="B53" s="69" t="n">
        <v>523259</v>
      </c>
      <c r="C53" s="70" t="s">
        <v>506</v>
      </c>
      <c r="D53" s="382" t="s">
        <v>426</v>
      </c>
      <c r="E53" s="395" t="n">
        <v>20406126</v>
      </c>
      <c r="F53" s="282"/>
      <c r="G53" s="29"/>
      <c r="H53" s="222" t="n">
        <v>1687.02</v>
      </c>
      <c r="I53" s="222" t="n">
        <f aca="false">(800*0.06)+(800*0.07)+(87*0.08)</f>
        <v>110.96</v>
      </c>
      <c r="J53" s="45" t="n">
        <f aca="false">I53</f>
        <v>110.96</v>
      </c>
      <c r="K53" s="438"/>
    </row>
    <row r="54" s="51" customFormat="true" ht="19.5" hidden="false" customHeight="false" outlineLevel="0" collapsed="false">
      <c r="A54" s="142" t="s">
        <v>502</v>
      </c>
      <c r="B54" s="69" t="n">
        <v>716291</v>
      </c>
      <c r="C54" s="70" t="s">
        <v>507</v>
      </c>
      <c r="D54" s="382" t="s">
        <v>440</v>
      </c>
      <c r="E54" s="395" t="n">
        <v>827015</v>
      </c>
      <c r="F54" s="282"/>
      <c r="G54" s="29" t="n">
        <v>2027</v>
      </c>
      <c r="H54" s="222" t="n">
        <v>600</v>
      </c>
      <c r="I54" s="222" t="n">
        <f aca="false">(H54*10*0.02)*0.6</f>
        <v>72</v>
      </c>
      <c r="J54" s="45" t="n">
        <f aca="false">I54</f>
        <v>72</v>
      </c>
      <c r="K54" s="438"/>
    </row>
    <row r="55" s="51" customFormat="true" ht="19.5" hidden="false" customHeight="false" outlineLevel="0" collapsed="false">
      <c r="A55" s="142" t="s">
        <v>502</v>
      </c>
      <c r="B55" s="69" t="n">
        <v>970170</v>
      </c>
      <c r="C55" s="70" t="s">
        <v>508</v>
      </c>
      <c r="D55" s="382" t="s">
        <v>429</v>
      </c>
      <c r="E55" s="440" t="n">
        <v>20409518</v>
      </c>
      <c r="F55" s="282"/>
      <c r="G55" s="29"/>
      <c r="I55" s="222"/>
      <c r="J55" s="45" t="n">
        <f aca="false">I55</f>
        <v>0</v>
      </c>
      <c r="K55" s="429"/>
    </row>
    <row r="56" s="51" customFormat="true" ht="19.5" hidden="false" customHeight="false" outlineLevel="0" collapsed="false">
      <c r="A56" s="142" t="s">
        <v>502</v>
      </c>
      <c r="B56" s="69" t="n">
        <v>945980</v>
      </c>
      <c r="C56" s="70" t="s">
        <v>509</v>
      </c>
      <c r="D56" s="382" t="s">
        <v>443</v>
      </c>
      <c r="E56" s="395" t="s">
        <v>510</v>
      </c>
      <c r="F56" s="282"/>
      <c r="G56" s="29"/>
      <c r="H56" s="222" t="n">
        <v>45000</v>
      </c>
      <c r="I56" s="132" t="n">
        <f aca="false">(H56*0.007)*0.6</f>
        <v>189</v>
      </c>
      <c r="J56" s="26" t="n">
        <f aca="false">I56</f>
        <v>189</v>
      </c>
      <c r="K56" s="439"/>
    </row>
    <row r="57" s="51" customFormat="true" ht="19.5" hidden="false" customHeight="false" outlineLevel="0" collapsed="false">
      <c r="A57" s="142" t="s">
        <v>502</v>
      </c>
      <c r="B57" s="69" t="n">
        <v>787557</v>
      </c>
      <c r="C57" s="70" t="s">
        <v>511</v>
      </c>
      <c r="D57" s="382" t="s">
        <v>426</v>
      </c>
      <c r="E57" s="395" t="n">
        <v>20409995</v>
      </c>
      <c r="F57" s="282"/>
      <c r="H57" s="29" t="n">
        <v>1786.72</v>
      </c>
      <c r="I57" s="222" t="n">
        <f aca="false">(800*0.06)+(800*0.07)+(186.72*0.08)</f>
        <v>118.9376</v>
      </c>
      <c r="J57" s="26" t="n">
        <f aca="false">I57</f>
        <v>118.9376</v>
      </c>
      <c r="K57" s="439"/>
    </row>
    <row r="58" s="51" customFormat="true" ht="19.5" hidden="false" customHeight="false" outlineLevel="0" collapsed="false">
      <c r="A58" s="142" t="s">
        <v>502</v>
      </c>
      <c r="B58" s="69" t="n">
        <v>787557</v>
      </c>
      <c r="C58" s="70" t="s">
        <v>511</v>
      </c>
      <c r="D58" s="382" t="s">
        <v>437</v>
      </c>
      <c r="E58" s="395" t="n">
        <v>822390</v>
      </c>
      <c r="F58" s="282"/>
      <c r="G58" s="29" t="n">
        <v>2043</v>
      </c>
      <c r="H58" s="132" t="n">
        <v>1200</v>
      </c>
      <c r="I58" s="222" t="n">
        <f aca="false">(H58*26*0.02)*0.6</f>
        <v>374.4</v>
      </c>
      <c r="J58" s="26" t="n">
        <f aca="false">I58</f>
        <v>374.4</v>
      </c>
      <c r="K58" s="439"/>
    </row>
    <row r="59" s="51" customFormat="true" ht="19.5" hidden="false" customHeight="false" outlineLevel="0" collapsed="false">
      <c r="A59" s="142" t="s">
        <v>502</v>
      </c>
      <c r="B59" s="69" t="n">
        <v>849012</v>
      </c>
      <c r="C59" s="70" t="s">
        <v>381</v>
      </c>
      <c r="D59" s="382" t="s">
        <v>429</v>
      </c>
      <c r="E59" s="395" t="n">
        <v>20410192</v>
      </c>
      <c r="F59" s="282"/>
      <c r="G59" s="29"/>
      <c r="H59" s="132" t="n">
        <v>287.08</v>
      </c>
      <c r="I59" s="132" t="n">
        <f aca="false">H59*0.12</f>
        <v>34.4496</v>
      </c>
      <c r="J59" s="26" t="n">
        <f aca="false">I59</f>
        <v>34.4496</v>
      </c>
      <c r="K59" s="439"/>
    </row>
    <row r="60" s="51" customFormat="true" ht="19.5" hidden="false" customHeight="false" outlineLevel="0" collapsed="false">
      <c r="A60" s="142" t="s">
        <v>502</v>
      </c>
      <c r="B60" s="69" t="n">
        <v>429665</v>
      </c>
      <c r="C60" s="70" t="s">
        <v>512</v>
      </c>
      <c r="D60" s="382" t="s">
        <v>437</v>
      </c>
      <c r="E60" s="395" t="n">
        <v>821974</v>
      </c>
      <c r="F60" s="282"/>
      <c r="G60" s="29" t="n">
        <v>2036</v>
      </c>
      <c r="H60" s="132" t="n">
        <v>900</v>
      </c>
      <c r="I60" s="222" t="n">
        <f aca="false">(H60*19*0.02)*0.6</f>
        <v>205.2</v>
      </c>
      <c r="J60" s="26" t="n">
        <f aca="false">I60</f>
        <v>205.2</v>
      </c>
      <c r="K60" s="439"/>
    </row>
    <row r="61" s="51" customFormat="true" ht="19.5" hidden="false" customHeight="false" outlineLevel="0" collapsed="false">
      <c r="A61" s="142" t="s">
        <v>502</v>
      </c>
      <c r="B61" s="69" t="n">
        <v>848696</v>
      </c>
      <c r="C61" s="70" t="s">
        <v>513</v>
      </c>
      <c r="D61" s="382" t="s">
        <v>296</v>
      </c>
      <c r="E61" s="395" t="n">
        <v>60016299</v>
      </c>
      <c r="F61" s="282" t="s">
        <v>181</v>
      </c>
      <c r="G61" s="29"/>
      <c r="H61" s="132" t="n">
        <v>731.76</v>
      </c>
      <c r="I61" s="130" t="n">
        <f aca="false">((H61/12*3.5)*0.6)*0.5</f>
        <v>64.029</v>
      </c>
      <c r="J61" s="26" t="n">
        <f aca="false">I61</f>
        <v>64.029</v>
      </c>
      <c r="K61" s="439"/>
    </row>
    <row r="62" s="51" customFormat="true" ht="19.5" hidden="false" customHeight="false" outlineLevel="0" collapsed="false">
      <c r="A62" s="142" t="s">
        <v>502</v>
      </c>
      <c r="B62" s="69" t="n">
        <v>971770</v>
      </c>
      <c r="C62" s="70" t="s">
        <v>514</v>
      </c>
      <c r="D62" s="382" t="s">
        <v>426</v>
      </c>
      <c r="E62" s="395" t="n">
        <v>20411305</v>
      </c>
      <c r="F62" s="282"/>
      <c r="G62" s="29"/>
      <c r="H62" s="132" t="n">
        <v>980.08</v>
      </c>
      <c r="I62" s="222" t="n">
        <f aca="false">(800*0.06)+(180.08*0.07)</f>
        <v>60.6056</v>
      </c>
      <c r="J62" s="26" t="n">
        <f aca="false">I62</f>
        <v>60.6056</v>
      </c>
      <c r="K62" s="439"/>
    </row>
    <row r="63" s="51" customFormat="true" ht="19.5" hidden="false" customHeight="false" outlineLevel="0" collapsed="false">
      <c r="A63" s="142" t="s">
        <v>502</v>
      </c>
      <c r="B63" s="69" t="n">
        <v>411055</v>
      </c>
      <c r="C63" s="70" t="s">
        <v>233</v>
      </c>
      <c r="D63" s="382" t="s">
        <v>431</v>
      </c>
      <c r="E63" s="395" t="n">
        <v>20412802</v>
      </c>
      <c r="F63" s="282"/>
      <c r="G63" s="29"/>
      <c r="H63" s="132" t="n">
        <v>514.48</v>
      </c>
      <c r="I63" s="132" t="n">
        <f aca="false">H63*0.12</f>
        <v>61.7376</v>
      </c>
      <c r="J63" s="26" t="n">
        <f aca="false">I63</f>
        <v>61.7376</v>
      </c>
      <c r="K63" s="439"/>
    </row>
    <row r="64" s="51" customFormat="true" ht="19.5" hidden="false" customHeight="false" outlineLevel="0" collapsed="false">
      <c r="A64" s="142" t="s">
        <v>502</v>
      </c>
      <c r="B64" s="69" t="n">
        <v>411056</v>
      </c>
      <c r="C64" s="70" t="s">
        <v>233</v>
      </c>
      <c r="D64" s="382" t="s">
        <v>431</v>
      </c>
      <c r="E64" s="395" t="n">
        <v>20412809</v>
      </c>
      <c r="F64" s="282"/>
      <c r="G64" s="29"/>
      <c r="H64" s="132" t="n">
        <v>129.23</v>
      </c>
      <c r="I64" s="132" t="n">
        <f aca="false">H64*0.12</f>
        <v>15.5076</v>
      </c>
      <c r="J64" s="26" t="n">
        <f aca="false">I64</f>
        <v>15.5076</v>
      </c>
      <c r="K64" s="439"/>
    </row>
    <row r="65" s="51" customFormat="true" ht="19.5" hidden="false" customHeight="false" outlineLevel="0" collapsed="false">
      <c r="A65" s="142" t="s">
        <v>502</v>
      </c>
      <c r="B65" s="69" t="n">
        <v>811892</v>
      </c>
      <c r="C65" s="70" t="s">
        <v>515</v>
      </c>
      <c r="D65" s="382" t="s">
        <v>429</v>
      </c>
      <c r="E65" s="395" t="n">
        <v>20412738</v>
      </c>
      <c r="F65" s="282"/>
      <c r="G65" s="29"/>
      <c r="H65" s="132" t="n">
        <v>418.98</v>
      </c>
      <c r="I65" s="132" t="n">
        <f aca="false">H65*0.12</f>
        <v>50.2776</v>
      </c>
      <c r="J65" s="26" t="n">
        <f aca="false">I65</f>
        <v>50.2776</v>
      </c>
      <c r="K65" s="439"/>
    </row>
    <row r="66" s="51" customFormat="true" ht="19.5" hidden="false" customHeight="false" outlineLevel="0" collapsed="false">
      <c r="A66" s="142" t="s">
        <v>502</v>
      </c>
      <c r="B66" s="69" t="n">
        <v>972349</v>
      </c>
      <c r="C66" s="70" t="s">
        <v>516</v>
      </c>
      <c r="D66" s="382" t="s">
        <v>426</v>
      </c>
      <c r="E66" s="395" t="n">
        <v>20412101</v>
      </c>
      <c r="F66" s="282"/>
      <c r="G66" s="29"/>
      <c r="H66" s="132" t="n">
        <v>865.04</v>
      </c>
      <c r="I66" s="222" t="n">
        <f aca="false">(800*0.06)+(65.04*0.07)</f>
        <v>52.5528</v>
      </c>
      <c r="J66" s="26" t="n">
        <f aca="false">I66</f>
        <v>52.5528</v>
      </c>
      <c r="K66" s="439"/>
    </row>
    <row r="67" s="51" customFormat="true" ht="18.75" hidden="false" customHeight="false" outlineLevel="0" collapsed="false">
      <c r="A67" s="142" t="s">
        <v>502</v>
      </c>
      <c r="B67" s="69" t="n">
        <v>973005</v>
      </c>
      <c r="C67" s="70" t="s">
        <v>517</v>
      </c>
      <c r="D67" s="382" t="s">
        <v>426</v>
      </c>
      <c r="E67" s="395" t="n">
        <v>20412622</v>
      </c>
      <c r="F67" s="282"/>
      <c r="G67" s="29"/>
      <c r="H67" s="132" t="n">
        <v>1118.02</v>
      </c>
      <c r="I67" s="222" t="n">
        <f aca="false">(800*0.06)+(318.02*0.07)</f>
        <v>70.2614</v>
      </c>
      <c r="J67" s="26" t="n">
        <f aca="false">I67</f>
        <v>70.2614</v>
      </c>
      <c r="K67" s="439"/>
    </row>
    <row r="68" s="51" customFormat="true" ht="18.75" hidden="false" customHeight="false" outlineLevel="0" collapsed="false">
      <c r="A68" s="441"/>
      <c r="B68" s="432"/>
      <c r="C68" s="70"/>
      <c r="D68" s="382"/>
      <c r="E68" s="395"/>
      <c r="F68" s="282"/>
      <c r="G68" s="29"/>
      <c r="H68" s="132"/>
      <c r="I68" s="222"/>
      <c r="J68" s="26" t="n">
        <f aca="false">I68</f>
        <v>0</v>
      </c>
      <c r="K68" s="439"/>
    </row>
    <row r="69" s="51" customFormat="true" ht="18.75" hidden="false" customHeight="false" outlineLevel="0" collapsed="false">
      <c r="A69" s="441"/>
      <c r="B69" s="432"/>
      <c r="C69" s="70"/>
      <c r="D69" s="382"/>
      <c r="E69" s="395"/>
      <c r="F69" s="282"/>
      <c r="G69" s="29"/>
      <c r="H69" s="132"/>
      <c r="I69" s="222"/>
      <c r="J69" s="26" t="n">
        <f aca="false">I69</f>
        <v>0</v>
      </c>
      <c r="K69" s="439"/>
    </row>
    <row r="70" customFormat="false" ht="19.5" hidden="false" customHeight="false" outlineLevel="0" collapsed="false">
      <c r="A70" s="390" t="s">
        <v>502</v>
      </c>
      <c r="B70" s="436"/>
      <c r="C70" s="135" t="s">
        <v>236</v>
      </c>
      <c r="D70" s="391"/>
      <c r="E70" s="397"/>
      <c r="F70" s="393"/>
      <c r="G70" s="60"/>
      <c r="H70" s="150"/>
      <c r="I70" s="150"/>
      <c r="J70" s="303" t="n">
        <f aca="false">SUM(J50:J69)</f>
        <v>3127.9028</v>
      </c>
      <c r="K70" s="437"/>
    </row>
    <row r="71" customFormat="false" ht="19.5" hidden="false" customHeight="false" outlineLevel="0" collapsed="false">
      <c r="A71" s="142" t="s">
        <v>518</v>
      </c>
      <c r="B71" s="69" t="n">
        <v>121208</v>
      </c>
      <c r="C71" s="70" t="s">
        <v>519</v>
      </c>
      <c r="D71" s="394" t="s">
        <v>520</v>
      </c>
      <c r="E71" s="395" t="n">
        <v>10727836</v>
      </c>
      <c r="F71" s="282"/>
      <c r="G71" s="29"/>
      <c r="H71" s="132" t="n">
        <v>176.63</v>
      </c>
      <c r="I71" s="132" t="n">
        <f aca="false">H71*0.15</f>
        <v>26.4945</v>
      </c>
      <c r="J71" s="26" t="n">
        <v>26.4945</v>
      </c>
      <c r="K71" s="437"/>
    </row>
    <row r="72" s="51" customFormat="true" ht="19.5" hidden="false" customHeight="false" outlineLevel="0" collapsed="false">
      <c r="A72" s="142" t="s">
        <v>518</v>
      </c>
      <c r="B72" s="69" t="n">
        <v>770987</v>
      </c>
      <c r="C72" s="70" t="s">
        <v>521</v>
      </c>
      <c r="D72" s="382" t="s">
        <v>437</v>
      </c>
      <c r="E72" s="383" t="n">
        <v>824583</v>
      </c>
      <c r="F72" s="399"/>
      <c r="G72" s="24" t="n">
        <v>2046</v>
      </c>
      <c r="H72" s="132" t="n">
        <v>720</v>
      </c>
      <c r="I72" s="222" t="n">
        <f aca="false">(H72*29*0.02)*0.6</f>
        <v>250.56</v>
      </c>
      <c r="J72" s="26" t="n">
        <f aca="false">I72</f>
        <v>250.56</v>
      </c>
      <c r="K72" s="437"/>
    </row>
    <row r="73" customFormat="false" ht="19.5" hidden="false" customHeight="false" outlineLevel="0" collapsed="false">
      <c r="A73" s="142" t="s">
        <v>518</v>
      </c>
      <c r="B73" s="69" t="n">
        <v>845563</v>
      </c>
      <c r="C73" s="70" t="s">
        <v>522</v>
      </c>
      <c r="D73" s="382" t="s">
        <v>437</v>
      </c>
      <c r="E73" s="395" t="n">
        <v>612117</v>
      </c>
      <c r="F73" s="282"/>
      <c r="G73" s="29" t="n">
        <v>2034</v>
      </c>
      <c r="H73" s="132" t="n">
        <v>1078.43</v>
      </c>
      <c r="I73" s="222" t="n">
        <f aca="false">(H73*17*0.02)*0.6</f>
        <v>219.99972</v>
      </c>
      <c r="J73" s="26"/>
      <c r="K73" s="442" t="s">
        <v>523</v>
      </c>
    </row>
    <row r="74" customFormat="false" ht="19.5" hidden="false" customHeight="false" outlineLevel="0" collapsed="false">
      <c r="A74" s="142" t="s">
        <v>518</v>
      </c>
      <c r="B74" s="69" t="n">
        <v>845563</v>
      </c>
      <c r="C74" s="70" t="s">
        <v>522</v>
      </c>
      <c r="D74" s="382" t="s">
        <v>439</v>
      </c>
      <c r="E74" s="383" t="n">
        <v>424171</v>
      </c>
      <c r="F74" s="282"/>
      <c r="G74" s="24" t="n">
        <v>2034</v>
      </c>
      <c r="H74" s="132" t="n">
        <v>350</v>
      </c>
      <c r="I74" s="222" t="n">
        <f aca="false">(H74*17*0.02)*0.6</f>
        <v>71.4</v>
      </c>
      <c r="J74" s="26" t="n">
        <f aca="false">I74</f>
        <v>71.4</v>
      </c>
      <c r="K74" s="438"/>
    </row>
    <row r="75" s="34" customFormat="true" ht="19.5" hidden="false" customHeight="false" outlineLevel="0" collapsed="false">
      <c r="A75" s="142" t="s">
        <v>518</v>
      </c>
      <c r="B75" s="69" t="n">
        <v>882443</v>
      </c>
      <c r="C75" s="70" t="s">
        <v>524</v>
      </c>
      <c r="D75" s="382" t="s">
        <v>437</v>
      </c>
      <c r="E75" s="401" t="n">
        <v>612118</v>
      </c>
      <c r="F75" s="282"/>
      <c r="G75" s="24" t="n">
        <v>2030</v>
      </c>
      <c r="H75" s="132" t="n">
        <v>1078.43</v>
      </c>
      <c r="I75" s="222" t="n">
        <f aca="false">(H75*13*0.02)*0.6</f>
        <v>168.23508</v>
      </c>
      <c r="J75" s="26" t="n">
        <f aca="false">I75</f>
        <v>168.23508</v>
      </c>
      <c r="K75" s="438"/>
    </row>
    <row r="76" s="34" customFormat="true" ht="19.5" hidden="false" customHeight="false" outlineLevel="0" collapsed="false">
      <c r="A76" s="142" t="s">
        <v>518</v>
      </c>
      <c r="B76" s="69" t="n">
        <v>973272</v>
      </c>
      <c r="C76" s="70" t="s">
        <v>525</v>
      </c>
      <c r="D76" s="382" t="s">
        <v>296</v>
      </c>
      <c r="E76" s="401" t="n">
        <v>61025510</v>
      </c>
      <c r="F76" s="282"/>
      <c r="G76" s="24"/>
      <c r="H76" s="132" t="n">
        <v>663.96</v>
      </c>
      <c r="I76" s="130" t="n">
        <f aca="false">(H76/12*3.5)*0.6</f>
        <v>116.193</v>
      </c>
      <c r="J76" s="26" t="n">
        <f aca="false">I76</f>
        <v>116.193</v>
      </c>
      <c r="K76" s="438"/>
    </row>
    <row r="77" s="34" customFormat="true" ht="19.5" hidden="false" customHeight="false" outlineLevel="0" collapsed="false">
      <c r="A77" s="142" t="s">
        <v>518</v>
      </c>
      <c r="B77" s="69" t="n">
        <v>259955</v>
      </c>
      <c r="C77" s="70" t="s">
        <v>526</v>
      </c>
      <c r="D77" s="382" t="s">
        <v>296</v>
      </c>
      <c r="E77" s="401" t="n">
        <v>61026528</v>
      </c>
      <c r="F77" s="282"/>
      <c r="G77" s="24"/>
      <c r="H77" s="402" t="n">
        <v>723.48</v>
      </c>
      <c r="I77" s="130" t="n">
        <f aca="false">(H77/12*3.5)*0.6</f>
        <v>126.609</v>
      </c>
      <c r="J77" s="26" t="n">
        <f aca="false">I77</f>
        <v>126.609</v>
      </c>
      <c r="K77" s="429"/>
    </row>
    <row r="78" s="46" customFormat="true" ht="19.5" hidden="false" customHeight="false" outlineLevel="0" collapsed="false">
      <c r="A78" s="142" t="s">
        <v>518</v>
      </c>
      <c r="B78" s="69" t="n">
        <v>952598</v>
      </c>
      <c r="C78" s="99" t="s">
        <v>19</v>
      </c>
      <c r="D78" s="382" t="s">
        <v>437</v>
      </c>
      <c r="E78" s="395" t="n">
        <v>825436</v>
      </c>
      <c r="F78" s="282"/>
      <c r="G78" s="42" t="n">
        <v>2045</v>
      </c>
      <c r="H78" s="222" t="n">
        <v>1176.48</v>
      </c>
      <c r="I78" s="222" t="n">
        <f aca="false">(H78*28*0.02)*0.6</f>
        <v>395.29728</v>
      </c>
      <c r="J78" s="26" t="n">
        <f aca="false">I78</f>
        <v>395.29728</v>
      </c>
      <c r="K78" s="439"/>
    </row>
    <row r="79" s="46" customFormat="true" ht="19.5" hidden="false" customHeight="false" outlineLevel="0" collapsed="false">
      <c r="A79" s="142" t="s">
        <v>518</v>
      </c>
      <c r="B79" s="69" t="n">
        <v>492356</v>
      </c>
      <c r="C79" s="99" t="s">
        <v>209</v>
      </c>
      <c r="D79" s="382" t="s">
        <v>437</v>
      </c>
      <c r="E79" s="395" t="n">
        <v>825447</v>
      </c>
      <c r="F79" s="282"/>
      <c r="G79" s="42" t="n">
        <v>2033</v>
      </c>
      <c r="H79" s="222" t="n">
        <v>823.56</v>
      </c>
      <c r="I79" s="222" t="n">
        <f aca="false">(H79*16*0.02)*0.6</f>
        <v>158.12352</v>
      </c>
      <c r="J79" s="26" t="n">
        <f aca="false">I79</f>
        <v>158.12352</v>
      </c>
      <c r="K79" s="439"/>
    </row>
    <row r="80" s="51" customFormat="true" ht="19.5" hidden="false" customHeight="false" outlineLevel="0" collapsed="false">
      <c r="A80" s="142" t="s">
        <v>518</v>
      </c>
      <c r="B80" s="69" t="n">
        <v>975116</v>
      </c>
      <c r="C80" s="90" t="s">
        <v>527</v>
      </c>
      <c r="D80" s="382" t="s">
        <v>442</v>
      </c>
      <c r="E80" s="395"/>
      <c r="F80" s="282"/>
      <c r="G80" s="29"/>
      <c r="H80" s="222" t="n">
        <v>6531.79</v>
      </c>
      <c r="I80" s="75" t="n">
        <f aca="false">(H80*0.075)*0.6</f>
        <v>293.93055</v>
      </c>
      <c r="J80" s="26" t="n">
        <f aca="false">I80</f>
        <v>293.93055</v>
      </c>
      <c r="K80" s="437"/>
      <c r="L80" s="46"/>
    </row>
    <row r="81" customFormat="false" ht="19.5" hidden="false" customHeight="false" outlineLevel="0" collapsed="false">
      <c r="A81" s="142" t="s">
        <v>518</v>
      </c>
      <c r="B81" s="69" t="n">
        <v>971952</v>
      </c>
      <c r="C81" s="90" t="s">
        <v>528</v>
      </c>
      <c r="D81" s="382" t="s">
        <v>529</v>
      </c>
      <c r="E81" s="395" t="n">
        <v>20411444</v>
      </c>
      <c r="F81" s="282"/>
      <c r="G81" s="100"/>
      <c r="H81" s="222" t="n">
        <v>678.92</v>
      </c>
      <c r="I81" s="132" t="n">
        <f aca="false">H81*0.12</f>
        <v>81.4704</v>
      </c>
      <c r="J81" s="26" t="n">
        <f aca="false">I81</f>
        <v>81.4704</v>
      </c>
      <c r="K81" s="437"/>
    </row>
    <row r="82" customFormat="false" ht="19.5" hidden="false" customHeight="false" outlineLevel="0" collapsed="false">
      <c r="A82" s="142" t="s">
        <v>518</v>
      </c>
      <c r="B82" s="69" t="n">
        <v>521956</v>
      </c>
      <c r="C82" s="99" t="s">
        <v>364</v>
      </c>
      <c r="D82" s="382" t="s">
        <v>426</v>
      </c>
      <c r="E82" s="395" t="n">
        <v>20411589</v>
      </c>
      <c r="F82" s="282"/>
      <c r="G82" s="29"/>
      <c r="H82" s="222" t="n">
        <v>1795.47</v>
      </c>
      <c r="I82" s="222" t="n">
        <f aca="false">(800*0.06)+(800*0.07)+(195.47*0.08)</f>
        <v>119.6376</v>
      </c>
      <c r="J82" s="26" t="n">
        <f aca="false">I82</f>
        <v>119.6376</v>
      </c>
      <c r="K82" s="437"/>
    </row>
    <row r="83" customFormat="false" ht="19.5" hidden="false" customHeight="false" outlineLevel="0" collapsed="false">
      <c r="A83" s="142" t="s">
        <v>518</v>
      </c>
      <c r="B83" s="69" t="n">
        <v>962753</v>
      </c>
      <c r="C83" s="99" t="s">
        <v>530</v>
      </c>
      <c r="D83" s="382" t="s">
        <v>426</v>
      </c>
      <c r="E83" s="395" t="n">
        <v>20414927</v>
      </c>
      <c r="F83" s="282"/>
      <c r="G83" s="29"/>
      <c r="H83" s="222" t="n">
        <v>1612.84</v>
      </c>
      <c r="I83" s="222" t="n">
        <f aca="false">(800*0.06)+(800*0.07)+(12.84*0.08)</f>
        <v>105.0272</v>
      </c>
      <c r="J83" s="26" t="n">
        <f aca="false">I83</f>
        <v>105.0272</v>
      </c>
      <c r="K83" s="437"/>
    </row>
    <row r="84" customFormat="false" ht="19.5" hidden="false" customHeight="false" outlineLevel="0" collapsed="false">
      <c r="A84" s="142" t="s">
        <v>518</v>
      </c>
      <c r="B84" s="69" t="n">
        <v>976480</v>
      </c>
      <c r="C84" s="99" t="s">
        <v>531</v>
      </c>
      <c r="D84" s="382" t="s">
        <v>439</v>
      </c>
      <c r="E84" s="395" t="n">
        <v>826142</v>
      </c>
      <c r="F84" s="282"/>
      <c r="G84" s="29" t="n">
        <v>2028</v>
      </c>
      <c r="H84" s="222" t="n">
        <v>3199.92</v>
      </c>
      <c r="I84" s="222" t="n">
        <f aca="false">(H84*11*0.02)*0.6</f>
        <v>422.38944</v>
      </c>
      <c r="J84" s="26" t="n">
        <f aca="false">I84</f>
        <v>422.38944</v>
      </c>
      <c r="K84" s="437"/>
    </row>
    <row r="85" customFormat="false" ht="19.5" hidden="false" customHeight="false" outlineLevel="0" collapsed="false">
      <c r="A85" s="142" t="s">
        <v>518</v>
      </c>
      <c r="B85" s="69" t="n">
        <v>793853</v>
      </c>
      <c r="C85" s="99" t="s">
        <v>113</v>
      </c>
      <c r="D85" s="382" t="s">
        <v>296</v>
      </c>
      <c r="E85" s="395" t="n">
        <v>61025794</v>
      </c>
      <c r="F85" s="282"/>
      <c r="G85" s="29"/>
      <c r="H85" s="222" t="n">
        <v>145.08</v>
      </c>
      <c r="I85" s="130" t="n">
        <f aca="false">(H85/12*3.5)*0.6</f>
        <v>25.389</v>
      </c>
      <c r="J85" s="26" t="n">
        <f aca="false">I85</f>
        <v>25.389</v>
      </c>
      <c r="K85" s="437"/>
    </row>
    <row r="86" customFormat="false" ht="19.5" hidden="false" customHeight="false" outlineLevel="0" collapsed="false">
      <c r="A86" s="142" t="s">
        <v>518</v>
      </c>
      <c r="B86" s="69" t="n">
        <v>974373</v>
      </c>
      <c r="C86" s="99" t="s">
        <v>532</v>
      </c>
      <c r="D86" s="382" t="s">
        <v>429</v>
      </c>
      <c r="E86" s="395" t="n">
        <v>20414253</v>
      </c>
      <c r="F86" s="282"/>
      <c r="G86" s="29"/>
      <c r="H86" s="222" t="n">
        <v>168.5</v>
      </c>
      <c r="I86" s="132" t="n">
        <f aca="false">H86*0.12</f>
        <v>20.22</v>
      </c>
      <c r="J86" s="26" t="n">
        <f aca="false">I86</f>
        <v>20.22</v>
      </c>
      <c r="K86" s="437"/>
    </row>
    <row r="87" customFormat="false" ht="19.5" hidden="false" customHeight="false" outlineLevel="0" collapsed="false">
      <c r="A87" s="443" t="s">
        <v>518</v>
      </c>
      <c r="B87" s="69" t="n">
        <v>974377</v>
      </c>
      <c r="C87" s="99" t="s">
        <v>533</v>
      </c>
      <c r="D87" s="382" t="s">
        <v>429</v>
      </c>
      <c r="E87" s="395" t="n">
        <v>20414259</v>
      </c>
      <c r="F87" s="282"/>
      <c r="G87" s="29"/>
      <c r="H87" s="222" t="n">
        <v>168.5</v>
      </c>
      <c r="I87" s="132" t="n">
        <f aca="false">H87*0.12</f>
        <v>20.22</v>
      </c>
      <c r="J87" s="26" t="n">
        <f aca="false">I87</f>
        <v>20.22</v>
      </c>
      <c r="K87" s="437"/>
    </row>
    <row r="88" customFormat="false" ht="30.75" hidden="false" customHeight="false" outlineLevel="0" collapsed="false">
      <c r="A88" s="443" t="s">
        <v>518</v>
      </c>
      <c r="B88" s="444" t="n">
        <v>782333</v>
      </c>
      <c r="C88" s="445" t="s">
        <v>408</v>
      </c>
      <c r="D88" s="289" t="s">
        <v>298</v>
      </c>
      <c r="E88" s="289" t="n">
        <v>806102</v>
      </c>
      <c r="F88" s="289"/>
      <c r="G88" s="289" t="n">
        <v>2033</v>
      </c>
      <c r="H88" s="446" t="n">
        <v>1100</v>
      </c>
      <c r="I88" s="447" t="n">
        <v>-211.2</v>
      </c>
      <c r="J88" s="447" t="n">
        <f aca="false">I88</f>
        <v>-211.2</v>
      </c>
      <c r="K88" s="448" t="s">
        <v>534</v>
      </c>
    </row>
    <row r="89" customFormat="false" ht="15.75" hidden="false" customHeight="false" outlineLevel="0" collapsed="false">
      <c r="A89" s="443" t="s">
        <v>518</v>
      </c>
      <c r="B89" s="449" t="n">
        <v>524936</v>
      </c>
      <c r="C89" s="450" t="s">
        <v>398</v>
      </c>
      <c r="D89" s="245" t="s">
        <v>62</v>
      </c>
      <c r="E89" s="245" t="n">
        <v>20360252</v>
      </c>
      <c r="F89" s="289"/>
      <c r="G89" s="289"/>
      <c r="H89" s="451" t="n">
        <v>1463.39</v>
      </c>
      <c r="I89" s="452" t="n">
        <f aca="false">-H89*0.12</f>
        <v>-175.6068</v>
      </c>
      <c r="J89" s="447" t="n">
        <f aca="false">I89</f>
        <v>-175.6068</v>
      </c>
      <c r="K89" s="448" t="s">
        <v>535</v>
      </c>
    </row>
    <row r="90" customFormat="false" ht="19.5" hidden="false" customHeight="false" outlineLevel="0" collapsed="false">
      <c r="A90" s="443" t="s">
        <v>518</v>
      </c>
      <c r="B90" s="453" t="n">
        <v>729789</v>
      </c>
      <c r="C90" s="454" t="s">
        <v>470</v>
      </c>
      <c r="D90" s="455" t="s">
        <v>441</v>
      </c>
      <c r="E90" s="456" t="n">
        <v>611756</v>
      </c>
      <c r="F90" s="282"/>
      <c r="G90" s="245" t="n">
        <v>2032</v>
      </c>
      <c r="H90" s="457" t="n">
        <v>600</v>
      </c>
      <c r="I90" s="457" t="n">
        <f aca="false">-(H90*15*0.027)*0.6</f>
        <v>-145.8</v>
      </c>
      <c r="J90" s="458" t="n">
        <f aca="false">I90</f>
        <v>-145.8</v>
      </c>
      <c r="K90" s="448" t="s">
        <v>536</v>
      </c>
    </row>
    <row r="91" customFormat="false" ht="19.5" hidden="false" customHeight="false" outlineLevel="0" collapsed="false">
      <c r="A91" s="443" t="s">
        <v>518</v>
      </c>
      <c r="B91" s="453" t="n">
        <v>729789</v>
      </c>
      <c r="C91" s="454" t="s">
        <v>470</v>
      </c>
      <c r="D91" s="455" t="s">
        <v>441</v>
      </c>
      <c r="E91" s="456" t="n">
        <v>611756</v>
      </c>
      <c r="F91" s="282"/>
      <c r="G91" s="245" t="n">
        <v>2032</v>
      </c>
      <c r="H91" s="457" t="n">
        <v>600</v>
      </c>
      <c r="I91" s="457" t="n">
        <f aca="false">(H91*15*0.03)*0.6</f>
        <v>162</v>
      </c>
      <c r="J91" s="459" t="n">
        <f aca="false">I91</f>
        <v>162</v>
      </c>
      <c r="K91" s="448" t="s">
        <v>537</v>
      </c>
    </row>
    <row r="92" customFormat="false" ht="30.75" hidden="false" customHeight="false" outlineLevel="0" collapsed="false">
      <c r="A92" s="443" t="s">
        <v>518</v>
      </c>
      <c r="B92" s="444" t="n">
        <v>773696</v>
      </c>
      <c r="C92" s="450" t="s">
        <v>367</v>
      </c>
      <c r="D92" s="245" t="s">
        <v>260</v>
      </c>
      <c r="E92" s="245" t="n">
        <v>441443</v>
      </c>
      <c r="F92" s="245"/>
      <c r="G92" s="245" t="n">
        <v>2026</v>
      </c>
      <c r="H92" s="451" t="n">
        <v>600</v>
      </c>
      <c r="I92" s="457" t="n">
        <v>-64.8</v>
      </c>
      <c r="J92" s="458" t="n">
        <f aca="false">I92</f>
        <v>-64.8</v>
      </c>
      <c r="K92" s="448" t="s">
        <v>538</v>
      </c>
    </row>
    <row r="93" customFormat="false" ht="19.5" hidden="false" customHeight="false" outlineLevel="0" collapsed="false">
      <c r="A93" s="460" t="s">
        <v>518</v>
      </c>
      <c r="B93" s="69"/>
      <c r="C93" s="160" t="s">
        <v>236</v>
      </c>
      <c r="D93" s="391"/>
      <c r="E93" s="407"/>
      <c r="F93" s="393"/>
      <c r="G93" s="161"/>
      <c r="H93" s="408"/>
      <c r="I93" s="408"/>
      <c r="J93" s="409" t="n">
        <f aca="false">SUM(J71:J92)</f>
        <v>1965.78977</v>
      </c>
      <c r="K93" s="437"/>
    </row>
    <row r="94" customFormat="false" ht="19.5" hidden="false" customHeight="false" outlineLevel="0" collapsed="false">
      <c r="A94" s="69"/>
      <c r="B94" s="69"/>
      <c r="C94" s="165"/>
      <c r="D94" s="410"/>
      <c r="E94" s="411"/>
      <c r="F94" s="412"/>
      <c r="G94" s="167"/>
      <c r="H94" s="413"/>
      <c r="I94" s="414"/>
      <c r="J94" s="170"/>
      <c r="K94" s="437"/>
    </row>
    <row r="95" customFormat="false" ht="19.5" hidden="false" customHeight="false" outlineLevel="0" collapsed="false">
      <c r="A95" s="105"/>
      <c r="B95" s="105"/>
      <c r="C95" s="171" t="s">
        <v>285</v>
      </c>
      <c r="D95" s="415"/>
      <c r="E95" s="416"/>
      <c r="F95" s="417"/>
      <c r="G95" s="107"/>
      <c r="H95" s="418"/>
      <c r="I95" s="419"/>
      <c r="J95" s="108" t="n">
        <f aca="false">SUM(J49,J70,J93)</f>
        <v>7586.38107</v>
      </c>
      <c r="K95" s="437"/>
    </row>
    <row r="96" customFormat="false" ht="18.75" hidden="false" customHeight="false" outlineLevel="0" collapsed="false">
      <c r="A96" s="110"/>
      <c r="B96" s="110"/>
      <c r="C96" s="111"/>
      <c r="D96" s="420"/>
      <c r="E96" s="421"/>
      <c r="F96" s="422"/>
      <c r="G96" s="112"/>
      <c r="H96" s="423"/>
      <c r="I96" s="380"/>
      <c r="J96" s="96"/>
      <c r="K96" s="437"/>
    </row>
    <row r="97" customFormat="false" ht="18.75" hidden="false" customHeight="false" outlineLevel="0" collapsed="false">
      <c r="A97" s="110"/>
      <c r="B97" s="110"/>
      <c r="C97" s="111" t="s">
        <v>220</v>
      </c>
      <c r="D97" s="420"/>
      <c r="E97" s="421"/>
      <c r="F97" s="422"/>
      <c r="G97" s="112"/>
      <c r="H97" s="423"/>
      <c r="I97" s="380"/>
      <c r="J97" s="96" t="n">
        <f aca="false">J7</f>
        <v>6129.31</v>
      </c>
      <c r="K97" s="437"/>
    </row>
    <row r="98" customFormat="false" ht="18.75" hidden="false" customHeight="false" outlineLevel="0" collapsed="false">
      <c r="A98" s="110"/>
      <c r="B98" s="110"/>
      <c r="C98" s="111" t="s">
        <v>221</v>
      </c>
      <c r="D98" s="420"/>
      <c r="E98" s="421"/>
      <c r="F98" s="422"/>
      <c r="G98" s="112"/>
      <c r="H98" s="423"/>
      <c r="I98" s="380"/>
      <c r="J98" s="96" t="n">
        <f aca="false">SUM(J95:J97)</f>
        <v>13715.69107</v>
      </c>
      <c r="K98" s="437"/>
    </row>
    <row r="99" s="116" customFormat="true" ht="19.5" hidden="false" customHeight="false" outlineLevel="0" collapsed="false">
      <c r="A99" s="110"/>
      <c r="B99" s="110"/>
      <c r="C99" s="114" t="s">
        <v>222</v>
      </c>
      <c r="D99" s="391"/>
      <c r="E99" s="397"/>
      <c r="F99" s="393"/>
      <c r="G99" s="60"/>
      <c r="H99" s="424"/>
      <c r="I99" s="461"/>
      <c r="J99" s="26" t="n">
        <f aca="false">J98/3</f>
        <v>4571.89702333333</v>
      </c>
      <c r="K99" s="462"/>
    </row>
    <row r="100" s="120" customFormat="true" ht="18.75" hidden="false" customHeight="false" outlineLevel="0" collapsed="false">
      <c r="A100" s="110"/>
      <c r="B100" s="110"/>
      <c r="C100" s="117"/>
      <c r="D100" s="426"/>
      <c r="E100" s="427"/>
      <c r="F100" s="428"/>
      <c r="G100" s="80"/>
      <c r="H100" s="178"/>
      <c r="I100" s="179"/>
      <c r="J100" s="119"/>
      <c r="K100" s="463"/>
    </row>
  </sheetData>
  <dataValidations count="5">
    <dataValidation allowBlank="true" operator="between" prompt="Liste choix" showDropDown="false" showErrorMessage="true" showInputMessage="true" sqref="D50:D69 D72:D89 D92" type="list">
      <formula1>"MOBILE2016,MOBILE Regio,REEBOU Family,REEBOUImmo,REEBOU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90:D91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30 D71" type="list">
      <formula1>"MOBILE2016,MOBILE Regio,REEBOUfamily,REEBOUpack,REEBOUpro,REEBOUinvest,LOGGIA,MEDICIS,RC,RC ENSEIGN,ZENITH60op100,ZENITH60op25,HORIZONT60invest,HORIZONT60protect,HORIZONT60capi,HELIOS100protect,HELIOS60invest,HELIOS100invest,FOCUS,NOVA,BSH"</formula1>
      <formula2>0</formula2>
    </dataValidation>
    <dataValidation allowBlank="true" operator="between" prompt="Liste choix" showDropDown="false" showErrorMessage="true" showInputMessage="true" sqref="D31:D48" type="list">
      <formula1>"MOBILE2016,MOBILE2007,MOBILE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10:D29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</dataValidations>
  <printOptions headings="false" gridLines="true" gridLinesSet="true" horizontalCentered="true" verticalCentered="true"/>
  <pageMargins left="0.236111111111111" right="0.236111111111111" top="0.747916666666667" bottom="0.748611111111111" header="0.315277777777778" footer="0.315277777777778"/>
  <pageSetup paperSize="9" scale="7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4èmeTRIMESTRE 2017</oddHeader>
    <oddFooter>&amp;L&amp;8&amp;Z&amp;F&amp;C&amp;7&amp;P/&amp;N&amp;RModfié le &amp;D </oddFooter>
  </headerFooter>
  <rowBreaks count="2" manualBreakCount="2">
    <brk id="49" man="true" max="16383" min="0"/>
    <brk id="70" man="true" max="16383" min="0"/>
  </rowBreaks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73"/>
  <sheetViews>
    <sheetView showFormulas="false" showGridLines="true" showRowColHeaders="true" showZeros="true" rightToLeft="false" tabSelected="false" showOutlineSymbols="true" defaultGridColor="true" view="normal" topLeftCell="A25" colorId="64" zoomScale="100" zoomScaleNormal="100" zoomScalePageLayoutView="100" workbookViewId="0">
      <selection pane="topLeft" activeCell="I37" activeCellId="1" sqref="A2:A7 I37"/>
    </sheetView>
  </sheetViews>
  <sheetFormatPr defaultRowHeight="18.75" zeroHeight="false" outlineLevelRow="0" outlineLevelCol="0"/>
  <cols>
    <col collapsed="false" customWidth="false" hidden="false" outlineLevel="0" max="1" min="1" style="62" width="11.42"/>
    <col collapsed="false" customWidth="true" hidden="false" outlineLevel="0" max="2" min="2" style="62" width="17.42"/>
    <col collapsed="false" customWidth="true" hidden="false" outlineLevel="0" max="3" min="3" style="2" width="27.99"/>
    <col collapsed="false" customWidth="true" hidden="false" outlineLevel="0" max="4" min="4" style="362" width="21.71"/>
    <col collapsed="false" customWidth="true" hidden="false" outlineLevel="0" max="5" min="5" style="363" width="24.71"/>
    <col collapsed="false" customWidth="true" hidden="false" outlineLevel="0" max="6" min="6" style="181" width="3.71"/>
    <col collapsed="false" customWidth="true" hidden="false" outlineLevel="0" max="7" min="7" style="3" width="10.58"/>
    <col collapsed="false" customWidth="true" hidden="false" outlineLevel="0" max="8" min="8" style="122" width="13.29"/>
    <col collapsed="false" customWidth="true" hidden="false" outlineLevel="0" max="9" min="9" style="122" width="12.42"/>
    <col collapsed="false" customWidth="true" hidden="false" outlineLevel="0" max="10" min="10" style="5" width="12.42"/>
    <col collapsed="false" customWidth="true" hidden="true" outlineLevel="0" max="11" min="11" style="0" width="34.29"/>
    <col collapsed="false" customWidth="true" hidden="true" outlineLevel="0" max="12" min="12" style="0" width="11.57"/>
    <col collapsed="false" customWidth="true" hidden="false" outlineLevel="0" max="1025" min="13" style="0" width="10.67"/>
  </cols>
  <sheetData>
    <row r="1" customFormat="false" ht="18.75" hidden="false" customHeight="false" outlineLevel="0" collapsed="false">
      <c r="A1" s="62" t="n">
        <v>2018</v>
      </c>
      <c r="C1" s="2" t="s">
        <v>539</v>
      </c>
      <c r="H1" s="122" t="s">
        <v>540</v>
      </c>
      <c r="J1" s="464" t="n">
        <f aca="false">2398.3*3</f>
        <v>7194.9</v>
      </c>
      <c r="K1" s="12"/>
    </row>
    <row r="2" customFormat="false" ht="18.75" hidden="false" customHeight="false" outlineLevel="0" collapsed="false">
      <c r="C2" s="465" t="s">
        <v>541</v>
      </c>
      <c r="J2" s="464"/>
      <c r="K2" s="12"/>
    </row>
    <row r="3" customFormat="false" ht="18.75" hidden="false" customHeight="false" outlineLevel="0" collapsed="false">
      <c r="C3" s="2" t="s">
        <v>542</v>
      </c>
      <c r="G3" s="1" t="s">
        <v>543</v>
      </c>
      <c r="H3" s="466" t="s">
        <v>544</v>
      </c>
      <c r="J3" s="10" t="n">
        <f aca="false">20*11.51</f>
        <v>230.2</v>
      </c>
      <c r="K3" s="12"/>
    </row>
    <row r="4" customFormat="false" ht="18.75" hidden="false" customHeight="false" outlineLevel="0" collapsed="false">
      <c r="C4" s="2" t="s">
        <v>125</v>
      </c>
      <c r="G4" s="1" t="s">
        <v>545</v>
      </c>
      <c r="H4" s="466" t="s">
        <v>546</v>
      </c>
      <c r="J4" s="10" t="n">
        <f aca="false">37*11.51</f>
        <v>425.87</v>
      </c>
      <c r="K4" s="12"/>
    </row>
    <row r="5" customFormat="false" ht="18.75" hidden="false" customHeight="false" outlineLevel="0" collapsed="false">
      <c r="C5" s="2" t="s">
        <v>547</v>
      </c>
      <c r="G5" s="1" t="s">
        <v>548</v>
      </c>
      <c r="H5" s="466" t="s">
        <v>549</v>
      </c>
      <c r="J5" s="10" t="n">
        <f aca="false">8*11.51</f>
        <v>92.08</v>
      </c>
      <c r="K5" s="12"/>
    </row>
    <row r="6" customFormat="false" ht="18.75" hidden="false" customHeight="false" outlineLevel="0" collapsed="false">
      <c r="D6" s="1"/>
      <c r="H6" s="466"/>
      <c r="I6" s="125"/>
      <c r="J6" s="10"/>
      <c r="K6" s="12"/>
    </row>
    <row r="7" customFormat="false" ht="18.75" hidden="false" customHeight="false" outlineLevel="0" collapsed="false">
      <c r="C7" s="2" t="s">
        <v>131</v>
      </c>
      <c r="G7" s="1"/>
      <c r="H7" s="466"/>
      <c r="I7" s="125"/>
      <c r="J7" s="63" t="n">
        <f aca="false">SUM(J1:J6)</f>
        <v>7943.05</v>
      </c>
      <c r="K7" s="12"/>
    </row>
    <row r="8" customFormat="false" ht="19.5" hidden="false" customHeight="false" outlineLevel="0" collapsed="false">
      <c r="K8" s="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84" t="s">
        <v>15</v>
      </c>
      <c r="I9" s="128" t="s">
        <v>16</v>
      </c>
      <c r="J9" s="19" t="s">
        <v>17</v>
      </c>
    </row>
    <row r="10" customFormat="false" ht="18.75" hidden="false" customHeight="false" outlineLevel="0" collapsed="false">
      <c r="A10" s="69" t="s">
        <v>550</v>
      </c>
      <c r="B10" s="432" t="n">
        <v>854434</v>
      </c>
      <c r="C10" s="99" t="s">
        <v>551</v>
      </c>
      <c r="D10" s="382" t="s">
        <v>437</v>
      </c>
      <c r="E10" s="395" t="n">
        <v>826148</v>
      </c>
      <c r="F10" s="282"/>
      <c r="G10" s="29" t="n">
        <v>2050</v>
      </c>
      <c r="H10" s="222" t="n">
        <v>2472</v>
      </c>
      <c r="I10" s="222" t="n">
        <f aca="false">(H10*32*0.02)*0.5</f>
        <v>791.04</v>
      </c>
      <c r="J10" s="26" t="n">
        <f aca="false">I10</f>
        <v>791.04</v>
      </c>
      <c r="K10" s="0" t="s">
        <v>134</v>
      </c>
    </row>
    <row r="11" customFormat="false" ht="18" hidden="false" customHeight="true" outlineLevel="0" collapsed="false">
      <c r="A11" s="69" t="s">
        <v>550</v>
      </c>
      <c r="B11" s="432" t="n">
        <v>978398</v>
      </c>
      <c r="C11" s="70" t="s">
        <v>552</v>
      </c>
      <c r="D11" s="382" t="s">
        <v>429</v>
      </c>
      <c r="E11" s="383" t="n">
        <v>20418838</v>
      </c>
      <c r="F11" s="282"/>
      <c r="G11" s="24"/>
      <c r="H11" s="132" t="n">
        <v>187.52</v>
      </c>
      <c r="I11" s="132" t="n">
        <f aca="false">H11*0.08</f>
        <v>15.0016</v>
      </c>
      <c r="J11" s="26" t="n">
        <f aca="false">I11</f>
        <v>15.0016</v>
      </c>
      <c r="K11" s="0" t="s">
        <v>136</v>
      </c>
    </row>
    <row r="12" customFormat="false" ht="18" hidden="false" customHeight="true" outlineLevel="0" collapsed="false">
      <c r="A12" s="69" t="s">
        <v>550</v>
      </c>
      <c r="B12" s="432" t="n">
        <v>978398</v>
      </c>
      <c r="C12" s="70" t="s">
        <v>552</v>
      </c>
      <c r="D12" s="382" t="s">
        <v>430</v>
      </c>
      <c r="E12" s="383" t="n">
        <v>20418838</v>
      </c>
      <c r="F12" s="282"/>
      <c r="G12" s="24"/>
      <c r="H12" s="132" t="n">
        <v>113.63</v>
      </c>
      <c r="I12" s="132" t="n">
        <f aca="false">H12*0.08</f>
        <v>9.0904</v>
      </c>
      <c r="J12" s="26" t="n">
        <f aca="false">I12</f>
        <v>9.0904</v>
      </c>
    </row>
    <row r="13" customFormat="false" ht="18" hidden="false" customHeight="true" outlineLevel="0" collapsed="false">
      <c r="A13" s="69" t="s">
        <v>550</v>
      </c>
      <c r="B13" s="432" t="n">
        <v>978168</v>
      </c>
      <c r="C13" s="70" t="s">
        <v>553</v>
      </c>
      <c r="D13" s="382" t="s">
        <v>437</v>
      </c>
      <c r="E13" s="383" t="n">
        <v>827271</v>
      </c>
      <c r="F13" s="282"/>
      <c r="G13" s="24" t="n">
        <v>2030</v>
      </c>
      <c r="H13" s="132" t="n">
        <v>1200</v>
      </c>
      <c r="I13" s="222" t="n">
        <f aca="false">(H13*32*0.02)*0.5</f>
        <v>384</v>
      </c>
      <c r="J13" s="26" t="n">
        <f aca="false">I13</f>
        <v>384</v>
      </c>
    </row>
    <row r="14" customFormat="false" ht="18" hidden="false" customHeight="true" outlineLevel="0" collapsed="false">
      <c r="A14" s="69" t="s">
        <v>550</v>
      </c>
      <c r="B14" s="432" t="n">
        <v>623386</v>
      </c>
      <c r="C14" s="70" t="s">
        <v>318</v>
      </c>
      <c r="D14" s="382" t="s">
        <v>431</v>
      </c>
      <c r="E14" s="383" t="n">
        <v>20367851</v>
      </c>
      <c r="F14" s="282"/>
      <c r="G14" s="24"/>
      <c r="H14" s="132" t="n">
        <v>392.26</v>
      </c>
      <c r="I14" s="132" t="n">
        <f aca="false">H14*0.08</f>
        <v>31.3808</v>
      </c>
      <c r="J14" s="26" t="n">
        <f aca="false">I14</f>
        <v>31.3808</v>
      </c>
      <c r="K14" s="0" t="s">
        <v>139</v>
      </c>
    </row>
    <row r="15" customFormat="false" ht="18" hidden="false" customHeight="true" outlineLevel="0" collapsed="false">
      <c r="A15" s="69" t="s">
        <v>550</v>
      </c>
      <c r="B15" s="432" t="n">
        <v>842474</v>
      </c>
      <c r="C15" s="70" t="s">
        <v>554</v>
      </c>
      <c r="D15" s="382" t="s">
        <v>296</v>
      </c>
      <c r="E15" s="383" t="n">
        <v>61027126</v>
      </c>
      <c r="F15" s="282"/>
      <c r="G15" s="24"/>
      <c r="H15" s="132" t="n">
        <v>1754.76</v>
      </c>
      <c r="I15" s="130" t="n">
        <f aca="false">(H15/12*3.5)*0.5</f>
        <v>255.9025</v>
      </c>
      <c r="J15" s="26" t="n">
        <f aca="false">I15</f>
        <v>255.9025</v>
      </c>
    </row>
    <row r="16" customFormat="false" ht="18" hidden="false" customHeight="true" outlineLevel="0" collapsed="false">
      <c r="A16" s="69" t="s">
        <v>550</v>
      </c>
      <c r="B16" s="432" t="n">
        <v>842474</v>
      </c>
      <c r="C16" s="70" t="s">
        <v>554</v>
      </c>
      <c r="D16" s="382" t="s">
        <v>426</v>
      </c>
      <c r="E16" s="383" t="n">
        <v>20424024</v>
      </c>
      <c r="F16" s="282"/>
      <c r="G16" s="24"/>
      <c r="H16" s="132" t="n">
        <v>1398.2</v>
      </c>
      <c r="I16" s="130" t="n">
        <f aca="false">800*0.05+598.2*0.065</f>
        <v>78.883</v>
      </c>
      <c r="J16" s="26" t="n">
        <f aca="false">I16</f>
        <v>78.883</v>
      </c>
    </row>
    <row r="17" customFormat="false" ht="18" hidden="false" customHeight="true" outlineLevel="0" collapsed="false">
      <c r="A17" s="69" t="s">
        <v>550</v>
      </c>
      <c r="B17" s="432" t="n">
        <v>842474</v>
      </c>
      <c r="C17" s="70" t="s">
        <v>554</v>
      </c>
      <c r="D17" s="382" t="s">
        <v>426</v>
      </c>
      <c r="E17" s="383" t="n">
        <v>20424028</v>
      </c>
      <c r="F17" s="282"/>
      <c r="G17" s="24"/>
      <c r="H17" s="132" t="n">
        <v>1585.66</v>
      </c>
      <c r="I17" s="130" t="n">
        <f aca="false">800*0.05+785.66*0.065</f>
        <v>91.0679</v>
      </c>
      <c r="J17" s="26" t="n">
        <f aca="false">I17</f>
        <v>91.0679</v>
      </c>
    </row>
    <row r="18" customFormat="false" ht="18" hidden="false" customHeight="true" outlineLevel="0" collapsed="false">
      <c r="A18" s="69" t="s">
        <v>550</v>
      </c>
      <c r="B18" s="432" t="n">
        <v>842474</v>
      </c>
      <c r="C18" s="70" t="s">
        <v>554</v>
      </c>
      <c r="D18" s="382" t="s">
        <v>429</v>
      </c>
      <c r="E18" s="433" t="n">
        <v>20424017</v>
      </c>
      <c r="F18" s="434"/>
      <c r="G18" s="24"/>
      <c r="H18" s="132" t="n">
        <v>513.64</v>
      </c>
      <c r="I18" s="132" t="n">
        <f aca="false">H18*0.08</f>
        <v>41.0912</v>
      </c>
      <c r="J18" s="26" t="n">
        <f aca="false">I18</f>
        <v>41.0912</v>
      </c>
    </row>
    <row r="19" customFormat="false" ht="18" hidden="false" customHeight="true" outlineLevel="0" collapsed="false">
      <c r="A19" s="69" t="s">
        <v>550</v>
      </c>
      <c r="B19" s="432" t="n">
        <v>842474</v>
      </c>
      <c r="C19" s="70" t="s">
        <v>554</v>
      </c>
      <c r="D19" s="382" t="s">
        <v>430</v>
      </c>
      <c r="E19" s="433" t="n">
        <v>20424017</v>
      </c>
      <c r="F19" s="282"/>
      <c r="G19" s="24"/>
      <c r="H19" s="132" t="n">
        <v>113.94</v>
      </c>
      <c r="I19" s="132" t="n">
        <f aca="false">H19*0.08</f>
        <v>9.1152</v>
      </c>
      <c r="J19" s="26" t="n">
        <f aca="false">I19</f>
        <v>9.1152</v>
      </c>
    </row>
    <row r="20" customFormat="false" ht="18" hidden="false" customHeight="true" outlineLevel="0" collapsed="false">
      <c r="A20" s="69" t="s">
        <v>550</v>
      </c>
      <c r="B20" s="432" t="n">
        <v>976301</v>
      </c>
      <c r="C20" s="70" t="s">
        <v>555</v>
      </c>
      <c r="D20" s="382" t="s">
        <v>296</v>
      </c>
      <c r="E20" s="383" t="n">
        <v>61027141</v>
      </c>
      <c r="F20" s="282"/>
      <c r="G20" s="24"/>
      <c r="H20" s="132" t="n">
        <v>771.72</v>
      </c>
      <c r="I20" s="130" t="n">
        <f aca="false">(H20/12*3.5)*0.5</f>
        <v>112.5425</v>
      </c>
      <c r="J20" s="26" t="n">
        <f aca="false">I20</f>
        <v>112.5425</v>
      </c>
      <c r="K20" s="0" t="s">
        <v>141</v>
      </c>
    </row>
    <row r="21" customFormat="false" ht="18" hidden="false" customHeight="true" outlineLevel="0" collapsed="false">
      <c r="A21" s="69" t="s">
        <v>550</v>
      </c>
      <c r="B21" s="432" t="n">
        <v>971770</v>
      </c>
      <c r="C21" s="70" t="s">
        <v>556</v>
      </c>
      <c r="D21" s="382" t="s">
        <v>429</v>
      </c>
      <c r="E21" s="383" t="n">
        <v>20420105</v>
      </c>
      <c r="F21" s="282"/>
      <c r="G21" s="24"/>
      <c r="H21" s="132" t="n">
        <v>221.22</v>
      </c>
      <c r="I21" s="132" t="n">
        <f aca="false">H21*0.08</f>
        <v>17.6976</v>
      </c>
      <c r="J21" s="26" t="n">
        <f aca="false">I21</f>
        <v>17.6976</v>
      </c>
    </row>
    <row r="22" customFormat="false" ht="18" hidden="false" customHeight="true" outlineLevel="0" collapsed="false">
      <c r="A22" s="69"/>
      <c r="B22" s="69"/>
      <c r="C22" s="70"/>
      <c r="D22" s="382"/>
      <c r="E22" s="383"/>
      <c r="F22" s="282"/>
      <c r="G22" s="24"/>
      <c r="H22" s="132"/>
      <c r="I22" s="130"/>
      <c r="J22" s="26" t="n">
        <f aca="false">I22</f>
        <v>0</v>
      </c>
    </row>
    <row r="23" s="34" customFormat="true" ht="19.5" hidden="false" customHeight="false" outlineLevel="0" collapsed="false">
      <c r="A23" s="69"/>
      <c r="B23" s="69"/>
      <c r="C23" s="135" t="s">
        <v>454</v>
      </c>
      <c r="D23" s="391"/>
      <c r="E23" s="392"/>
      <c r="F23" s="393"/>
      <c r="G23" s="137"/>
      <c r="H23" s="467"/>
      <c r="I23" s="139"/>
      <c r="J23" s="140" t="n">
        <f aca="false">SUM(J10:J22)</f>
        <v>1836.8127</v>
      </c>
      <c r="K23" s="34" t="s">
        <v>175</v>
      </c>
    </row>
    <row r="24" customFormat="false" ht="18.75" hidden="false" customHeight="false" outlineLevel="0" collapsed="false">
      <c r="A24" s="141" t="s">
        <v>557</v>
      </c>
      <c r="B24" s="443" t="n">
        <v>737308</v>
      </c>
      <c r="C24" s="66" t="s">
        <v>558</v>
      </c>
      <c r="D24" s="468" t="s">
        <v>296</v>
      </c>
      <c r="E24" s="373" t="n">
        <v>61027526</v>
      </c>
      <c r="F24" s="374"/>
      <c r="G24" s="16"/>
      <c r="H24" s="185" t="n">
        <v>4225.68</v>
      </c>
      <c r="I24" s="130" t="n">
        <f aca="false">(H24/12*3.5)*0.5</f>
        <v>616.245</v>
      </c>
      <c r="J24" s="130" t="n">
        <f aca="false">I24</f>
        <v>616.245</v>
      </c>
      <c r="K24" s="34" t="s">
        <v>177</v>
      </c>
    </row>
    <row r="25" customFormat="false" ht="18.75" hidden="false" customHeight="false" outlineLevel="0" collapsed="false">
      <c r="A25" s="86" t="s">
        <v>557</v>
      </c>
      <c r="B25" s="432" t="n">
        <v>358748</v>
      </c>
      <c r="C25" s="70" t="s">
        <v>559</v>
      </c>
      <c r="D25" s="382" t="s">
        <v>296</v>
      </c>
      <c r="E25" s="383" t="n">
        <v>61027968</v>
      </c>
      <c r="F25" s="282"/>
      <c r="G25" s="24"/>
      <c r="H25" s="132" t="n">
        <v>709.99</v>
      </c>
      <c r="I25" s="130" t="n">
        <f aca="false">(H25/12*3.5)*0.5</f>
        <v>103.540208333333</v>
      </c>
      <c r="J25" s="130" t="n">
        <f aca="false">I25</f>
        <v>103.540208333333</v>
      </c>
      <c r="K25" s="34" t="s">
        <v>178</v>
      </c>
    </row>
    <row r="26" customFormat="false" ht="18.75" hidden="false" customHeight="false" outlineLevel="0" collapsed="false">
      <c r="A26" s="86" t="s">
        <v>557</v>
      </c>
      <c r="B26" s="469" t="n">
        <v>601423</v>
      </c>
      <c r="C26" s="70" t="s">
        <v>306</v>
      </c>
      <c r="D26" s="382" t="s">
        <v>437</v>
      </c>
      <c r="E26" s="383" t="n">
        <v>829800</v>
      </c>
      <c r="F26" s="282"/>
      <c r="G26" s="24" t="n">
        <v>2052</v>
      </c>
      <c r="H26" s="132" t="n">
        <v>1440</v>
      </c>
      <c r="I26" s="222" t="n">
        <f aca="false">(H26*34*0.02)*0.5</f>
        <v>489.6</v>
      </c>
      <c r="J26" s="130" t="n">
        <f aca="false">I26</f>
        <v>489.6</v>
      </c>
      <c r="K26" s="88" t="s">
        <v>182</v>
      </c>
      <c r="L26" s="0" t="s">
        <v>459</v>
      </c>
    </row>
    <row r="27" s="51" customFormat="true" ht="18.75" hidden="false" customHeight="false" outlineLevel="0" collapsed="false">
      <c r="A27" s="86" t="s">
        <v>557</v>
      </c>
      <c r="B27" s="432" t="n">
        <v>958444</v>
      </c>
      <c r="C27" s="70" t="s">
        <v>560</v>
      </c>
      <c r="D27" s="382" t="s">
        <v>426</v>
      </c>
      <c r="E27" s="383" t="n">
        <v>20422836</v>
      </c>
      <c r="F27" s="282"/>
      <c r="G27" s="24"/>
      <c r="H27" s="132" t="n">
        <v>1335.4</v>
      </c>
      <c r="I27" s="222" t="n">
        <f aca="false">800*0.05+535.4*0.065</f>
        <v>74.801</v>
      </c>
      <c r="J27" s="130" t="n">
        <f aca="false">I27</f>
        <v>74.801</v>
      </c>
      <c r="K27" s="51" t="s">
        <v>186</v>
      </c>
    </row>
    <row r="28" s="51" customFormat="true" ht="18.75" hidden="false" customHeight="false" outlineLevel="0" collapsed="false">
      <c r="A28" s="86" t="s">
        <v>557</v>
      </c>
      <c r="B28" s="432" t="n">
        <v>300245</v>
      </c>
      <c r="C28" s="70" t="s">
        <v>561</v>
      </c>
      <c r="D28" s="382" t="s">
        <v>426</v>
      </c>
      <c r="E28" s="395" t="n">
        <v>20422300</v>
      </c>
      <c r="F28" s="282"/>
      <c r="G28" s="29"/>
      <c r="H28" s="222" t="n">
        <v>1878.5</v>
      </c>
      <c r="I28" s="222" t="n">
        <f aca="false">800*0.05+1078.5*0.065</f>
        <v>110.1025</v>
      </c>
      <c r="J28" s="130" t="n">
        <f aca="false">I28</f>
        <v>110.1025</v>
      </c>
      <c r="K28" s="88"/>
    </row>
    <row r="29" s="51" customFormat="true" ht="18.75" hidden="false" customHeight="false" outlineLevel="0" collapsed="false">
      <c r="A29" s="86" t="s">
        <v>557</v>
      </c>
      <c r="B29" s="432" t="n">
        <v>834437</v>
      </c>
      <c r="C29" s="70" t="s">
        <v>43</v>
      </c>
      <c r="D29" s="382" t="s">
        <v>426</v>
      </c>
      <c r="E29" s="395" t="n">
        <v>20422980</v>
      </c>
      <c r="F29" s="282"/>
      <c r="G29" s="29"/>
      <c r="H29" s="222" t="n">
        <v>727.83</v>
      </c>
      <c r="I29" s="222" t="n">
        <f aca="false">H29*0.05</f>
        <v>36.3915</v>
      </c>
      <c r="J29" s="130" t="n">
        <f aca="false">I29</f>
        <v>36.3915</v>
      </c>
      <c r="K29" s="88"/>
    </row>
    <row r="30" s="51" customFormat="true" ht="18.75" hidden="false" customHeight="false" outlineLevel="0" collapsed="false">
      <c r="A30" s="86" t="s">
        <v>557</v>
      </c>
      <c r="B30" s="432" t="n">
        <v>905159</v>
      </c>
      <c r="C30" s="70" t="s">
        <v>562</v>
      </c>
      <c r="D30" s="382" t="s">
        <v>426</v>
      </c>
      <c r="E30" s="395" t="n">
        <v>20421457</v>
      </c>
      <c r="F30" s="282"/>
      <c r="G30" s="29"/>
      <c r="H30" s="222" t="n">
        <v>1331.17</v>
      </c>
      <c r="I30" s="222" t="n">
        <f aca="false">800*0.05+531.17*0.065</f>
        <v>74.52605</v>
      </c>
      <c r="J30" s="130" t="n">
        <f aca="false">I30</f>
        <v>74.52605</v>
      </c>
      <c r="K30" s="51" t="s">
        <v>190</v>
      </c>
    </row>
    <row r="31" s="51" customFormat="true" ht="18.75" hidden="false" customHeight="false" outlineLevel="0" collapsed="false">
      <c r="A31" s="86" t="s">
        <v>557</v>
      </c>
      <c r="B31" s="432" t="n">
        <v>964206</v>
      </c>
      <c r="C31" s="70" t="s">
        <v>476</v>
      </c>
      <c r="D31" s="382" t="s">
        <v>437</v>
      </c>
      <c r="E31" s="395" t="n">
        <v>830479</v>
      </c>
      <c r="F31" s="282"/>
      <c r="G31" s="29" t="n">
        <v>2032</v>
      </c>
      <c r="H31" s="132" t="n">
        <v>3192</v>
      </c>
      <c r="I31" s="222" t="n">
        <f aca="false">(H31*14*0.02)*0.5</f>
        <v>446.88</v>
      </c>
      <c r="J31" s="130" t="n">
        <f aca="false">I31</f>
        <v>446.88</v>
      </c>
      <c r="K31" s="51" t="s">
        <v>170</v>
      </c>
    </row>
    <row r="32" s="51" customFormat="true" ht="18.75" hidden="false" customHeight="false" outlineLevel="0" collapsed="false">
      <c r="A32" s="86" t="s">
        <v>557</v>
      </c>
      <c r="B32" s="432" t="n">
        <v>982792</v>
      </c>
      <c r="C32" s="70" t="s">
        <v>563</v>
      </c>
      <c r="D32" s="382" t="s">
        <v>437</v>
      </c>
      <c r="E32" s="383" t="n">
        <v>830586</v>
      </c>
      <c r="F32" s="282"/>
      <c r="G32" s="24" t="n">
        <v>2033</v>
      </c>
      <c r="H32" s="132" t="n">
        <v>3192</v>
      </c>
      <c r="I32" s="222" t="n">
        <f aca="false">(H32*15*0.02)*0.5</f>
        <v>478.8</v>
      </c>
      <c r="J32" s="130" t="n">
        <f aca="false">I32</f>
        <v>478.8</v>
      </c>
    </row>
    <row r="33" s="51" customFormat="true" ht="18.75" hidden="false" customHeight="false" outlineLevel="0" collapsed="false">
      <c r="A33" s="86" t="s">
        <v>557</v>
      </c>
      <c r="B33" s="432" t="n">
        <v>979486</v>
      </c>
      <c r="C33" s="70" t="s">
        <v>35</v>
      </c>
      <c r="D33" s="382" t="s">
        <v>429</v>
      </c>
      <c r="E33" s="395" t="n">
        <v>20423606</v>
      </c>
      <c r="F33" s="282"/>
      <c r="G33" s="29"/>
      <c r="H33" s="132" t="n">
        <v>157.67</v>
      </c>
      <c r="I33" s="222" t="n">
        <f aca="false">H33*0.08</f>
        <v>12.6136</v>
      </c>
      <c r="J33" s="130" t="n">
        <f aca="false">I33</f>
        <v>12.6136</v>
      </c>
    </row>
    <row r="34" s="51" customFormat="true" ht="18.75" hidden="false" customHeight="false" outlineLevel="0" collapsed="false">
      <c r="A34" s="86" t="s">
        <v>557</v>
      </c>
      <c r="B34" s="432" t="n">
        <v>979486</v>
      </c>
      <c r="C34" s="70" t="s">
        <v>35</v>
      </c>
      <c r="D34" s="382" t="s">
        <v>426</v>
      </c>
      <c r="E34" s="395" t="n">
        <v>20424590</v>
      </c>
      <c r="F34" s="282"/>
      <c r="G34" s="29"/>
      <c r="H34" s="132" t="n">
        <v>1723.64</v>
      </c>
      <c r="I34" s="222" t="n">
        <f aca="false">800*0.05+923.64*0.065</f>
        <v>100.0366</v>
      </c>
      <c r="J34" s="130" t="n">
        <f aca="false">I34</f>
        <v>100.0366</v>
      </c>
    </row>
    <row r="35" s="51" customFormat="true" ht="18.75" hidden="false" customHeight="false" outlineLevel="0" collapsed="false">
      <c r="A35" s="86" t="s">
        <v>557</v>
      </c>
      <c r="B35" s="432" t="n">
        <v>982848</v>
      </c>
      <c r="C35" s="70" t="s">
        <v>564</v>
      </c>
      <c r="D35" s="382" t="s">
        <v>426</v>
      </c>
      <c r="E35" s="395" t="n">
        <v>20424036</v>
      </c>
      <c r="F35" s="282"/>
      <c r="G35" s="29"/>
      <c r="H35" s="132" t="n">
        <v>1598.55</v>
      </c>
      <c r="I35" s="222" t="n">
        <f aca="false">800*0.05+798.55*0.065</f>
        <v>91.90575</v>
      </c>
      <c r="J35" s="130" t="n">
        <f aca="false">I35</f>
        <v>91.90575</v>
      </c>
    </row>
    <row r="36" s="51" customFormat="true" ht="18.75" hidden="false" customHeight="false" outlineLevel="0" collapsed="false">
      <c r="A36" s="86" t="s">
        <v>557</v>
      </c>
      <c r="B36" s="432" t="n">
        <v>983501</v>
      </c>
      <c r="C36" s="70" t="s">
        <v>565</v>
      </c>
      <c r="D36" s="382" t="s">
        <v>296</v>
      </c>
      <c r="E36" s="395" t="n">
        <v>61028039</v>
      </c>
      <c r="F36" s="282"/>
      <c r="G36" s="29"/>
      <c r="H36" s="132" t="n">
        <v>145.08</v>
      </c>
      <c r="I36" s="130" t="n">
        <f aca="false">(H36/12*3.5)*0.5</f>
        <v>21.1575</v>
      </c>
      <c r="J36" s="130" t="n">
        <f aca="false">I36</f>
        <v>21.1575</v>
      </c>
    </row>
    <row r="37" s="51" customFormat="true" ht="18.75" hidden="false" customHeight="false" outlineLevel="0" collapsed="false">
      <c r="A37" s="86" t="s">
        <v>557</v>
      </c>
      <c r="B37" s="432" t="n">
        <v>983501</v>
      </c>
      <c r="C37" s="70" t="s">
        <v>565</v>
      </c>
      <c r="D37" s="382" t="s">
        <v>442</v>
      </c>
      <c r="E37" s="395" t="n">
        <v>832208</v>
      </c>
      <c r="F37" s="282"/>
      <c r="G37" s="29"/>
      <c r="H37" s="132" t="n">
        <v>981</v>
      </c>
      <c r="I37" s="75" t="n">
        <f aca="false">(H37*0.075)*0.5</f>
        <v>36.7875</v>
      </c>
      <c r="J37" s="130" t="n">
        <f aca="false">I37</f>
        <v>36.7875</v>
      </c>
    </row>
    <row r="38" s="51" customFormat="true" ht="18.75" hidden="false" customHeight="false" outlineLevel="0" collapsed="false">
      <c r="A38" s="86" t="s">
        <v>557</v>
      </c>
      <c r="B38" s="432" t="n">
        <v>411055</v>
      </c>
      <c r="C38" s="70" t="s">
        <v>233</v>
      </c>
      <c r="D38" s="382" t="s">
        <v>426</v>
      </c>
      <c r="E38" s="395" t="n">
        <v>20425006</v>
      </c>
      <c r="F38" s="282"/>
      <c r="G38" s="29"/>
      <c r="H38" s="132" t="n">
        <v>2050.88</v>
      </c>
      <c r="I38" s="222" t="n">
        <f aca="false">800*0.05+1250.88*0.065</f>
        <v>121.3072</v>
      </c>
      <c r="J38" s="130" t="n">
        <f aca="false">I38</f>
        <v>121.3072</v>
      </c>
    </row>
    <row r="39" s="51" customFormat="true" ht="18.75" hidden="false" customHeight="false" outlineLevel="0" collapsed="false">
      <c r="A39" s="86" t="s">
        <v>557</v>
      </c>
      <c r="B39" s="432" t="n">
        <v>983074</v>
      </c>
      <c r="C39" s="70" t="s">
        <v>566</v>
      </c>
      <c r="D39" s="382" t="s">
        <v>426</v>
      </c>
      <c r="E39" s="395" t="n">
        <v>20424358</v>
      </c>
      <c r="F39" s="282"/>
      <c r="G39" s="29"/>
      <c r="H39" s="132" t="n">
        <v>1190.71</v>
      </c>
      <c r="I39" s="222" t="n">
        <f aca="false">800*0.05+390.71*0.065</f>
        <v>65.39615</v>
      </c>
      <c r="J39" s="130" t="n">
        <f aca="false">I39</f>
        <v>65.39615</v>
      </c>
    </row>
    <row r="40" s="51" customFormat="true" ht="18.75" hidden="false" customHeight="false" outlineLevel="0" collapsed="false">
      <c r="A40" s="86" t="s">
        <v>557</v>
      </c>
      <c r="B40" s="432" t="n">
        <v>259955</v>
      </c>
      <c r="C40" s="70" t="s">
        <v>526</v>
      </c>
      <c r="D40" s="382" t="s">
        <v>296</v>
      </c>
      <c r="E40" s="395" t="n">
        <v>61026528</v>
      </c>
      <c r="F40" s="282"/>
      <c r="G40" s="29"/>
      <c r="H40" s="132" t="n">
        <v>145.08</v>
      </c>
      <c r="I40" s="130" t="n">
        <f aca="false">(H40/12*3.5)*0.5</f>
        <v>21.1575</v>
      </c>
      <c r="J40" s="130" t="n">
        <f aca="false">I40</f>
        <v>21.1575</v>
      </c>
    </row>
    <row r="41" s="51" customFormat="true" ht="18.75" hidden="false" customHeight="false" outlineLevel="0" collapsed="false">
      <c r="A41" s="86" t="s">
        <v>557</v>
      </c>
      <c r="B41" s="432" t="n">
        <v>244454</v>
      </c>
      <c r="C41" s="70" t="s">
        <v>567</v>
      </c>
      <c r="D41" s="382" t="s">
        <v>430</v>
      </c>
      <c r="E41" s="395" t="n">
        <v>10793224</v>
      </c>
      <c r="F41" s="282"/>
      <c r="G41" s="29"/>
      <c r="H41" s="132" t="n">
        <v>177.11</v>
      </c>
      <c r="I41" s="222" t="n">
        <f aca="false">H41*0.08</f>
        <v>14.1688</v>
      </c>
      <c r="J41" s="130" t="n">
        <f aca="false">I41</f>
        <v>14.1688</v>
      </c>
    </row>
    <row r="42" s="51" customFormat="true" ht="18.75" hidden="false" customHeight="false" outlineLevel="0" collapsed="false">
      <c r="A42" s="69"/>
      <c r="B42" s="69"/>
      <c r="C42" s="70"/>
      <c r="D42" s="382"/>
      <c r="E42" s="395"/>
      <c r="F42" s="282"/>
      <c r="G42" s="29"/>
      <c r="H42" s="132"/>
      <c r="I42" s="222"/>
      <c r="J42" s="130" t="n">
        <f aca="false">I42</f>
        <v>0</v>
      </c>
    </row>
    <row r="43" customFormat="false" ht="19.5" hidden="false" customHeight="false" outlineLevel="0" collapsed="false">
      <c r="A43" s="69"/>
      <c r="B43" s="69"/>
      <c r="C43" s="135" t="s">
        <v>236</v>
      </c>
      <c r="D43" s="391"/>
      <c r="E43" s="397"/>
      <c r="F43" s="393"/>
      <c r="G43" s="60"/>
      <c r="H43" s="150"/>
      <c r="I43" s="150"/>
      <c r="J43" s="115" t="n">
        <f aca="false">SUM(J24:J42)</f>
        <v>2915.41685833333</v>
      </c>
      <c r="K43" s="34" t="s">
        <v>194</v>
      </c>
    </row>
    <row r="44" customFormat="false" ht="18.75" hidden="false" customHeight="false" outlineLevel="0" collapsed="false">
      <c r="A44" s="141" t="s">
        <v>568</v>
      </c>
      <c r="B44" s="469" t="n">
        <v>985885</v>
      </c>
      <c r="C44" s="70" t="s">
        <v>569</v>
      </c>
      <c r="D44" s="468" t="s">
        <v>429</v>
      </c>
      <c r="E44" s="24" t="n">
        <v>20428375</v>
      </c>
      <c r="F44" s="282"/>
      <c r="G44" s="24"/>
      <c r="H44" s="132" t="n">
        <v>231.84</v>
      </c>
      <c r="I44" s="222" t="n">
        <f aca="false">H44*0.08</f>
        <v>18.5472</v>
      </c>
      <c r="J44" s="19" t="n">
        <f aca="false">I44</f>
        <v>18.5472</v>
      </c>
      <c r="K44" s="34"/>
    </row>
    <row r="45" s="51" customFormat="true" ht="18.75" hidden="false" customHeight="false" outlineLevel="0" collapsed="false">
      <c r="A45" s="86" t="s">
        <v>568</v>
      </c>
      <c r="B45" s="432" t="n">
        <v>421848</v>
      </c>
      <c r="C45" s="70" t="s">
        <v>48</v>
      </c>
      <c r="D45" s="382" t="s">
        <v>437</v>
      </c>
      <c r="E45" s="383" t="n">
        <v>833001</v>
      </c>
      <c r="F45" s="399"/>
      <c r="G45" s="24" t="n">
        <v>2041</v>
      </c>
      <c r="H45" s="132" t="n">
        <v>1440</v>
      </c>
      <c r="I45" s="222" t="n">
        <f aca="false">(H45*23*0.02)*0.5</f>
        <v>331.2</v>
      </c>
      <c r="J45" s="26" t="n">
        <f aca="false">I45</f>
        <v>331.2</v>
      </c>
      <c r="K45" s="34" t="s">
        <v>200</v>
      </c>
    </row>
    <row r="46" customFormat="false" ht="18.75" hidden="false" customHeight="false" outlineLevel="0" collapsed="false">
      <c r="A46" s="86" t="s">
        <v>568</v>
      </c>
      <c r="B46" s="432" t="n">
        <v>848696</v>
      </c>
      <c r="C46" s="70" t="s">
        <v>570</v>
      </c>
      <c r="D46" s="382" t="s">
        <v>296</v>
      </c>
      <c r="E46" s="395" t="n">
        <v>61028426</v>
      </c>
      <c r="F46" s="282"/>
      <c r="G46" s="29"/>
      <c r="H46" s="222" t="n">
        <v>1714.32</v>
      </c>
      <c r="I46" s="130" t="n">
        <f aca="false">(H46/12*3.5)*0.5</f>
        <v>250.005</v>
      </c>
      <c r="J46" s="45" t="n">
        <f aca="false">I46</f>
        <v>250.005</v>
      </c>
      <c r="K46" s="88" t="s">
        <v>202</v>
      </c>
    </row>
    <row r="47" customFormat="false" ht="18.75" hidden="false" customHeight="false" outlineLevel="0" collapsed="false">
      <c r="A47" s="86" t="s">
        <v>568</v>
      </c>
      <c r="B47" s="432" t="n">
        <v>848696</v>
      </c>
      <c r="C47" s="70" t="s">
        <v>571</v>
      </c>
      <c r="D47" s="382" t="s">
        <v>296</v>
      </c>
      <c r="E47" s="383" t="n">
        <v>61028425</v>
      </c>
      <c r="F47" s="282"/>
      <c r="G47" s="24"/>
      <c r="H47" s="132" t="n">
        <v>663.96</v>
      </c>
      <c r="I47" s="130" t="n">
        <f aca="false">(H47/12*3.5)*0.5</f>
        <v>96.8275</v>
      </c>
      <c r="J47" s="26" t="n">
        <f aca="false">I47</f>
        <v>96.8275</v>
      </c>
      <c r="K47" s="88" t="s">
        <v>205</v>
      </c>
    </row>
    <row r="48" s="34" customFormat="true" ht="18.75" hidden="false" customHeight="false" outlineLevel="0" collapsed="false">
      <c r="A48" s="86" t="s">
        <v>568</v>
      </c>
      <c r="B48" s="432" t="n">
        <v>303417</v>
      </c>
      <c r="C48" s="70" t="s">
        <v>572</v>
      </c>
      <c r="D48" s="382" t="s">
        <v>296</v>
      </c>
      <c r="E48" s="401" t="n">
        <v>61030807</v>
      </c>
      <c r="F48" s="282"/>
      <c r="G48" s="24"/>
      <c r="H48" s="132" t="n">
        <v>722.19</v>
      </c>
      <c r="I48" s="130" t="n">
        <f aca="false">(H48/12*3.5)*0.5</f>
        <v>105.319375</v>
      </c>
      <c r="J48" s="26" t="n">
        <f aca="false">I48</f>
        <v>105.319375</v>
      </c>
      <c r="K48" s="88"/>
    </row>
    <row r="49" s="34" customFormat="true" ht="18.75" hidden="false" customHeight="false" outlineLevel="0" collapsed="false">
      <c r="A49" s="86" t="s">
        <v>568</v>
      </c>
      <c r="B49" s="432" t="n">
        <v>690539</v>
      </c>
      <c r="C49" s="70" t="s">
        <v>573</v>
      </c>
      <c r="D49" s="382" t="s">
        <v>437</v>
      </c>
      <c r="E49" s="401" t="n">
        <v>612482</v>
      </c>
      <c r="F49" s="282"/>
      <c r="G49" s="24" t="n">
        <v>2028</v>
      </c>
      <c r="H49" s="402" t="n">
        <v>600</v>
      </c>
      <c r="I49" s="222" t="n">
        <f aca="false">(H49*10*0.02)*0.5</f>
        <v>60</v>
      </c>
      <c r="J49" s="31" t="n">
        <f aca="false">I49</f>
        <v>60</v>
      </c>
    </row>
    <row r="50" customFormat="false" ht="18.75" hidden="false" customHeight="false" outlineLevel="0" collapsed="false">
      <c r="A50" s="86" t="s">
        <v>568</v>
      </c>
      <c r="B50" s="432" t="n">
        <v>690541</v>
      </c>
      <c r="C50" s="70" t="s">
        <v>574</v>
      </c>
      <c r="D50" s="382" t="s">
        <v>437</v>
      </c>
      <c r="E50" s="383" t="n">
        <v>832343</v>
      </c>
      <c r="F50" s="282"/>
      <c r="G50" s="24" t="n">
        <v>2029</v>
      </c>
      <c r="H50" s="132" t="n">
        <v>600</v>
      </c>
      <c r="I50" s="222" t="n">
        <f aca="false">(H50*11*0.02)*0.5</f>
        <v>66</v>
      </c>
      <c r="J50" s="26" t="n">
        <f aca="false">I50</f>
        <v>66</v>
      </c>
      <c r="K50" s="34" t="s">
        <v>210</v>
      </c>
    </row>
    <row r="51" s="46" customFormat="true" ht="18.75" hidden="false" customHeight="false" outlineLevel="0" collapsed="false">
      <c r="A51" s="86" t="s">
        <v>568</v>
      </c>
      <c r="B51" s="432" t="n">
        <v>987828</v>
      </c>
      <c r="C51" s="99" t="s">
        <v>575</v>
      </c>
      <c r="D51" s="382" t="s">
        <v>426</v>
      </c>
      <c r="E51" s="395" t="n">
        <v>20430265</v>
      </c>
      <c r="F51" s="282"/>
      <c r="G51" s="42"/>
      <c r="H51" s="222" t="n">
        <v>1042.55</v>
      </c>
      <c r="I51" s="222" t="n">
        <f aca="false">800*0.05+242.55*0.065</f>
        <v>55.76575</v>
      </c>
      <c r="J51" s="404" t="n">
        <f aca="false">I51</f>
        <v>55.76575</v>
      </c>
      <c r="K51" s="51" t="s">
        <v>213</v>
      </c>
    </row>
    <row r="52" s="46" customFormat="true" ht="18.75" hidden="false" customHeight="false" outlineLevel="0" collapsed="false">
      <c r="A52" s="86" t="s">
        <v>568</v>
      </c>
      <c r="B52" s="432" t="n">
        <v>789065</v>
      </c>
      <c r="C52" s="99" t="s">
        <v>363</v>
      </c>
      <c r="D52" s="382" t="s">
        <v>426</v>
      </c>
      <c r="E52" s="395" t="n">
        <v>20430600</v>
      </c>
      <c r="F52" s="282"/>
      <c r="G52" s="42"/>
      <c r="H52" s="222" t="n">
        <v>899.92</v>
      </c>
      <c r="I52" s="222" t="n">
        <f aca="false">800*0.05+99.92*0.065</f>
        <v>46.4948</v>
      </c>
      <c r="J52" s="404" t="n">
        <f aca="false">I52</f>
        <v>46.4948</v>
      </c>
      <c r="K52" s="51"/>
    </row>
    <row r="53" s="51" customFormat="true" ht="18.75" hidden="false" customHeight="false" outlineLevel="0" collapsed="false">
      <c r="A53" s="86" t="s">
        <v>568</v>
      </c>
      <c r="B53" s="432" t="n">
        <v>606245</v>
      </c>
      <c r="C53" s="90" t="s">
        <v>576</v>
      </c>
      <c r="D53" s="382" t="s">
        <v>430</v>
      </c>
      <c r="E53" s="395" t="n">
        <v>20370530</v>
      </c>
      <c r="F53" s="282"/>
      <c r="G53" s="29"/>
      <c r="H53" s="222" t="n">
        <v>273.93</v>
      </c>
      <c r="I53" s="222" t="n">
        <f aca="false">H53*0.08</f>
        <v>21.9144</v>
      </c>
      <c r="J53" s="45" t="n">
        <f aca="false">I53</f>
        <v>21.9144</v>
      </c>
      <c r="K53" s="34" t="s">
        <v>214</v>
      </c>
      <c r="L53" s="46"/>
    </row>
    <row r="54" customFormat="false" ht="18.75" hidden="false" customHeight="false" outlineLevel="0" collapsed="false">
      <c r="A54" s="86" t="s">
        <v>568</v>
      </c>
      <c r="B54" s="432" t="n">
        <v>723984</v>
      </c>
      <c r="C54" s="90" t="s">
        <v>577</v>
      </c>
      <c r="D54" s="382" t="s">
        <v>437</v>
      </c>
      <c r="E54" s="395" t="n">
        <v>833790</v>
      </c>
      <c r="F54" s="282"/>
      <c r="G54" s="29" t="n">
        <v>2049</v>
      </c>
      <c r="H54" s="222" t="n">
        <v>600</v>
      </c>
      <c r="I54" s="222" t="n">
        <f aca="false">(H54*31*0.02)*0.5</f>
        <v>186</v>
      </c>
      <c r="J54" s="45" t="n">
        <f aca="false">I54</f>
        <v>186</v>
      </c>
      <c r="K54" s="34" t="s">
        <v>216</v>
      </c>
    </row>
    <row r="55" customFormat="false" ht="18.75" hidden="false" customHeight="false" outlineLevel="0" collapsed="false">
      <c r="A55" s="86" t="s">
        <v>568</v>
      </c>
      <c r="B55" s="432" t="n">
        <v>770045</v>
      </c>
      <c r="C55" s="99" t="s">
        <v>578</v>
      </c>
      <c r="D55" s="382" t="s">
        <v>426</v>
      </c>
      <c r="E55" s="395" t="n">
        <v>20431613</v>
      </c>
      <c r="F55" s="282"/>
      <c r="G55" s="29"/>
      <c r="H55" s="222" t="n">
        <v>160</v>
      </c>
      <c r="I55" s="222" t="n">
        <f aca="false">160*0.05</f>
        <v>8</v>
      </c>
      <c r="J55" s="45" t="n">
        <f aca="false">I55</f>
        <v>8</v>
      </c>
      <c r="K55" s="34"/>
    </row>
    <row r="56" customFormat="false" ht="18.75" hidden="false" customHeight="false" outlineLevel="0" collapsed="false">
      <c r="A56" s="86" t="s">
        <v>568</v>
      </c>
      <c r="B56" s="432" t="n">
        <v>437578</v>
      </c>
      <c r="C56" s="99" t="s">
        <v>579</v>
      </c>
      <c r="D56" s="382" t="s">
        <v>429</v>
      </c>
      <c r="E56" s="395" t="n">
        <v>20431794</v>
      </c>
      <c r="F56" s="282"/>
      <c r="G56" s="29"/>
      <c r="H56" s="222" t="n">
        <v>68.52</v>
      </c>
      <c r="I56" s="222" t="n">
        <f aca="false">H56*0.08</f>
        <v>5.4816</v>
      </c>
      <c r="J56" s="45" t="n">
        <f aca="false">I56</f>
        <v>5.4816</v>
      </c>
      <c r="K56" s="34"/>
    </row>
    <row r="57" customFormat="false" ht="18.75" hidden="false" customHeight="false" outlineLevel="0" collapsed="false">
      <c r="A57" s="69"/>
      <c r="B57" s="69"/>
      <c r="C57" s="99"/>
      <c r="D57" s="382"/>
      <c r="E57" s="395"/>
      <c r="F57" s="282"/>
      <c r="G57" s="29"/>
      <c r="H57" s="222"/>
      <c r="I57" s="222"/>
      <c r="J57" s="45"/>
      <c r="K57" s="34"/>
    </row>
    <row r="58" customFormat="false" ht="18.75" hidden="false" customHeight="false" outlineLevel="0" collapsed="false">
      <c r="A58" s="69"/>
      <c r="B58" s="69"/>
      <c r="C58" s="99"/>
      <c r="D58" s="382"/>
      <c r="E58" s="395"/>
      <c r="F58" s="282"/>
      <c r="G58" s="29"/>
      <c r="H58" s="222"/>
      <c r="I58" s="222"/>
      <c r="J58" s="45"/>
      <c r="K58" s="34"/>
    </row>
    <row r="59" customFormat="false" ht="18.75" hidden="false" customHeight="false" outlineLevel="0" collapsed="false">
      <c r="A59" s="69"/>
      <c r="B59" s="69"/>
      <c r="C59" s="99"/>
      <c r="D59" s="382"/>
      <c r="E59" s="395"/>
      <c r="F59" s="282"/>
      <c r="G59" s="29"/>
      <c r="H59" s="222"/>
      <c r="I59" s="222"/>
      <c r="J59" s="45"/>
      <c r="K59" s="34"/>
    </row>
    <row r="60" customFormat="false" ht="18.75" hidden="false" customHeight="false" outlineLevel="0" collapsed="false">
      <c r="A60" s="69"/>
      <c r="B60" s="69"/>
      <c r="C60" s="99"/>
      <c r="D60" s="382"/>
      <c r="E60" s="395"/>
      <c r="F60" s="282"/>
      <c r="G60" s="29"/>
      <c r="H60" s="222"/>
      <c r="I60" s="222"/>
      <c r="J60" s="45"/>
      <c r="K60" s="34"/>
    </row>
    <row r="61" customFormat="false" ht="18.75" hidden="false" customHeight="false" outlineLevel="0" collapsed="false">
      <c r="A61" s="69"/>
      <c r="B61" s="69"/>
      <c r="C61" s="99"/>
      <c r="D61" s="382"/>
      <c r="E61" s="395"/>
      <c r="F61" s="282"/>
      <c r="G61" s="29"/>
      <c r="H61" s="222"/>
      <c r="I61" s="222"/>
      <c r="J61" s="45"/>
      <c r="K61" s="34"/>
    </row>
    <row r="62" customFormat="false" ht="18.75" hidden="false" customHeight="false" outlineLevel="0" collapsed="false">
      <c r="A62" s="69"/>
      <c r="B62" s="69"/>
      <c r="C62" s="99"/>
      <c r="D62" s="382"/>
      <c r="E62" s="395"/>
      <c r="F62" s="282"/>
      <c r="G62" s="29"/>
      <c r="H62" s="222"/>
      <c r="I62" s="222"/>
      <c r="J62" s="45"/>
      <c r="K62" s="34"/>
    </row>
    <row r="63" customFormat="false" ht="18.75" hidden="false" customHeight="false" outlineLevel="0" collapsed="false">
      <c r="A63" s="69"/>
      <c r="B63" s="69"/>
      <c r="C63" s="99"/>
      <c r="D63" s="382"/>
      <c r="E63" s="395"/>
      <c r="F63" s="282"/>
      <c r="G63" s="29"/>
      <c r="H63" s="222"/>
      <c r="I63" s="222"/>
      <c r="J63" s="45"/>
      <c r="K63" s="34"/>
    </row>
    <row r="64" customFormat="false" ht="18.75" hidden="false" customHeight="false" outlineLevel="0" collapsed="false">
      <c r="A64" s="69"/>
      <c r="B64" s="69"/>
      <c r="C64" s="99"/>
      <c r="D64" s="382"/>
      <c r="E64" s="395"/>
      <c r="F64" s="282"/>
      <c r="G64" s="29"/>
      <c r="H64" s="222"/>
      <c r="I64" s="222"/>
      <c r="J64" s="45"/>
      <c r="K64" s="34"/>
    </row>
    <row r="65" customFormat="false" ht="18.75" hidden="false" customHeight="false" outlineLevel="0" collapsed="false">
      <c r="A65" s="69"/>
      <c r="B65" s="69"/>
      <c r="C65" s="99"/>
      <c r="D65" s="382"/>
      <c r="E65" s="395"/>
      <c r="F65" s="282"/>
      <c r="G65" s="29"/>
      <c r="H65" s="222"/>
      <c r="I65" s="222"/>
      <c r="J65" s="45"/>
      <c r="K65" s="34"/>
    </row>
    <row r="66" customFormat="false" ht="19.5" hidden="false" customHeight="false" outlineLevel="0" collapsed="false">
      <c r="A66" s="105"/>
      <c r="B66" s="148"/>
      <c r="C66" s="160" t="s">
        <v>236</v>
      </c>
      <c r="D66" s="391"/>
      <c r="E66" s="407"/>
      <c r="F66" s="393"/>
      <c r="G66" s="161"/>
      <c r="H66" s="408"/>
      <c r="I66" s="408"/>
      <c r="J66" s="164" t="n">
        <f aca="false">SUM(J44:J65)</f>
        <v>1251.555625</v>
      </c>
      <c r="K66" s="34"/>
    </row>
    <row r="67" customFormat="false" ht="19.5" hidden="false" customHeight="false" outlineLevel="0" collapsed="false">
      <c r="A67" s="195"/>
      <c r="B67" s="195"/>
      <c r="C67" s="470"/>
      <c r="D67" s="471"/>
      <c r="E67" s="192"/>
      <c r="F67" s="472"/>
      <c r="G67" s="473"/>
      <c r="H67" s="474"/>
      <c r="I67" s="474"/>
      <c r="J67" s="475"/>
      <c r="K67" s="34"/>
    </row>
    <row r="68" customFormat="false" ht="19.5" hidden="false" customHeight="false" outlineLevel="0" collapsed="false">
      <c r="A68" s="110"/>
      <c r="B68" s="230"/>
      <c r="C68" s="171" t="s">
        <v>285</v>
      </c>
      <c r="D68" s="415"/>
      <c r="E68" s="416"/>
      <c r="F68" s="417"/>
      <c r="G68" s="107"/>
      <c r="H68" s="418"/>
      <c r="I68" s="419"/>
      <c r="J68" s="108" t="n">
        <f aca="false">SUM(J23,J43,J66)</f>
        <v>6003.78518333333</v>
      </c>
      <c r="K68" s="34"/>
    </row>
    <row r="69" customFormat="false" ht="18.75" hidden="false" customHeight="false" outlineLevel="0" collapsed="false">
      <c r="A69" s="110"/>
      <c r="B69" s="110"/>
      <c r="C69" s="111"/>
      <c r="D69" s="420"/>
      <c r="E69" s="421"/>
      <c r="F69" s="422"/>
      <c r="G69" s="112"/>
      <c r="H69" s="423"/>
      <c r="I69" s="380"/>
      <c r="J69" s="96"/>
      <c r="K69" s="34"/>
    </row>
    <row r="70" customFormat="false" ht="18.75" hidden="false" customHeight="false" outlineLevel="0" collapsed="false">
      <c r="A70" s="110"/>
      <c r="B70" s="110"/>
      <c r="C70" s="111" t="s">
        <v>220</v>
      </c>
      <c r="D70" s="420"/>
      <c r="E70" s="421"/>
      <c r="F70" s="422"/>
      <c r="G70" s="112"/>
      <c r="H70" s="423"/>
      <c r="I70" s="380"/>
      <c r="J70" s="96" t="n">
        <f aca="false">J7</f>
        <v>7943.05</v>
      </c>
      <c r="K70" s="34"/>
    </row>
    <row r="71" customFormat="false" ht="18.75" hidden="false" customHeight="false" outlineLevel="0" collapsed="false">
      <c r="A71" s="110"/>
      <c r="B71" s="110"/>
      <c r="C71" s="111" t="s">
        <v>221</v>
      </c>
      <c r="D71" s="420"/>
      <c r="E71" s="421"/>
      <c r="F71" s="422"/>
      <c r="G71" s="112"/>
      <c r="H71" s="423"/>
      <c r="I71" s="380"/>
      <c r="J71" s="96" t="n">
        <f aca="false">SUM(J68:J70)</f>
        <v>13946.8351833333</v>
      </c>
      <c r="K71" s="34"/>
    </row>
    <row r="72" s="116" customFormat="true" ht="19.5" hidden="false" customHeight="false" outlineLevel="0" collapsed="false">
      <c r="A72" s="110"/>
      <c r="B72" s="110"/>
      <c r="C72" s="114" t="s">
        <v>222</v>
      </c>
      <c r="D72" s="391"/>
      <c r="E72" s="397"/>
      <c r="F72" s="393"/>
      <c r="G72" s="60"/>
      <c r="H72" s="424"/>
      <c r="I72" s="461"/>
      <c r="J72" s="26" t="n">
        <f aca="false">J71/3</f>
        <v>4648.94506111111</v>
      </c>
    </row>
    <row r="73" s="120" customFormat="true" ht="18.75" hidden="false" customHeight="false" outlineLevel="0" collapsed="false">
      <c r="A73" s="110"/>
      <c r="B73" s="110"/>
      <c r="C73" s="117"/>
      <c r="D73" s="426"/>
      <c r="E73" s="427"/>
      <c r="F73" s="428"/>
      <c r="G73" s="80"/>
      <c r="H73" s="233"/>
      <c r="I73" s="179"/>
      <c r="J73" s="119"/>
    </row>
  </sheetData>
  <dataValidations count="3">
    <dataValidation allowBlank="true" operator="between" prompt="Liste choix" showDropDown="false" showErrorMessage="true" showInputMessage="true" sqref="D10:D27 D29:D56" type="list">
      <formula1>"MOBILE2016,MOBILE Regio,REEBOU Family,REEBOUImmo,REEBOU Pack,REEBOU Pro,REEBOU Invest,LOGGIA,MEDICIS,RC,RC ENSEIGNANT,ZENITH60 Op100,ZENITH60 Op25,HORIZONT60Invest,HORIZONT60Protect,HORIZONT60Capi,HELIOS100Protect,HELIOS100Invest,FOCUS,NOVA,BSH"</formula1>
      <formula2>0</formula2>
    </dataValidation>
    <dataValidation allowBlank="true" operator="between" prompt="Liste choix" showDropDown="false" showErrorMessage="true" showInputMessage="true" sqref="D57:D66" type="list">
      <formula1>"MOBILE2016,MOBILE Regio,REEBOU Family,REEBOUImmo,REEBOU Pack,REEBOU Pro,REEBOU Invest,LOGGIA,MEDICIS,RC,RC ENSEIGNT,ZENITH60 Op100,ZENITH60 Op25,HORIZONT60Inv,HORIZONT60Prot,HORIZONT60Capi,HELIOS100Prot,HELIOS100Inv,FOCUS,NOVA,BSH,EA,TSRD"</formula1>
      <formula2>0</formula2>
    </dataValidation>
    <dataValidation allowBlank="true" operator="between" prompt="Liste choix" showDropDown="false" showErrorMessage="true" showInputMessage="true" sqref="D28" type="list">
      <formula1>"MOBILE2016,MOBILE Regio,REEBOU Family,REEBOUImmo,REEBOU Pack,REEBOU Pro,REEBOU Invest,LOGGIA,MEDICIS,RC,RC ENSEIGNANT,ZENITH60 Op100,ZENITH60 Op25,HORIZONT60Invest,HORIZONT60Protect,HORIZONT60Capi,HELIOS100Protect,HELIOS100Invest,FOCUS,NOVA,BSH,MOBILE CR"</formula1>
      <formula2>0</formula2>
    </dataValidation>
  </dataValidations>
  <printOptions headings="false" gridLines="true" gridLinesSet="true" horizontalCentered="true" verticalCentered="true"/>
  <pageMargins left="0.236111111111111" right="0.236111111111111" top="0.158333333333333" bottom="0.196527777777778" header="0.315277777777778" footer="0.118055555555556"/>
  <pageSetup paperSize="9" scale="8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1erTRIMESTRE 2018</oddHeader>
    <oddFooter>&amp;L&amp;8&amp;Z&amp;F&amp;C&amp;7&amp;P/&amp;N&amp;RModfié le &amp;D </oddFooter>
  </headerFooter>
  <rowBreaks count="2" manualBreakCount="2">
    <brk id="23" man="true" max="16383" min="0"/>
    <brk id="43" man="true" max="16383" min="0"/>
  </rowBreaks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9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0" activeCellId="1" sqref="A2:A7 A30"/>
    </sheetView>
  </sheetViews>
  <sheetFormatPr defaultRowHeight="18.75" zeroHeight="false" outlineLevelRow="0" outlineLevelCol="0"/>
  <cols>
    <col collapsed="false" customWidth="false" hidden="false" outlineLevel="0" max="1" min="1" style="62" width="11.42"/>
    <col collapsed="false" customWidth="true" hidden="false" outlineLevel="0" max="2" min="2" style="62" width="17.42"/>
    <col collapsed="false" customWidth="true" hidden="false" outlineLevel="0" max="3" min="3" style="2" width="27.99"/>
    <col collapsed="false" customWidth="true" hidden="false" outlineLevel="0" max="4" min="4" style="362" width="21.71"/>
    <col collapsed="false" customWidth="true" hidden="false" outlineLevel="0" max="5" min="5" style="363" width="24.71"/>
    <col collapsed="false" customWidth="true" hidden="false" outlineLevel="0" max="6" min="6" style="181" width="3.71"/>
    <col collapsed="false" customWidth="true" hidden="false" outlineLevel="0" max="7" min="7" style="3" width="10.58"/>
    <col collapsed="false" customWidth="true" hidden="false" outlineLevel="0" max="8" min="8" style="122" width="13.29"/>
    <col collapsed="false" customWidth="true" hidden="false" outlineLevel="0" max="9" min="9" style="122" width="14.35"/>
    <col collapsed="false" customWidth="true" hidden="false" outlineLevel="0" max="10" min="10" style="5" width="12.42"/>
    <col collapsed="false" customWidth="true" hidden="true" outlineLevel="0" max="11" min="11" style="0" width="34.29"/>
    <col collapsed="false" customWidth="true" hidden="true" outlineLevel="0" max="12" min="12" style="0" width="11.57"/>
    <col collapsed="false" customWidth="true" hidden="false" outlineLevel="0" max="1025" min="13" style="0" width="10.67"/>
  </cols>
  <sheetData>
    <row r="1" customFormat="false" ht="18.75" hidden="false" customHeight="false" outlineLevel="0" collapsed="false">
      <c r="A1" s="62" t="n">
        <v>2018</v>
      </c>
      <c r="C1" s="2" t="s">
        <v>539</v>
      </c>
      <c r="H1" s="122" t="s">
        <v>540</v>
      </c>
      <c r="J1" s="464" t="n">
        <f aca="false">2398.3*3</f>
        <v>7194.9</v>
      </c>
      <c r="K1" s="12"/>
    </row>
    <row r="2" customFormat="false" ht="18.75" hidden="false" customHeight="false" outlineLevel="0" collapsed="false">
      <c r="C2" s="465" t="s">
        <v>541</v>
      </c>
      <c r="J2" s="464"/>
      <c r="K2" s="12"/>
    </row>
    <row r="3" customFormat="false" ht="18.75" hidden="false" customHeight="false" outlineLevel="0" collapsed="false">
      <c r="C3" s="2" t="s">
        <v>542</v>
      </c>
      <c r="G3" s="1" t="s">
        <v>580</v>
      </c>
      <c r="H3" s="466" t="s">
        <v>581</v>
      </c>
      <c r="J3" s="10" t="n">
        <f aca="false">20*11.51</f>
        <v>230.2</v>
      </c>
      <c r="K3" s="12"/>
    </row>
    <row r="4" customFormat="false" ht="18.75" hidden="false" customHeight="false" outlineLevel="0" collapsed="false">
      <c r="C4" s="2" t="s">
        <v>125</v>
      </c>
      <c r="G4" s="1" t="s">
        <v>580</v>
      </c>
      <c r="H4" s="466" t="s">
        <v>581</v>
      </c>
      <c r="J4" s="10" t="n">
        <f aca="false">37*11.51</f>
        <v>425.87</v>
      </c>
      <c r="K4" s="12"/>
    </row>
    <row r="5" customFormat="false" ht="18.75" hidden="false" customHeight="false" outlineLevel="0" collapsed="false">
      <c r="C5" s="2" t="s">
        <v>547</v>
      </c>
      <c r="G5" s="1" t="s">
        <v>582</v>
      </c>
      <c r="H5" s="466" t="s">
        <v>581</v>
      </c>
      <c r="J5" s="10" t="n">
        <f aca="false">8*11.51</f>
        <v>92.08</v>
      </c>
      <c r="K5" s="12"/>
    </row>
    <row r="6" customFormat="false" ht="18.75" hidden="false" customHeight="false" outlineLevel="0" collapsed="false">
      <c r="D6" s="1"/>
      <c r="H6" s="466"/>
      <c r="I6" s="125"/>
      <c r="J6" s="10"/>
      <c r="K6" s="12"/>
    </row>
    <row r="7" customFormat="false" ht="18.75" hidden="false" customHeight="false" outlineLevel="0" collapsed="false">
      <c r="C7" s="2" t="s">
        <v>131</v>
      </c>
      <c r="G7" s="1"/>
      <c r="H7" s="466"/>
      <c r="I7" s="125"/>
      <c r="J7" s="63" t="n">
        <f aca="false">SUM(J1:J6)</f>
        <v>7943.05</v>
      </c>
      <c r="K7" s="12"/>
    </row>
    <row r="8" customFormat="false" ht="19.5" hidden="false" customHeight="false" outlineLevel="0" collapsed="false">
      <c r="K8" s="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84" t="s">
        <v>15</v>
      </c>
      <c r="I9" s="128" t="s">
        <v>16</v>
      </c>
      <c r="J9" s="19" t="s">
        <v>17</v>
      </c>
    </row>
    <row r="10" customFormat="false" ht="18.75" hidden="true" customHeight="false" outlineLevel="0" collapsed="false">
      <c r="A10" s="73"/>
      <c r="B10" s="73" t="s">
        <v>424</v>
      </c>
      <c r="C10" s="375" t="s">
        <v>425</v>
      </c>
      <c r="D10" s="376" t="s">
        <v>426</v>
      </c>
      <c r="E10" s="377" t="s">
        <v>427</v>
      </c>
      <c r="F10" s="378"/>
      <c r="G10" s="24"/>
      <c r="H10" s="132" t="n">
        <v>100</v>
      </c>
      <c r="I10" s="132"/>
      <c r="J10" s="379" t="n">
        <f aca="false">I10</f>
        <v>0</v>
      </c>
    </row>
    <row r="11" customFormat="false" ht="18.75" hidden="true" customHeight="false" outlineLevel="0" collapsed="false">
      <c r="A11" s="73"/>
      <c r="B11" s="73" t="s">
        <v>424</v>
      </c>
      <c r="C11" s="375" t="s">
        <v>425</v>
      </c>
      <c r="D11" s="376" t="s">
        <v>428</v>
      </c>
      <c r="E11" s="377" t="s">
        <v>427</v>
      </c>
      <c r="F11" s="378"/>
      <c r="G11" s="24"/>
      <c r="H11" s="132" t="n">
        <v>100</v>
      </c>
      <c r="I11" s="132"/>
      <c r="J11" s="379" t="n">
        <f aca="false">I11</f>
        <v>0</v>
      </c>
    </row>
    <row r="12" customFormat="false" ht="18.75" hidden="true" customHeight="false" outlineLevel="0" collapsed="false">
      <c r="A12" s="73"/>
      <c r="B12" s="73" t="s">
        <v>424</v>
      </c>
      <c r="C12" s="375" t="s">
        <v>425</v>
      </c>
      <c r="D12" s="376" t="s">
        <v>429</v>
      </c>
      <c r="E12" s="377" t="s">
        <v>427</v>
      </c>
      <c r="F12" s="378"/>
      <c r="G12" s="24"/>
      <c r="H12" s="132" t="n">
        <v>100</v>
      </c>
      <c r="I12" s="132" t="n">
        <f aca="false">H12*0.12</f>
        <v>12</v>
      </c>
      <c r="J12" s="379" t="n">
        <f aca="false">I12</f>
        <v>12</v>
      </c>
    </row>
    <row r="13" customFormat="false" ht="18.75" hidden="true" customHeight="false" outlineLevel="0" collapsed="false">
      <c r="A13" s="73"/>
      <c r="B13" s="73" t="s">
        <v>424</v>
      </c>
      <c r="C13" s="375" t="s">
        <v>424</v>
      </c>
      <c r="D13" s="376" t="s">
        <v>430</v>
      </c>
      <c r="E13" s="377" t="s">
        <v>427</v>
      </c>
      <c r="F13" s="378"/>
      <c r="G13" s="24"/>
      <c r="H13" s="132" t="n">
        <v>100</v>
      </c>
      <c r="I13" s="132" t="n">
        <f aca="false">H13*0.15</f>
        <v>15</v>
      </c>
      <c r="J13" s="379" t="n">
        <f aca="false">I13</f>
        <v>15</v>
      </c>
    </row>
    <row r="14" customFormat="false" ht="18.75" hidden="true" customHeight="false" outlineLevel="0" collapsed="false">
      <c r="A14" s="73"/>
      <c r="B14" s="73" t="s">
        <v>424</v>
      </c>
      <c r="C14" s="375" t="s">
        <v>424</v>
      </c>
      <c r="D14" s="376" t="s">
        <v>431</v>
      </c>
      <c r="E14" s="377" t="s">
        <v>427</v>
      </c>
      <c r="F14" s="378"/>
      <c r="G14" s="24"/>
      <c r="H14" s="132" t="n">
        <v>100</v>
      </c>
      <c r="I14" s="132" t="n">
        <f aca="false">H14*0.12</f>
        <v>12</v>
      </c>
      <c r="J14" s="379" t="n">
        <f aca="false">I14</f>
        <v>12</v>
      </c>
    </row>
    <row r="15" customFormat="false" ht="18.75" hidden="true" customHeight="false" outlineLevel="0" collapsed="false">
      <c r="A15" s="73"/>
      <c r="B15" s="73" t="s">
        <v>424</v>
      </c>
      <c r="C15" s="375" t="s">
        <v>424</v>
      </c>
      <c r="D15" s="376" t="s">
        <v>432</v>
      </c>
      <c r="E15" s="377" t="s">
        <v>427</v>
      </c>
      <c r="F15" s="378"/>
      <c r="G15" s="24"/>
      <c r="H15" s="132" t="n">
        <v>100</v>
      </c>
      <c r="I15" s="132" t="n">
        <f aca="false">H15*0.12</f>
        <v>12</v>
      </c>
      <c r="J15" s="379" t="n">
        <f aca="false">I15</f>
        <v>12</v>
      </c>
    </row>
    <row r="16" customFormat="false" ht="18.75" hidden="true" customHeight="false" outlineLevel="0" collapsed="false">
      <c r="A16" s="73"/>
      <c r="B16" s="73" t="s">
        <v>424</v>
      </c>
      <c r="C16" s="375" t="s">
        <v>424</v>
      </c>
      <c r="D16" s="376" t="s">
        <v>189</v>
      </c>
      <c r="E16" s="377" t="s">
        <v>427</v>
      </c>
      <c r="F16" s="378"/>
      <c r="G16" s="24"/>
      <c r="H16" s="132" t="n">
        <v>100</v>
      </c>
      <c r="I16" s="132" t="n">
        <f aca="false">H16*0.12</f>
        <v>12</v>
      </c>
      <c r="J16" s="379" t="n">
        <f aca="false">I16</f>
        <v>12</v>
      </c>
    </row>
    <row r="17" customFormat="false" ht="18.75" hidden="true" customHeight="false" outlineLevel="0" collapsed="false">
      <c r="A17" s="73"/>
      <c r="B17" s="73" t="s">
        <v>424</v>
      </c>
      <c r="C17" s="375" t="s">
        <v>424</v>
      </c>
      <c r="D17" s="376" t="s">
        <v>296</v>
      </c>
      <c r="E17" s="377" t="s">
        <v>427</v>
      </c>
      <c r="F17" s="378"/>
      <c r="G17" s="95"/>
      <c r="H17" s="132" t="n">
        <v>100</v>
      </c>
      <c r="I17" s="380" t="n">
        <f aca="false">((H17/12)*3.5)*0.6</f>
        <v>17.5</v>
      </c>
      <c r="J17" s="379" t="n">
        <f aca="false">I17</f>
        <v>17.5</v>
      </c>
    </row>
    <row r="18" customFormat="false" ht="18.75" hidden="true" customHeight="false" outlineLevel="0" collapsed="false">
      <c r="A18" s="73"/>
      <c r="B18" s="73" t="s">
        <v>424</v>
      </c>
      <c r="C18" s="375" t="s">
        <v>424</v>
      </c>
      <c r="D18" s="376" t="s">
        <v>433</v>
      </c>
      <c r="E18" s="377" t="s">
        <v>427</v>
      </c>
      <c r="F18" s="378"/>
      <c r="G18" s="95"/>
      <c r="H18" s="132" t="n">
        <v>100</v>
      </c>
      <c r="I18" s="132" t="n">
        <f aca="false">H18*0.12</f>
        <v>12</v>
      </c>
      <c r="J18" s="379" t="n">
        <f aca="false">I18</f>
        <v>12</v>
      </c>
    </row>
    <row r="19" customFormat="false" ht="18.75" hidden="true" customHeight="false" outlineLevel="0" collapsed="false">
      <c r="A19" s="73"/>
      <c r="B19" s="73" t="s">
        <v>424</v>
      </c>
      <c r="C19" s="375" t="s">
        <v>424</v>
      </c>
      <c r="D19" s="376" t="s">
        <v>434</v>
      </c>
      <c r="E19" s="377" t="s">
        <v>427</v>
      </c>
      <c r="F19" s="378"/>
      <c r="G19" s="95"/>
      <c r="H19" s="132" t="n">
        <v>100</v>
      </c>
      <c r="I19" s="132" t="n">
        <f aca="false">H19*0.12</f>
        <v>12</v>
      </c>
      <c r="J19" s="379" t="n">
        <f aca="false">I19</f>
        <v>12</v>
      </c>
    </row>
    <row r="20" customFormat="false" ht="18.75" hidden="true" customHeight="false" outlineLevel="0" collapsed="false">
      <c r="A20" s="73"/>
      <c r="B20" s="73" t="s">
        <v>424</v>
      </c>
      <c r="C20" s="375" t="s">
        <v>424</v>
      </c>
      <c r="D20" s="376" t="s">
        <v>435</v>
      </c>
      <c r="E20" s="377" t="s">
        <v>427</v>
      </c>
      <c r="F20" s="378"/>
      <c r="G20" s="95" t="n">
        <v>2050</v>
      </c>
      <c r="H20" s="381" t="n">
        <v>1000</v>
      </c>
      <c r="I20" s="380" t="e">
        <f aca="false">(H20*#REF!*0.027)*0.6</f>
        <v>#REF!</v>
      </c>
      <c r="J20" s="379" t="e">
        <f aca="false">I20</f>
        <v>#REF!</v>
      </c>
    </row>
    <row r="21" customFormat="false" ht="18.75" hidden="true" customHeight="false" outlineLevel="0" collapsed="false">
      <c r="A21" s="73"/>
      <c r="B21" s="73" t="s">
        <v>424</v>
      </c>
      <c r="C21" s="375" t="s">
        <v>424</v>
      </c>
      <c r="D21" s="376" t="s">
        <v>436</v>
      </c>
      <c r="E21" s="377" t="s">
        <v>427</v>
      </c>
      <c r="F21" s="378"/>
      <c r="G21" s="95" t="n">
        <v>2050</v>
      </c>
      <c r="H21" s="381" t="n">
        <v>1000</v>
      </c>
      <c r="I21" s="380" t="e">
        <f aca="false">(H21*#REF!*0.018)*0.6</f>
        <v>#REF!</v>
      </c>
      <c r="J21" s="379" t="e">
        <f aca="false">I21</f>
        <v>#REF!</v>
      </c>
    </row>
    <row r="22" customFormat="false" ht="18.75" hidden="true" customHeight="false" outlineLevel="0" collapsed="false">
      <c r="A22" s="73"/>
      <c r="B22" s="73" t="s">
        <v>424</v>
      </c>
      <c r="C22" s="375" t="s">
        <v>424</v>
      </c>
      <c r="D22" s="376" t="s">
        <v>437</v>
      </c>
      <c r="E22" s="377" t="s">
        <v>427</v>
      </c>
      <c r="F22" s="378"/>
      <c r="G22" s="95" t="n">
        <v>2050</v>
      </c>
      <c r="H22" s="381" t="n">
        <v>1000</v>
      </c>
      <c r="I22" s="380" t="e">
        <f aca="false">(H22*#REF!*0.02)*0.6</f>
        <v>#REF!</v>
      </c>
      <c r="J22" s="379" t="e">
        <f aca="false">I22</f>
        <v>#REF!</v>
      </c>
    </row>
    <row r="23" customFormat="false" ht="18.75" hidden="true" customHeight="false" outlineLevel="0" collapsed="false">
      <c r="A23" s="73"/>
      <c r="B23" s="73" t="s">
        <v>424</v>
      </c>
      <c r="C23" s="375" t="s">
        <v>424</v>
      </c>
      <c r="D23" s="376" t="s">
        <v>438</v>
      </c>
      <c r="E23" s="377" t="s">
        <v>427</v>
      </c>
      <c r="F23" s="378"/>
      <c r="G23" s="95" t="n">
        <v>2050</v>
      </c>
      <c r="H23" s="381" t="n">
        <v>1000</v>
      </c>
      <c r="I23" s="380" t="e">
        <f aca="false">(H23*#REF!*0.02)*0.6</f>
        <v>#REF!</v>
      </c>
      <c r="J23" s="379" t="e">
        <f aca="false">I23</f>
        <v>#REF!</v>
      </c>
    </row>
    <row r="24" customFormat="false" ht="18.75" hidden="true" customHeight="false" outlineLevel="0" collapsed="false">
      <c r="A24" s="73"/>
      <c r="B24" s="73" t="s">
        <v>424</v>
      </c>
      <c r="C24" s="375" t="s">
        <v>424</v>
      </c>
      <c r="D24" s="376" t="s">
        <v>439</v>
      </c>
      <c r="E24" s="377" t="s">
        <v>427</v>
      </c>
      <c r="F24" s="378"/>
      <c r="G24" s="95" t="n">
        <v>2050</v>
      </c>
      <c r="H24" s="381" t="n">
        <v>1000</v>
      </c>
      <c r="I24" s="380" t="e">
        <f aca="false">(H24*#REF!*0.02)*0.6</f>
        <v>#REF!</v>
      </c>
      <c r="J24" s="379" t="e">
        <f aca="false">I24</f>
        <v>#REF!</v>
      </c>
    </row>
    <row r="25" customFormat="false" ht="18.75" hidden="true" customHeight="false" outlineLevel="0" collapsed="false">
      <c r="A25" s="73"/>
      <c r="B25" s="73" t="s">
        <v>424</v>
      </c>
      <c r="C25" s="375" t="s">
        <v>424</v>
      </c>
      <c r="D25" s="376" t="s">
        <v>440</v>
      </c>
      <c r="E25" s="377" t="s">
        <v>427</v>
      </c>
      <c r="F25" s="378"/>
      <c r="G25" s="95" t="n">
        <v>2050</v>
      </c>
      <c r="H25" s="381" t="n">
        <v>1000</v>
      </c>
      <c r="I25" s="380" t="e">
        <f aca="false">(H25*#REF!*0.027)*0.6</f>
        <v>#REF!</v>
      </c>
      <c r="J25" s="379" t="e">
        <f aca="false">I25</f>
        <v>#REF!</v>
      </c>
    </row>
    <row r="26" customFormat="false" ht="18.75" hidden="true" customHeight="false" outlineLevel="0" collapsed="false">
      <c r="A26" s="73"/>
      <c r="B26" s="73" t="s">
        <v>424</v>
      </c>
      <c r="C26" s="375" t="s">
        <v>424</v>
      </c>
      <c r="D26" s="376" t="s">
        <v>441</v>
      </c>
      <c r="E26" s="377" t="s">
        <v>427</v>
      </c>
      <c r="F26" s="378"/>
      <c r="G26" s="95" t="n">
        <v>2050</v>
      </c>
      <c r="H26" s="381" t="n">
        <v>1000</v>
      </c>
      <c r="I26" s="380" t="e">
        <f aca="false">(H26*#REF!*0.026)*0.6</f>
        <v>#REF!</v>
      </c>
      <c r="J26" s="379" t="e">
        <f aca="false">I26</f>
        <v>#REF!</v>
      </c>
    </row>
    <row r="27" customFormat="false" ht="18.75" hidden="true" customHeight="false" outlineLevel="0" collapsed="false">
      <c r="A27" s="73"/>
      <c r="B27" s="73" t="s">
        <v>424</v>
      </c>
      <c r="C27" s="375" t="s">
        <v>424</v>
      </c>
      <c r="D27" s="376" t="s">
        <v>442</v>
      </c>
      <c r="E27" s="377" t="s">
        <v>427</v>
      </c>
      <c r="F27" s="378"/>
      <c r="G27" s="95"/>
      <c r="H27" s="381" t="n">
        <v>10000</v>
      </c>
      <c r="I27" s="380" t="n">
        <f aca="false">H27*0.075*0.6</f>
        <v>450</v>
      </c>
      <c r="J27" s="379" t="n">
        <f aca="false">I27</f>
        <v>450</v>
      </c>
    </row>
    <row r="28" customFormat="false" ht="18.75" hidden="true" customHeight="false" outlineLevel="0" collapsed="false">
      <c r="A28" s="73"/>
      <c r="B28" s="73" t="s">
        <v>424</v>
      </c>
      <c r="C28" s="375" t="s">
        <v>424</v>
      </c>
      <c r="D28" s="376" t="s">
        <v>374</v>
      </c>
      <c r="E28" s="377" t="s">
        <v>427</v>
      </c>
      <c r="F28" s="378"/>
      <c r="G28" s="95" t="n">
        <v>2050</v>
      </c>
      <c r="H28" s="381" t="n">
        <v>1000</v>
      </c>
      <c r="I28" s="380" t="e">
        <f aca="false">(H28*#REF!*0.025)*0.6</f>
        <v>#REF!</v>
      </c>
      <c r="J28" s="379" t="e">
        <f aca="false">I28</f>
        <v>#REF!</v>
      </c>
    </row>
    <row r="29" customFormat="false" ht="18.75" hidden="true" customHeight="false" outlineLevel="0" collapsed="false">
      <c r="A29" s="73"/>
      <c r="B29" s="73" t="s">
        <v>424</v>
      </c>
      <c r="C29" s="375" t="s">
        <v>424</v>
      </c>
      <c r="D29" s="376" t="s">
        <v>443</v>
      </c>
      <c r="E29" s="377" t="s">
        <v>427</v>
      </c>
      <c r="F29" s="378"/>
      <c r="G29" s="95"/>
      <c r="H29" s="381" t="n">
        <v>150000</v>
      </c>
      <c r="I29" s="132" t="n">
        <f aca="false">(H29*0.007)*0.6</f>
        <v>630</v>
      </c>
      <c r="J29" s="379" t="n">
        <f aca="false">I29</f>
        <v>630</v>
      </c>
    </row>
    <row r="30" customFormat="false" ht="18.75" hidden="false" customHeight="false" outlineLevel="0" collapsed="false">
      <c r="A30" s="69" t="s">
        <v>583</v>
      </c>
      <c r="B30" s="432" t="n">
        <v>891120</v>
      </c>
      <c r="C30" s="99" t="s">
        <v>584</v>
      </c>
      <c r="D30" s="382" t="s">
        <v>426</v>
      </c>
      <c r="E30" s="395" t="n">
        <v>20435800</v>
      </c>
      <c r="F30" s="282"/>
      <c r="G30" s="29"/>
      <c r="H30" s="222" t="n">
        <v>1456.48</v>
      </c>
      <c r="I30" s="222" t="n">
        <f aca="false">800*0.05+656.98*0.065</f>
        <v>82.7037</v>
      </c>
      <c r="J30" s="26"/>
      <c r="K30" s="0" t="s">
        <v>134</v>
      </c>
    </row>
    <row r="31" customFormat="false" ht="18" hidden="false" customHeight="true" outlineLevel="0" collapsed="false">
      <c r="A31" s="69" t="s">
        <v>583</v>
      </c>
      <c r="B31" s="432" t="n">
        <v>988611</v>
      </c>
      <c r="C31" s="70" t="s">
        <v>585</v>
      </c>
      <c r="D31" s="382" t="s">
        <v>426</v>
      </c>
      <c r="E31" s="383" t="n">
        <v>20432327</v>
      </c>
      <c r="F31" s="282"/>
      <c r="G31" s="24"/>
      <c r="H31" s="132" t="n">
        <v>2083.66</v>
      </c>
      <c r="I31" s="132" t="n">
        <f aca="false">800*0.05+1283.66*0.065</f>
        <v>123.4379</v>
      </c>
      <c r="J31" s="26"/>
      <c r="K31" s="0" t="s">
        <v>136</v>
      </c>
    </row>
    <row r="32" customFormat="false" ht="18" hidden="false" customHeight="true" outlineLevel="0" collapsed="false">
      <c r="A32" s="69" t="s">
        <v>583</v>
      </c>
      <c r="B32" s="432" t="n">
        <v>801165</v>
      </c>
      <c r="C32" s="70" t="s">
        <v>586</v>
      </c>
      <c r="D32" s="382" t="s">
        <v>437</v>
      </c>
      <c r="E32" s="383" t="n">
        <v>834778</v>
      </c>
      <c r="F32" s="282"/>
      <c r="G32" s="24" t="n">
        <v>2037</v>
      </c>
      <c r="H32" s="132" t="n">
        <v>3192</v>
      </c>
      <c r="I32" s="222" t="n">
        <f aca="false">(H32*(G32-A1)*0.02)*0.5</f>
        <v>606.48</v>
      </c>
      <c r="J32" s="26"/>
    </row>
    <row r="33" customFormat="false" ht="18" hidden="false" customHeight="true" outlineLevel="0" collapsed="false">
      <c r="A33" s="69" t="s">
        <v>583</v>
      </c>
      <c r="B33" s="432" t="n">
        <v>989575</v>
      </c>
      <c r="C33" s="70" t="s">
        <v>587</v>
      </c>
      <c r="D33" s="382" t="s">
        <v>374</v>
      </c>
      <c r="E33" s="383" t="n">
        <v>835512</v>
      </c>
      <c r="F33" s="282"/>
      <c r="G33" s="24" t="n">
        <v>2033</v>
      </c>
      <c r="H33" s="132" t="n">
        <v>600</v>
      </c>
      <c r="I33" s="222" t="n">
        <f aca="false">(H33*(G33-A1)*0.025)*0.5</f>
        <v>112.5</v>
      </c>
      <c r="J33" s="26"/>
    </row>
    <row r="34" customFormat="false" ht="18" hidden="false" customHeight="true" outlineLevel="0" collapsed="false">
      <c r="A34" s="69" t="s">
        <v>583</v>
      </c>
      <c r="B34" s="432" t="n">
        <v>989575</v>
      </c>
      <c r="C34" s="70" t="s">
        <v>587</v>
      </c>
      <c r="D34" s="382" t="s">
        <v>374</v>
      </c>
      <c r="E34" s="383" t="n">
        <v>836650</v>
      </c>
      <c r="F34" s="282"/>
      <c r="G34" s="24" t="n">
        <v>2034</v>
      </c>
      <c r="H34" s="132" t="n">
        <v>600</v>
      </c>
      <c r="I34" s="222" t="n">
        <f aca="false">(H34*(G34-A1)*0.025)*0.5</f>
        <v>120</v>
      </c>
      <c r="J34" s="26"/>
      <c r="K34" s="0" t="s">
        <v>139</v>
      </c>
    </row>
    <row r="35" customFormat="false" ht="18" hidden="false" customHeight="true" outlineLevel="0" collapsed="false">
      <c r="A35" s="69" t="s">
        <v>583</v>
      </c>
      <c r="B35" s="432" t="n">
        <v>427416</v>
      </c>
      <c r="C35" s="70" t="s">
        <v>588</v>
      </c>
      <c r="D35" s="382" t="s">
        <v>429</v>
      </c>
      <c r="E35" s="383" t="n">
        <v>20435316</v>
      </c>
      <c r="F35" s="282"/>
      <c r="G35" s="24"/>
      <c r="H35" s="132" t="n">
        <v>718.42</v>
      </c>
      <c r="I35" s="132" t="n">
        <f aca="false">H35*0.08</f>
        <v>57.4736</v>
      </c>
      <c r="J35" s="26"/>
    </row>
    <row r="36" customFormat="false" ht="18" hidden="false" customHeight="true" outlineLevel="0" collapsed="false">
      <c r="A36" s="69" t="s">
        <v>583</v>
      </c>
      <c r="B36" s="432"/>
      <c r="C36" s="70"/>
      <c r="D36" s="382" t="s">
        <v>20</v>
      </c>
      <c r="E36" s="383" t="s">
        <v>589</v>
      </c>
      <c r="F36" s="282"/>
      <c r="G36" s="24"/>
      <c r="H36" s="132" t="n">
        <v>40000</v>
      </c>
      <c r="I36" s="130"/>
      <c r="J36" s="26"/>
    </row>
    <row r="37" customFormat="false" ht="18" hidden="false" customHeight="true" outlineLevel="0" collapsed="false">
      <c r="A37" s="69" t="s">
        <v>583</v>
      </c>
      <c r="B37" s="432" t="n">
        <v>992259</v>
      </c>
      <c r="C37" s="70" t="s">
        <v>590</v>
      </c>
      <c r="D37" s="382" t="s">
        <v>429</v>
      </c>
      <c r="E37" s="383" t="n">
        <v>20436261</v>
      </c>
      <c r="F37" s="282"/>
      <c r="G37" s="24"/>
      <c r="H37" s="132" t="n">
        <v>250.53</v>
      </c>
      <c r="I37" s="132" t="n">
        <f aca="false">H37*0.08</f>
        <v>20.0424</v>
      </c>
      <c r="J37" s="26"/>
    </row>
    <row r="38" customFormat="false" ht="18" hidden="false" customHeight="true" outlineLevel="0" collapsed="false">
      <c r="A38" s="69" t="s">
        <v>583</v>
      </c>
      <c r="B38" s="432" t="n">
        <v>395414</v>
      </c>
      <c r="C38" s="70" t="s">
        <v>591</v>
      </c>
      <c r="D38" s="382" t="s">
        <v>442</v>
      </c>
      <c r="E38" s="433" t="n">
        <v>839991</v>
      </c>
      <c r="F38" s="434"/>
      <c r="G38" s="24"/>
      <c r="H38" s="132" t="n">
        <v>1173.92</v>
      </c>
      <c r="I38" s="71" t="n">
        <f aca="false">(H38*0.075)*0.5</f>
        <v>44.022</v>
      </c>
      <c r="J38" s="26"/>
    </row>
    <row r="39" customFormat="false" ht="18" hidden="false" customHeight="true" outlineLevel="0" collapsed="false">
      <c r="A39" s="69" t="s">
        <v>583</v>
      </c>
      <c r="B39" s="432" t="n">
        <v>991345</v>
      </c>
      <c r="C39" s="70" t="s">
        <v>592</v>
      </c>
      <c r="D39" s="382" t="s">
        <v>426</v>
      </c>
      <c r="E39" s="433" t="n">
        <v>20434932</v>
      </c>
      <c r="F39" s="282"/>
      <c r="G39" s="24"/>
      <c r="H39" s="132" t="n">
        <v>1154.74</v>
      </c>
      <c r="I39" s="132" t="n">
        <f aca="false">800*0.05+354.74*0.065</f>
        <v>63.0581</v>
      </c>
      <c r="J39" s="26"/>
    </row>
    <row r="40" customFormat="false" ht="18" hidden="false" customHeight="true" outlineLevel="0" collapsed="false">
      <c r="A40" s="69" t="s">
        <v>583</v>
      </c>
      <c r="B40" s="432" t="n">
        <v>809253</v>
      </c>
      <c r="C40" s="70" t="s">
        <v>593</v>
      </c>
      <c r="D40" s="382" t="s">
        <v>426</v>
      </c>
      <c r="E40" s="433" t="n">
        <v>20435211</v>
      </c>
      <c r="F40" s="282"/>
      <c r="G40" s="24"/>
      <c r="H40" s="132" t="n">
        <v>1353.45</v>
      </c>
      <c r="I40" s="132" t="n">
        <f aca="false">800*0.05+553.45*0.065</f>
        <v>75.97425</v>
      </c>
      <c r="J40" s="26"/>
      <c r="K40" s="0" t="s">
        <v>141</v>
      </c>
    </row>
    <row r="41" customFormat="false" ht="18" hidden="false" customHeight="true" outlineLevel="0" collapsed="false">
      <c r="A41" s="69" t="s">
        <v>583</v>
      </c>
      <c r="B41" s="432"/>
      <c r="C41" s="70" t="s">
        <v>594</v>
      </c>
      <c r="D41" s="382" t="s">
        <v>20</v>
      </c>
      <c r="E41" s="433" t="s">
        <v>595</v>
      </c>
      <c r="F41" s="282"/>
      <c r="G41" s="24"/>
      <c r="H41" s="132" t="n">
        <v>50000</v>
      </c>
      <c r="I41" s="132"/>
      <c r="J41" s="26"/>
    </row>
    <row r="42" customFormat="false" ht="18" hidden="false" customHeight="true" outlineLevel="0" collapsed="false">
      <c r="A42" s="69" t="s">
        <v>583</v>
      </c>
      <c r="B42" s="432" t="n">
        <v>990516</v>
      </c>
      <c r="C42" s="70" t="s">
        <v>596</v>
      </c>
      <c r="D42" s="382" t="s">
        <v>426</v>
      </c>
      <c r="E42" s="433" t="n">
        <v>20433919</v>
      </c>
      <c r="F42" s="282"/>
      <c r="G42" s="24"/>
      <c r="H42" s="132" t="n">
        <v>1259.59</v>
      </c>
      <c r="I42" s="132" t="n">
        <f aca="false">800*0.05+459.59*0.065</f>
        <v>69.87335</v>
      </c>
      <c r="J42" s="26"/>
    </row>
    <row r="43" s="34" customFormat="true" ht="18.75" hidden="false" customHeight="false" outlineLevel="0" collapsed="false">
      <c r="A43" s="69" t="s">
        <v>583</v>
      </c>
      <c r="B43" s="432" t="n">
        <v>273884</v>
      </c>
      <c r="C43" s="70" t="s">
        <v>597</v>
      </c>
      <c r="D43" s="382" t="s">
        <v>426</v>
      </c>
      <c r="E43" s="383" t="n">
        <v>20436759</v>
      </c>
      <c r="F43" s="282"/>
      <c r="G43" s="24"/>
      <c r="H43" s="132" t="n">
        <v>847.92</v>
      </c>
      <c r="I43" s="132" t="n">
        <f aca="false">800*0.05+47.92*0.065</f>
        <v>43.1148</v>
      </c>
      <c r="J43" s="26"/>
      <c r="K43" s="34" t="s">
        <v>175</v>
      </c>
    </row>
    <row r="44" s="51" customFormat="true" ht="19.5" hidden="false" customHeight="false" outlineLevel="0" collapsed="false">
      <c r="A44" s="69"/>
      <c r="B44" s="69"/>
      <c r="C44" s="70"/>
      <c r="D44" s="382"/>
      <c r="E44" s="383"/>
      <c r="F44" s="282"/>
      <c r="G44" s="24"/>
      <c r="H44" s="132"/>
      <c r="I44" s="130"/>
      <c r="J44" s="26"/>
    </row>
    <row r="45" s="51" customFormat="true" ht="19.5" hidden="false" customHeight="false" outlineLevel="0" collapsed="false">
      <c r="A45" s="390" t="s">
        <v>6</v>
      </c>
      <c r="B45" s="390" t="n">
        <v>2018</v>
      </c>
      <c r="C45" s="135" t="s">
        <v>454</v>
      </c>
      <c r="D45" s="391"/>
      <c r="E45" s="392"/>
      <c r="F45" s="393"/>
      <c r="G45" s="137"/>
      <c r="H45" s="467"/>
      <c r="I45" s="139"/>
      <c r="J45" s="140" t="n">
        <f aca="false">SUM(J44:J44)</f>
        <v>0</v>
      </c>
    </row>
    <row r="46" s="51" customFormat="true" ht="18.75" hidden="false" customHeight="false" outlineLevel="0" collapsed="false">
      <c r="A46" s="141" t="s">
        <v>557</v>
      </c>
      <c r="B46" s="443"/>
      <c r="C46" s="66"/>
      <c r="D46" s="468"/>
      <c r="E46" s="373"/>
      <c r="F46" s="374"/>
      <c r="G46" s="16"/>
      <c r="H46" s="185"/>
      <c r="I46" s="130"/>
      <c r="J46" s="130"/>
    </row>
    <row r="47" s="51" customFormat="true" ht="18.75" hidden="false" customHeight="false" outlineLevel="0" collapsed="false">
      <c r="A47" s="86" t="s">
        <v>557</v>
      </c>
      <c r="B47" s="432"/>
      <c r="C47" s="70"/>
      <c r="D47" s="382"/>
      <c r="E47" s="383"/>
      <c r="F47" s="282"/>
      <c r="G47" s="24"/>
      <c r="H47" s="132"/>
      <c r="I47" s="130"/>
      <c r="J47" s="130"/>
    </row>
    <row r="48" s="51" customFormat="true" ht="18.75" hidden="false" customHeight="false" outlineLevel="0" collapsed="false">
      <c r="A48" s="86" t="s">
        <v>557</v>
      </c>
      <c r="B48" s="469"/>
      <c r="C48" s="70"/>
      <c r="D48" s="382"/>
      <c r="E48" s="383"/>
      <c r="F48" s="282"/>
      <c r="G48" s="24"/>
      <c r="H48" s="132"/>
      <c r="I48" s="222"/>
      <c r="J48" s="130"/>
    </row>
    <row r="49" s="51" customFormat="true" ht="18.75" hidden="false" customHeight="false" outlineLevel="0" collapsed="false">
      <c r="A49" s="86" t="s">
        <v>557</v>
      </c>
      <c r="B49" s="432"/>
      <c r="C49" s="70"/>
      <c r="D49" s="382"/>
      <c r="E49" s="383"/>
      <c r="F49" s="282"/>
      <c r="G49" s="24"/>
      <c r="H49" s="132"/>
      <c r="I49" s="222"/>
      <c r="J49" s="130"/>
    </row>
    <row r="50" s="51" customFormat="true" ht="18.75" hidden="false" customHeight="false" outlineLevel="0" collapsed="false">
      <c r="A50" s="86" t="s">
        <v>557</v>
      </c>
      <c r="B50" s="432"/>
      <c r="C50" s="70"/>
      <c r="D50" s="382"/>
      <c r="E50" s="395"/>
      <c r="F50" s="282"/>
      <c r="G50" s="29"/>
      <c r="H50" s="222"/>
      <c r="I50" s="222"/>
      <c r="J50" s="130"/>
    </row>
    <row r="51" customFormat="false" ht="18.75" hidden="false" customHeight="false" outlineLevel="0" collapsed="false">
      <c r="A51" s="86" t="s">
        <v>557</v>
      </c>
      <c r="B51" s="432"/>
      <c r="C51" s="70"/>
      <c r="D51" s="382"/>
      <c r="E51" s="395"/>
      <c r="F51" s="282"/>
      <c r="G51" s="29"/>
      <c r="H51" s="222"/>
      <c r="I51" s="222"/>
      <c r="J51" s="130"/>
      <c r="K51" s="34" t="s">
        <v>194</v>
      </c>
    </row>
    <row r="52" customFormat="false" ht="18.75" hidden="false" customHeight="false" outlineLevel="0" collapsed="false">
      <c r="A52" s="86" t="s">
        <v>557</v>
      </c>
      <c r="B52" s="432"/>
      <c r="C52" s="70"/>
      <c r="D52" s="382"/>
      <c r="E52" s="395"/>
      <c r="F52" s="282"/>
      <c r="G52" s="29"/>
      <c r="H52" s="222"/>
      <c r="I52" s="222"/>
      <c r="J52" s="130"/>
      <c r="K52" s="34"/>
    </row>
    <row r="53" s="51" customFormat="true" ht="18.75" hidden="false" customHeight="false" outlineLevel="0" collapsed="false">
      <c r="A53" s="86" t="s">
        <v>557</v>
      </c>
      <c r="B53" s="432"/>
      <c r="C53" s="70"/>
      <c r="D53" s="382"/>
      <c r="E53" s="395"/>
      <c r="F53" s="282"/>
      <c r="G53" s="29"/>
      <c r="H53" s="132"/>
      <c r="I53" s="222"/>
      <c r="J53" s="130"/>
      <c r="K53" s="34" t="s">
        <v>200</v>
      </c>
    </row>
    <row r="54" customFormat="false" ht="18.75" hidden="false" customHeight="false" outlineLevel="0" collapsed="false">
      <c r="A54" s="86" t="s">
        <v>557</v>
      </c>
      <c r="B54" s="432"/>
      <c r="C54" s="70"/>
      <c r="D54" s="382"/>
      <c r="E54" s="383"/>
      <c r="F54" s="282"/>
      <c r="G54" s="24"/>
      <c r="H54" s="132"/>
      <c r="I54" s="222"/>
      <c r="J54" s="130"/>
      <c r="K54" s="88" t="s">
        <v>202</v>
      </c>
    </row>
    <row r="55" customFormat="false" ht="18.75" hidden="false" customHeight="false" outlineLevel="0" collapsed="false">
      <c r="A55" s="86" t="s">
        <v>557</v>
      </c>
      <c r="B55" s="432"/>
      <c r="C55" s="70"/>
      <c r="D55" s="382"/>
      <c r="E55" s="395"/>
      <c r="F55" s="282"/>
      <c r="G55" s="29"/>
      <c r="H55" s="132"/>
      <c r="I55" s="222"/>
      <c r="J55" s="130"/>
      <c r="K55" s="88" t="s">
        <v>205</v>
      </c>
    </row>
    <row r="56" s="34" customFormat="true" ht="18.75" hidden="false" customHeight="false" outlineLevel="0" collapsed="false">
      <c r="A56" s="86" t="s">
        <v>557</v>
      </c>
      <c r="B56" s="432"/>
      <c r="C56" s="70"/>
      <c r="D56" s="382"/>
      <c r="E56" s="395"/>
      <c r="F56" s="282"/>
      <c r="G56" s="29"/>
      <c r="H56" s="132"/>
      <c r="I56" s="222"/>
      <c r="J56" s="130"/>
      <c r="K56" s="88"/>
    </row>
    <row r="57" s="34" customFormat="true" ht="18.75" hidden="false" customHeight="false" outlineLevel="0" collapsed="false">
      <c r="A57" s="86" t="s">
        <v>557</v>
      </c>
      <c r="B57" s="432"/>
      <c r="C57" s="70"/>
      <c r="D57" s="382"/>
      <c r="E57" s="395"/>
      <c r="F57" s="282"/>
      <c r="G57" s="29"/>
      <c r="H57" s="132"/>
      <c r="I57" s="222"/>
      <c r="J57" s="130"/>
    </row>
    <row r="58" customFormat="false" ht="18.75" hidden="false" customHeight="false" outlineLevel="0" collapsed="false">
      <c r="A58" s="86" t="s">
        <v>557</v>
      </c>
      <c r="B58" s="432"/>
      <c r="C58" s="70"/>
      <c r="D58" s="382"/>
      <c r="E58" s="395"/>
      <c r="F58" s="282"/>
      <c r="G58" s="29"/>
      <c r="H58" s="132"/>
      <c r="I58" s="130"/>
      <c r="J58" s="130"/>
      <c r="K58" s="34" t="s">
        <v>210</v>
      </c>
    </row>
    <row r="59" s="46" customFormat="true" ht="18.75" hidden="false" customHeight="false" outlineLevel="0" collapsed="false">
      <c r="A59" s="86" t="s">
        <v>557</v>
      </c>
      <c r="B59" s="432"/>
      <c r="C59" s="70"/>
      <c r="D59" s="382"/>
      <c r="E59" s="395"/>
      <c r="F59" s="282"/>
      <c r="G59" s="29"/>
      <c r="H59" s="132"/>
      <c r="I59" s="75"/>
      <c r="J59" s="130"/>
      <c r="K59" s="51" t="s">
        <v>213</v>
      </c>
    </row>
    <row r="60" s="46" customFormat="true" ht="18.75" hidden="false" customHeight="false" outlineLevel="0" collapsed="false">
      <c r="A60" s="86" t="s">
        <v>557</v>
      </c>
      <c r="B60" s="432"/>
      <c r="C60" s="70"/>
      <c r="D60" s="382"/>
      <c r="E60" s="395"/>
      <c r="F60" s="282"/>
      <c r="G60" s="29"/>
      <c r="H60" s="132"/>
      <c r="I60" s="222"/>
      <c r="J60" s="130"/>
      <c r="K60" s="51"/>
    </row>
    <row r="61" s="51" customFormat="true" ht="18.75" hidden="false" customHeight="false" outlineLevel="0" collapsed="false">
      <c r="A61" s="86" t="s">
        <v>557</v>
      </c>
      <c r="B61" s="432"/>
      <c r="C61" s="70"/>
      <c r="D61" s="382"/>
      <c r="E61" s="395"/>
      <c r="F61" s="282"/>
      <c r="G61" s="29"/>
      <c r="H61" s="132"/>
      <c r="I61" s="222"/>
      <c r="J61" s="130"/>
      <c r="K61" s="34" t="s">
        <v>214</v>
      </c>
      <c r="L61" s="46"/>
    </row>
    <row r="62" customFormat="false" ht="18.75" hidden="false" customHeight="false" outlineLevel="0" collapsed="false">
      <c r="A62" s="86" t="s">
        <v>557</v>
      </c>
      <c r="B62" s="432"/>
      <c r="C62" s="70"/>
      <c r="D62" s="382"/>
      <c r="E62" s="395"/>
      <c r="F62" s="282"/>
      <c r="G62" s="29"/>
      <c r="H62" s="132"/>
      <c r="I62" s="130"/>
      <c r="J62" s="130"/>
      <c r="K62" s="34" t="s">
        <v>216</v>
      </c>
    </row>
    <row r="63" customFormat="false" ht="18.75" hidden="false" customHeight="false" outlineLevel="0" collapsed="false">
      <c r="A63" s="86" t="s">
        <v>557</v>
      </c>
      <c r="B63" s="432"/>
      <c r="C63" s="70"/>
      <c r="D63" s="382"/>
      <c r="E63" s="395"/>
      <c r="F63" s="282"/>
      <c r="G63" s="29"/>
      <c r="H63" s="132"/>
      <c r="I63" s="222"/>
      <c r="J63" s="130"/>
      <c r="K63" s="34"/>
    </row>
    <row r="64" customFormat="false" ht="18.75" hidden="false" customHeight="false" outlineLevel="0" collapsed="false">
      <c r="A64" s="69"/>
      <c r="B64" s="69"/>
      <c r="C64" s="70"/>
      <c r="D64" s="382"/>
      <c r="E64" s="395"/>
      <c r="F64" s="282"/>
      <c r="G64" s="29"/>
      <c r="H64" s="132"/>
      <c r="I64" s="222"/>
      <c r="J64" s="130"/>
      <c r="K64" s="34"/>
    </row>
    <row r="65" customFormat="false" ht="19.5" hidden="false" customHeight="false" outlineLevel="0" collapsed="false">
      <c r="A65" s="69"/>
      <c r="B65" s="69"/>
      <c r="C65" s="135" t="s">
        <v>236</v>
      </c>
      <c r="D65" s="391"/>
      <c r="E65" s="397"/>
      <c r="F65" s="393"/>
      <c r="G65" s="60"/>
      <c r="H65" s="150"/>
      <c r="I65" s="150"/>
      <c r="J65" s="115" t="n">
        <f aca="false">SUM(J46:J64)</f>
        <v>0</v>
      </c>
      <c r="K65" s="34"/>
    </row>
    <row r="66" customFormat="false" ht="18.75" hidden="false" customHeight="false" outlineLevel="0" collapsed="false">
      <c r="A66" s="141" t="s">
        <v>568</v>
      </c>
      <c r="B66" s="469"/>
      <c r="C66" s="70"/>
      <c r="D66" s="468"/>
      <c r="E66" s="24"/>
      <c r="F66" s="282"/>
      <c r="G66" s="24"/>
      <c r="H66" s="132"/>
      <c r="I66" s="222"/>
      <c r="J66" s="19"/>
      <c r="K66" s="34"/>
    </row>
    <row r="67" customFormat="false" ht="18.75" hidden="false" customHeight="false" outlineLevel="0" collapsed="false">
      <c r="A67" s="86" t="s">
        <v>568</v>
      </c>
      <c r="B67" s="432"/>
      <c r="C67" s="70"/>
      <c r="D67" s="382"/>
      <c r="E67" s="383"/>
      <c r="F67" s="399"/>
      <c r="G67" s="24"/>
      <c r="H67" s="132"/>
      <c r="I67" s="222"/>
      <c r="J67" s="26"/>
      <c r="K67" s="34"/>
    </row>
    <row r="68" customFormat="false" ht="18.75" hidden="false" customHeight="false" outlineLevel="0" collapsed="false">
      <c r="A68" s="86" t="s">
        <v>568</v>
      </c>
      <c r="B68" s="432"/>
      <c r="C68" s="70"/>
      <c r="D68" s="382"/>
      <c r="E68" s="395"/>
      <c r="F68" s="282"/>
      <c r="G68" s="29"/>
      <c r="H68" s="222"/>
      <c r="I68" s="130"/>
      <c r="J68" s="45"/>
      <c r="K68" s="34"/>
    </row>
    <row r="69" customFormat="false" ht="18.75" hidden="false" customHeight="false" outlineLevel="0" collapsed="false">
      <c r="A69" s="86" t="s">
        <v>568</v>
      </c>
      <c r="B69" s="432"/>
      <c r="C69" s="70"/>
      <c r="D69" s="382"/>
      <c r="E69" s="383"/>
      <c r="F69" s="282"/>
      <c r="G69" s="24"/>
      <c r="H69" s="132"/>
      <c r="I69" s="130"/>
      <c r="J69" s="26"/>
      <c r="K69" s="34"/>
    </row>
    <row r="70" customFormat="false" ht="18.75" hidden="false" customHeight="false" outlineLevel="0" collapsed="false">
      <c r="A70" s="86" t="s">
        <v>568</v>
      </c>
      <c r="B70" s="432"/>
      <c r="C70" s="70"/>
      <c r="D70" s="382"/>
      <c r="E70" s="401"/>
      <c r="F70" s="282"/>
      <c r="G70" s="24"/>
      <c r="H70" s="132"/>
      <c r="I70" s="130"/>
      <c r="J70" s="26"/>
      <c r="K70" s="34"/>
    </row>
    <row r="71" customFormat="false" ht="18.75" hidden="false" customHeight="false" outlineLevel="0" collapsed="false">
      <c r="A71" s="86" t="s">
        <v>568</v>
      </c>
      <c r="B71" s="432"/>
      <c r="C71" s="70"/>
      <c r="D71" s="382"/>
      <c r="E71" s="401"/>
      <c r="F71" s="282"/>
      <c r="G71" s="24"/>
      <c r="H71" s="402"/>
      <c r="I71" s="222"/>
      <c r="J71" s="31"/>
      <c r="K71" s="34"/>
    </row>
    <row r="72" customFormat="false" ht="18.75" hidden="false" customHeight="false" outlineLevel="0" collapsed="false">
      <c r="A72" s="86" t="s">
        <v>568</v>
      </c>
      <c r="B72" s="432"/>
      <c r="C72" s="70"/>
      <c r="D72" s="382"/>
      <c r="E72" s="383"/>
      <c r="F72" s="282"/>
      <c r="G72" s="24"/>
      <c r="H72" s="132"/>
      <c r="I72" s="222"/>
      <c r="J72" s="26"/>
      <c r="K72" s="34"/>
    </row>
    <row r="73" customFormat="false" ht="18.75" hidden="false" customHeight="false" outlineLevel="0" collapsed="false">
      <c r="A73" s="86" t="s">
        <v>568</v>
      </c>
      <c r="B73" s="432"/>
      <c r="C73" s="99"/>
      <c r="D73" s="382"/>
      <c r="E73" s="395"/>
      <c r="F73" s="282"/>
      <c r="G73" s="42"/>
      <c r="H73" s="222"/>
      <c r="I73" s="222"/>
      <c r="J73" s="404"/>
      <c r="K73" s="34"/>
    </row>
    <row r="74" customFormat="false" ht="18.75" hidden="false" customHeight="false" outlineLevel="0" collapsed="false">
      <c r="A74" s="86" t="s">
        <v>568</v>
      </c>
      <c r="B74" s="432"/>
      <c r="C74" s="99"/>
      <c r="D74" s="382"/>
      <c r="E74" s="395"/>
      <c r="F74" s="282"/>
      <c r="G74" s="42"/>
      <c r="H74" s="222"/>
      <c r="I74" s="222"/>
      <c r="J74" s="404"/>
      <c r="K74" s="34"/>
    </row>
    <row r="75" customFormat="false" ht="18.75" hidden="false" customHeight="false" outlineLevel="0" collapsed="false">
      <c r="A75" s="86" t="s">
        <v>568</v>
      </c>
      <c r="B75" s="432"/>
      <c r="C75" s="90"/>
      <c r="D75" s="382"/>
      <c r="E75" s="395"/>
      <c r="F75" s="282"/>
      <c r="G75" s="29"/>
      <c r="H75" s="222"/>
      <c r="I75" s="222"/>
      <c r="J75" s="45"/>
      <c r="K75" s="34"/>
    </row>
    <row r="76" customFormat="false" ht="18.75" hidden="false" customHeight="false" outlineLevel="0" collapsed="false">
      <c r="A76" s="86" t="s">
        <v>568</v>
      </c>
      <c r="B76" s="432"/>
      <c r="C76" s="90"/>
      <c r="D76" s="382"/>
      <c r="E76" s="395"/>
      <c r="F76" s="282"/>
      <c r="G76" s="29"/>
      <c r="H76" s="222"/>
      <c r="I76" s="222"/>
      <c r="J76" s="45"/>
      <c r="K76" s="34"/>
    </row>
    <row r="77" customFormat="false" ht="18.75" hidden="false" customHeight="false" outlineLevel="0" collapsed="false">
      <c r="A77" s="86" t="s">
        <v>568</v>
      </c>
      <c r="B77" s="432"/>
      <c r="C77" s="99"/>
      <c r="D77" s="382"/>
      <c r="E77" s="395"/>
      <c r="F77" s="282"/>
      <c r="G77" s="29"/>
      <c r="H77" s="222"/>
      <c r="I77" s="222"/>
      <c r="J77" s="45"/>
      <c r="K77" s="34"/>
    </row>
    <row r="78" customFormat="false" ht="18.75" hidden="false" customHeight="false" outlineLevel="0" collapsed="false">
      <c r="A78" s="86" t="s">
        <v>568</v>
      </c>
      <c r="B78" s="432"/>
      <c r="C78" s="99"/>
      <c r="D78" s="382"/>
      <c r="E78" s="395"/>
      <c r="F78" s="282"/>
      <c r="G78" s="29"/>
      <c r="H78" s="222"/>
      <c r="I78" s="222"/>
      <c r="J78" s="45"/>
      <c r="K78" s="34"/>
    </row>
    <row r="79" customFormat="false" ht="18.75" hidden="false" customHeight="false" outlineLevel="0" collapsed="false">
      <c r="A79" s="69"/>
      <c r="B79" s="69"/>
      <c r="C79" s="99"/>
      <c r="D79" s="382"/>
      <c r="E79" s="395"/>
      <c r="F79" s="282"/>
      <c r="G79" s="29"/>
      <c r="H79" s="222"/>
      <c r="I79" s="222"/>
      <c r="J79" s="45"/>
      <c r="K79" s="34"/>
    </row>
    <row r="80" s="116" customFormat="true" ht="18.75" hidden="false" customHeight="false" outlineLevel="0" collapsed="false">
      <c r="A80" s="69"/>
      <c r="B80" s="69"/>
      <c r="C80" s="99"/>
      <c r="D80" s="382"/>
      <c r="E80" s="395"/>
      <c r="F80" s="282"/>
      <c r="G80" s="29"/>
      <c r="H80" s="222"/>
      <c r="I80" s="222"/>
      <c r="J80" s="45"/>
    </row>
    <row r="81" s="120" customFormat="true" ht="18.75" hidden="false" customHeight="false" outlineLevel="0" collapsed="false">
      <c r="A81" s="69"/>
      <c r="B81" s="69"/>
      <c r="C81" s="99"/>
      <c r="D81" s="382"/>
      <c r="E81" s="395"/>
      <c r="F81" s="282"/>
      <c r="G81" s="29"/>
      <c r="H81" s="222"/>
      <c r="I81" s="222"/>
      <c r="J81" s="45"/>
    </row>
    <row r="82" s="120" customFormat="true" ht="18.75" hidden="false" customHeight="false" outlineLevel="0" collapsed="false">
      <c r="A82" s="69"/>
      <c r="B82" s="69"/>
      <c r="C82" s="99"/>
      <c r="D82" s="382"/>
      <c r="E82" s="395"/>
      <c r="F82" s="282"/>
      <c r="G82" s="29"/>
      <c r="H82" s="222"/>
      <c r="I82" s="222"/>
      <c r="J82" s="45"/>
    </row>
    <row r="83" s="120" customFormat="true" ht="18.75" hidden="false" customHeight="false" outlineLevel="0" collapsed="false">
      <c r="A83" s="69"/>
      <c r="B83" s="69"/>
      <c r="C83" s="99"/>
      <c r="D83" s="382"/>
      <c r="E83" s="395"/>
      <c r="F83" s="282"/>
      <c r="G83" s="29"/>
      <c r="H83" s="222"/>
      <c r="I83" s="222"/>
      <c r="J83" s="45"/>
    </row>
    <row r="84" s="120" customFormat="true" ht="18.75" hidden="false" customHeight="false" outlineLevel="0" collapsed="false">
      <c r="A84" s="69"/>
      <c r="B84" s="69"/>
      <c r="C84" s="99"/>
      <c r="D84" s="382"/>
      <c r="E84" s="395"/>
      <c r="F84" s="282"/>
      <c r="G84" s="29"/>
      <c r="H84" s="222"/>
      <c r="I84" s="222"/>
      <c r="J84" s="45"/>
    </row>
    <row r="85" customFormat="false" ht="18.75" hidden="false" customHeight="false" outlineLevel="0" collapsed="false">
      <c r="A85" s="69"/>
      <c r="B85" s="69"/>
      <c r="C85" s="99"/>
      <c r="D85" s="382"/>
      <c r="E85" s="395"/>
      <c r="F85" s="282"/>
      <c r="G85" s="29"/>
      <c r="H85" s="222"/>
      <c r="I85" s="222"/>
      <c r="J85" s="45"/>
    </row>
    <row r="86" customFormat="false" ht="18.75" hidden="false" customHeight="false" outlineLevel="0" collapsed="false">
      <c r="A86" s="69"/>
      <c r="B86" s="69"/>
      <c r="C86" s="99"/>
      <c r="D86" s="382"/>
      <c r="E86" s="395"/>
      <c r="F86" s="282"/>
      <c r="G86" s="29"/>
      <c r="H86" s="222"/>
      <c r="I86" s="222"/>
      <c r="J86" s="45"/>
    </row>
    <row r="87" customFormat="false" ht="18.75" hidden="false" customHeight="false" outlineLevel="0" collapsed="false">
      <c r="A87" s="69"/>
      <c r="B87" s="69"/>
      <c r="C87" s="99"/>
      <c r="D87" s="382"/>
      <c r="E87" s="395"/>
      <c r="F87" s="282"/>
      <c r="G87" s="29"/>
      <c r="H87" s="222"/>
      <c r="I87" s="222"/>
      <c r="J87" s="45"/>
    </row>
    <row r="88" customFormat="false" ht="19.5" hidden="false" customHeight="false" outlineLevel="0" collapsed="false">
      <c r="A88" s="105"/>
      <c r="B88" s="148"/>
      <c r="C88" s="160" t="s">
        <v>236</v>
      </c>
      <c r="D88" s="391"/>
      <c r="E88" s="407"/>
      <c r="F88" s="393"/>
      <c r="G88" s="161"/>
      <c r="H88" s="408"/>
      <c r="I88" s="408"/>
      <c r="J88" s="164" t="n">
        <f aca="false">SUM(J66:J87)</f>
        <v>0</v>
      </c>
    </row>
    <row r="89" customFormat="false" ht="19.5" hidden="false" customHeight="false" outlineLevel="0" collapsed="false">
      <c r="A89" s="195"/>
      <c r="B89" s="195"/>
      <c r="C89" s="470"/>
      <c r="D89" s="471"/>
      <c r="E89" s="192"/>
      <c r="F89" s="472"/>
      <c r="G89" s="473"/>
      <c r="H89" s="474"/>
      <c r="I89" s="474"/>
      <c r="J89" s="475"/>
    </row>
    <row r="90" customFormat="false" ht="19.5" hidden="false" customHeight="false" outlineLevel="0" collapsed="false">
      <c r="A90" s="110"/>
      <c r="B90" s="230"/>
      <c r="C90" s="171" t="s">
        <v>285</v>
      </c>
      <c r="D90" s="415"/>
      <c r="E90" s="416"/>
      <c r="F90" s="417"/>
      <c r="G90" s="107"/>
      <c r="H90" s="418"/>
      <c r="I90" s="419"/>
      <c r="J90" s="108" t="n">
        <f aca="false">SUM(J45,J65,J88)</f>
        <v>0</v>
      </c>
    </row>
    <row r="91" customFormat="false" ht="18.75" hidden="false" customHeight="false" outlineLevel="0" collapsed="false">
      <c r="A91" s="110"/>
      <c r="B91" s="110"/>
      <c r="C91" s="111"/>
      <c r="D91" s="420"/>
      <c r="E91" s="421"/>
      <c r="F91" s="422"/>
      <c r="G91" s="112"/>
      <c r="H91" s="423"/>
      <c r="I91" s="380"/>
      <c r="J91" s="96"/>
    </row>
    <row r="92" customFormat="false" ht="18.75" hidden="false" customHeight="false" outlineLevel="0" collapsed="false">
      <c r="A92" s="110"/>
      <c r="B92" s="110"/>
      <c r="C92" s="111" t="s">
        <v>220</v>
      </c>
      <c r="D92" s="420"/>
      <c r="E92" s="421"/>
      <c r="F92" s="422"/>
      <c r="G92" s="112"/>
      <c r="H92" s="423"/>
      <c r="I92" s="380"/>
      <c r="J92" s="96" t="n">
        <f aca="false">J7</f>
        <v>7943.05</v>
      </c>
    </row>
    <row r="93" customFormat="false" ht="18.75" hidden="false" customHeight="false" outlineLevel="0" collapsed="false">
      <c r="A93" s="110"/>
      <c r="B93" s="110"/>
      <c r="C93" s="111" t="s">
        <v>221</v>
      </c>
      <c r="D93" s="420"/>
      <c r="E93" s="421"/>
      <c r="F93" s="422"/>
      <c r="G93" s="112"/>
      <c r="H93" s="423"/>
      <c r="I93" s="380"/>
      <c r="J93" s="96" t="n">
        <f aca="false">SUM(J90:J92)</f>
        <v>7943.05</v>
      </c>
    </row>
    <row r="94" customFormat="false" ht="19.5" hidden="false" customHeight="false" outlineLevel="0" collapsed="false">
      <c r="A94" s="110"/>
      <c r="B94" s="110"/>
      <c r="C94" s="114" t="s">
        <v>222</v>
      </c>
      <c r="D94" s="391"/>
      <c r="E94" s="397"/>
      <c r="F94" s="393"/>
      <c r="G94" s="60"/>
      <c r="H94" s="424"/>
      <c r="I94" s="461"/>
      <c r="J94" s="26" t="n">
        <f aca="false">J93/3</f>
        <v>2647.68333333333</v>
      </c>
    </row>
    <row r="95" customFormat="false" ht="18.75" hidden="false" customHeight="false" outlineLevel="0" collapsed="false">
      <c r="A95" s="110"/>
      <c r="B95" s="110"/>
      <c r="C95" s="117"/>
      <c r="D95" s="426"/>
      <c r="E95" s="427"/>
      <c r="F95" s="428"/>
      <c r="G95" s="80"/>
      <c r="H95" s="233"/>
      <c r="I95" s="179"/>
      <c r="J95" s="119"/>
    </row>
  </sheetData>
  <dataValidations count="4">
    <dataValidation allowBlank="true" operator="between" prompt="Liste choix" showDropDown="false" showErrorMessage="true" showInputMessage="true" sqref="D50" type="list">
      <formula1>"MOBILE2016,MOBILE Regio,REEBOU Family,REEBOUImmo,REEBOU Pack,REEBOU Pro,REEBOU Invest,LOGGIA,MEDICIS,RC,RC ENSEIGNANT,ZENITH60 Op100,ZENITH60 Op25,HORIZONT60Invest,HORIZONT60Protect,HORIZONT60Capi,HELIOS100Protect,HELIOS100Invest,FOCUS,NOVA,BSH,MOBILE CR"</formula1>
      <formula2>0</formula2>
    </dataValidation>
    <dataValidation allowBlank="true" operator="between" prompt="Liste choix" showDropDown="false" showErrorMessage="true" showInputMessage="true" sqref="D79:D88" type="list">
      <formula1>"MOBILE2016,MOBILE Regio,REEBOU Family,REEBOUImmo,REEBOU Pack,REEBOU Pro,REEBOU Invest,LOGGIA,MEDICIS,RC,RC ENSEIGNT,ZENITH60 Op100,ZENITH60 Op25,HORIZONT60Inv,HORIZONT60Prot,HORIZONT60Capi,HELIOS100Prot,HELIOS100Inv,FOCUS,NOVA,BSH,EA,TSRD"</formula1>
      <formula2>0</formula2>
    </dataValidation>
    <dataValidation allowBlank="true" operator="between" prompt="Liste choix" showDropDown="false" showErrorMessage="true" showInputMessage="true" sqref="D30:D49 D51:D78" type="list">
      <formula1>"MOBILE2016,MOBILE Regio,REEBOU Family,REEBOUImmo,REEBOU Pack,REEBOU Pro,REEBOU Invest,LOGGIA,MEDICIS,RC,RC ENSEIGNANT,ZENITH60 Op100,ZENITH60 Op25,HORIZONT60Invest,HORIZONT60Protect,HORIZONT60Capi,HELIOS100Protect,HELIOS100Invest,FOCUS,NOVA,BSH"</formula1>
      <formula2>0</formula2>
    </dataValidation>
    <dataValidation allowBlank="true" operator="between" prompt="CHOIX PRODUIT" showDropDown="false" showErrorMessage="true" showInputMessage="true" sqref="D10:D29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</dataValidations>
  <printOptions headings="false" gridLines="true" gridLinesSet="true" horizontalCentered="true" verticalCentered="true"/>
  <pageMargins left="0.236111111111111" right="0.236111111111111" top="0.158333333333333" bottom="0.196527777777778" header="0.315277777777778" footer="0.118055555555556"/>
  <pageSetup paperSize="9" scale="8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
2ème Trimestre 2018</oddHeader>
    <oddFooter>&amp;L&amp;8&amp;Z&amp;F&amp;C&amp;7&amp;P/&amp;N&amp;RModfié le &amp;D </oddFooter>
  </headerFooter>
  <rowBreaks count="2" manualBreakCount="2">
    <brk id="45" man="true" max="16383" min="0"/>
    <brk id="65" man="true" max="16383" min="0"/>
  </rowBreaks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tabColor rgb="FF8064A2"/>
    <pageSetUpPr fitToPage="false"/>
  </sheetPr>
  <dimension ref="A1:K53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3" topLeftCell="A4" activePane="bottomLeft" state="frozen"/>
      <selection pane="topLeft" activeCell="A1" activeCellId="0" sqref="A1"/>
      <selection pane="bottomLeft" activeCell="K4" activeCellId="1" sqref="A2:A7 K4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11.86"/>
    <col collapsed="false" customWidth="true" hidden="false" outlineLevel="0" max="3" min="3" style="76" width="35.85"/>
    <col collapsed="false" customWidth="true" hidden="false" outlineLevel="0" max="4" min="4" style="76" width="22.01"/>
    <col collapsed="false" customWidth="true" hidden="false" outlineLevel="0" max="5" min="5" style="0" width="13.43"/>
    <col collapsed="false" customWidth="true" hidden="true" outlineLevel="0" max="6" min="6" style="476" width="11.71"/>
    <col collapsed="false" customWidth="true" hidden="false" outlineLevel="0" max="7" min="7" style="0" width="6.15"/>
    <col collapsed="false" customWidth="true" hidden="false" outlineLevel="0" max="8" min="8" style="477" width="14.28"/>
    <col collapsed="false" customWidth="true" hidden="false" outlineLevel="0" max="9" min="9" style="477" width="16.42"/>
    <col collapsed="false" customWidth="true" hidden="false" outlineLevel="0" max="10" min="10" style="429" width="16.57"/>
    <col collapsed="false" customWidth="true" hidden="false" outlineLevel="0" max="11" min="11" style="478" width="13.14"/>
    <col collapsed="false" customWidth="true" hidden="false" outlineLevel="0" max="1025" min="12" style="0" width="10.67"/>
  </cols>
  <sheetData>
    <row r="1" customFormat="false" ht="18.75" hidden="false" customHeight="false" outlineLevel="0" collapsed="false">
      <c r="A1" s="62"/>
      <c r="B1" s="62"/>
      <c r="C1" s="479" t="s">
        <v>598</v>
      </c>
      <c r="D1" s="382" t="s">
        <v>599</v>
      </c>
      <c r="E1" s="363"/>
      <c r="F1" s="181"/>
      <c r="G1" s="1"/>
      <c r="H1" s="125"/>
      <c r="I1" s="125"/>
    </row>
    <row r="2" customFormat="false" ht="19.5" hidden="false" customHeight="false" outlineLevel="0" collapsed="false">
      <c r="A2" s="62"/>
      <c r="B2" s="62"/>
      <c r="D2" s="362"/>
      <c r="E2" s="363"/>
      <c r="F2" s="181"/>
      <c r="G2" s="3"/>
      <c r="H2" s="121"/>
      <c r="I2" s="122"/>
      <c r="J2" s="431"/>
    </row>
    <row r="3" customFormat="false" ht="30" hidden="false" customHeight="false" outlineLevel="0" collapsed="false">
      <c r="A3" s="65" t="s">
        <v>422</v>
      </c>
      <c r="B3" s="65" t="s">
        <v>132</v>
      </c>
      <c r="C3" s="480" t="s">
        <v>11</v>
      </c>
      <c r="D3" s="398" t="s">
        <v>12</v>
      </c>
      <c r="E3" s="373" t="s">
        <v>423</v>
      </c>
      <c r="F3" s="374" t="s">
        <v>9</v>
      </c>
      <c r="G3" s="16" t="s">
        <v>14</v>
      </c>
      <c r="H3" s="184" t="s">
        <v>15</v>
      </c>
      <c r="I3" s="128" t="s">
        <v>16</v>
      </c>
      <c r="J3" s="184"/>
    </row>
    <row r="4" customFormat="false" ht="17.35" hidden="false" customHeight="false" outlineLevel="0" collapsed="false">
      <c r="A4" s="481" t="str">
        <f aca="false">'4eme trim 2017  '!A67</f>
        <v>11.2017</v>
      </c>
      <c r="B4" s="469" t="n">
        <f aca="false">'4eme trim 2017  '!B67</f>
        <v>973005</v>
      </c>
      <c r="C4" s="482"/>
      <c r="D4" s="468" t="str">
        <f aca="false">'4eme trim 2017  '!D67</f>
        <v>MOBILE2016</v>
      </c>
      <c r="E4" s="483"/>
      <c r="F4" s="378" t="n">
        <f aca="false">'4eme trim 2017  '!F67</f>
        <v>0</v>
      </c>
      <c r="G4" s="29" t="n">
        <f aca="false">'4eme trim 2017  '!G67</f>
        <v>0</v>
      </c>
      <c r="H4" s="222"/>
      <c r="I4" s="132" t="n">
        <f aca="false">'4eme trim 2017  '!I67</f>
        <v>70.2614</v>
      </c>
      <c r="J4" s="437"/>
      <c r="K4" s="478" t="n">
        <f aca="false">IF(AND(A4=F1!$A$1,D4=F1!$B$1),ROW(),"")</f>
        <v>4</v>
      </c>
    </row>
    <row r="5" customFormat="false" ht="17.35" hidden="false" customHeight="false" outlineLevel="0" collapsed="false">
      <c r="A5" s="481" t="str">
        <f aca="false">'4eme trim 2017  '!A80</f>
        <v>12.2017</v>
      </c>
      <c r="B5" s="469" t="n">
        <f aca="false">'4eme trim 2017  '!B80</f>
        <v>975116</v>
      </c>
      <c r="C5" s="482"/>
      <c r="D5" s="382" t="str">
        <f aca="false">'4eme trim 2017  '!D80</f>
        <v>FOCUS</v>
      </c>
      <c r="E5" s="483"/>
      <c r="F5" s="378" t="n">
        <f aca="false">'4eme trim 2017  '!F80</f>
        <v>0</v>
      </c>
      <c r="G5" s="29" t="n">
        <f aca="false">'4eme trim 2017  '!G80</f>
        <v>0</v>
      </c>
      <c r="H5" s="222"/>
      <c r="I5" s="222" t="n">
        <f aca="false">'4eme trim 2017  '!I80</f>
        <v>293.93055</v>
      </c>
      <c r="J5" s="437"/>
      <c r="K5" s="478" t="str">
        <f aca="false">IF(AND(A5=F1!$A$1,D5=F1!$B$1),ROW(),"")</f>
        <v/>
      </c>
    </row>
    <row r="6" customFormat="false" ht="13.8" hidden="false" customHeight="false" outlineLevel="0" collapsed="false">
      <c r="A6" s="484" t="str">
        <f aca="false">'2eme trim 2017 '!A71</f>
        <v>06.2017</v>
      </c>
      <c r="B6" s="485" t="n">
        <f aca="false">'2eme trim 2017 '!B71</f>
        <v>782329</v>
      </c>
      <c r="C6" s="486"/>
      <c r="D6" s="487" t="str">
        <f aca="false">'2eme trim 2017 '!D71</f>
        <v>HORIZONT 60 INVEST</v>
      </c>
      <c r="E6" s="95"/>
      <c r="F6" s="256" t="n">
        <f aca="false">'2eme trim 2017 '!F71</f>
        <v>0</v>
      </c>
      <c r="G6" s="24" t="n">
        <f aca="false">'2eme trim 2017 '!G71</f>
        <v>2040</v>
      </c>
      <c r="H6" s="132"/>
      <c r="I6" s="132" t="n">
        <f aca="false">'2eme trim 2017 '!I71</f>
        <v>469.2</v>
      </c>
      <c r="K6" s="478" t="str">
        <f aca="false">IF(AND(A6=F1!$A$1,D6=F1!$B$1),ROW(),"")</f>
        <v/>
      </c>
    </row>
    <row r="7" customFormat="false" ht="13.8" hidden="false" customHeight="false" outlineLevel="0" collapsed="false">
      <c r="A7" s="484" t="str">
        <f aca="false">'2eme trim 2017 '!A72</f>
        <v>06.2017</v>
      </c>
      <c r="B7" s="485" t="n">
        <f aca="false">'2eme trim 2017 '!B72</f>
        <v>782329</v>
      </c>
      <c r="C7" s="486"/>
      <c r="D7" s="488" t="str">
        <f aca="false">'2eme trim 2017 '!D72</f>
        <v>BSH</v>
      </c>
      <c r="E7" s="489"/>
      <c r="F7" s="256" t="n">
        <f aca="false">'2eme trim 2017 '!F72</f>
        <v>0</v>
      </c>
      <c r="G7" s="24" t="n">
        <f aca="false">'2eme trim 2017 '!G72</f>
        <v>0</v>
      </c>
      <c r="H7" s="132"/>
      <c r="I7" s="132" t="n">
        <f aca="false">'2eme trim 2017 '!I72</f>
        <v>189</v>
      </c>
      <c r="K7" s="478" t="str">
        <f aca="false">IF(AND(A7=F1!$A$1,D7=F1!$B$1),ROW(),"")</f>
        <v/>
      </c>
    </row>
    <row r="8" customFormat="false" ht="17.35" hidden="false" customHeight="false" outlineLevel="0" collapsed="false">
      <c r="A8" s="481" t="str">
        <f aca="false">'4ème trim 2016'!A36</f>
        <v>11.2016</v>
      </c>
      <c r="B8" s="469" t="n">
        <f aca="false">'4ème trim 2016'!B36</f>
        <v>455519</v>
      </c>
      <c r="C8" s="482"/>
      <c r="D8" s="382" t="str">
        <f aca="false">'4ème trim 2016'!D36</f>
        <v>MOBILE 2007</v>
      </c>
      <c r="E8" s="483"/>
      <c r="F8" s="378" t="n">
        <f aca="false">'4ème trim 2016'!F36</f>
        <v>0</v>
      </c>
      <c r="G8" s="29" t="n">
        <f aca="false">'4ème trim 2016'!G36</f>
        <v>0</v>
      </c>
      <c r="H8" s="222"/>
      <c r="I8" s="132" t="n">
        <f aca="false">'4ème trim 2016'!I36</f>
        <v>66.3288</v>
      </c>
      <c r="K8" s="478" t="str">
        <f aca="false">IF(AND(A8=F1!$A$1,D8=F1!$B$1),ROW(),"")</f>
        <v/>
      </c>
    </row>
    <row r="9" customFormat="false" ht="17.35" hidden="false" customHeight="false" outlineLevel="0" collapsed="false">
      <c r="A9" s="481" t="str">
        <f aca="false">'4ème trim 2016'!A37</f>
        <v>11.2016</v>
      </c>
      <c r="B9" s="469" t="n">
        <f aca="false">'4ème trim 2016'!B37</f>
        <v>455519</v>
      </c>
      <c r="C9" s="482"/>
      <c r="D9" s="382" t="str">
        <f aca="false">'4ème trim 2016'!D37</f>
        <v>REEBOU FAMILY</v>
      </c>
      <c r="E9" s="483"/>
      <c r="F9" s="378" t="n">
        <f aca="false">'4ème trim 2016'!F37</f>
        <v>0</v>
      </c>
      <c r="G9" s="29" t="n">
        <f aca="false">'4ème trim 2016'!G37</f>
        <v>0</v>
      </c>
      <c r="H9" s="222"/>
      <c r="I9" s="132" t="n">
        <f aca="false">'4ème trim 2016'!I37</f>
        <v>24.324</v>
      </c>
      <c r="K9" s="478" t="str">
        <f aca="false">IF(AND(A9=F1!$A$1,D9=F1!$B$1),ROW(),"")</f>
        <v/>
      </c>
    </row>
    <row r="10" customFormat="false" ht="17.35" hidden="false" customHeight="false" outlineLevel="0" collapsed="false">
      <c r="A10" s="490" t="str">
        <f aca="false">'4ème trim 2016'!A38</f>
        <v>11.2016</v>
      </c>
      <c r="B10" s="491" t="n">
        <f aca="false">'4ème trim 2016'!B38</f>
        <v>455519</v>
      </c>
      <c r="C10" s="492"/>
      <c r="D10" s="493" t="str">
        <f aca="false">'4ème trim 2016'!D38</f>
        <v>PACK REEBOU</v>
      </c>
      <c r="E10" s="494"/>
      <c r="F10" s="495" t="n">
        <f aca="false">'4ème trim 2016'!F38</f>
        <v>0</v>
      </c>
      <c r="G10" s="493" t="n">
        <f aca="false">'4ème trim 2016'!G38</f>
        <v>0</v>
      </c>
      <c r="H10" s="496"/>
      <c r="I10" s="208" t="n">
        <f aca="false">'4ème trim 2016'!I38</f>
        <v>16.7565</v>
      </c>
      <c r="K10" s="478" t="str">
        <f aca="false">IF(AND(A10=F1!$A$1,D10=F1!$B$1),ROW(),"")</f>
        <v/>
      </c>
    </row>
    <row r="11" customFormat="false" ht="13.8" hidden="false" customHeight="false" outlineLevel="0" collapsed="false">
      <c r="A11" s="481" t="str">
        <f aca="false">'1er trim 2017'!A27</f>
        <v>01.2017</v>
      </c>
      <c r="B11" s="469" t="n">
        <f aca="false">'1er trim 2017'!B27</f>
        <v>905099</v>
      </c>
      <c r="C11" s="482"/>
      <c r="D11" s="497" t="str">
        <f aca="false">'1er trim 2017'!D27</f>
        <v>REEBOU PACK</v>
      </c>
      <c r="E11" s="489"/>
      <c r="F11" s="256" t="n">
        <f aca="false">'1er trim 2017'!F27</f>
        <v>0</v>
      </c>
      <c r="G11" s="489" t="n">
        <f aca="false">'1er trim 2017'!G27</f>
        <v>0</v>
      </c>
      <c r="H11" s="146"/>
      <c r="I11" s="498" t="n">
        <f aca="false">'1er trim 2017'!I27</f>
        <v>16.7565</v>
      </c>
      <c r="K11" s="478" t="str">
        <f aca="false">IF(AND(A11=F1!$A$1,D11=F1!$B$1),ROW(),"")</f>
        <v/>
      </c>
    </row>
    <row r="12" customFormat="false" ht="13.8" hidden="false" customHeight="false" outlineLevel="0" collapsed="false">
      <c r="A12" s="499" t="str">
        <f aca="false">'3eme trim 2017  '!A38</f>
        <v>07.2017</v>
      </c>
      <c r="B12" s="500" t="n">
        <f aca="false">'3eme trim 2017  '!B38</f>
        <v>869731</v>
      </c>
      <c r="C12" s="501"/>
      <c r="D12" s="502" t="str">
        <f aca="false">'3eme trim 2017  '!D38</f>
        <v>MEDICIS</v>
      </c>
      <c r="E12" s="503"/>
      <c r="F12" s="504" t="n">
        <f aca="false">'3eme trim 2017  '!F38</f>
        <v>0</v>
      </c>
      <c r="G12" s="503" t="n">
        <f aca="false">'3eme trim 2017  '!G38</f>
        <v>0</v>
      </c>
      <c r="H12" s="505"/>
      <c r="I12" s="402" t="n">
        <f aca="false">'3eme trim 2017  '!I38</f>
        <v>25.389</v>
      </c>
      <c r="K12" s="478" t="str">
        <f aca="false">IF(AND(A12=F1!$A$1,D12=F1!$B$1),ROW(),"")</f>
        <v/>
      </c>
    </row>
    <row r="13" customFormat="false" ht="17.35" hidden="false" customHeight="false" outlineLevel="0" collapsed="false">
      <c r="A13" s="481" t="str">
        <f aca="false">'1er Trimestre 2018'!A30</f>
        <v>02.2018</v>
      </c>
      <c r="B13" s="469" t="n">
        <f aca="false">'1er Trimestre 2018'!B30</f>
        <v>905159</v>
      </c>
      <c r="C13" s="482"/>
      <c r="D13" s="382" t="str">
        <f aca="false">'1er Trimestre 2018'!D30</f>
        <v>MOBILE2016</v>
      </c>
      <c r="E13" s="483"/>
      <c r="F13" s="378" t="n">
        <f aca="false">'1er Trimestre 2018'!F30</f>
        <v>0</v>
      </c>
      <c r="G13" s="489" t="n">
        <f aca="false">'1er Trimestre 2018'!G30</f>
        <v>0</v>
      </c>
      <c r="H13" s="222"/>
      <c r="I13" s="132" t="n">
        <f aca="false">'1er Trimestre 2018'!I30</f>
        <v>74.52605</v>
      </c>
      <c r="K13" s="478" t="str">
        <f aca="false">IF(AND(A13=F1!$A$1,D13=F1!$B$1),ROW(),"")</f>
        <v/>
      </c>
    </row>
    <row r="14" customFormat="false" ht="17.35" hidden="false" customHeight="false" outlineLevel="0" collapsed="false">
      <c r="A14" s="481" t="str">
        <f aca="false">'4eme trim 2017  '!A45</f>
        <v>10.2017</v>
      </c>
      <c r="B14" s="469" t="n">
        <f aca="false">'4eme trim 2017  '!B45</f>
        <v>837955</v>
      </c>
      <c r="C14" s="482"/>
      <c r="D14" s="382" t="str">
        <f aca="false">'4eme trim 2017  '!D45</f>
        <v>REEBOU Family</v>
      </c>
      <c r="E14" s="483"/>
      <c r="F14" s="378" t="n">
        <f aca="false">'4eme trim 2017  '!F45</f>
        <v>0</v>
      </c>
      <c r="G14" s="489" t="n">
        <f aca="false">'4eme trim 2017  '!G45</f>
        <v>0</v>
      </c>
      <c r="H14" s="222"/>
      <c r="I14" s="380" t="n">
        <f aca="false">'4eme trim 2017  '!I45</f>
        <v>37.0308</v>
      </c>
      <c r="J14" s="437"/>
      <c r="K14" s="478" t="str">
        <f aca="false">IF(AND(A14=F1!$A$1,D14=F1!$B$1),ROW(),"")</f>
        <v/>
      </c>
    </row>
    <row r="15" customFormat="false" ht="17.35" hidden="false" customHeight="false" outlineLevel="0" collapsed="false">
      <c r="A15" s="481" t="str">
        <f aca="false">'4ème trim 2016'!A34</f>
        <v>11.2016</v>
      </c>
      <c r="B15" s="469" t="n">
        <f aca="false">'4ème trim 2016'!B34</f>
        <v>450504</v>
      </c>
      <c r="C15" s="482"/>
      <c r="D15" s="382" t="str">
        <f aca="false">'4ème trim 2016'!D34</f>
        <v>MOBILE 2007</v>
      </c>
      <c r="E15" s="483"/>
      <c r="F15" s="378" t="n">
        <f aca="false">'4ème trim 2016'!F34</f>
        <v>0</v>
      </c>
      <c r="G15" s="489" t="n">
        <f aca="false">'4ème trim 2016'!G34</f>
        <v>0</v>
      </c>
      <c r="H15" s="506"/>
      <c r="I15" s="380" t="n">
        <f aca="false">'4ème trim 2016'!I34</f>
        <v>195.564</v>
      </c>
      <c r="K15" s="478" t="str">
        <f aca="false">IF(AND(A15=F1!$A$1,D15=F1!$B$1),ROW(),"")</f>
        <v/>
      </c>
    </row>
    <row r="16" customFormat="false" ht="17.35" hidden="false" customHeight="false" outlineLevel="0" collapsed="false">
      <c r="A16" s="481" t="str">
        <f aca="false">'1er trim 2017'!A46</f>
        <v>02.2017</v>
      </c>
      <c r="B16" s="469" t="n">
        <f aca="false">'1er trim 2017'!B46</f>
        <v>358802</v>
      </c>
      <c r="C16" s="482"/>
      <c r="D16" s="382" t="str">
        <f aca="false">'1er trim 2017'!D46</f>
        <v>MOBILE</v>
      </c>
      <c r="E16" s="483"/>
      <c r="F16" s="378" t="n">
        <f aca="false">'1er trim 2017'!F46</f>
        <v>0</v>
      </c>
      <c r="G16" s="489" t="n">
        <f aca="false">'1er trim 2017'!G46</f>
        <v>0</v>
      </c>
      <c r="H16" s="506"/>
      <c r="I16" s="380" t="n">
        <f aca="false">'1er trim 2017'!I46</f>
        <v>104.4184</v>
      </c>
      <c r="K16" s="478" t="str">
        <f aca="false">IF(AND(A16=F1!$A$1,D16=F1!$B$1),ROW(),"")</f>
        <v/>
      </c>
    </row>
    <row r="17" customFormat="false" ht="17.35" hidden="false" customHeight="false" outlineLevel="0" collapsed="false">
      <c r="A17" s="490" t="str">
        <f aca="false">'4eme trim 2017  '!A52</f>
        <v>11.2017</v>
      </c>
      <c r="B17" s="507" t="n">
        <f aca="false">'4eme trim 2017  '!B52</f>
        <v>739606</v>
      </c>
      <c r="C17" s="508"/>
      <c r="D17" s="509" t="str">
        <f aca="false">'4eme trim 2017  '!D52</f>
        <v>HORIZONT60Invest</v>
      </c>
      <c r="E17" s="510"/>
      <c r="F17" s="511" t="n">
        <f aca="false">'4eme trim 2017  '!F52</f>
        <v>0</v>
      </c>
      <c r="G17" s="512" t="n">
        <f aca="false">'4eme trim 2017  '!G52</f>
        <v>2043</v>
      </c>
      <c r="H17" s="513"/>
      <c r="I17" s="380" t="n">
        <f aca="false">'4eme trim 2017  '!I52</f>
        <v>531.648</v>
      </c>
      <c r="J17" s="438"/>
      <c r="K17" s="478" t="str">
        <f aca="false">IF(AND(A17=F1!$A$1,D17=F1!$B$1),ROW(),"")</f>
        <v/>
      </c>
    </row>
    <row r="18" customFormat="false" ht="17.35" hidden="false" customHeight="false" outlineLevel="0" collapsed="false">
      <c r="A18" s="490" t="str">
        <f aca="false">'4ème trim 2016'!A58</f>
        <v>12.2016</v>
      </c>
      <c r="B18" s="507" t="n">
        <f aca="false">'4ème trim 2016'!B58</f>
        <v>489073</v>
      </c>
      <c r="C18" s="508"/>
      <c r="D18" s="509" t="str">
        <f aca="false">'4ème trim 2016'!D58</f>
        <v>HORIZONT 60 CAPI</v>
      </c>
      <c r="E18" s="510"/>
      <c r="F18" s="511" t="n">
        <f aca="false">'4ème trim 2016'!F58</f>
        <v>0</v>
      </c>
      <c r="G18" s="512" t="n">
        <f aca="false">'4ème trim 2016'!G58</f>
        <v>2033</v>
      </c>
      <c r="H18" s="514"/>
      <c r="I18" s="380" t="n">
        <f aca="false">'4ème trim 2016'!I58</f>
        <v>244.8</v>
      </c>
      <c r="K18" s="478" t="str">
        <f aca="false">IF(AND(A18=F1!$A$1,D18=F1!$B$1),ROW(),"")</f>
        <v/>
      </c>
    </row>
    <row r="19" customFormat="false" ht="17.35" hidden="false" customHeight="false" outlineLevel="0" collapsed="false">
      <c r="A19" s="515" t="str">
        <f aca="false">'2eme trim 2017 '!A44</f>
        <v>05.2017</v>
      </c>
      <c r="B19" s="469" t="n">
        <f aca="false">'2eme trim 2017 '!B44</f>
        <v>839223</v>
      </c>
      <c r="C19" s="486"/>
      <c r="D19" s="382" t="str">
        <f aca="false">'2eme trim 2017 '!D44</f>
        <v>REEBOU FAMILY</v>
      </c>
      <c r="E19" s="483"/>
      <c r="F19" s="378" t="n">
        <f aca="false">'2eme trim 2017 '!F44</f>
        <v>0</v>
      </c>
      <c r="G19" s="489" t="n">
        <f aca="false">'2eme trim 2017 '!G44</f>
        <v>0</v>
      </c>
      <c r="H19" s="258"/>
      <c r="I19" s="498" t="n">
        <f aca="false">'2eme trim 2017 '!I44</f>
        <v>22.8204</v>
      </c>
      <c r="K19" s="478" t="str">
        <f aca="false">IF(AND(A19=F1!$A$1,D19=F1!$B$1),ROW(),"")</f>
        <v/>
      </c>
    </row>
    <row r="20" customFormat="false" ht="17.35" hidden="false" customHeight="false" outlineLevel="0" collapsed="false">
      <c r="A20" s="515" t="str">
        <f aca="false">'3ème trim 2016'!A29</f>
        <v>07.2016</v>
      </c>
      <c r="B20" s="469" t="n">
        <f aca="false">'3ème trim 2016'!B29</f>
        <v>949962</v>
      </c>
      <c r="C20" s="482"/>
      <c r="D20" s="382" t="str">
        <f aca="false">'3ème trim 2016'!D29</f>
        <v>RC VIE PRIVE</v>
      </c>
      <c r="E20" s="483"/>
      <c r="F20" s="378" t="n">
        <f aca="false">'3ème trim 2016'!F29</f>
        <v>0</v>
      </c>
      <c r="G20" s="489" t="n">
        <f aca="false">'3ème trim 2016'!G29</f>
        <v>0</v>
      </c>
      <c r="H20" s="506"/>
      <c r="I20" s="380" t="n">
        <f aca="false">'3ème trim 2016'!I29</f>
        <v>11.004</v>
      </c>
      <c r="K20" s="478" t="str">
        <f aca="false">IF(AND(A20=F1!$A$1,D20=F1!$B$1),ROW(),"")</f>
        <v/>
      </c>
    </row>
    <row r="21" customFormat="false" ht="17.35" hidden="false" customHeight="false" outlineLevel="0" collapsed="false">
      <c r="A21" s="490" t="str">
        <f aca="false">'1er Trimestre 2018'!A54</f>
        <v>03.2018</v>
      </c>
      <c r="B21" s="507" t="n">
        <f aca="false">'1er Trimestre 2018'!B54</f>
        <v>723984</v>
      </c>
      <c r="C21" s="508"/>
      <c r="D21" s="509" t="str">
        <f aca="false">'1er Trimestre 2018'!D54</f>
        <v>HORIZONT60Invest</v>
      </c>
      <c r="E21" s="510"/>
      <c r="F21" s="511" t="n">
        <f aca="false">'1er Trimestre 2018'!F54</f>
        <v>0</v>
      </c>
      <c r="G21" s="512" t="n">
        <f aca="false">'1er Trimestre 2018'!G54</f>
        <v>2049</v>
      </c>
      <c r="H21" s="514"/>
      <c r="I21" s="380" t="n">
        <f aca="false">'1er Trimestre 2018'!I54</f>
        <v>186</v>
      </c>
      <c r="K21" s="478" t="str">
        <f aca="false">IF(AND(A21=F1!$A$1,D21=F1!$B$1),ROW(),"")</f>
        <v/>
      </c>
    </row>
    <row r="22" customFormat="false" ht="13.8" hidden="false" customHeight="false" outlineLevel="0" collapsed="false">
      <c r="A22" s="516" t="str">
        <f aca="false">'3eme trim 2017  '!A72</f>
        <v>09.2017</v>
      </c>
      <c r="B22" s="517" t="n">
        <f aca="false">'3eme trim 2017  '!B72</f>
        <v>273587</v>
      </c>
      <c r="C22" s="482"/>
      <c r="D22" s="29" t="str">
        <f aca="false">'3eme trim 2017  '!D72</f>
        <v>LOGGIA</v>
      </c>
      <c r="E22" s="489"/>
      <c r="F22" s="256" t="n">
        <f aca="false">'3eme trim 2017  '!F72</f>
        <v>0</v>
      </c>
      <c r="G22" s="489" t="n">
        <f aca="false">'3eme trim 2017  '!G72</f>
        <v>0</v>
      </c>
      <c r="H22" s="506"/>
      <c r="I22" s="498" t="n">
        <f aca="false">'3eme trim 2017  '!I72</f>
        <v>72.3084</v>
      </c>
      <c r="K22" s="478" t="str">
        <f aca="false">IF(AND(A22=F1!$A$1,D22=F1!$B$1),ROW(),"")</f>
        <v/>
      </c>
    </row>
    <row r="23" customFormat="false" ht="13.8" hidden="false" customHeight="false" outlineLevel="0" collapsed="false">
      <c r="A23" s="516" t="str">
        <f aca="false">'3eme trim 2017  '!A73</f>
        <v>09.2017</v>
      </c>
      <c r="B23" s="518" t="n">
        <f aca="false">'3eme trim 2017  '!B73</f>
        <v>273587</v>
      </c>
      <c r="C23" s="486"/>
      <c r="D23" s="487" t="str">
        <f aca="false">'3eme trim 2017  '!D73</f>
        <v>MOBILE Regio</v>
      </c>
      <c r="E23" s="95"/>
      <c r="F23" s="256" t="n">
        <f aca="false">'3eme trim 2017  '!F73</f>
        <v>0</v>
      </c>
      <c r="G23" s="95" t="n">
        <f aca="false">'3eme trim 2017  '!G73</f>
        <v>0</v>
      </c>
      <c r="H23" s="258"/>
      <c r="I23" s="132" t="n">
        <f aca="false">'3eme trim 2017  '!I73</f>
        <v>23.6442</v>
      </c>
      <c r="K23" s="478" t="str">
        <f aca="false">IF(AND(A23=F1!$A$1,D23=F1!$B$1),ROW(),"")</f>
        <v/>
      </c>
    </row>
    <row r="24" customFormat="false" ht="13.8" hidden="false" customHeight="false" outlineLevel="0" collapsed="false">
      <c r="A24" s="499" t="str">
        <f aca="false">'3eme trim 2017  '!A39</f>
        <v>07.2017</v>
      </c>
      <c r="B24" s="519" t="n">
        <f aca="false">'3eme trim 2017  '!B39</f>
        <v>711633</v>
      </c>
      <c r="C24" s="520"/>
      <c r="D24" s="521" t="str">
        <f aca="false">'3eme trim 2017  '!D39</f>
        <v>HORIZONT 60 INVEST</v>
      </c>
      <c r="E24" s="521"/>
      <c r="F24" s="522" t="n">
        <f aca="false">'3eme trim 2017  '!F39</f>
        <v>0</v>
      </c>
      <c r="G24" s="521" t="n">
        <f aca="false">'3eme trim 2017  '!G39</f>
        <v>2041</v>
      </c>
      <c r="H24" s="523"/>
      <c r="I24" s="132" t="n">
        <f aca="false">'3eme trim 2017  '!I39</f>
        <v>489.6</v>
      </c>
      <c r="K24" s="478" t="str">
        <f aca="false">IF(AND(A24=F1!$A$1,D24=F1!$B$1),ROW(),"")</f>
        <v/>
      </c>
    </row>
    <row r="25" customFormat="false" ht="17.35" hidden="false" customHeight="false" outlineLevel="0" collapsed="false">
      <c r="A25" s="481" t="str">
        <f aca="false">'1er trim 2017'!A68</f>
        <v>03.2017</v>
      </c>
      <c r="B25" s="469" t="n">
        <f aca="false">'1er trim 2017'!B68</f>
        <v>693701</v>
      </c>
      <c r="C25" s="524"/>
      <c r="D25" s="382" t="str">
        <f aca="false">'1er trim 2017'!D68</f>
        <v>MOBILE</v>
      </c>
      <c r="E25" s="395"/>
      <c r="F25" s="282" t="n">
        <f aca="false">'1er trim 2017'!F68</f>
        <v>0</v>
      </c>
      <c r="G25" s="29" t="n">
        <f aca="false">'1er trim 2017'!G68</f>
        <v>0</v>
      </c>
      <c r="H25" s="222"/>
      <c r="I25" s="132" t="n">
        <f aca="false">'1er trim 2017'!I68</f>
        <v>77.7206</v>
      </c>
      <c r="K25" s="478" t="str">
        <f aca="false">IF(AND(A25=F1!$A$1,D25=F1!$B$1),ROW(),"")</f>
        <v/>
      </c>
    </row>
    <row r="26" customFormat="false" ht="13.8" hidden="false" customHeight="false" outlineLevel="0" collapsed="false">
      <c r="A26" s="484" t="str">
        <f aca="false">'3eme trim 2017  '!A45</f>
        <v>07.2017</v>
      </c>
      <c r="B26" s="485" t="n">
        <f aca="false">'3eme trim 2017  '!B45</f>
        <v>492267</v>
      </c>
      <c r="C26" s="525"/>
      <c r="D26" s="24" t="str">
        <f aca="false">'3eme trim 2017  '!D45</f>
        <v>REEBOU FAMILY Tr</v>
      </c>
      <c r="E26" s="24"/>
      <c r="F26" s="245" t="str">
        <f aca="false">'3eme trim 2017  '!F45</f>
        <v>X</v>
      </c>
      <c r="G26" s="24" t="n">
        <f aca="false">'3eme trim 2017  '!G45</f>
        <v>0</v>
      </c>
      <c r="H26" s="402"/>
      <c r="I26" s="402" t="n">
        <f aca="false">'3eme trim 2017  '!I45</f>
        <v>14.3934</v>
      </c>
      <c r="K26" s="478" t="str">
        <f aca="false">IF(AND(A26=F1!$A$1,D26=F1!$B$1),ROW(),"")</f>
        <v/>
      </c>
    </row>
    <row r="27" customFormat="false" ht="17.35" hidden="false" customHeight="false" outlineLevel="0" collapsed="false">
      <c r="A27" s="515" t="str">
        <f aca="false">'4eme trim 2017  '!A75</f>
        <v>12.2017</v>
      </c>
      <c r="B27" s="526" t="n">
        <f aca="false">'4eme trim 2017  '!B75</f>
        <v>882443</v>
      </c>
      <c r="C27" s="527"/>
      <c r="D27" s="382" t="str">
        <f aca="false">'4eme trim 2017  '!D75</f>
        <v>HORIZONT60Invest</v>
      </c>
      <c r="E27" s="528"/>
      <c r="F27" s="529" t="n">
        <f aca="false">'4eme trim 2017  '!F75</f>
        <v>0</v>
      </c>
      <c r="G27" s="530" t="n">
        <f aca="false">'4eme trim 2017  '!G75</f>
        <v>2030</v>
      </c>
      <c r="H27" s="531"/>
      <c r="I27" s="531" t="n">
        <f aca="false">'4eme trim 2017  '!I75</f>
        <v>168.23508</v>
      </c>
      <c r="J27" s="439"/>
      <c r="K27" s="478" t="str">
        <f aca="false">IF(AND(A27=F1!$A$1,D27=F1!$B$1),ROW(),"")</f>
        <v/>
      </c>
    </row>
    <row r="28" customFormat="false" ht="13.8" hidden="false" customHeight="false" outlineLevel="0" collapsed="false">
      <c r="A28" s="481" t="str">
        <f aca="false">'1er Trimestre 2018'!A49</f>
        <v>03.2018</v>
      </c>
      <c r="B28" s="469" t="n">
        <f aca="false">'1er Trimestre 2018'!B49</f>
        <v>690539</v>
      </c>
      <c r="C28" s="532"/>
      <c r="D28" s="395" t="str">
        <f aca="false">'1er Trimestre 2018'!D49</f>
        <v>HORIZONT60Invest</v>
      </c>
      <c r="E28" s="433"/>
      <c r="F28" s="533" t="n">
        <f aca="false">'1er Trimestre 2018'!F49</f>
        <v>0</v>
      </c>
      <c r="G28" s="433" t="n">
        <f aca="false">'1er Trimestre 2018'!G49</f>
        <v>2028</v>
      </c>
      <c r="H28" s="147"/>
      <c r="I28" s="147" t="n">
        <f aca="false">'1er Trimestre 2018'!I49</f>
        <v>60</v>
      </c>
      <c r="K28" s="478" t="str">
        <f aca="false">IF(AND(A28=F1!$A$1,D28=F1!$B$1),ROW(),"")</f>
        <v/>
      </c>
    </row>
    <row r="29" customFormat="false" ht="17.35" hidden="false" customHeight="false" outlineLevel="0" collapsed="false">
      <c r="A29" s="490" t="str">
        <f aca="false">'1er Trimestre 2018'!A50</f>
        <v>03.2018</v>
      </c>
      <c r="B29" s="507" t="n">
        <f aca="false">'1er Trimestre 2018'!B50</f>
        <v>690541</v>
      </c>
      <c r="C29" s="534"/>
      <c r="D29" s="509" t="str">
        <f aca="false">'1er Trimestre 2018'!D50</f>
        <v>HORIZONT60Invest</v>
      </c>
      <c r="E29" s="535"/>
      <c r="F29" s="536" t="n">
        <f aca="false">'1er Trimestre 2018'!F50</f>
        <v>0</v>
      </c>
      <c r="G29" s="537" t="n">
        <f aca="false">'1er Trimestre 2018'!G50</f>
        <v>2029</v>
      </c>
      <c r="H29" s="513"/>
      <c r="I29" s="132" t="n">
        <f aca="false">'1er Trimestre 2018'!I50</f>
        <v>66</v>
      </c>
      <c r="K29" s="478" t="str">
        <f aca="false">IF(AND(A29=F1!$A$1,D29=F1!$B$1),ROW(),"")</f>
        <v/>
      </c>
    </row>
    <row r="30" customFormat="false" ht="17.35" hidden="false" customHeight="false" outlineLevel="0" collapsed="false">
      <c r="A30" s="538" t="str">
        <f aca="false">'3eme trim 2017  '!A79</f>
        <v>09.2017</v>
      </c>
      <c r="B30" s="539" t="n">
        <f aca="false">'3eme trim 2017  '!B79</f>
        <v>492261</v>
      </c>
      <c r="C30" s="540"/>
      <c r="D30" s="541" t="str">
        <f aca="false">'3eme trim 2017  '!D79</f>
        <v>MEDICIS</v>
      </c>
      <c r="E30" s="542"/>
      <c r="F30" s="543" t="n">
        <f aca="false">'3eme trim 2017  '!F79</f>
        <v>0</v>
      </c>
      <c r="G30" s="544" t="n">
        <f aca="false">'3eme trim 2017  '!G79</f>
        <v>0</v>
      </c>
      <c r="H30" s="545"/>
      <c r="I30" s="132" t="n">
        <f aca="false">'3eme trim 2017  '!I79</f>
        <v>25.389</v>
      </c>
      <c r="J30" s="429" t="s">
        <v>600</v>
      </c>
      <c r="K30" s="478" t="str">
        <f aca="false">IF(AND(A30=F1!$A$1,D30=F1!$B$1),ROW(),"")</f>
        <v/>
      </c>
    </row>
    <row r="31" customFormat="false" ht="17.35" hidden="false" customHeight="false" outlineLevel="0" collapsed="false">
      <c r="A31" s="481" t="str">
        <f aca="false">'4ème trim 2016'!A24</f>
        <v>11.2016</v>
      </c>
      <c r="B31" s="469" t="n">
        <f aca="false">'4ème trim 2016'!B24</f>
        <v>492261</v>
      </c>
      <c r="C31" s="524"/>
      <c r="D31" s="382" t="str">
        <f aca="false">'4ème trim 2016'!D24</f>
        <v>MOBILE 2007</v>
      </c>
      <c r="E31" s="395"/>
      <c r="F31" s="282" t="n">
        <f aca="false">'4ème trim 2016'!F24</f>
        <v>0</v>
      </c>
      <c r="G31" s="29" t="n">
        <f aca="false">'4ème trim 2016'!G24</f>
        <v>0</v>
      </c>
      <c r="H31" s="222"/>
      <c r="I31" s="132" t="n">
        <f aca="false">'4ème trim 2016'!I24</f>
        <v>86.1759</v>
      </c>
      <c r="K31" s="478" t="str">
        <f aca="false">IF(AND(A31=F1!$A$1,D31=F1!$B$1),ROW(),"")</f>
        <v/>
      </c>
    </row>
    <row r="32" customFormat="false" ht="17.35" hidden="false" customHeight="false" outlineLevel="0" collapsed="false">
      <c r="A32" s="481" t="str">
        <f aca="false">'4ème trim 2016'!A25</f>
        <v>11.2016</v>
      </c>
      <c r="B32" s="469" t="n">
        <f aca="false">'4ème trim 2016'!B25</f>
        <v>492261</v>
      </c>
      <c r="C32" s="524"/>
      <c r="D32" s="382" t="str">
        <f aca="false">'4ème trim 2016'!D25</f>
        <v>PACK REEBOU</v>
      </c>
      <c r="E32" s="395"/>
      <c r="F32" s="282" t="n">
        <f aca="false">'4ème trim 2016'!F25</f>
        <v>0</v>
      </c>
      <c r="G32" s="29" t="n">
        <f aca="false">'4ème trim 2016'!G25</f>
        <v>0</v>
      </c>
      <c r="H32" s="222"/>
      <c r="I32" s="132" t="n">
        <f aca="false">'4ème trim 2016'!I25</f>
        <v>16.632</v>
      </c>
      <c r="K32" s="478" t="str">
        <f aca="false">IF(AND(A32=F1!$A$1,D32=F1!$B$1),ROW(),"")</f>
        <v/>
      </c>
    </row>
    <row r="33" customFormat="false" ht="17.35" hidden="false" customHeight="false" outlineLevel="0" collapsed="false">
      <c r="A33" s="538" t="str">
        <f aca="false">'4ème trim 2016'!A26</f>
        <v>11.2016</v>
      </c>
      <c r="B33" s="539" t="n">
        <f aca="false">'4ème trim 2016'!B26</f>
        <v>492261</v>
      </c>
      <c r="C33" s="546"/>
      <c r="D33" s="541" t="str">
        <f aca="false">'4ème trim 2016'!D26</f>
        <v>SANTE</v>
      </c>
      <c r="E33" s="542"/>
      <c r="F33" s="543" t="n">
        <f aca="false">'4ème trim 2016'!F26</f>
        <v>0</v>
      </c>
      <c r="G33" s="544" t="n">
        <f aca="false">'4ème trim 2016'!G26</f>
        <v>0</v>
      </c>
      <c r="H33" s="547"/>
      <c r="I33" s="132" t="n">
        <f aca="false">'4ème trim 2016'!I26</f>
        <v>29.232</v>
      </c>
      <c r="J33" s="429" t="s">
        <v>600</v>
      </c>
      <c r="K33" s="478" t="str">
        <f aca="false">IF(AND(A33=F1!$A$1,D33=F1!$B$1),ROW(),"")</f>
        <v/>
      </c>
    </row>
    <row r="34" customFormat="false" ht="17.35" hidden="false" customHeight="false" outlineLevel="0" collapsed="false">
      <c r="A34" s="481" t="str">
        <f aca="false">'4ème trim 2016'!A27</f>
        <v>11.2016</v>
      </c>
      <c r="B34" s="469" t="n">
        <f aca="false">'4ème trim 2016'!B27</f>
        <v>492261</v>
      </c>
      <c r="C34" s="524"/>
      <c r="D34" s="382" t="str">
        <f aca="false">'4ème trim 2016'!D27</f>
        <v>MOBILE 2007</v>
      </c>
      <c r="E34" s="395"/>
      <c r="F34" s="282" t="n">
        <f aca="false">'4ème trim 2016'!F27</f>
        <v>0</v>
      </c>
      <c r="G34" s="29" t="n">
        <f aca="false">'4ème trim 2016'!G27</f>
        <v>0</v>
      </c>
      <c r="H34" s="222"/>
      <c r="I34" s="132" t="n">
        <f aca="false">'4ème trim 2016'!I27</f>
        <v>0.7872</v>
      </c>
      <c r="K34" s="478" t="str">
        <f aca="false">IF(AND(A34=F1!$A$1,D34=F1!$B$1),ROW(),"")</f>
        <v/>
      </c>
    </row>
    <row r="35" customFormat="false" ht="17.35" hidden="false" customHeight="false" outlineLevel="0" collapsed="false">
      <c r="A35" s="481" t="str">
        <f aca="false">'4ème trim 2016'!A28</f>
        <v>11.2016</v>
      </c>
      <c r="B35" s="469" t="n">
        <f aca="false">'4ème trim 2016'!B28</f>
        <v>492261</v>
      </c>
      <c r="C35" s="524"/>
      <c r="D35" s="382" t="str">
        <f aca="false">'4ème trim 2016'!D28</f>
        <v>MOBILE 2007</v>
      </c>
      <c r="E35" s="395"/>
      <c r="F35" s="282" t="n">
        <f aca="false">'4ème trim 2016'!F28</f>
        <v>0</v>
      </c>
      <c r="G35" s="29" t="n">
        <f aca="false">'4ème trim 2016'!G28</f>
        <v>0</v>
      </c>
      <c r="H35" s="222"/>
      <c r="I35" s="132" t="n">
        <f aca="false">'4ème trim 2016'!I28</f>
        <v>0.771</v>
      </c>
      <c r="K35" s="478" t="str">
        <f aca="false">IF(AND(A35=F1!$A$1,D35=F1!$B$1),ROW(),"")</f>
        <v/>
      </c>
    </row>
    <row r="36" customFormat="false" ht="17.35" hidden="false" customHeight="false" outlineLevel="0" collapsed="false">
      <c r="A36" s="481" t="str">
        <f aca="false">'4ème trim 2016'!A29</f>
        <v>11.2016</v>
      </c>
      <c r="B36" s="469" t="n">
        <f aca="false">'4ème trim 2016'!B29</f>
        <v>492261</v>
      </c>
      <c r="C36" s="524"/>
      <c r="D36" s="382" t="str">
        <f aca="false">'4ème trim 2016'!D29</f>
        <v>MOBILE 2007</v>
      </c>
      <c r="E36" s="395"/>
      <c r="F36" s="282" t="n">
        <f aca="false">'4ème trim 2016'!F29</f>
        <v>0</v>
      </c>
      <c r="G36" s="29" t="n">
        <f aca="false">'4ème trim 2016'!G29</f>
        <v>0</v>
      </c>
      <c r="H36" s="222"/>
      <c r="I36" s="132" t="n">
        <f aca="false">'4ème trim 2016'!I29</f>
        <v>26.6412</v>
      </c>
      <c r="K36" s="478" t="str">
        <f aca="false">IF(AND(A36=F1!$A$1,D36=F1!$B$1),ROW(),"")</f>
        <v/>
      </c>
    </row>
    <row r="37" customFormat="false" ht="17.35" hidden="false" customHeight="false" outlineLevel="0" collapsed="false">
      <c r="A37" s="481" t="str">
        <f aca="false">'4ème trim 2016'!A30</f>
        <v>11.2016</v>
      </c>
      <c r="B37" s="469" t="n">
        <f aca="false">'4ème trim 2016'!B30</f>
        <v>492261</v>
      </c>
      <c r="C37" s="525"/>
      <c r="D37" s="382" t="str">
        <f aca="false">'4ème trim 2016'!D30</f>
        <v>MOBILE 2007</v>
      </c>
      <c r="E37" s="29"/>
      <c r="F37" s="282" t="n">
        <f aca="false">'4ème trim 2016'!F30</f>
        <v>0</v>
      </c>
      <c r="G37" s="29" t="n">
        <f aca="false">'4ème trim 2016'!G30</f>
        <v>0</v>
      </c>
      <c r="H37" s="156"/>
      <c r="I37" s="222" t="n">
        <f aca="false">'4ème trim 2016'!I30</f>
        <v>3.9366</v>
      </c>
      <c r="K37" s="478" t="str">
        <f aca="false">IF(AND(A37=F1!$A$1,D37=F1!$B$1),ROW(),"")</f>
        <v/>
      </c>
    </row>
    <row r="38" customFormat="false" ht="17.35" hidden="false" customHeight="false" outlineLevel="0" collapsed="false">
      <c r="A38" s="481" t="str">
        <f aca="false">'4ème trim 2016'!A31</f>
        <v>11.2016</v>
      </c>
      <c r="B38" s="469" t="n">
        <f aca="false">'4ème trim 2016'!B31</f>
        <v>492261</v>
      </c>
      <c r="C38" s="525"/>
      <c r="D38" s="382" t="str">
        <f aca="false">'4ème trim 2016'!D31</f>
        <v>P.J.</v>
      </c>
      <c r="E38" s="395"/>
      <c r="F38" s="282" t="n">
        <f aca="false">'4ème trim 2016'!F31</f>
        <v>0</v>
      </c>
      <c r="G38" s="29" t="n">
        <f aca="false">'4ème trim 2016'!G31</f>
        <v>0</v>
      </c>
      <c r="H38" s="222"/>
      <c r="I38" s="132" t="n">
        <f aca="false">'4ème trim 2016'!I31</f>
        <v>39.109</v>
      </c>
      <c r="K38" s="478" t="str">
        <f aca="false">IF(AND(A38=F1!$A$1,D38=F1!$B$1),ROW(),"")</f>
        <v/>
      </c>
    </row>
    <row r="39" customFormat="false" ht="17.35" hidden="false" customHeight="false" outlineLevel="0" collapsed="false">
      <c r="A39" s="490" t="str">
        <f aca="false">'1er trim 2017'!A44</f>
        <v>02.2017</v>
      </c>
      <c r="B39" s="507" t="n">
        <f aca="false">'1er trim 2017'!B44</f>
        <v>857776</v>
      </c>
      <c r="C39" s="534"/>
      <c r="D39" s="509" t="str">
        <f aca="false">'1er trim 2017'!D44</f>
        <v>MEDICIS</v>
      </c>
      <c r="E39" s="535"/>
      <c r="F39" s="536" t="n">
        <f aca="false">'1er trim 2017'!F44</f>
        <v>0</v>
      </c>
      <c r="G39" s="537" t="n">
        <f aca="false">'1er trim 2017'!G44</f>
        <v>0</v>
      </c>
      <c r="H39" s="513"/>
      <c r="I39" s="132" t="n">
        <f aca="false">'1er trim 2017'!I44</f>
        <v>122.514</v>
      </c>
      <c r="K39" s="478" t="str">
        <f aca="false">IF(AND(A39=F1!$A$1,D39=F1!$B$1),ROW(),"")</f>
        <v/>
      </c>
    </row>
    <row r="40" customFormat="false" ht="17.35" hidden="false" customHeight="false" outlineLevel="0" collapsed="false">
      <c r="A40" s="481" t="str">
        <f aca="false">'1er trim 2017'!A45</f>
        <v>02.2017</v>
      </c>
      <c r="B40" s="469" t="n">
        <f aca="false">'1er trim 2017'!B45</f>
        <v>857776</v>
      </c>
      <c r="C40" s="525"/>
      <c r="D40" s="382" t="str">
        <f aca="false">'1er trim 2017'!D45</f>
        <v>MOBILE </v>
      </c>
      <c r="E40" s="383"/>
      <c r="F40" s="282" t="str">
        <f aca="false">'1er trim 2017'!F45</f>
        <v>X</v>
      </c>
      <c r="G40" s="24" t="n">
        <f aca="false">'1er trim 2017'!G45</f>
        <v>0</v>
      </c>
      <c r="H40" s="132"/>
      <c r="I40" s="222" t="n">
        <f aca="false">'1er trim 2017'!I45</f>
        <v>55.0864</v>
      </c>
      <c r="K40" s="478" t="str">
        <f aca="false">IF(AND(A40=F1!$A$1,D40=F1!$B$1),ROW(),"")</f>
        <v/>
      </c>
    </row>
    <row r="41" customFormat="false" ht="17.35" hidden="false" customHeight="false" outlineLevel="0" collapsed="false">
      <c r="A41" s="469" t="str">
        <f aca="false">'2eme trim 2017 '!A26</f>
        <v>05.2017</v>
      </c>
      <c r="B41" s="469" t="n">
        <f aca="false">'2eme trim 2017 '!B26</f>
        <v>857776</v>
      </c>
      <c r="C41" s="524"/>
      <c r="D41" s="382" t="str">
        <f aca="false">'2eme trim 2017 '!D26</f>
        <v>REEBOU FAMILY</v>
      </c>
      <c r="E41" s="395"/>
      <c r="F41" s="282" t="n">
        <f aca="false">'2eme trim 2017 '!F26</f>
        <v>0</v>
      </c>
      <c r="G41" s="29" t="n">
        <f aca="false">'2eme trim 2017 '!G26</f>
        <v>0</v>
      </c>
      <c r="H41" s="222"/>
      <c r="I41" s="132" t="n">
        <f aca="false">'2eme trim 2017 '!I26</f>
        <v>25.2084</v>
      </c>
      <c r="K41" s="478" t="str">
        <f aca="false">IF(AND(A41=F1!$A$1,D41=F1!$B$1),ROW(),"")</f>
        <v/>
      </c>
    </row>
    <row r="42" customFormat="false" ht="17.35" hidden="false" customHeight="false" outlineLevel="0" collapsed="false">
      <c r="A42" s="469" t="str">
        <f aca="false">'4ème trim 2016'!A64</f>
        <v>12.2016</v>
      </c>
      <c r="B42" s="469" t="n">
        <f aca="false">'4ème trim 2016'!B64</f>
        <v>278270</v>
      </c>
      <c r="C42" s="548"/>
      <c r="D42" s="382" t="str">
        <f aca="false">'4ème trim 2016'!D64</f>
        <v>MOBILE 2007</v>
      </c>
      <c r="E42" s="401"/>
      <c r="F42" s="282" t="n">
        <f aca="false">'4ème trim 2016'!F64</f>
        <v>0</v>
      </c>
      <c r="G42" s="24" t="n">
        <f aca="false">'4ème trim 2016'!G64</f>
        <v>0</v>
      </c>
      <c r="H42" s="132"/>
      <c r="I42" s="130" t="n">
        <f aca="false">'4ème trim 2016'!I64</f>
        <v>38.043</v>
      </c>
      <c r="K42" s="478" t="str">
        <f aca="false">IF(AND(A42=F1!$A$1,D42=F1!$B$1),ROW(),"")</f>
        <v/>
      </c>
    </row>
    <row r="43" customFormat="false" ht="17.35" hidden="false" customHeight="false" outlineLevel="0" collapsed="false">
      <c r="A43" s="469" t="str">
        <f aca="false">'1er trim 2017'!A58</f>
        <v>03.2017</v>
      </c>
      <c r="B43" s="469" t="n">
        <f aca="false">'1er trim 2017'!B58</f>
        <v>672533</v>
      </c>
      <c r="C43" s="549"/>
      <c r="D43" s="382" t="str">
        <f aca="false">'1er trim 2017'!D58</f>
        <v>PACK REEBOU</v>
      </c>
      <c r="E43" s="395"/>
      <c r="F43" s="282" t="n">
        <f aca="false">'1er trim 2017'!F58</f>
        <v>0</v>
      </c>
      <c r="G43" s="29" t="n">
        <f aca="false">'1er trim 2017'!G58</f>
        <v>0</v>
      </c>
      <c r="H43" s="222"/>
      <c r="I43" s="132" t="n">
        <f aca="false">'1er trim 2017'!I58</f>
        <v>16.8765</v>
      </c>
      <c r="J43" s="437"/>
      <c r="K43" s="478" t="str">
        <f aca="false">IF(AND(A43=F1!$A$1,D43=F1!$B$1),ROW(),"")</f>
        <v/>
      </c>
    </row>
    <row r="44" customFormat="false" ht="17.35" hidden="false" customHeight="false" outlineLevel="0" collapsed="false">
      <c r="A44" s="539" t="str">
        <f aca="false">'1er trim 2017'!A59</f>
        <v>03.2017</v>
      </c>
      <c r="B44" s="539" t="n">
        <f aca="false">'1er trim 2017'!B59</f>
        <v>683835</v>
      </c>
      <c r="C44" s="540"/>
      <c r="D44" s="541" t="str">
        <f aca="false">'1er trim 2017'!D59</f>
        <v>HORIZONT 60 INVEST</v>
      </c>
      <c r="E44" s="542"/>
      <c r="F44" s="543" t="n">
        <f aca="false">'1er trim 2017'!F59</f>
        <v>0</v>
      </c>
      <c r="G44" s="544" t="n">
        <f aca="false">'1er trim 2017'!G59</f>
        <v>2035</v>
      </c>
      <c r="H44" s="545"/>
      <c r="I44" s="547" t="n">
        <f aca="false">'1er trim 2017'!I59</f>
        <v>381.17952</v>
      </c>
      <c r="J44" s="438"/>
      <c r="K44" s="478" t="str">
        <f aca="false">IF(AND(A44=F1!$A$1,D44=F1!$B$1),ROW(),"")</f>
        <v/>
      </c>
    </row>
    <row r="45" customFormat="false" ht="17.35" hidden="false" customHeight="false" outlineLevel="0" collapsed="false">
      <c r="A45" s="469" t="str">
        <f aca="false">'1er Trimestre 2018'!A11</f>
        <v>01.2018</v>
      </c>
      <c r="B45" s="469" t="n">
        <f aca="false">'1er Trimestre 2018'!B11</f>
        <v>978398</v>
      </c>
      <c r="C45" s="524"/>
      <c r="D45" s="382" t="str">
        <f aca="false">'1er Trimestre 2018'!D11</f>
        <v>REEBOU Family</v>
      </c>
      <c r="E45" s="395"/>
      <c r="F45" s="282" t="n">
        <f aca="false">'1er Trimestre 2018'!F11</f>
        <v>0</v>
      </c>
      <c r="G45" s="29" t="n">
        <f aca="false">'1er Trimestre 2018'!G11</f>
        <v>0</v>
      </c>
      <c r="H45" s="222"/>
      <c r="I45" s="132" t="n">
        <f aca="false">'1er Trimestre 2018'!I11</f>
        <v>15.0016</v>
      </c>
      <c r="J45" s="439"/>
      <c r="K45" s="478" t="str">
        <f aca="false">IF(AND(A45=F1!$A$1,D45=F1!$B$1),ROW(),"")</f>
        <v/>
      </c>
    </row>
    <row r="46" customFormat="false" ht="17.35" hidden="false" customHeight="false" outlineLevel="0" collapsed="false">
      <c r="A46" s="469" t="str">
        <f aca="false">'1er Trimestre 2018'!A12</f>
        <v>01.2018</v>
      </c>
      <c r="B46" s="469" t="n">
        <f aca="false">'1er Trimestre 2018'!B12</f>
        <v>978398</v>
      </c>
      <c r="C46" s="524"/>
      <c r="D46" s="382" t="str">
        <f aca="false">'1er Trimestre 2018'!D12</f>
        <v>REEBOU Pack</v>
      </c>
      <c r="E46" s="395"/>
      <c r="F46" s="282" t="n">
        <f aca="false">'1er Trimestre 2018'!F12</f>
        <v>0</v>
      </c>
      <c r="G46" s="29" t="n">
        <f aca="false">'1er Trimestre 2018'!G12</f>
        <v>0</v>
      </c>
      <c r="H46" s="222"/>
      <c r="I46" s="132" t="n">
        <f aca="false">'1er Trimestre 2018'!I12</f>
        <v>9.0904</v>
      </c>
      <c r="J46" s="438"/>
      <c r="K46" s="478" t="str">
        <f aca="false">IF(AND(A46=F1!$A$1,D46=F1!$B$1),ROW(),"")</f>
        <v/>
      </c>
    </row>
    <row r="47" customFormat="false" ht="17.35" hidden="false" customHeight="false" outlineLevel="0" collapsed="false">
      <c r="A47" s="539" t="str">
        <f aca="false">'2e trim 2016'!A28</f>
        <v>04.2016</v>
      </c>
      <c r="B47" s="539" t="n">
        <f aca="false">'2e trim 2016'!B28</f>
        <v>773696</v>
      </c>
      <c r="C47" s="540"/>
      <c r="D47" s="541" t="str">
        <f aca="false">'2e trim 2016'!D28</f>
        <v>REEBOOU FAMILY</v>
      </c>
      <c r="E47" s="542"/>
      <c r="F47" s="543" t="n">
        <f aca="false">'2e trim 2016'!F28</f>
        <v>0</v>
      </c>
      <c r="G47" s="544" t="n">
        <f aca="false">'2e trim 2016'!G28</f>
        <v>0</v>
      </c>
      <c r="H47" s="545"/>
      <c r="I47" s="547" t="n">
        <f aca="false">'2e trim 2016'!I28</f>
        <v>11.1</v>
      </c>
      <c r="J47" s="438"/>
      <c r="K47" s="478" t="str">
        <f aca="false">IF(AND(A47=F1!$A$1,D47=F1!$B$1),ROW(),"")</f>
        <v/>
      </c>
    </row>
    <row r="48" customFormat="false" ht="17.35" hidden="false" customHeight="false" outlineLevel="0" collapsed="false">
      <c r="A48" s="539" t="str">
        <f aca="false">'2eme trim 2017 '!A25</f>
        <v>05.2017</v>
      </c>
      <c r="B48" s="539" t="n">
        <f aca="false">'2eme trim 2017 '!B25</f>
        <v>773696</v>
      </c>
      <c r="C48" s="540"/>
      <c r="D48" s="541" t="str">
        <f aca="false">'2eme trim 2017 '!D25</f>
        <v>HORIZONT 60 CAPI</v>
      </c>
      <c r="E48" s="550"/>
      <c r="F48" s="543" t="n">
        <f aca="false">'2eme trim 2017 '!F25</f>
        <v>0</v>
      </c>
      <c r="G48" s="544" t="n">
        <f aca="false">'2eme trim 2017 '!G25</f>
        <v>2026</v>
      </c>
      <c r="H48" s="551"/>
      <c r="I48" s="547" t="n">
        <f aca="false">'2eme trim 2017 '!I25</f>
        <v>64.8</v>
      </c>
      <c r="K48" s="478" t="str">
        <f aca="false">IF(AND(A48=F1!$A$1,D48=F1!$B$1),ROW(),"")</f>
        <v/>
      </c>
    </row>
    <row r="49" customFormat="false" ht="23.85" hidden="false" customHeight="false" outlineLevel="0" collapsed="false">
      <c r="A49" s="469" t="str">
        <f aca="false">'4eme trim 2017  '!A92</f>
        <v>12.2017</v>
      </c>
      <c r="B49" s="552" t="n">
        <f aca="false">'4eme trim 2017  '!B92</f>
        <v>773696</v>
      </c>
      <c r="C49" s="553"/>
      <c r="D49" s="455" t="str">
        <f aca="false">'4eme trim 2017  '!D92</f>
        <v>HORIZONT 60 CAPI</v>
      </c>
      <c r="E49" s="554"/>
      <c r="F49" s="282" t="n">
        <f aca="false">'4eme trim 2017  '!F92</f>
        <v>0</v>
      </c>
      <c r="G49" s="100" t="n">
        <f aca="false">'4eme trim 2017  '!G92</f>
        <v>2026</v>
      </c>
      <c r="H49" s="555"/>
      <c r="I49" s="555" t="n">
        <f aca="false">'4eme trim 2017  '!I92</f>
        <v>-64.8</v>
      </c>
      <c r="J49" s="556" t="str">
        <f aca="false">'4eme trim 2017  '!K92</f>
        <v>Rectification mai augmentation</v>
      </c>
      <c r="K49" s="478" t="str">
        <f aca="false">IF(AND(A49=F1!$A$1,D49=F1!$B$1),ROW(),"")</f>
        <v/>
      </c>
    </row>
    <row r="50" customFormat="false" ht="17.35" hidden="false" customHeight="false" outlineLevel="0" collapsed="false">
      <c r="A50" s="539" t="str">
        <f aca="false">'2e trim 2016'!A51</f>
        <v>06.2016</v>
      </c>
      <c r="B50" s="539" t="n">
        <f aca="false">'2e trim 2016'!B51</f>
        <v>773696</v>
      </c>
      <c r="C50" s="540"/>
      <c r="D50" s="541" t="str">
        <f aca="false">'2e trim 2016'!D51</f>
        <v>HORIZON 60 CAPI</v>
      </c>
      <c r="E50" s="542"/>
      <c r="F50" s="543" t="n">
        <f aca="false">'2e trim 2016'!F51</f>
        <v>0</v>
      </c>
      <c r="G50" s="557" t="n">
        <f aca="false">'2e trim 2016'!G51</f>
        <v>2026</v>
      </c>
      <c r="H50" s="545"/>
      <c r="I50" s="547" t="n">
        <f aca="false">'2e trim 2016'!I51</f>
        <v>312</v>
      </c>
      <c r="J50" s="439"/>
      <c r="K50" s="478" t="str">
        <f aca="false">IF(AND(A50=F1!$A$1,D50=F1!$B$1),ROW(),"")</f>
        <v/>
      </c>
    </row>
    <row r="51" customFormat="false" ht="17.35" hidden="false" customHeight="false" outlineLevel="0" collapsed="false">
      <c r="A51" s="469" t="str">
        <f aca="false">'2e trim 2016'!A52</f>
        <v>06.2016</v>
      </c>
      <c r="B51" s="469" t="n">
        <f aca="false">'2e trim 2016'!B52</f>
        <v>773696</v>
      </c>
      <c r="C51" s="524"/>
      <c r="D51" s="382" t="str">
        <f aca="false">'2e trim 2016'!D52</f>
        <v>MOBILE</v>
      </c>
      <c r="E51" s="395"/>
      <c r="F51" s="282" t="n">
        <f aca="false">'2e trim 2016'!F52</f>
        <v>0</v>
      </c>
      <c r="G51" s="29" t="n">
        <f aca="false">'2e trim 2016'!G52</f>
        <v>0</v>
      </c>
      <c r="H51" s="222"/>
      <c r="I51" s="132" t="n">
        <f aca="false">'2e trim 2016'!I52</f>
        <v>101.4708</v>
      </c>
      <c r="J51" s="439"/>
      <c r="K51" s="478" t="str">
        <f aca="false">IF(AND(A51=F1!$A$1,D51=F1!$B$1),ROW(),"")</f>
        <v/>
      </c>
    </row>
    <row r="52" customFormat="false" ht="17.35" hidden="false" customHeight="false" outlineLevel="0" collapsed="false">
      <c r="A52" s="469" t="str">
        <f aca="false">'1er trim 2017'!A56</f>
        <v>03.2017</v>
      </c>
      <c r="B52" s="469" t="n">
        <f aca="false">'1er trim 2017'!B56</f>
        <v>555120</v>
      </c>
      <c r="C52" s="524"/>
      <c r="D52" s="382" t="str">
        <f aca="false">'1er trim 2017'!D56</f>
        <v>MOBILE </v>
      </c>
      <c r="E52" s="395"/>
      <c r="F52" s="282" t="str">
        <f aca="false">'1er trim 2017'!F56</f>
        <v>X</v>
      </c>
      <c r="G52" s="29" t="n">
        <f aca="false">'1er trim 2017'!G56</f>
        <v>0</v>
      </c>
      <c r="H52" s="222"/>
      <c r="I52" s="132" t="n">
        <f aca="false">'1er trim 2017'!I56</f>
        <v>78.1916</v>
      </c>
      <c r="J52" s="439"/>
      <c r="K52" s="478" t="str">
        <f aca="false">IF(AND(A52=F1!$A$1,D52=F1!$B$1),ROW(),"")</f>
        <v/>
      </c>
    </row>
    <row r="53" customFormat="false" ht="13.8" hidden="false" customHeight="false" outlineLevel="0" collapsed="false">
      <c r="A53" s="518" t="str">
        <f aca="false">'3eme trim 2017  '!A60</f>
        <v>09.2017</v>
      </c>
      <c r="B53" s="518" t="n">
        <f aca="false">'3eme trim 2017  '!B60</f>
        <v>968621</v>
      </c>
      <c r="C53" s="525"/>
      <c r="D53" s="24" t="str">
        <f aca="false">'3eme trim 2017  '!D60</f>
        <v>MOBILE 2016</v>
      </c>
      <c r="E53" s="24"/>
      <c r="F53" s="245" t="n">
        <f aca="false">'3eme trim 2017  '!F60</f>
        <v>0</v>
      </c>
      <c r="G53" s="24" t="n">
        <f aca="false">'3eme trim 2017  '!G60</f>
        <v>0</v>
      </c>
      <c r="H53" s="132"/>
      <c r="I53" s="132" t="n">
        <f aca="false">'3eme trim 2017  '!I60</f>
        <v>85.6579</v>
      </c>
      <c r="J53" s="439"/>
      <c r="K53" s="478" t="str">
        <f aca="false">IF(AND(A53=F1!$A$1,D53=F1!$B$1),ROW(),"")</f>
        <v/>
      </c>
    </row>
    <row r="54" customFormat="false" ht="17.35" hidden="false" customHeight="false" outlineLevel="0" collapsed="false">
      <c r="A54" s="507" t="str">
        <f aca="false">'1er trim 2017'!A35</f>
        <v>02.2017</v>
      </c>
      <c r="B54" s="507" t="n">
        <f aca="false">'1er trim 2017'!B35</f>
        <v>621969</v>
      </c>
      <c r="C54" s="534"/>
      <c r="D54" s="509" t="str">
        <f aca="false">'1er trim 2017'!D35</f>
        <v>HORIZONT 60</v>
      </c>
      <c r="E54" s="535"/>
      <c r="F54" s="536" t="n">
        <f aca="false">'1er trim 2017'!F35</f>
        <v>0</v>
      </c>
      <c r="G54" s="537" t="n">
        <f aca="false">'1er trim 2017'!G35</f>
        <v>2048</v>
      </c>
      <c r="H54" s="513"/>
      <c r="I54" s="132" t="n">
        <f aca="false">'1er trim 2017'!I35</f>
        <v>446.4</v>
      </c>
      <c r="J54" s="439"/>
      <c r="K54" s="478" t="str">
        <f aca="false">IF(AND(A54=F1!$A$1,D54=F1!$B$1),ROW(),"")</f>
        <v/>
      </c>
    </row>
    <row r="55" customFormat="false" ht="17.35" hidden="false" customHeight="false" outlineLevel="0" collapsed="false">
      <c r="A55" s="507" t="str">
        <f aca="false">'4eme trim 2017  '!A73</f>
        <v>12.2017</v>
      </c>
      <c r="B55" s="507" t="n">
        <f aca="false">'4eme trim 2017  '!B73</f>
        <v>845563</v>
      </c>
      <c r="C55" s="534"/>
      <c r="D55" s="509" t="str">
        <f aca="false">'4eme trim 2017  '!D73</f>
        <v>HORIZONT60Invest</v>
      </c>
      <c r="E55" s="535"/>
      <c r="F55" s="536" t="n">
        <f aca="false">'4eme trim 2017  '!F73</f>
        <v>0</v>
      </c>
      <c r="G55" s="537" t="n">
        <f aca="false">'4eme trim 2017  '!G73</f>
        <v>2034</v>
      </c>
      <c r="H55" s="513"/>
      <c r="I55" s="531" t="n">
        <f aca="false">'4eme trim 2017  '!I73</f>
        <v>219.99972</v>
      </c>
      <c r="J55" s="439"/>
      <c r="K55" s="478" t="str">
        <f aca="false">IF(AND(A55=F1!$A$1,D55=F1!$B$1),ROW(),"")</f>
        <v/>
      </c>
    </row>
    <row r="56" customFormat="false" ht="17.35" hidden="false" customHeight="false" outlineLevel="0" collapsed="false">
      <c r="A56" s="507" t="str">
        <f aca="false">'4eme trim 2017  '!A74</f>
        <v>12.2017</v>
      </c>
      <c r="B56" s="507" t="n">
        <f aca="false">'4eme trim 2017  '!B74</f>
        <v>845563</v>
      </c>
      <c r="C56" s="534"/>
      <c r="D56" s="509" t="str">
        <f aca="false">'4eme trim 2017  '!D74</f>
        <v>HORIZONT60Capi</v>
      </c>
      <c r="E56" s="535"/>
      <c r="F56" s="536" t="n">
        <f aca="false">'4eme trim 2017  '!F74</f>
        <v>0</v>
      </c>
      <c r="G56" s="537" t="n">
        <f aca="false">'4eme trim 2017  '!G74</f>
        <v>2034</v>
      </c>
      <c r="H56" s="523"/>
      <c r="I56" s="531" t="n">
        <f aca="false">'4eme trim 2017  '!I74</f>
        <v>71.4</v>
      </c>
      <c r="J56" s="439"/>
      <c r="K56" s="478" t="str">
        <f aca="false">IF(AND(A56=F1!$A$1,D56=F1!$B$1),ROW(),"")</f>
        <v/>
      </c>
    </row>
    <row r="57" customFormat="false" ht="17.35" hidden="false" customHeight="false" outlineLevel="0" collapsed="false">
      <c r="A57" s="507" t="str">
        <f aca="false">'2eme trim 2017 '!A60</f>
        <v>06.2017</v>
      </c>
      <c r="B57" s="507" t="n">
        <f aca="false">'2eme trim 2017 '!B60</f>
        <v>586459</v>
      </c>
      <c r="C57" s="520"/>
      <c r="D57" s="509" t="str">
        <f aca="false">'2eme trim 2017 '!D60</f>
        <v>MEDICIS</v>
      </c>
      <c r="E57" s="558"/>
      <c r="F57" s="536" t="n">
        <f aca="false">'2eme trim 2017 '!F60</f>
        <v>0</v>
      </c>
      <c r="G57" s="521" t="n">
        <f aca="false">'2eme trim 2017 '!G60</f>
        <v>0</v>
      </c>
      <c r="H57" s="559"/>
      <c r="I57" s="132" t="n">
        <f aca="false">'2eme trim 2017 '!I60</f>
        <v>440.79</v>
      </c>
      <c r="J57" s="439"/>
      <c r="K57" s="478" t="str">
        <f aca="false">IF(AND(A57=F1!$A$1,D57=F1!$B$1),ROW(),"")</f>
        <v/>
      </c>
    </row>
    <row r="58" customFormat="false" ht="17.35" hidden="false" customHeight="false" outlineLevel="0" collapsed="false">
      <c r="A58" s="469" t="str">
        <f aca="false">'2e trim 2016'!A35</f>
        <v>05.2016</v>
      </c>
      <c r="B58" s="469" t="n">
        <f aca="false">'2e trim 2016'!B35</f>
        <v>930785</v>
      </c>
      <c r="C58" s="524"/>
      <c r="D58" s="382" t="str">
        <f aca="false">'2e trim 2016'!D35</f>
        <v>MOBILE</v>
      </c>
      <c r="E58" s="395"/>
      <c r="F58" s="282" t="n">
        <f aca="false">'2e trim 2016'!F35</f>
        <v>0</v>
      </c>
      <c r="G58" s="29" t="n">
        <f aca="false">'2e trim 2016'!G35</f>
        <v>0</v>
      </c>
      <c r="H58" s="222"/>
      <c r="I58" s="132" t="n">
        <f aca="false">'2e trim 2016'!I35</f>
        <v>43.1898</v>
      </c>
      <c r="J58" s="439"/>
      <c r="K58" s="478" t="str">
        <f aca="false">IF(AND(A58=F1!$A$1,D58=F1!$B$1),ROW(),"")</f>
        <v/>
      </c>
    </row>
    <row r="59" customFormat="false" ht="17.35" hidden="false" customHeight="false" outlineLevel="0" collapsed="false">
      <c r="A59" s="469" t="str">
        <f aca="false">'2e trim 2016'!A36</f>
        <v>05.2016</v>
      </c>
      <c r="B59" s="469" t="n">
        <f aca="false">'2e trim 2016'!B36</f>
        <v>930785</v>
      </c>
      <c r="C59" s="524"/>
      <c r="D59" s="560" t="str">
        <f aca="false">'2e trim 2016'!D36</f>
        <v>BSH</v>
      </c>
      <c r="E59" s="395"/>
      <c r="F59" s="282" t="n">
        <f aca="false">'2e trim 2016'!F36</f>
        <v>0</v>
      </c>
      <c r="G59" s="29" t="n">
        <f aca="false">'2e trim 2016'!G36</f>
        <v>0</v>
      </c>
      <c r="H59" s="222"/>
      <c r="I59" s="132" t="n">
        <f aca="false">'2e trim 2016'!I36</f>
        <v>176.4</v>
      </c>
      <c r="J59" s="439"/>
      <c r="K59" s="478" t="str">
        <f aca="false">IF(AND(A59=F1!$A$1,D59=F1!$B$1),ROW(),"")</f>
        <v/>
      </c>
    </row>
    <row r="60" customFormat="false" ht="17.35" hidden="false" customHeight="false" outlineLevel="0" collapsed="false">
      <c r="A60" s="469" t="str">
        <f aca="false">'2e trim 2016'!A16</f>
        <v>04.2016</v>
      </c>
      <c r="B60" s="469" t="n">
        <f aca="false">'2e trim 2016'!B16</f>
        <v>280615</v>
      </c>
      <c r="C60" s="524"/>
      <c r="D60" s="382" t="str">
        <f aca="false">'2e trim 2016'!D16</f>
        <v>MOBILE</v>
      </c>
      <c r="E60" s="395"/>
      <c r="F60" s="282" t="n">
        <f aca="false">'2e trim 2016'!F16</f>
        <v>0</v>
      </c>
      <c r="G60" s="29" t="n">
        <f aca="false">'2e trim 2016'!G16</f>
        <v>0</v>
      </c>
      <c r="H60" s="222"/>
      <c r="I60" s="132" t="n">
        <f aca="false">'2e trim 2016'!I16</f>
        <v>50.8</v>
      </c>
      <c r="J60" s="439"/>
      <c r="K60" s="478" t="str">
        <f aca="false">IF(AND(A60=F1!$A$1,D60=F1!$B$1),ROW(),"")</f>
        <v/>
      </c>
    </row>
    <row r="61" customFormat="false" ht="17.35" hidden="false" customHeight="false" outlineLevel="0" collapsed="false">
      <c r="A61" s="469" t="str">
        <f aca="false">'2eme trim 2017 '!A17</f>
        <v>04.2017</v>
      </c>
      <c r="B61" s="469" t="n">
        <f aca="false">'2eme trim 2017 '!B17</f>
        <v>117637</v>
      </c>
      <c r="C61" s="524"/>
      <c r="D61" s="382" t="str">
        <f aca="false">'2eme trim 2017 '!D17</f>
        <v>REEBOU FAMILY</v>
      </c>
      <c r="E61" s="395"/>
      <c r="F61" s="282" t="n">
        <f aca="false">'2eme trim 2017 '!F17</f>
        <v>0</v>
      </c>
      <c r="G61" s="29" t="n">
        <f aca="false">'2eme trim 2017 '!G17</f>
        <v>0</v>
      </c>
      <c r="H61" s="222"/>
      <c r="I61" s="132" t="n">
        <f aca="false">'2eme trim 2017 '!I17</f>
        <v>39.756</v>
      </c>
      <c r="J61" s="439"/>
      <c r="K61" s="478" t="str">
        <f aca="false">IF(AND(A61=F1!$A$1,D61=F1!$B$1),ROW(),"")</f>
        <v/>
      </c>
    </row>
    <row r="62" customFormat="false" ht="17.35" hidden="false" customHeight="false" outlineLevel="0" collapsed="false">
      <c r="A62" s="469" t="str">
        <f aca="false">'1er trim 2017'!A60</f>
        <v>03.2017</v>
      </c>
      <c r="B62" s="469" t="n">
        <f aca="false">'1er trim 2017'!B60</f>
        <v>944900</v>
      </c>
      <c r="C62" s="524"/>
      <c r="D62" s="382" t="str">
        <f aca="false">'1er trim 2017'!D60</f>
        <v>MOBILE</v>
      </c>
      <c r="E62" s="395"/>
      <c r="F62" s="282" t="n">
        <f aca="false">'1er trim 2017'!F60</f>
        <v>0</v>
      </c>
      <c r="G62" s="29" t="n">
        <f aca="false">'1er trim 2017'!G60</f>
        <v>0</v>
      </c>
      <c r="H62" s="222"/>
      <c r="I62" s="132" t="n">
        <f aca="false">'1er trim 2017'!I60</f>
        <v>40.5132</v>
      </c>
      <c r="J62" s="439"/>
      <c r="K62" s="478" t="str">
        <f aca="false">IF(AND(A62=F1!$A$1,D62=F1!$B$1),ROW(),"")</f>
        <v/>
      </c>
    </row>
    <row r="63" customFormat="false" ht="13.8" hidden="false" customHeight="false" outlineLevel="0" collapsed="false">
      <c r="A63" s="485" t="str">
        <f aca="false">'3eme trim 2017  '!A33</f>
        <v>07.2017</v>
      </c>
      <c r="B63" s="517" t="n">
        <f aca="false">'3eme trim 2017  '!B33</f>
        <v>944900</v>
      </c>
      <c r="C63" s="525"/>
      <c r="D63" s="487" t="str">
        <f aca="false">'3eme trim 2017  '!D33</f>
        <v>REEBOU FAMILY</v>
      </c>
      <c r="E63" s="24"/>
      <c r="F63" s="245" t="n">
        <f aca="false">'3eme trim 2017  '!F33</f>
        <v>0</v>
      </c>
      <c r="G63" s="24" t="n">
        <f aca="false">'3eme trim 2017  '!G33</f>
        <v>0</v>
      </c>
      <c r="H63" s="402"/>
      <c r="I63" s="132" t="n">
        <f aca="false">'3eme trim 2017  '!I33</f>
        <v>29.7048</v>
      </c>
      <c r="J63" s="437"/>
      <c r="K63" s="478" t="str">
        <f aca="false">IF(AND(A63=F1!$A$1,D63=F1!$B$1),ROW(),"")</f>
        <v/>
      </c>
    </row>
    <row r="64" customFormat="false" ht="17.35" hidden="false" customHeight="false" outlineLevel="0" collapsed="false">
      <c r="A64" s="469" t="str">
        <f aca="false">'4eme trim 2017  '!A44</f>
        <v>10.2017</v>
      </c>
      <c r="B64" s="469" t="n">
        <f aca="false">'4eme trim 2017  '!B44</f>
        <v>523424</v>
      </c>
      <c r="C64" s="524"/>
      <c r="D64" s="382" t="str">
        <f aca="false">'4eme trim 2017  '!D44</f>
        <v>HORIZONT60Invest</v>
      </c>
      <c r="E64" s="395"/>
      <c r="F64" s="282" t="n">
        <f aca="false">'4eme trim 2017  '!F44</f>
        <v>0</v>
      </c>
      <c r="G64" s="29" t="n">
        <f aca="false">'4eme trim 2017  '!G44</f>
        <v>2031</v>
      </c>
      <c r="H64" s="222"/>
      <c r="I64" s="132" t="n">
        <f aca="false">'4eme trim 2017  '!I44</f>
        <v>185.472</v>
      </c>
      <c r="J64" s="437"/>
      <c r="K64" s="478" t="str">
        <f aca="false">IF(AND(A64=F1!$A$1,D64=F1!$B$1),ROW(),"")</f>
        <v/>
      </c>
    </row>
    <row r="65" customFormat="false" ht="17.35" hidden="false" customHeight="false" outlineLevel="0" collapsed="false">
      <c r="A65" s="469" t="str">
        <f aca="false">'4ème trim 2016'!A54</f>
        <v>12.2016</v>
      </c>
      <c r="B65" s="469" t="n">
        <f aca="false">'4ème trim 2016'!B54</f>
        <v>566467</v>
      </c>
      <c r="C65" s="525"/>
      <c r="D65" s="382" t="str">
        <f aca="false">'4ème trim 2016'!D54</f>
        <v>MOBILE 2007</v>
      </c>
      <c r="E65" s="383"/>
      <c r="F65" s="282" t="n">
        <f aca="false">'4ème trim 2016'!F54</f>
        <v>0</v>
      </c>
      <c r="G65" s="24" t="n">
        <f aca="false">'4ème trim 2016'!G54</f>
        <v>0</v>
      </c>
      <c r="H65" s="129"/>
      <c r="I65" s="222" t="n">
        <f aca="false">'4ème trim 2016'!I54</f>
        <v>95.3837</v>
      </c>
      <c r="J65" s="442"/>
      <c r="K65" s="478" t="str">
        <f aca="false">IF(AND(A65=F1!$A$1,D65=F1!$B$1),ROW(),"")</f>
        <v/>
      </c>
    </row>
    <row r="66" customFormat="false" ht="17.35" hidden="false" customHeight="false" outlineLevel="0" collapsed="false">
      <c r="A66" s="469" t="str">
        <f aca="false">'4ème trim 2016'!A55</f>
        <v>12.2016</v>
      </c>
      <c r="B66" s="469" t="n">
        <f aca="false">'4ème trim 2016'!B55</f>
        <v>566467</v>
      </c>
      <c r="C66" s="524"/>
      <c r="D66" s="382" t="str">
        <f aca="false">'4ème trim 2016'!D55</f>
        <v>REEBOU FAMILY</v>
      </c>
      <c r="E66" s="395"/>
      <c r="F66" s="282" t="n">
        <f aca="false">'4ème trim 2016'!F55</f>
        <v>0</v>
      </c>
      <c r="G66" s="29" t="n">
        <f aca="false">'4ème trim 2016'!G55</f>
        <v>0</v>
      </c>
      <c r="H66" s="222"/>
      <c r="I66" s="132" t="n">
        <f aca="false">'4ème trim 2016'!I55</f>
        <v>270.88</v>
      </c>
      <c r="J66" s="438"/>
      <c r="K66" s="478" t="str">
        <f aca="false">IF(AND(A66=F1!$A$1,D66=F1!$B$1),ROW(),"")</f>
        <v/>
      </c>
    </row>
    <row r="67" customFormat="false" ht="17.35" hidden="false" customHeight="false" outlineLevel="0" collapsed="false">
      <c r="A67" s="469" t="str">
        <f aca="false">'4eme trim 2017  '!A57</f>
        <v>11.2017</v>
      </c>
      <c r="B67" s="469" t="n">
        <f aca="false">'4eme trim 2017  '!B57</f>
        <v>787557</v>
      </c>
      <c r="C67" s="524"/>
      <c r="D67" s="382" t="str">
        <f aca="false">'4eme trim 2017  '!D57</f>
        <v>MOBILE2016</v>
      </c>
      <c r="E67" s="395"/>
      <c r="F67" s="282" t="n">
        <f aca="false">'4eme trim 2017  '!F57</f>
        <v>0</v>
      </c>
      <c r="G67" s="29" t="n">
        <f aca="false">'4eme trim 2017  '!G57</f>
        <v>0</v>
      </c>
      <c r="H67" s="132"/>
      <c r="I67" s="222" t="n">
        <f aca="false">'4eme trim 2017  '!I57</f>
        <v>118.9376</v>
      </c>
      <c r="J67" s="437"/>
      <c r="K67" s="478" t="n">
        <f aca="false">IF(AND(A67=F1!$A$1,D67=F1!$B$1),ROW(),"")</f>
        <v>67</v>
      </c>
    </row>
    <row r="68" customFormat="false" ht="17.35" hidden="false" customHeight="false" outlineLevel="0" collapsed="false">
      <c r="A68" s="507" t="str">
        <f aca="false">'4eme trim 2017  '!A58</f>
        <v>11.2017</v>
      </c>
      <c r="B68" s="507" t="n">
        <f aca="false">'4eme trim 2017  '!B58</f>
        <v>787557</v>
      </c>
      <c r="C68" s="534"/>
      <c r="D68" s="509" t="str">
        <f aca="false">'4eme trim 2017  '!D58</f>
        <v>HORIZONT60Invest</v>
      </c>
      <c r="E68" s="535"/>
      <c r="F68" s="536" t="n">
        <f aca="false">'4eme trim 2017  '!F58</f>
        <v>0</v>
      </c>
      <c r="G68" s="537" t="n">
        <f aca="false">'4eme trim 2017  '!G58</f>
        <v>2043</v>
      </c>
      <c r="H68" s="523"/>
      <c r="I68" s="132" t="n">
        <f aca="false">'4eme trim 2017  '!I58</f>
        <v>374.4</v>
      </c>
      <c r="J68" s="437"/>
      <c r="K68" s="478" t="str">
        <f aca="false">IF(AND(A68=F1!$A$1,D68=F1!$B$1),ROW(),"")</f>
        <v/>
      </c>
    </row>
    <row r="69" customFormat="false" ht="17.35" hidden="false" customHeight="false" outlineLevel="0" collapsed="false">
      <c r="A69" s="469" t="str">
        <f aca="false">'1er Trimestre 2018'!A35</f>
        <v>02.2018</v>
      </c>
      <c r="B69" s="469" t="n">
        <f aca="false">'1er Trimestre 2018'!B35</f>
        <v>982848</v>
      </c>
      <c r="C69" s="524"/>
      <c r="D69" s="382" t="str">
        <f aca="false">'1er Trimestre 2018'!D35</f>
        <v>MOBILE2016</v>
      </c>
      <c r="E69" s="395"/>
      <c r="F69" s="282" t="n">
        <f aca="false">'1er Trimestre 2018'!F35</f>
        <v>0</v>
      </c>
      <c r="G69" s="29" t="n">
        <f aca="false">'1er Trimestre 2018'!G35</f>
        <v>0</v>
      </c>
      <c r="H69" s="222"/>
      <c r="I69" s="132" t="n">
        <f aca="false">'1er Trimestre 2018'!I35</f>
        <v>91.90575</v>
      </c>
      <c r="K69" s="478" t="str">
        <f aca="false">IF(AND(A69=F1!$A$1,D69=F1!$B$1),ROW(),"")</f>
        <v/>
      </c>
    </row>
    <row r="70" customFormat="false" ht="17.35" hidden="false" customHeight="false" outlineLevel="0" collapsed="false">
      <c r="A70" s="469" t="str">
        <f aca="false">'2eme trim 2017 '!A67</f>
        <v>06.2017</v>
      </c>
      <c r="B70" s="469" t="n">
        <f aca="false">'2eme trim 2017 '!B67</f>
        <v>559803</v>
      </c>
      <c r="C70" s="525"/>
      <c r="D70" s="382" t="str">
        <f aca="false">'2eme trim 2017 '!D67</f>
        <v>REEBOU FAMILY</v>
      </c>
      <c r="E70" s="395"/>
      <c r="F70" s="282" t="n">
        <f aca="false">'2eme trim 2017 '!F67</f>
        <v>0</v>
      </c>
      <c r="G70" s="29" t="n">
        <f aca="false">'2eme trim 2017 '!G67</f>
        <v>0</v>
      </c>
      <c r="H70" s="132"/>
      <c r="I70" s="222" t="n">
        <f aca="false">'2eme trim 2017 '!I67</f>
        <v>24.156</v>
      </c>
      <c r="J70" s="439"/>
      <c r="K70" s="478" t="str">
        <f aca="false">IF(AND(A70=F1!$A$1,D70=F1!$B$1),ROW(),"")</f>
        <v/>
      </c>
    </row>
    <row r="71" customFormat="false" ht="17.35" hidden="false" customHeight="false" outlineLevel="0" collapsed="false">
      <c r="A71" s="481" t="str">
        <f aca="false">'2e trim 2016'!A61</f>
        <v>06.2016</v>
      </c>
      <c r="B71" s="469" t="n">
        <f aca="false">'2e trim 2016'!B61</f>
        <v>294392</v>
      </c>
      <c r="C71" s="524"/>
      <c r="D71" s="382" t="str">
        <f aca="false">'2e trim 2016'!D61</f>
        <v>REEBOU start</v>
      </c>
      <c r="E71" s="395"/>
      <c r="F71" s="282" t="n">
        <f aca="false">'2e trim 2016'!F61</f>
        <v>0</v>
      </c>
      <c r="G71" s="29" t="n">
        <f aca="false">'2e trim 2016'!G61</f>
        <v>0</v>
      </c>
      <c r="H71" s="222"/>
      <c r="I71" s="132" t="n">
        <f aca="false">'2e trim 2016'!I61</f>
        <v>12.104</v>
      </c>
      <c r="J71" s="439"/>
      <c r="K71" s="478" t="str">
        <f aca="false">IF(AND(A71=F1!$A$1,D71=F1!$B$1),ROW(),"")</f>
        <v/>
      </c>
    </row>
    <row r="72" customFormat="false" ht="17.35" hidden="false" customHeight="false" outlineLevel="0" collapsed="false">
      <c r="A72" s="481" t="str">
        <f aca="false">'4ème trim 2016'!A48</f>
        <v>11.2016</v>
      </c>
      <c r="B72" s="469" t="n">
        <f aca="false">'4ème trim 2016'!B48</f>
        <v>294392</v>
      </c>
      <c r="C72" s="524"/>
      <c r="D72" s="382" t="str">
        <f aca="false">'4ème trim 2016'!D48</f>
        <v>MOBILE 2007</v>
      </c>
      <c r="E72" s="395"/>
      <c r="F72" s="282" t="n">
        <f aca="false">'4ème trim 2016'!F48</f>
        <v>0</v>
      </c>
      <c r="G72" s="29" t="n">
        <f aca="false">'4ème trim 2016'!G48</f>
        <v>0</v>
      </c>
      <c r="H72" s="222"/>
      <c r="I72" s="132" t="n">
        <f aca="false">'4ème trim 2016'!I48</f>
        <v>134.0112</v>
      </c>
      <c r="J72" s="439"/>
      <c r="K72" s="478" t="str">
        <f aca="false">IF(AND(A72=F1!$A$1,D72=F1!$B$1),ROW(),"")</f>
        <v/>
      </c>
    </row>
    <row r="73" customFormat="false" ht="13.8" hidden="false" customHeight="false" outlineLevel="0" collapsed="false">
      <c r="A73" s="561" t="str">
        <f aca="false">'3eme trim 2017  '!A41</f>
        <v>07.2017</v>
      </c>
      <c r="B73" s="562" t="n">
        <f aca="false">'3eme trim 2017  '!B41</f>
        <v>789809</v>
      </c>
      <c r="C73" s="546"/>
      <c r="D73" s="563" t="str">
        <f aca="false">'3eme trim 2017  '!D41</f>
        <v>MEDICIS GROUP</v>
      </c>
      <c r="E73" s="563"/>
      <c r="F73" s="564" t="n">
        <f aca="false">'3eme trim 2017  '!F41</f>
        <v>0</v>
      </c>
      <c r="G73" s="563" t="n">
        <f aca="false">'3eme trim 2017  '!G41</f>
        <v>0</v>
      </c>
      <c r="H73" s="547"/>
      <c r="I73" s="461" t="n">
        <f aca="false">'3eme trim 2017  '!I41</f>
        <v>134.16375</v>
      </c>
      <c r="J73" s="439" t="s">
        <v>600</v>
      </c>
      <c r="K73" s="478" t="str">
        <f aca="false">IF(AND(A73=F1!$A$1,D73=F1!$B$1),ROW(),"")</f>
        <v/>
      </c>
    </row>
    <row r="74" customFormat="false" ht="17.35" hidden="false" customHeight="false" outlineLevel="0" collapsed="false">
      <c r="A74" s="538" t="str">
        <f aca="false">'2eme trim 2017 '!A64</f>
        <v>06.2017</v>
      </c>
      <c r="B74" s="539" t="n">
        <f aca="false">'2eme trim 2017 '!B64</f>
        <v>789809</v>
      </c>
      <c r="C74" s="540"/>
      <c r="D74" s="541" t="str">
        <f aca="false">'2eme trim 2017 '!D64</f>
        <v>MEDICIS</v>
      </c>
      <c r="E74" s="542"/>
      <c r="F74" s="543" t="n">
        <f aca="false">'2eme trim 2017 '!F64</f>
        <v>0</v>
      </c>
      <c r="G74" s="544" t="n">
        <f aca="false">'2eme trim 2017 '!G64</f>
        <v>0</v>
      </c>
      <c r="H74" s="545"/>
      <c r="I74" s="461" t="n">
        <f aca="false">'2eme trim 2017 '!I64</f>
        <v>134.16375</v>
      </c>
      <c r="J74" s="439" t="s">
        <v>600</v>
      </c>
      <c r="K74" s="478" t="str">
        <f aca="false">IF(AND(A74=F1!$A$1,D74=F1!$B$1),ROW(),"")</f>
        <v/>
      </c>
    </row>
    <row r="75" customFormat="false" ht="17.35" hidden="false" customHeight="false" outlineLevel="0" collapsed="false">
      <c r="A75" s="481" t="str">
        <f aca="false">'2eme trim 2017 '!A48</f>
        <v>05.2017</v>
      </c>
      <c r="B75" s="469" t="n">
        <f aca="false">'2eme trim 2017 '!B48</f>
        <v>715253</v>
      </c>
      <c r="C75" s="524"/>
      <c r="D75" s="382" t="str">
        <f aca="false">'2eme trim 2017 '!D48</f>
        <v>LOGGIA</v>
      </c>
      <c r="E75" s="395"/>
      <c r="F75" s="282" t="n">
        <f aca="false">'2eme trim 2017 '!F48</f>
        <v>0</v>
      </c>
      <c r="G75" s="29" t="n">
        <f aca="false">'2eme trim 2017 '!G48</f>
        <v>0</v>
      </c>
      <c r="H75" s="222"/>
      <c r="I75" s="461" t="n">
        <f aca="false">'2eme trim 2017 '!I48</f>
        <v>108.7668</v>
      </c>
      <c r="J75" s="439"/>
      <c r="K75" s="478" t="str">
        <f aca="false">IF(AND(A75=F1!$A$1,D75=F1!$B$1),ROW(),"")</f>
        <v/>
      </c>
    </row>
    <row r="76" customFormat="false" ht="17.35" hidden="false" customHeight="false" outlineLevel="0" collapsed="false">
      <c r="A76" s="481" t="str">
        <f aca="false">'2eme trim 2017 '!A49</f>
        <v>05.2017</v>
      </c>
      <c r="B76" s="469" t="n">
        <f aca="false">'2eme trim 2017 '!B49</f>
        <v>715253</v>
      </c>
      <c r="C76" s="524"/>
      <c r="D76" s="382" t="str">
        <f aca="false">'2eme trim 2017 '!D49</f>
        <v>LOGGIA</v>
      </c>
      <c r="E76" s="395"/>
      <c r="F76" s="282" t="n">
        <f aca="false">'2eme trim 2017 '!F49</f>
        <v>0</v>
      </c>
      <c r="G76" s="29" t="n">
        <f aca="false">'2eme trim 2017 '!G49</f>
        <v>0</v>
      </c>
      <c r="H76" s="222"/>
      <c r="I76" s="461" t="n">
        <f aca="false">'2eme trim 2017 '!I49</f>
        <v>53.6496</v>
      </c>
      <c r="J76" s="439"/>
      <c r="K76" s="478" t="str">
        <f aca="false">IF(AND(A76=F1!$A$1,D76=F1!$B$1),ROW(),"")</f>
        <v/>
      </c>
    </row>
    <row r="77" customFormat="false" ht="17.35" hidden="false" customHeight="false" outlineLevel="0" collapsed="false">
      <c r="A77" s="538" t="str">
        <f aca="false">'1er trim 2017'!A42</f>
        <v>02.2017</v>
      </c>
      <c r="B77" s="539" t="n">
        <f aca="false">'1er trim 2017'!B42</f>
        <v>119792</v>
      </c>
      <c r="C77" s="546"/>
      <c r="D77" s="541" t="str">
        <f aca="false">'1er trim 2017'!D42</f>
        <v>HORIZONT 60 CAPI</v>
      </c>
      <c r="E77" s="565"/>
      <c r="F77" s="566" t="n">
        <f aca="false">'1er trim 2017'!F42</f>
        <v>0</v>
      </c>
      <c r="G77" s="563" t="n">
        <f aca="false">'1er trim 2017'!G42</f>
        <v>2029</v>
      </c>
      <c r="H77" s="547"/>
      <c r="I77" s="567" t="n">
        <f aca="false">'1er trim 2017'!I42</f>
        <v>460.8</v>
      </c>
      <c r="J77" s="568" t="s">
        <v>601</v>
      </c>
      <c r="K77" s="478" t="str">
        <f aca="false">IF(AND(A77=F1!$A$1,D77=F1!$B$1),ROW(),"")</f>
        <v/>
      </c>
    </row>
    <row r="78" customFormat="false" ht="13.8" hidden="false" customHeight="false" outlineLevel="0" collapsed="false">
      <c r="A78" s="484" t="str">
        <f aca="false">'3eme trim 2017  '!A51</f>
        <v>08.2017</v>
      </c>
      <c r="B78" s="485" t="n">
        <f aca="false">'3eme trim 2017  '!B51</f>
        <v>964206</v>
      </c>
      <c r="C78" s="524"/>
      <c r="D78" s="29" t="str">
        <f aca="false">'3eme trim 2017  '!D51</f>
        <v>MOBILE2016</v>
      </c>
      <c r="E78" s="29"/>
      <c r="F78" s="245" t="n">
        <f aca="false">'3eme trim 2017  '!F51</f>
        <v>0</v>
      </c>
      <c r="G78" s="29" t="n">
        <f aca="false">'3eme trim 2017  '!G51</f>
        <v>0</v>
      </c>
      <c r="H78" s="222"/>
      <c r="I78" s="569" t="n">
        <f aca="false">'3eme trim 2017  '!I51</f>
        <v>71.2211</v>
      </c>
      <c r="J78" s="437"/>
      <c r="K78" s="478" t="str">
        <f aca="false">IF(AND(A78=F1!$A$1,D78=F1!$B$1),ROW(),"")</f>
        <v/>
      </c>
    </row>
    <row r="79" customFormat="false" ht="17.35" hidden="false" customHeight="false" outlineLevel="0" collapsed="false">
      <c r="A79" s="490" t="str">
        <f aca="false">'1er Trimestre 2018'!A31</f>
        <v>02.2018</v>
      </c>
      <c r="B79" s="507" t="n">
        <f aca="false">'1er Trimestre 2018'!B31</f>
        <v>964206</v>
      </c>
      <c r="C79" s="534"/>
      <c r="D79" s="509" t="str">
        <f aca="false">'1er Trimestre 2018'!D31</f>
        <v>HORIZONT60Invest</v>
      </c>
      <c r="E79" s="535"/>
      <c r="F79" s="536" t="n">
        <f aca="false">'1er Trimestre 2018'!F31</f>
        <v>0</v>
      </c>
      <c r="G79" s="537" t="n">
        <f aca="false">'1er Trimestre 2018'!G31</f>
        <v>2032</v>
      </c>
      <c r="H79" s="513"/>
      <c r="I79" s="132" t="n">
        <f aca="false">'1er Trimestre 2018'!I31</f>
        <v>446.88</v>
      </c>
      <c r="J79" s="437"/>
      <c r="K79" s="478" t="str">
        <f aca="false">IF(AND(A79=F1!$A$1,D79=F1!$B$1),ROW(),"")</f>
        <v/>
      </c>
    </row>
    <row r="80" customFormat="false" ht="17.35" hidden="false" customHeight="false" outlineLevel="0" collapsed="false">
      <c r="A80" s="481" t="str">
        <f aca="false">'3eme trim 2017  '!A78</f>
        <v>09.2017</v>
      </c>
      <c r="B80" s="469" t="n">
        <f aca="false">'3eme trim 2017  '!B78</f>
        <v>964206</v>
      </c>
      <c r="C80" s="524"/>
      <c r="D80" s="382" t="str">
        <f aca="false">'3eme trim 2017  '!D78</f>
        <v>REEBOU Family</v>
      </c>
      <c r="E80" s="395"/>
      <c r="F80" s="282" t="n">
        <f aca="false">'3eme trim 2017  '!F78</f>
        <v>0</v>
      </c>
      <c r="G80" s="29" t="n">
        <f aca="false">'3eme trim 2017  '!G78</f>
        <v>0</v>
      </c>
      <c r="H80" s="222"/>
      <c r="I80" s="132" t="n">
        <f aca="false">'3eme trim 2017  '!I78</f>
        <v>44.8404</v>
      </c>
      <c r="J80" s="437"/>
      <c r="K80" s="478" t="str">
        <f aca="false">IF(AND(A80=F1!$A$1,D80=F1!$B$1),ROW(),"")</f>
        <v/>
      </c>
    </row>
    <row r="81" customFormat="false" ht="17.35" hidden="false" customHeight="false" outlineLevel="0" collapsed="false">
      <c r="A81" s="481" t="str">
        <f aca="false">'4ème trim 2016'!A35</f>
        <v>11.2016</v>
      </c>
      <c r="B81" s="469" t="n">
        <f aca="false">'4ème trim 2016'!B35</f>
        <v>288235</v>
      </c>
      <c r="C81" s="524"/>
      <c r="D81" s="382" t="str">
        <f aca="false">'4ème trim 2016'!D35</f>
        <v>REEBOU FAMILY</v>
      </c>
      <c r="E81" s="395"/>
      <c r="F81" s="282" t="n">
        <f aca="false">'4ème trim 2016'!F35</f>
        <v>0</v>
      </c>
      <c r="G81" s="29" t="n">
        <f aca="false">'4ème trim 2016'!G35</f>
        <v>0</v>
      </c>
      <c r="H81" s="222"/>
      <c r="I81" s="132" t="n">
        <f aca="false">'4ème trim 2016'!I35</f>
        <v>22.902</v>
      </c>
      <c r="J81" s="437"/>
      <c r="K81" s="478" t="str">
        <f aca="false">IF(AND(A81=F1!$A$1,D81=F1!$B$1),ROW(),"")</f>
        <v/>
      </c>
    </row>
    <row r="82" customFormat="false" ht="13.8" hidden="false" customHeight="false" outlineLevel="0" collapsed="false">
      <c r="A82" s="484" t="str">
        <f aca="false">'3eme trim 2017  '!A30</f>
        <v>07.2017</v>
      </c>
      <c r="B82" s="485" t="n">
        <f aca="false">'3eme trim 2017  '!B30</f>
        <v>960341</v>
      </c>
      <c r="C82" s="570"/>
      <c r="D82" s="24" t="str">
        <f aca="false">'3eme trim 2017  '!D30</f>
        <v>REEBOU FAMILY</v>
      </c>
      <c r="E82" s="24"/>
      <c r="F82" s="245" t="n">
        <f aca="false">'3eme trim 2017  '!F30</f>
        <v>0</v>
      </c>
      <c r="G82" s="24" t="n">
        <f aca="false">'3eme trim 2017  '!G30</f>
        <v>0</v>
      </c>
      <c r="H82" s="402"/>
      <c r="I82" s="402" t="n">
        <f aca="false">'3eme trim 2017  '!I30</f>
        <v>24.5664</v>
      </c>
      <c r="J82" s="437"/>
      <c r="K82" s="478" t="str">
        <f aca="false">IF(AND(A82=F1!$A$1,D82=F1!$B$1),ROW(),"")</f>
        <v/>
      </c>
    </row>
    <row r="83" customFormat="false" ht="13.8" hidden="false" customHeight="false" outlineLevel="0" collapsed="false">
      <c r="A83" s="484" t="str">
        <f aca="false">'3eme trim 2017  '!A31</f>
        <v>07.2017</v>
      </c>
      <c r="B83" s="517" t="n">
        <f aca="false">'3eme trim 2017  '!B31</f>
        <v>960341</v>
      </c>
      <c r="C83" s="525"/>
      <c r="D83" s="487" t="str">
        <f aca="false">'3eme trim 2017  '!D31</f>
        <v>MOBILE 2016</v>
      </c>
      <c r="E83" s="24"/>
      <c r="F83" s="245" t="n">
        <f aca="false">'3eme trim 2017  '!F31</f>
        <v>0</v>
      </c>
      <c r="G83" s="24" t="n">
        <f aca="false">'3eme trim 2017  '!G31</f>
        <v>0</v>
      </c>
      <c r="H83" s="132"/>
      <c r="I83" s="132" t="n">
        <f aca="false">'3eme trim 2017  '!I31</f>
        <v>126.72</v>
      </c>
      <c r="J83" s="437"/>
      <c r="K83" s="478" t="str">
        <f aca="false">IF(AND(A83=F1!$A$1,D83=F1!$B$1),ROW(),"")</f>
        <v/>
      </c>
    </row>
    <row r="84" customFormat="false" ht="13.8" hidden="false" customHeight="false" outlineLevel="0" collapsed="false">
      <c r="A84" s="484" t="str">
        <f aca="false">'3eme trim 2017  '!A32</f>
        <v>07.2017</v>
      </c>
      <c r="B84" s="517" t="n">
        <f aca="false">'3eme trim 2017  '!B32</f>
        <v>960341</v>
      </c>
      <c r="C84" s="525"/>
      <c r="D84" s="487" t="str">
        <f aca="false">'3eme trim 2017  '!D32</f>
        <v>RC ENSEIGNANT</v>
      </c>
      <c r="E84" s="24"/>
      <c r="F84" s="245" t="n">
        <f aca="false">'3eme trim 2017  '!F32</f>
        <v>0</v>
      </c>
      <c r="G84" s="24" t="n">
        <f aca="false">'3eme trim 2017  '!G32</f>
        <v>0</v>
      </c>
      <c r="H84" s="132"/>
      <c r="I84" s="132" t="n">
        <f aca="false">'3eme trim 2017  '!I32</f>
        <v>3.2988</v>
      </c>
      <c r="J84" s="437"/>
      <c r="K84" s="478" t="str">
        <f aca="false">IF(AND(A84=F1!$A$1,D84=F1!$B$1),ROW(),"")</f>
        <v/>
      </c>
    </row>
    <row r="85" customFormat="false" ht="13.8" hidden="false" customHeight="false" outlineLevel="0" collapsed="false">
      <c r="A85" s="571" t="str">
        <f aca="false">'3eme trim 2017  '!A56</f>
        <v>08.2017</v>
      </c>
      <c r="B85" s="572" t="n">
        <f aca="false">'3eme trim 2017  '!B56</f>
        <v>960341</v>
      </c>
      <c r="C85" s="540"/>
      <c r="D85" s="563" t="str">
        <f aca="false">'3eme trim 2017  '!D56</f>
        <v>HORIZONT60invest</v>
      </c>
      <c r="E85" s="544"/>
      <c r="F85" s="564" t="n">
        <f aca="false">'3eme trim 2017  '!F56</f>
        <v>0</v>
      </c>
      <c r="G85" s="544" t="n">
        <f aca="false">'3eme trim 2017  '!G56</f>
        <v>2050</v>
      </c>
      <c r="H85" s="545"/>
      <c r="I85" s="545" t="n">
        <f aca="false">'3eme trim 2017  '!I56</f>
        <v>475.2</v>
      </c>
      <c r="J85" s="568" t="s">
        <v>601</v>
      </c>
      <c r="K85" s="478" t="str">
        <f aca="false">IF(AND(A85=F1!$A$1,D85=F1!$B$1),ROW(),"")</f>
        <v/>
      </c>
    </row>
    <row r="86" customFormat="false" ht="17.35" hidden="false" customHeight="false" outlineLevel="0" collapsed="false">
      <c r="A86" s="490" t="str">
        <f aca="false">'4eme trim 2017  '!A32</f>
        <v>10.2017</v>
      </c>
      <c r="B86" s="507" t="n">
        <f aca="false">'4eme trim 2017  '!B32</f>
        <v>964321</v>
      </c>
      <c r="C86" s="534"/>
      <c r="D86" s="509" t="str">
        <f aca="false">'4eme trim 2017  '!D32</f>
        <v>MEDICIS</v>
      </c>
      <c r="E86" s="535"/>
      <c r="F86" s="536" t="n">
        <f aca="false">'4eme trim 2017  '!F32</f>
        <v>0</v>
      </c>
      <c r="G86" s="537" t="n">
        <f aca="false">'4eme trim 2017  '!G32</f>
        <v>0</v>
      </c>
      <c r="H86" s="573"/>
      <c r="I86" s="132" t="n">
        <f aca="false">'4eme trim 2017  '!I32</f>
        <v>156.177</v>
      </c>
      <c r="J86" s="437"/>
      <c r="K86" s="478" t="str">
        <f aca="false">IF(AND(A86=F1!$A$1,D86=F1!$B$1),ROW(),"")</f>
        <v/>
      </c>
    </row>
    <row r="87" customFormat="false" ht="17.35" hidden="false" customHeight="false" outlineLevel="0" collapsed="false">
      <c r="A87" s="515" t="str">
        <f aca="false">'4eme trim 2017  '!A71</f>
        <v>12.2017</v>
      </c>
      <c r="B87" s="526" t="n">
        <f aca="false">'4eme trim 2017  '!B71</f>
        <v>121208</v>
      </c>
      <c r="C87" s="527"/>
      <c r="D87" s="382" t="str">
        <f aca="false">'4eme trim 2017  '!D71</f>
        <v>REEBOUpack</v>
      </c>
      <c r="E87" s="528"/>
      <c r="F87" s="529" t="n">
        <f aca="false">'4eme trim 2017  '!F71</f>
        <v>0</v>
      </c>
      <c r="G87" s="530" t="n">
        <f aca="false">'4eme trim 2017  '!G71</f>
        <v>0</v>
      </c>
      <c r="H87" s="574"/>
      <c r="I87" s="531" t="n">
        <f aca="false">'4eme trim 2017  '!I71</f>
        <v>26.4945</v>
      </c>
      <c r="K87" s="478" t="str">
        <f aca="false">IF(AND(A87=F1!$A$1,D87=F1!$B$1),ROW(),"")</f>
        <v/>
      </c>
    </row>
    <row r="88" customFormat="false" ht="17.35" hidden="false" customHeight="false" outlineLevel="0" collapsed="false">
      <c r="A88" s="490" t="str">
        <f aca="false">'4eme trim 2017  '!A72</f>
        <v>12.2017</v>
      </c>
      <c r="B88" s="507" t="n">
        <f aca="false">'4eme trim 2017  '!B72</f>
        <v>770987</v>
      </c>
      <c r="C88" s="534"/>
      <c r="D88" s="509" t="str">
        <f aca="false">'4eme trim 2017  '!D72</f>
        <v>HORIZONT60Invest</v>
      </c>
      <c r="E88" s="535"/>
      <c r="F88" s="536" t="n">
        <f aca="false">'4eme trim 2017  '!F72</f>
        <v>0</v>
      </c>
      <c r="G88" s="537" t="n">
        <f aca="false">'4eme trim 2017  '!G72</f>
        <v>2046</v>
      </c>
      <c r="H88" s="523"/>
      <c r="I88" s="531" t="n">
        <f aca="false">'4eme trim 2017  '!I72</f>
        <v>250.56</v>
      </c>
      <c r="K88" s="478" t="str">
        <f aca="false">IF(AND(A88=F1!$A$1,D88=F1!$B$1),ROW(),"")</f>
        <v/>
      </c>
    </row>
    <row r="89" customFormat="false" ht="17.35" hidden="false" customHeight="false" outlineLevel="0" collapsed="false">
      <c r="A89" s="481" t="str">
        <f aca="false">'3ème trim 2016'!A25</f>
        <v>07.2016</v>
      </c>
      <c r="B89" s="469" t="n">
        <f aca="false">'3ème trim 2016'!B25</f>
        <v>123338</v>
      </c>
      <c r="C89" s="524"/>
      <c r="D89" s="382" t="str">
        <f aca="false">'3ème trim 2016'!D25</f>
        <v>MOBILE Tr.</v>
      </c>
      <c r="E89" s="395"/>
      <c r="F89" s="282" t="n">
        <f aca="false">'3ème trim 2016'!F25</f>
        <v>0</v>
      </c>
      <c r="G89" s="29" t="n">
        <f aca="false">'3ème trim 2016'!G25</f>
        <v>0</v>
      </c>
      <c r="H89" s="222"/>
      <c r="I89" s="132" t="n">
        <f aca="false">'3ème trim 2016'!I25</f>
        <v>32.0129</v>
      </c>
      <c r="J89" s="437"/>
      <c r="K89" s="478" t="str">
        <f aca="false">IF(AND(A89=F1!$A$1,D89=F1!$B$1),ROW(),"")</f>
        <v/>
      </c>
    </row>
    <row r="90" customFormat="false" ht="17.35" hidden="false" customHeight="false" outlineLevel="0" collapsed="false">
      <c r="A90" s="481" t="str">
        <f aca="false">'3ème trim 2016'!A26</f>
        <v>07.2016</v>
      </c>
      <c r="B90" s="469" t="n">
        <f aca="false">'3ème trim 2016'!B26</f>
        <v>123340</v>
      </c>
      <c r="C90" s="524"/>
      <c r="D90" s="382" t="str">
        <f aca="false">'3ème trim 2016'!D26</f>
        <v>MOBILE Tr.</v>
      </c>
      <c r="E90" s="395"/>
      <c r="F90" s="282" t="n">
        <f aca="false">'3ème trim 2016'!F26</f>
        <v>0</v>
      </c>
      <c r="G90" s="29" t="n">
        <f aca="false">'3ème trim 2016'!G26</f>
        <v>0</v>
      </c>
      <c r="H90" s="222"/>
      <c r="I90" s="132" t="n">
        <f aca="false">'3ème trim 2016'!I26</f>
        <v>31.2562</v>
      </c>
      <c r="J90" s="437"/>
      <c r="K90" s="478" t="str">
        <f aca="false">IF(AND(A90=F1!$A$1,D90=F1!$B$1),ROW(),"")</f>
        <v/>
      </c>
    </row>
    <row r="91" customFormat="false" ht="17.35" hidden="false" customHeight="false" outlineLevel="0" collapsed="false">
      <c r="A91" s="481" t="str">
        <f aca="false">'3ème trim 2016'!A27</f>
        <v>07.2016</v>
      </c>
      <c r="B91" s="469" t="n">
        <f aca="false">'3ème trim 2016'!B27</f>
        <v>123340</v>
      </c>
      <c r="C91" s="525"/>
      <c r="D91" s="382" t="str">
        <f aca="false">'3ème trim 2016'!D27</f>
        <v>REEBOU FAMILY Tr</v>
      </c>
      <c r="E91" s="383"/>
      <c r="F91" s="282" t="n">
        <f aca="false">'3ème trim 2016'!F27</f>
        <v>0</v>
      </c>
      <c r="G91" s="24" t="n">
        <f aca="false">'3ème trim 2016'!G27</f>
        <v>0</v>
      </c>
      <c r="H91" s="132"/>
      <c r="I91" s="132" t="n">
        <f aca="false">'3ème trim 2016'!I27</f>
        <v>45.7836</v>
      </c>
      <c r="J91" s="437"/>
      <c r="K91" s="478" t="str">
        <f aca="false">IF(AND(A91=F1!$A$1,D91=F1!$B$1),ROW(),"")</f>
        <v/>
      </c>
    </row>
    <row r="92" customFormat="false" ht="17.35" hidden="false" customHeight="false" outlineLevel="0" collapsed="false">
      <c r="A92" s="481" t="str">
        <f aca="false">'3ème trim 2016'!A37</f>
        <v>08.2016</v>
      </c>
      <c r="B92" s="469" t="n">
        <f aca="false">'3ème trim 2016'!B37</f>
        <v>123340</v>
      </c>
      <c r="C92" s="524"/>
      <c r="D92" s="382" t="str">
        <f aca="false">'3ème trim 2016'!D37</f>
        <v>REEBOU PACK</v>
      </c>
      <c r="E92" s="395"/>
      <c r="F92" s="282" t="n">
        <f aca="false">'3ème trim 2016'!F37</f>
        <v>0</v>
      </c>
      <c r="G92" s="29" t="n">
        <f aca="false">'3ème trim 2016'!G37</f>
        <v>0</v>
      </c>
      <c r="H92" s="222"/>
      <c r="I92" s="132" t="n">
        <f aca="false">'3ème trim 2016'!I37</f>
        <v>16.632</v>
      </c>
      <c r="J92" s="437"/>
      <c r="K92" s="478" t="str">
        <f aca="false">IF(AND(A92=F1!$A$1,D92=F1!$B$1),ROW(),"")</f>
        <v/>
      </c>
    </row>
    <row r="93" customFormat="false" ht="17.35" hidden="false" customHeight="false" outlineLevel="0" collapsed="false">
      <c r="A93" s="481" t="str">
        <f aca="false">'4ème trim 2016'!A22</f>
        <v>11.2016</v>
      </c>
      <c r="B93" s="469" t="n">
        <f aca="false">'4ème trim 2016'!B22</f>
        <v>123340</v>
      </c>
      <c r="C93" s="524"/>
      <c r="D93" s="382" t="str">
        <f aca="false">'4ème trim 2016'!D22</f>
        <v>FLEXIVIE</v>
      </c>
      <c r="E93" s="395"/>
      <c r="F93" s="282" t="n">
        <f aca="false">'4ème trim 2016'!F22</f>
        <v>0</v>
      </c>
      <c r="G93" s="29" t="n">
        <f aca="false">'4ème trim 2016'!G22</f>
        <v>0</v>
      </c>
      <c r="H93" s="222"/>
      <c r="I93" s="132" t="n">
        <f aca="false">'4ème trim 2016'!I22</f>
        <v>0</v>
      </c>
      <c r="J93" s="437"/>
      <c r="K93" s="478" t="str">
        <f aca="false">IF(AND(A93=F1!$A$1,D93=F1!$B$1),ROW(),"")</f>
        <v/>
      </c>
    </row>
    <row r="94" customFormat="false" ht="17.35" hidden="false" customHeight="false" outlineLevel="0" collapsed="false">
      <c r="A94" s="481" t="str">
        <f aca="false">'4ème trim 2016'!A53</f>
        <v>12.2016</v>
      </c>
      <c r="B94" s="469" t="n">
        <f aca="false">'4ème trim 2016'!B53</f>
        <v>265570</v>
      </c>
      <c r="C94" s="524"/>
      <c r="D94" s="382" t="str">
        <f aca="false">'4ème trim 2016'!D53</f>
        <v>MOBILE 2007</v>
      </c>
      <c r="E94" s="395"/>
      <c r="F94" s="282" t="n">
        <f aca="false">'4ème trim 2016'!F53</f>
        <v>0</v>
      </c>
      <c r="G94" s="29" t="n">
        <f aca="false">'4ème trim 2016'!G53</f>
        <v>0</v>
      </c>
      <c r="H94" s="222"/>
      <c r="I94" s="132" t="n">
        <f aca="false">'4ème trim 2016'!I53</f>
        <v>179.408</v>
      </c>
      <c r="J94" s="437"/>
      <c r="K94" s="478" t="str">
        <f aca="false">IF(AND(A94=F1!$A$1,D94=F1!$B$1),ROW(),"")</f>
        <v/>
      </c>
    </row>
    <row r="95" customFormat="false" ht="17.35" hidden="false" customHeight="false" outlineLevel="0" collapsed="false">
      <c r="A95" s="481" t="str">
        <f aca="false">'4eme trim 2017  '!A65</f>
        <v>11.2017</v>
      </c>
      <c r="B95" s="469" t="n">
        <f aca="false">'4eme trim 2017  '!B65</f>
        <v>811892</v>
      </c>
      <c r="C95" s="524"/>
      <c r="D95" s="382" t="str">
        <f aca="false">'4eme trim 2017  '!D65</f>
        <v>REEBOU Family</v>
      </c>
      <c r="E95" s="395"/>
      <c r="F95" s="282" t="n">
        <f aca="false">'4eme trim 2017  '!F65</f>
        <v>0</v>
      </c>
      <c r="G95" s="29" t="n">
        <f aca="false">'4eme trim 2017  '!G65</f>
        <v>0</v>
      </c>
      <c r="H95" s="222"/>
      <c r="I95" s="132" t="n">
        <f aca="false">'4eme trim 2017  '!I65</f>
        <v>50.2776</v>
      </c>
      <c r="J95" s="437"/>
      <c r="K95" s="478" t="str">
        <f aca="false">IF(AND(A95=F1!$A$1,D95=F1!$B$1),ROW(),"")</f>
        <v/>
      </c>
    </row>
    <row r="96" customFormat="false" ht="17.35" hidden="false" customHeight="false" outlineLevel="0" collapsed="false">
      <c r="A96" s="490" t="str">
        <f aca="false">'2e trim 2016'!A58</f>
        <v>06.2016</v>
      </c>
      <c r="B96" s="507" t="n">
        <f aca="false">'2e trim 2016'!B58</f>
        <v>294899</v>
      </c>
      <c r="C96" s="534"/>
      <c r="D96" s="509" t="str">
        <f aca="false">'2e trim 2016'!D58</f>
        <v>SANTE</v>
      </c>
      <c r="E96" s="535"/>
      <c r="F96" s="536" t="n">
        <f aca="false">'2e trim 2016'!F58</f>
        <v>0</v>
      </c>
      <c r="G96" s="537" t="n">
        <f aca="false">'2e trim 2016'!G58</f>
        <v>0</v>
      </c>
      <c r="H96" s="513"/>
      <c r="I96" s="132" t="n">
        <f aca="false">'2e trim 2016'!I58</f>
        <v>98.973</v>
      </c>
      <c r="J96" s="437"/>
      <c r="K96" s="478" t="str">
        <f aca="false">IF(AND(A96=F1!$A$1,D96=F1!$B$1),ROW(),"")</f>
        <v/>
      </c>
    </row>
    <row r="97" customFormat="false" ht="17.35" hidden="false" customHeight="false" outlineLevel="0" collapsed="false">
      <c r="A97" s="490" t="str">
        <f aca="false">'4ème trim 2016'!A62</f>
        <v>12.2016</v>
      </c>
      <c r="B97" s="507" t="n">
        <f aca="false">'4ème trim 2016'!B62</f>
        <v>805394</v>
      </c>
      <c r="C97" s="534"/>
      <c r="D97" s="509" t="str">
        <f aca="false">'4ème trim 2016'!D62</f>
        <v>SANTE</v>
      </c>
      <c r="E97" s="535"/>
      <c r="F97" s="536" t="n">
        <f aca="false">'4ème trim 2016'!F62</f>
        <v>0</v>
      </c>
      <c r="G97" s="537" t="n">
        <f aca="false">'4ème trim 2016'!G62</f>
        <v>0</v>
      </c>
      <c r="H97" s="513"/>
      <c r="I97" s="132" t="n">
        <f aca="false">'4ème trim 2016'!I62</f>
        <v>53.739</v>
      </c>
      <c r="J97" s="437"/>
      <c r="K97" s="478" t="str">
        <f aca="false">IF(AND(A97=F1!$A$1,D97=F1!$B$1),ROW(),"")</f>
        <v/>
      </c>
    </row>
    <row r="98" customFormat="false" ht="17.35" hidden="false" customHeight="false" outlineLevel="0" collapsed="false">
      <c r="A98" s="538" t="str">
        <f aca="false">'1er trim 2017'!A57</f>
        <v>03.2017</v>
      </c>
      <c r="B98" s="539" t="n">
        <f aca="false">'1er trim 2017'!B57</f>
        <v>591621</v>
      </c>
      <c r="C98" s="546"/>
      <c r="D98" s="541" t="str">
        <f aca="false">'1er trim 2017'!D57</f>
        <v>MEDICIS</v>
      </c>
      <c r="E98" s="565"/>
      <c r="F98" s="543" t="n">
        <f aca="false">'1er trim 2017'!F57</f>
        <v>0</v>
      </c>
      <c r="G98" s="563" t="n">
        <f aca="false">'1er trim 2017'!G57</f>
        <v>0</v>
      </c>
      <c r="H98" s="575"/>
      <c r="I98" s="132" t="n">
        <f aca="false">'1er trim 2017'!I57</f>
        <v>98.973</v>
      </c>
      <c r="J98" s="568" t="s">
        <v>602</v>
      </c>
      <c r="K98" s="478" t="str">
        <f aca="false">IF(AND(A98=F1!$A$1,D98=F1!$B$1),ROW(),"")</f>
        <v/>
      </c>
    </row>
    <row r="99" customFormat="false" ht="17.35" hidden="false" customHeight="false" outlineLevel="0" collapsed="false">
      <c r="A99" s="481" t="str">
        <f aca="false">'4ème trim 2016'!A65</f>
        <v>12.2016</v>
      </c>
      <c r="B99" s="469" t="n">
        <f aca="false">'4ème trim 2016'!B65</f>
        <v>774166</v>
      </c>
      <c r="C99" s="524"/>
      <c r="D99" s="382" t="str">
        <f aca="false">'4ème trim 2016'!D65</f>
        <v>REEBOU FAMILY</v>
      </c>
      <c r="E99" s="395"/>
      <c r="F99" s="282" t="n">
        <f aca="false">'4ème trim 2016'!F65</f>
        <v>0</v>
      </c>
      <c r="G99" s="29" t="n">
        <f aca="false">'4ème trim 2016'!G65</f>
        <v>0</v>
      </c>
      <c r="H99" s="222"/>
      <c r="I99" s="132" t="n">
        <f aca="false">'4ème trim 2016'!I65</f>
        <v>77.6988</v>
      </c>
      <c r="J99" s="437"/>
      <c r="K99" s="478" t="str">
        <f aca="false">IF(AND(A99=F1!$A$1,D99=F1!$B$1),ROW(),"")</f>
        <v/>
      </c>
    </row>
    <row r="100" customFormat="false" ht="17.35" hidden="false" customHeight="false" outlineLevel="0" collapsed="false">
      <c r="A100" s="481" t="str">
        <f aca="false">'1er trim 2017'!A18</f>
        <v>01.2017</v>
      </c>
      <c r="B100" s="469" t="n">
        <f aca="false">'1er trim 2017'!B18</f>
        <v>548742</v>
      </c>
      <c r="C100" s="525"/>
      <c r="D100" s="382" t="str">
        <f aca="false">'1er trim 2017'!D18</f>
        <v>REEBOU FAMILY</v>
      </c>
      <c r="E100" s="383"/>
      <c r="F100" s="282" t="n">
        <f aca="false">'1er trim 2017'!F18</f>
        <v>0</v>
      </c>
      <c r="G100" s="24" t="n">
        <f aca="false">'1er trim 2017'!G18</f>
        <v>0</v>
      </c>
      <c r="H100" s="129"/>
      <c r="I100" s="130" t="n">
        <f aca="false">'1er trim 2017'!I18</f>
        <v>25.0308</v>
      </c>
      <c r="J100" s="437"/>
      <c r="K100" s="478" t="str">
        <f aca="false">IF(AND(A100=F1!$A$1,D100=F1!$B$1),ROW(),"")</f>
        <v/>
      </c>
    </row>
    <row r="101" customFormat="false" ht="13.8" hidden="false" customHeight="false" outlineLevel="0" collapsed="false">
      <c r="A101" s="484" t="str">
        <f aca="false">'3eme trim 2017  '!A53</f>
        <v>08.2017</v>
      </c>
      <c r="B101" s="517" t="n">
        <f aca="false">'3eme trim 2017  '!B53</f>
        <v>548742</v>
      </c>
      <c r="C101" s="525"/>
      <c r="D101" s="487" t="str">
        <f aca="false">'3eme trim 2017  '!D53</f>
        <v>MOBILE2016</v>
      </c>
      <c r="E101" s="24"/>
      <c r="F101" s="245" t="n">
        <f aca="false">'3eme trim 2017  '!F53</f>
        <v>0</v>
      </c>
      <c r="G101" s="24" t="n">
        <f aca="false">'3eme trim 2017  '!G53</f>
        <v>0</v>
      </c>
      <c r="H101" s="132"/>
      <c r="I101" s="132" t="n">
        <f aca="false">'3eme trim 2017  '!I53</f>
        <v>44.3394</v>
      </c>
      <c r="J101" s="437"/>
      <c r="K101" s="478" t="str">
        <f aca="false">IF(AND(A101=F1!$A$1,D101=F1!$B$1),ROW(),"")</f>
        <v/>
      </c>
    </row>
    <row r="102" customFormat="false" ht="13.8" hidden="false" customHeight="false" outlineLevel="0" collapsed="false">
      <c r="A102" s="484" t="str">
        <f aca="false">'3eme trim 2017  '!A54</f>
        <v>08.2017</v>
      </c>
      <c r="B102" s="517" t="n">
        <f aca="false">'3eme trim 2017  '!B54</f>
        <v>548743</v>
      </c>
      <c r="C102" s="525"/>
      <c r="D102" s="487" t="str">
        <f aca="false">'3eme trim 2017  '!D54</f>
        <v>MOBILE2016</v>
      </c>
      <c r="E102" s="24"/>
      <c r="F102" s="245" t="n">
        <f aca="false">'3eme trim 2017  '!F54</f>
        <v>0</v>
      </c>
      <c r="G102" s="24" t="n">
        <f aca="false">'3eme trim 2017  '!G54</f>
        <v>0</v>
      </c>
      <c r="H102" s="132"/>
      <c r="I102" s="132" t="n">
        <f aca="false">'3eme trim 2017  '!I54</f>
        <v>61.6941</v>
      </c>
      <c r="J102" s="437"/>
      <c r="K102" s="478" t="str">
        <f aca="false">IF(AND(A102=F1!$A$1,D102=F1!$B$1),ROW(),"")</f>
        <v/>
      </c>
    </row>
    <row r="103" customFormat="false" ht="13.8" hidden="false" customHeight="false" outlineLevel="0" collapsed="false">
      <c r="A103" s="576" t="str">
        <f aca="false">'3eme trim 2017  '!A63</f>
        <v>09.2017</v>
      </c>
      <c r="B103" s="577" t="n">
        <f aca="false">'3eme trim 2017  '!B63</f>
        <v>729789</v>
      </c>
      <c r="C103" s="578"/>
      <c r="D103" s="579" t="str">
        <f aca="false">'3eme trim 2017  '!D63</f>
        <v>HELIOS100Invest</v>
      </c>
      <c r="E103" s="579"/>
      <c r="F103" s="580" t="n">
        <f aca="false">'3eme trim 2017  '!F63</f>
        <v>0</v>
      </c>
      <c r="G103" s="579" t="n">
        <f aca="false">'3eme trim 2017  '!G63</f>
        <v>2032</v>
      </c>
      <c r="H103" s="581"/>
      <c r="I103" s="581" t="n">
        <f aca="false">'3eme trim 2017  '!I63</f>
        <v>145.8</v>
      </c>
      <c r="J103" s="437"/>
      <c r="K103" s="478" t="str">
        <f aca="false">IF(AND(A103=F1!$A$1,D103=F1!$B$1),ROW(),"")</f>
        <v/>
      </c>
    </row>
    <row r="104" customFormat="false" ht="13.8" hidden="false" customHeight="false" outlineLevel="0" collapsed="false">
      <c r="A104" s="516" t="str">
        <f aca="false">'3eme trim 2017  '!A64</f>
        <v>09.2017</v>
      </c>
      <c r="B104" s="517" t="n">
        <f aca="false">'3eme trim 2017  '!B64</f>
        <v>729790</v>
      </c>
      <c r="C104" s="525"/>
      <c r="D104" s="24" t="str">
        <f aca="false">'3eme trim 2017  '!D64</f>
        <v>REEBOU Pack</v>
      </c>
      <c r="E104" s="24"/>
      <c r="F104" s="245" t="str">
        <f aca="false">'3eme trim 2017  '!F64</f>
        <v>X</v>
      </c>
      <c r="G104" s="24" t="n">
        <f aca="false">'3eme trim 2017  '!G64</f>
        <v>0</v>
      </c>
      <c r="H104" s="132"/>
      <c r="I104" s="132" t="n">
        <f aca="false">'3eme trim 2017  '!I64</f>
        <v>8.5365</v>
      </c>
      <c r="J104" s="437"/>
      <c r="K104" s="478" t="str">
        <f aca="false">IF(AND(A104=F1!$A$1,D104=F1!$B$1),ROW(),"")</f>
        <v/>
      </c>
    </row>
    <row r="105" customFormat="false" ht="13.8" hidden="false" customHeight="false" outlineLevel="0" collapsed="false">
      <c r="A105" s="516" t="str">
        <f aca="false">'3eme trim 2017  '!A65</f>
        <v>09.2017</v>
      </c>
      <c r="B105" s="485" t="n">
        <f aca="false">'3eme trim 2017  '!B65</f>
        <v>729790</v>
      </c>
      <c r="C105" s="525"/>
      <c r="D105" s="487" t="str">
        <f aca="false">'3eme trim 2017  '!D65</f>
        <v>P.J.</v>
      </c>
      <c r="E105" s="24"/>
      <c r="F105" s="245" t="str">
        <f aca="false">'3eme trim 2017  '!F65</f>
        <v>X</v>
      </c>
      <c r="G105" s="24" t="n">
        <f aca="false">'3eme trim 2017  '!G65</f>
        <v>0</v>
      </c>
      <c r="H105" s="132"/>
      <c r="I105" s="132" t="n">
        <f aca="false">'3eme trim 2017  '!I65</f>
        <v>6.4425</v>
      </c>
      <c r="J105" s="437"/>
      <c r="K105" s="478" t="str">
        <f aca="false">IF(AND(A105=F1!$A$1,D105=F1!$B$1),ROW(),"")</f>
        <v/>
      </c>
    </row>
    <row r="106" customFormat="false" ht="13.8" hidden="false" customHeight="false" outlineLevel="0" collapsed="false">
      <c r="A106" s="516" t="str">
        <f aca="false">'3eme trim 2017  '!A66</f>
        <v>09.2017</v>
      </c>
      <c r="B106" s="518" t="n">
        <f aca="false">'3eme trim 2017  '!B66</f>
        <v>729789</v>
      </c>
      <c r="C106" s="525"/>
      <c r="D106" s="582" t="str">
        <f aca="false">'3eme trim 2017  '!D66</f>
        <v>REEBOU Family</v>
      </c>
      <c r="E106" s="24"/>
      <c r="F106" s="245" t="str">
        <f aca="false">'3eme trim 2017  '!F66</f>
        <v>X</v>
      </c>
      <c r="G106" s="24" t="n">
        <f aca="false">'3eme trim 2017  '!G66</f>
        <v>0</v>
      </c>
      <c r="H106" s="132"/>
      <c r="I106" s="132" t="n">
        <f aca="false">'3eme trim 2017  '!I66</f>
        <v>19.3542</v>
      </c>
      <c r="J106" s="437"/>
      <c r="K106" s="478" t="str">
        <f aca="false">IF(AND(A106=F1!$A$1,D106=F1!$B$1),ROW(),"")</f>
        <v/>
      </c>
    </row>
    <row r="107" customFormat="false" ht="13.8" hidden="false" customHeight="false" outlineLevel="0" collapsed="false">
      <c r="A107" s="516" t="str">
        <f aca="false">'3eme trim 2017  '!A67</f>
        <v>09.2017</v>
      </c>
      <c r="B107" s="518" t="n">
        <f aca="false">'3eme trim 2017  '!B67</f>
        <v>729789</v>
      </c>
      <c r="C107" s="524"/>
      <c r="D107" s="583" t="str">
        <f aca="false">'3eme trim 2017  '!D67</f>
        <v>MOBILE2016</v>
      </c>
      <c r="E107" s="29"/>
      <c r="F107" s="245" t="str">
        <f aca="false">'3eme trim 2017  '!F67</f>
        <v>X</v>
      </c>
      <c r="G107" s="29" t="n">
        <f aca="false">'3eme trim 2017  '!G67</f>
        <v>0</v>
      </c>
      <c r="H107" s="222"/>
      <c r="I107" s="222" t="n">
        <f aca="false">'3eme trim 2017  '!I67</f>
        <v>87.0692</v>
      </c>
      <c r="J107" s="437"/>
      <c r="K107" s="478" t="str">
        <f aca="false">IF(AND(A107=F1!$A$1,D107=F1!$B$1),ROW(),"")</f>
        <v/>
      </c>
    </row>
    <row r="108" customFormat="false" ht="17.35" hidden="false" customHeight="false" outlineLevel="0" collapsed="false">
      <c r="A108" s="490" t="str">
        <f aca="false">'4eme trim 2017  '!A46</f>
        <v>10.2017</v>
      </c>
      <c r="B108" s="507" t="n">
        <f aca="false">'4eme trim 2017  '!B46</f>
        <v>729789</v>
      </c>
      <c r="C108" s="534"/>
      <c r="D108" s="509" t="str">
        <f aca="false">'4eme trim 2017  '!D46</f>
        <v>MEDICIS</v>
      </c>
      <c r="E108" s="535"/>
      <c r="F108" s="536" t="n">
        <f aca="false">'4eme trim 2017  '!F46</f>
        <v>0</v>
      </c>
      <c r="G108" s="537" t="n">
        <f aca="false">'4eme trim 2017  '!G46</f>
        <v>0</v>
      </c>
      <c r="H108" s="513"/>
      <c r="I108" s="132" t="n">
        <f aca="false">'4eme trim 2017  '!I46</f>
        <v>120.456</v>
      </c>
      <c r="J108" s="437"/>
      <c r="K108" s="478" t="str">
        <f aca="false">IF(AND(A108=F1!$A$1,D108=F1!$B$1),ROW(),"")</f>
        <v/>
      </c>
    </row>
    <row r="109" customFormat="false" ht="17.35" hidden="false" customHeight="false" outlineLevel="0" collapsed="false">
      <c r="A109" s="584" t="str">
        <f aca="false">'4eme trim 2017  '!A90</f>
        <v>12.2017</v>
      </c>
      <c r="B109" s="585" t="n">
        <f aca="false">'4eme trim 2017  '!B90</f>
        <v>729789</v>
      </c>
      <c r="C109" s="586"/>
      <c r="D109" s="580" t="str">
        <f aca="false">'4eme trim 2017  '!D90</f>
        <v>HELIOS100Invest</v>
      </c>
      <c r="E109" s="587"/>
      <c r="F109" s="588" t="n">
        <f aca="false">'4eme trim 2017  '!F90</f>
        <v>0</v>
      </c>
      <c r="G109" s="589" t="n">
        <f aca="false">'4eme trim 2017  '!G90</f>
        <v>2032</v>
      </c>
      <c r="H109" s="590"/>
      <c r="I109" s="590" t="n">
        <f aca="false">'4eme trim 2017  '!I90</f>
        <v>-145.8</v>
      </c>
      <c r="J109" s="556" t="str">
        <f aca="false">'4eme trim 2017  '!K90</f>
        <v>Erreur tx com</v>
      </c>
      <c r="K109" s="478" t="str">
        <f aca="false">IF(AND(A109=F1!$A$1,D109=F1!$B$1),ROW(),"")</f>
        <v/>
      </c>
    </row>
    <row r="110" customFormat="false" ht="17.35" hidden="false" customHeight="false" outlineLevel="0" collapsed="false">
      <c r="A110" s="584" t="str">
        <f aca="false">'4eme trim 2017  '!A91</f>
        <v>12.2017</v>
      </c>
      <c r="B110" s="585" t="n">
        <f aca="false">'4eme trim 2017  '!B91</f>
        <v>729789</v>
      </c>
      <c r="C110" s="586"/>
      <c r="D110" s="580" t="str">
        <f aca="false">'4eme trim 2017  '!D91</f>
        <v>HELIOS100Invest</v>
      </c>
      <c r="E110" s="587"/>
      <c r="F110" s="588" t="n">
        <f aca="false">'4eme trim 2017  '!F91</f>
        <v>0</v>
      </c>
      <c r="G110" s="589" t="n">
        <f aca="false">'4eme trim 2017  '!G91</f>
        <v>2032</v>
      </c>
      <c r="H110" s="590"/>
      <c r="I110" s="590" t="n">
        <f aca="false">'4eme trim 2017  '!I91</f>
        <v>162</v>
      </c>
      <c r="J110" s="556" t="str">
        <f aca="false">'4eme trim 2017  '!K91</f>
        <v>Rectif.tx com</v>
      </c>
      <c r="K110" s="478" t="str">
        <f aca="false">IF(AND(A110=F1!$A$1,D110=F1!$B$1),ROW(),"")</f>
        <v/>
      </c>
    </row>
    <row r="111" customFormat="false" ht="17.35" hidden="false" customHeight="false" outlineLevel="0" collapsed="false">
      <c r="A111" s="481" t="str">
        <f aca="false">'1er trim 2017'!A71</f>
        <v>03.2017</v>
      </c>
      <c r="B111" s="469" t="n">
        <f aca="false">'1er trim 2017'!B71</f>
        <v>702294</v>
      </c>
      <c r="C111" s="525"/>
      <c r="D111" s="382" t="str">
        <f aca="false">'1er trim 2017'!D71</f>
        <v>MOBILE</v>
      </c>
      <c r="E111" s="383"/>
      <c r="F111" s="282" t="n">
        <f aca="false">'1er trim 2017'!F71</f>
        <v>0</v>
      </c>
      <c r="G111" s="24" t="n">
        <f aca="false">'1er trim 2017'!G71</f>
        <v>0</v>
      </c>
      <c r="H111" s="129"/>
      <c r="I111" s="132" t="n">
        <f aca="false">'1er trim 2017'!I71</f>
        <v>95.2626</v>
      </c>
      <c r="J111" s="437"/>
      <c r="K111" s="478" t="str">
        <f aca="false">IF(AND(A111=F1!$A$1,D111=F1!$B$1),ROW(),"")</f>
        <v/>
      </c>
    </row>
    <row r="112" customFormat="false" ht="17.35" hidden="false" customHeight="false" outlineLevel="0" collapsed="false">
      <c r="A112" s="584" t="str">
        <f aca="false">'4ème trim 2016'!A82</f>
        <v>12.2016</v>
      </c>
      <c r="B112" s="591" t="n">
        <f aca="false">'4ème trim 2016'!B82</f>
        <v>127021</v>
      </c>
      <c r="C112" s="592"/>
      <c r="D112" s="593" t="str">
        <f aca="false">'4ème trim 2016'!D82</f>
        <v>HORIZONT 60 CAPI</v>
      </c>
      <c r="E112" s="594"/>
      <c r="F112" s="588" t="n">
        <f aca="false">'4ème trim 2016'!F82</f>
        <v>0</v>
      </c>
      <c r="G112" s="595" t="n">
        <f aca="false">'4ème trim 2016'!G82</f>
        <v>2026</v>
      </c>
      <c r="H112" s="596"/>
      <c r="I112" s="581" t="n">
        <f aca="false">'4ème trim 2016'!I82</f>
        <v>129.6</v>
      </c>
      <c r="J112" s="437"/>
      <c r="K112" s="478" t="str">
        <f aca="false">IF(AND(A112=F1!$A$1,D112=F1!$B$1),ROW(),"")</f>
        <v/>
      </c>
    </row>
    <row r="113" customFormat="false" ht="17.35" hidden="false" customHeight="false" outlineLevel="0" collapsed="false">
      <c r="A113" s="481" t="str">
        <f aca="false">'1er trim 2017'!A14</f>
        <v>01.2017</v>
      </c>
      <c r="B113" s="469" t="n">
        <f aca="false">'1er trim 2017'!B14</f>
        <v>591383</v>
      </c>
      <c r="C113" s="524"/>
      <c r="D113" s="382" t="str">
        <f aca="false">'1er trim 2017'!D14</f>
        <v>MOBILE 2016</v>
      </c>
      <c r="E113" s="395"/>
      <c r="F113" s="282" t="n">
        <f aca="false">'1er trim 2017'!F14</f>
        <v>0</v>
      </c>
      <c r="G113" s="29" t="n">
        <f aca="false">'1er trim 2017'!G14</f>
        <v>0</v>
      </c>
      <c r="H113" s="222"/>
      <c r="I113" s="132" t="n">
        <f aca="false">'1er trim 2017'!I14</f>
        <v>56.0339</v>
      </c>
      <c r="J113" s="437"/>
      <c r="K113" s="478" t="str">
        <f aca="false">IF(AND(A113=F1!$A$1,D113=F1!$B$1),ROW(),"")</f>
        <v/>
      </c>
    </row>
    <row r="114" customFormat="false" ht="17.35" hidden="false" customHeight="false" outlineLevel="0" collapsed="false">
      <c r="A114" s="538" t="str">
        <f aca="false">'1er trim 2017'!A28</f>
        <v>01.2017</v>
      </c>
      <c r="B114" s="539" t="n">
        <f aca="false">'1er trim 2017'!B28</f>
        <v>705800</v>
      </c>
      <c r="C114" s="540"/>
      <c r="D114" s="541" t="str">
        <f aca="false">'1er trim 2017'!D28</f>
        <v>HORIZONT 60 INVEST</v>
      </c>
      <c r="E114" s="542"/>
      <c r="F114" s="543" t="n">
        <f aca="false">'1er trim 2017'!F28</f>
        <v>0</v>
      </c>
      <c r="G114" s="544" t="n">
        <f aca="false">'1er trim 2017'!G28</f>
        <v>2039</v>
      </c>
      <c r="H114" s="545"/>
      <c r="I114" s="547" t="n">
        <f aca="false">'1er trim 2017'!I28</f>
        <v>446.688</v>
      </c>
      <c r="J114" s="437" t="s">
        <v>603</v>
      </c>
      <c r="K114" s="478" t="str">
        <f aca="false">IF(AND(A114=F1!$A$1,D114=F1!$B$1),ROW(),"")</f>
        <v/>
      </c>
    </row>
    <row r="115" customFormat="false" ht="17.35" hidden="false" customHeight="false" outlineLevel="0" collapsed="false">
      <c r="A115" s="481" t="str">
        <f aca="false">'4ème trim 2016'!A51</f>
        <v>12.2016</v>
      </c>
      <c r="B115" s="469" t="n">
        <f aca="false">'4ème trim 2016'!B51</f>
        <v>819472</v>
      </c>
      <c r="C115" s="524"/>
      <c r="D115" s="382" t="str">
        <f aca="false">'4ème trim 2016'!D51</f>
        <v>MOBILE 2007</v>
      </c>
      <c r="E115" s="395"/>
      <c r="F115" s="282" t="n">
        <f aca="false">'4ème trim 2016'!F51</f>
        <v>0</v>
      </c>
      <c r="G115" s="29" t="n">
        <f aca="false">'4ème trim 2016'!G51</f>
        <v>0</v>
      </c>
      <c r="H115" s="222"/>
      <c r="I115" s="132" t="n">
        <f aca="false">'4ème trim 2016'!I51</f>
        <v>101.2812</v>
      </c>
      <c r="J115" s="437"/>
      <c r="K115" s="478" t="str">
        <f aca="false">IF(AND(A115=F1!$A$1,D115=F1!$B$1),ROW(),"")</f>
        <v/>
      </c>
    </row>
    <row r="116" customFormat="false" ht="17.35" hidden="false" customHeight="false" outlineLevel="0" collapsed="false">
      <c r="A116" s="597" t="str">
        <f aca="false">'1er trim 2017'!A22</f>
        <v>01.2017</v>
      </c>
      <c r="B116" s="598" t="n">
        <f aca="false">'1er trim 2017'!B22</f>
        <v>819472</v>
      </c>
      <c r="C116" s="599"/>
      <c r="D116" s="600" t="str">
        <f aca="false">'1er trim 2017'!D22</f>
        <v>HORIZONT 60 INVEST</v>
      </c>
      <c r="E116" s="601"/>
      <c r="F116" s="602" t="n">
        <f aca="false">'1er trim 2017'!F22</f>
        <v>0</v>
      </c>
      <c r="G116" s="603" t="n">
        <f aca="false">'1er trim 2017'!G22</f>
        <v>2030</v>
      </c>
      <c r="H116" s="604"/>
      <c r="I116" s="132" t="n">
        <f aca="false">'1er trim 2017'!I22</f>
        <v>171.6</v>
      </c>
      <c r="J116" s="437"/>
      <c r="K116" s="478" t="str">
        <f aca="false">IF(AND(A116=F1!$A$1,D116=F1!$B$1),ROW(),"")</f>
        <v/>
      </c>
    </row>
    <row r="117" customFormat="false" ht="17.35" hidden="false" customHeight="false" outlineLevel="0" collapsed="false">
      <c r="A117" s="597" t="str">
        <f aca="false">'2eme trim 2017 '!A68</f>
        <v>06.2017</v>
      </c>
      <c r="B117" s="598" t="n">
        <f aca="false">'2eme trim 2017 '!B68</f>
        <v>707630</v>
      </c>
      <c r="C117" s="599"/>
      <c r="D117" s="600" t="str">
        <f aca="false">'2eme trim 2017 '!D68</f>
        <v>MEDICIS</v>
      </c>
      <c r="E117" s="601"/>
      <c r="F117" s="602" t="n">
        <f aca="false">'2eme trim 2017 '!F68</f>
        <v>0</v>
      </c>
      <c r="G117" s="603" t="n">
        <f aca="false">'2eme trim 2017 '!G68</f>
        <v>0</v>
      </c>
      <c r="H117" s="604"/>
      <c r="I117" s="132" t="n">
        <f aca="false">'2eme trim 2017 '!I68</f>
        <v>25.389</v>
      </c>
      <c r="J117" s="437"/>
      <c r="K117" s="478" t="str">
        <f aca="false">IF(AND(A117=F1!$A$1,D117=F1!$B$1),ROW(),"")</f>
        <v/>
      </c>
    </row>
    <row r="118" customFormat="false" ht="17.35" hidden="false" customHeight="false" outlineLevel="0" collapsed="false">
      <c r="A118" s="597" t="str">
        <f aca="false">'1er trim 2017'!A61</f>
        <v>03.2017</v>
      </c>
      <c r="B118" s="598" t="n">
        <f aca="false">'1er trim 2017'!B61</f>
        <v>662380</v>
      </c>
      <c r="C118" s="599"/>
      <c r="D118" s="600" t="str">
        <f aca="false">'1er trim 2017'!D61</f>
        <v>ZENITH 60 Opt. 25</v>
      </c>
      <c r="E118" s="601"/>
      <c r="F118" s="602" t="n">
        <f aca="false">'1er trim 2017'!F61</f>
        <v>0</v>
      </c>
      <c r="G118" s="603" t="n">
        <f aca="false">'1er trim 2017'!G61</f>
        <v>2022</v>
      </c>
      <c r="H118" s="604"/>
      <c r="I118" s="222" t="n">
        <f aca="false">'1er trim 2017'!I61</f>
        <v>354.38472</v>
      </c>
      <c r="J118" s="437" t="s">
        <v>603</v>
      </c>
      <c r="K118" s="478" t="str">
        <f aca="false">IF(AND(A118=F1!$A$1,D118=F1!$B$1),ROW(),"")</f>
        <v/>
      </c>
    </row>
    <row r="119" customFormat="false" ht="17.35" hidden="false" customHeight="false" outlineLevel="0" collapsed="false">
      <c r="A119" s="481" t="str">
        <f aca="false">'1er trim 2017'!A50</f>
        <v>02.2017</v>
      </c>
      <c r="B119" s="469" t="n">
        <f aca="false">'1er trim 2017'!B50</f>
        <v>784374</v>
      </c>
      <c r="C119" s="524"/>
      <c r="D119" s="560" t="str">
        <f aca="false">'1er trim 2017'!D50</f>
        <v>BSH</v>
      </c>
      <c r="E119" s="395"/>
      <c r="F119" s="282" t="n">
        <f aca="false">'1er trim 2017'!F50</f>
        <v>0</v>
      </c>
      <c r="G119" s="29" t="n">
        <f aca="false">'1er trim 2017'!G50</f>
        <v>0</v>
      </c>
      <c r="H119" s="222"/>
      <c r="I119" s="132" t="n">
        <f aca="false">'1er trim 2017'!I50</f>
        <v>168</v>
      </c>
      <c r="J119" s="437"/>
      <c r="K119" s="478" t="str">
        <f aca="false">IF(AND(A119=F1!$A$1,D119=F1!$B$1),ROW(),"")</f>
        <v/>
      </c>
    </row>
    <row r="120" customFormat="false" ht="17.35" hidden="false" customHeight="false" outlineLevel="0" collapsed="false">
      <c r="A120" s="481" t="str">
        <f aca="false">'2eme trim 2017 '!A54</f>
        <v>06.2017</v>
      </c>
      <c r="B120" s="469" t="n">
        <f aca="false">'2eme trim 2017 '!B54</f>
        <v>761980</v>
      </c>
      <c r="C120" s="524"/>
      <c r="D120" s="382" t="str">
        <f aca="false">'2eme trim 2017 '!D54</f>
        <v>MOBILE</v>
      </c>
      <c r="E120" s="395"/>
      <c r="F120" s="282" t="n">
        <f aca="false">'2eme trim 2017 '!F54</f>
        <v>0</v>
      </c>
      <c r="G120" s="29" t="n">
        <f aca="false">'2eme trim 2017 '!G54</f>
        <v>0</v>
      </c>
      <c r="H120" s="222"/>
      <c r="I120" s="132" t="n">
        <f aca="false">'2eme trim 2017 '!I54</f>
        <v>96.5681</v>
      </c>
      <c r="J120" s="437"/>
      <c r="K120" s="478" t="str">
        <f aca="false">IF(AND(A120=F1!$A$1,D120=F1!$B$1),ROW(),"")</f>
        <v/>
      </c>
    </row>
    <row r="121" customFormat="false" ht="17.35" hidden="false" customHeight="false" outlineLevel="0" collapsed="false">
      <c r="A121" s="597" t="str">
        <f aca="false">'1er trim 2017'!A19</f>
        <v>01.2017</v>
      </c>
      <c r="B121" s="598" t="n">
        <f aca="false">'1er trim 2017'!B19</f>
        <v>314323</v>
      </c>
      <c r="C121" s="599"/>
      <c r="D121" s="600" t="str">
        <f aca="false">'1er trim 2017'!D19</f>
        <v>MEDICIS</v>
      </c>
      <c r="E121" s="601"/>
      <c r="F121" s="602" t="n">
        <f aca="false">'1er trim 2017'!F19</f>
        <v>0</v>
      </c>
      <c r="G121" s="603" t="n">
        <f aca="false">'1er trim 2017'!G19</f>
        <v>0</v>
      </c>
      <c r="H121" s="604"/>
      <c r="I121" s="132" t="n">
        <f aca="false">'1er trim 2017'!I19</f>
        <v>236.985</v>
      </c>
      <c r="J121" s="437"/>
      <c r="K121" s="478" t="str">
        <f aca="false">IF(AND(A121=F1!$A$1,D121=F1!$B$1),ROW(),"")</f>
        <v/>
      </c>
    </row>
    <row r="122" customFormat="false" ht="17.35" hidden="false" customHeight="false" outlineLevel="0" collapsed="false">
      <c r="A122" s="481" t="str">
        <f aca="false">'1er Trimestre 2018'!A28</f>
        <v>02.2018</v>
      </c>
      <c r="B122" s="469" t="n">
        <f aca="false">'1er Trimestre 2018'!B28</f>
        <v>300245</v>
      </c>
      <c r="C122" s="524"/>
      <c r="D122" s="382" t="str">
        <f aca="false">'1er Trimestre 2018'!D28</f>
        <v>MOBILE2016</v>
      </c>
      <c r="E122" s="395"/>
      <c r="F122" s="282" t="n">
        <f aca="false">'1er Trimestre 2018'!F28</f>
        <v>0</v>
      </c>
      <c r="G122" s="29" t="n">
        <f aca="false">'1er Trimestre 2018'!G28</f>
        <v>0</v>
      </c>
      <c r="H122" s="222"/>
      <c r="I122" s="132" t="n">
        <f aca="false">'1er Trimestre 2018'!I28</f>
        <v>110.1025</v>
      </c>
      <c r="J122" s="437"/>
      <c r="K122" s="478" t="str">
        <f aca="false">IF(AND(A122=F1!$A$1,D122=F1!$B$1),ROW(),"")</f>
        <v/>
      </c>
    </row>
    <row r="123" customFormat="false" ht="17.35" hidden="false" customHeight="false" outlineLevel="0" collapsed="false">
      <c r="A123" s="481" t="str">
        <f aca="false">'3ème trim 2016'!A33</f>
        <v>07.2016</v>
      </c>
      <c r="B123" s="469" t="n">
        <f aca="false">'3ème trim 2016'!B33</f>
        <v>300245</v>
      </c>
      <c r="C123" s="524"/>
      <c r="D123" s="382" t="str">
        <f aca="false">'3ème trim 2016'!D33</f>
        <v>P.J.</v>
      </c>
      <c r="E123" s="395"/>
      <c r="F123" s="282" t="n">
        <f aca="false">'3ème trim 2016'!F33</f>
        <v>0</v>
      </c>
      <c r="G123" s="29" t="n">
        <f aca="false">'3ème trim 2016'!G33</f>
        <v>0</v>
      </c>
      <c r="H123" s="222"/>
      <c r="I123" s="132" t="n">
        <f aca="false">'3ème trim 2016'!I33</f>
        <v>20.0304</v>
      </c>
      <c r="J123" s="437"/>
      <c r="K123" s="478" t="str">
        <f aca="false">IF(AND(A123=F1!$A$1,D123=F1!$B$1),ROW(),"")</f>
        <v/>
      </c>
    </row>
    <row r="124" customFormat="false" ht="13.8" hidden="false" customHeight="false" outlineLevel="0" collapsed="false">
      <c r="A124" s="484" t="str">
        <f aca="false">'3eme trim 2017  '!A52</f>
        <v>08.2017</v>
      </c>
      <c r="B124" s="518" t="n">
        <f aca="false">'3eme trim 2017  '!B52</f>
        <v>300245</v>
      </c>
      <c r="C124" s="570"/>
      <c r="D124" s="24" t="str">
        <f aca="false">'3eme trim 2017  '!D52</f>
        <v>HORIZONT60invest</v>
      </c>
      <c r="E124" s="24"/>
      <c r="F124" s="245" t="n">
        <f aca="false">'3eme trim 2017  '!F52</f>
        <v>0</v>
      </c>
      <c r="G124" s="24" t="n">
        <f aca="false">'3eme trim 2017  '!G52</f>
        <v>2052</v>
      </c>
      <c r="H124" s="402"/>
      <c r="I124" s="402" t="n">
        <f aca="false">'3eme trim 2017  '!I52</f>
        <v>252</v>
      </c>
      <c r="J124" s="437"/>
      <c r="K124" s="478" t="str">
        <f aca="false">IF(AND(A124=F1!$A$1,D124=F1!$B$1),ROW(),"")</f>
        <v/>
      </c>
    </row>
    <row r="125" customFormat="false" ht="17.35" hidden="false" customHeight="false" outlineLevel="0" collapsed="false">
      <c r="A125" s="481" t="str">
        <f aca="false">'2eme trim 2017 '!A56</f>
        <v>06.2017</v>
      </c>
      <c r="B125" s="469" t="n">
        <f aca="false">'2eme trim 2017 '!B56</f>
        <v>951455</v>
      </c>
      <c r="C125" s="524"/>
      <c r="D125" s="382" t="str">
        <f aca="false">'2eme trim 2017 '!D56</f>
        <v>REEBOU PRO</v>
      </c>
      <c r="E125" s="395"/>
      <c r="F125" s="282" t="n">
        <f aca="false">'2eme trim 2017 '!F56</f>
        <v>0</v>
      </c>
      <c r="G125" s="29" t="n">
        <f aca="false">'2eme trim 2017 '!G56</f>
        <v>0</v>
      </c>
      <c r="H125" s="222"/>
      <c r="I125" s="132" t="n">
        <f aca="false">'2eme trim 2017 '!I56</f>
        <v>38.3028</v>
      </c>
      <c r="J125" s="437"/>
      <c r="K125" s="478" t="str">
        <f aca="false">IF(AND(A125=F1!$A$1,D125=F1!$B$1),ROW(),"")</f>
        <v/>
      </c>
    </row>
    <row r="126" customFormat="false" ht="17.35" hidden="false" customHeight="false" outlineLevel="0" collapsed="false">
      <c r="A126" s="481" t="str">
        <f aca="false">'1er Trimestre 2018'!A39</f>
        <v>02.2018</v>
      </c>
      <c r="B126" s="469" t="n">
        <f aca="false">'1er Trimestre 2018'!B39</f>
        <v>983074</v>
      </c>
      <c r="C126" s="524"/>
      <c r="D126" s="382" t="str">
        <f aca="false">'1er Trimestre 2018'!D39</f>
        <v>MOBILE2016</v>
      </c>
      <c r="E126" s="395"/>
      <c r="F126" s="282" t="n">
        <f aca="false">'1er Trimestre 2018'!F39</f>
        <v>0</v>
      </c>
      <c r="G126" s="29" t="n">
        <f aca="false">'1er Trimestre 2018'!G39</f>
        <v>0</v>
      </c>
      <c r="H126" s="222"/>
      <c r="I126" s="132" t="n">
        <f aca="false">'1er Trimestre 2018'!I39</f>
        <v>65.39615</v>
      </c>
      <c r="J126" s="437"/>
      <c r="K126" s="478" t="str">
        <f aca="false">IF(AND(A126=F1!$A$1,D126=F1!$B$1),ROW(),"")</f>
        <v/>
      </c>
    </row>
    <row r="127" customFormat="false" ht="17.35" hidden="false" customHeight="false" outlineLevel="0" collapsed="false">
      <c r="A127" s="597" t="str">
        <f aca="false">'1er trim 2017'!A17</f>
        <v>01.2017</v>
      </c>
      <c r="B127" s="598" t="n">
        <f aca="false">'1er trim 2017'!B17</f>
        <v>731291</v>
      </c>
      <c r="C127" s="605"/>
      <c r="D127" s="600" t="str">
        <f aca="false">'1er trim 2017'!D17</f>
        <v>HORIZONT 60 INVEST</v>
      </c>
      <c r="E127" s="601"/>
      <c r="F127" s="606" t="n">
        <f aca="false">'1er trim 2017'!F17</f>
        <v>0</v>
      </c>
      <c r="G127" s="607" t="n">
        <f aca="false">'1er trim 2017'!G17</f>
        <v>2036</v>
      </c>
      <c r="H127" s="604"/>
      <c r="I127" s="608" t="n">
        <f aca="false">'1er trim 2017'!I17</f>
        <v>342</v>
      </c>
      <c r="J127" s="448" t="s">
        <v>604</v>
      </c>
      <c r="K127" s="478" t="str">
        <f aca="false">IF(AND(A127=F1!$A$1,D127=F1!$B$1),ROW(),"")</f>
        <v/>
      </c>
    </row>
    <row r="128" customFormat="false" ht="17.35" hidden="false" customHeight="false" outlineLevel="0" collapsed="false">
      <c r="A128" s="481" t="str">
        <f aca="false">'1er trim 2017'!A47</f>
        <v>02.2017</v>
      </c>
      <c r="B128" s="469" t="n">
        <f aca="false">'1er trim 2017'!B47</f>
        <v>515456</v>
      </c>
      <c r="C128" s="609"/>
      <c r="D128" s="382" t="str">
        <f aca="false">'1er trim 2017'!D47</f>
        <v>REEBOU FAMILY</v>
      </c>
      <c r="E128" s="383"/>
      <c r="F128" s="282" t="n">
        <f aca="false">'1er trim 2017'!F47</f>
        <v>0</v>
      </c>
      <c r="G128" s="24" t="n">
        <f aca="false">'1er trim 2017'!G47</f>
        <v>0</v>
      </c>
      <c r="H128" s="129"/>
      <c r="I128" s="132" t="n">
        <f aca="false">'1er trim 2017'!I47</f>
        <v>28.2312</v>
      </c>
      <c r="J128" s="448"/>
      <c r="K128" s="478" t="str">
        <f aca="false">IF(AND(A128=F1!$A$1,D128=F1!$B$1),ROW(),"")</f>
        <v/>
      </c>
    </row>
    <row r="129" customFormat="false" ht="17.35" hidden="false" customHeight="false" outlineLevel="0" collapsed="false">
      <c r="A129" s="481" t="str">
        <f aca="false">'1er trim 2017'!A65</f>
        <v>03.2017</v>
      </c>
      <c r="B129" s="469" t="n">
        <f aca="false">'1er trim 2017'!B65</f>
        <v>297299</v>
      </c>
      <c r="C129" s="524"/>
      <c r="D129" s="382" t="str">
        <f aca="false">'1er trim 2017'!D65</f>
        <v>REEBOU FAMILY</v>
      </c>
      <c r="E129" s="395"/>
      <c r="F129" s="282" t="n">
        <f aca="false">'1er trim 2017'!F65</f>
        <v>0</v>
      </c>
      <c r="G129" s="29" t="n">
        <f aca="false">'1er trim 2017'!G65</f>
        <v>0</v>
      </c>
      <c r="H129" s="222"/>
      <c r="I129" s="132" t="n">
        <f aca="false">'1er trim 2017'!I65</f>
        <v>26.9772</v>
      </c>
      <c r="J129" s="437"/>
      <c r="K129" s="478" t="str">
        <f aca="false">IF(AND(A129=F1!$A$1,D129=F1!$B$1),ROW(),"")</f>
        <v/>
      </c>
    </row>
    <row r="130" customFormat="false" ht="17.35" hidden="false" customHeight="false" outlineLevel="0" collapsed="false">
      <c r="A130" s="481" t="str">
        <f aca="false">'1er trim 2017'!A66</f>
        <v>03.2017</v>
      </c>
      <c r="B130" s="469" t="n">
        <f aca="false">'1er trim 2017'!B66</f>
        <v>297299</v>
      </c>
      <c r="C130" s="524"/>
      <c r="D130" s="382" t="str">
        <f aca="false">'1er trim 2017'!D66</f>
        <v>PACK REEBOU</v>
      </c>
      <c r="E130" s="395"/>
      <c r="F130" s="282" t="n">
        <f aca="false">'1er trim 2017'!F66</f>
        <v>0</v>
      </c>
      <c r="G130" s="29" t="n">
        <f aca="false">'1er trim 2017'!G66</f>
        <v>0</v>
      </c>
      <c r="H130" s="222"/>
      <c r="I130" s="132" t="n">
        <f aca="false">'1er trim 2017'!I66</f>
        <v>16.8135</v>
      </c>
      <c r="J130" s="437"/>
      <c r="K130" s="478" t="str">
        <f aca="false">IF(AND(A130=F1!$A$1,D130=F1!$B$1),ROW(),"")</f>
        <v/>
      </c>
    </row>
    <row r="131" customFormat="false" ht="17.35" hidden="false" customHeight="false" outlineLevel="0" collapsed="false">
      <c r="A131" s="481" t="str">
        <f aca="false">'4ème trim 2016'!A70</f>
        <v>12.2016</v>
      </c>
      <c r="B131" s="469" t="n">
        <f aca="false">'4ème trim 2016'!B70</f>
        <v>515456</v>
      </c>
      <c r="C131" s="525"/>
      <c r="D131" s="382" t="str">
        <f aca="false">'4ème trim 2016'!D70</f>
        <v>MOBILE 2007</v>
      </c>
      <c r="E131" s="383"/>
      <c r="F131" s="282" t="n">
        <f aca="false">'4ème trim 2016'!F70</f>
        <v>0</v>
      </c>
      <c r="G131" s="24" t="n">
        <f aca="false">'4ème trim 2016'!G70</f>
        <v>0</v>
      </c>
      <c r="H131" s="129"/>
      <c r="I131" s="130" t="n">
        <f aca="false">'4ème trim 2016'!I70</f>
        <v>68.2461</v>
      </c>
      <c r="J131" s="437"/>
      <c r="K131" s="478" t="str">
        <f aca="false">IF(AND(A131=F1!$A$1,D131=F1!$B$1),ROW(),"")</f>
        <v/>
      </c>
    </row>
    <row r="132" customFormat="false" ht="17.35" hidden="false" customHeight="false" outlineLevel="0" collapsed="false">
      <c r="A132" s="481" t="str">
        <f aca="false">'4ème trim 2016'!A83</f>
        <v>12.2016</v>
      </c>
      <c r="B132" s="469" t="n">
        <f aca="false">'4ème trim 2016'!B83</f>
        <v>515456</v>
      </c>
      <c r="C132" s="524"/>
      <c r="D132" s="382" t="str">
        <f aca="false">'4ème trim 2016'!D83</f>
        <v>REEBOU FAMILY</v>
      </c>
      <c r="E132" s="395"/>
      <c r="F132" s="282" t="n">
        <f aca="false">'4ème trim 2016'!F83</f>
        <v>0</v>
      </c>
      <c r="G132" s="29" t="n">
        <f aca="false">'4ème trim 2016'!G83</f>
        <v>0</v>
      </c>
      <c r="H132" s="222"/>
      <c r="I132" s="132" t="n">
        <f aca="false">'4ème trim 2016'!I83</f>
        <v>28.8</v>
      </c>
      <c r="J132" s="437"/>
      <c r="K132" s="478" t="str">
        <f aca="false">IF(AND(A132=F1!$A$1,D132=F1!$B$1),ROW(),"")</f>
        <v/>
      </c>
    </row>
    <row r="133" customFormat="false" ht="17.35" hidden="false" customHeight="false" outlineLevel="0" collapsed="false">
      <c r="A133" s="481" t="str">
        <f aca="false">'1er trim 2017'!A23</f>
        <v>01.2017</v>
      </c>
      <c r="B133" s="469" t="n">
        <f aca="false">'1er trim 2017'!B23</f>
        <v>543930</v>
      </c>
      <c r="C133" s="524"/>
      <c r="D133" s="382" t="str">
        <f aca="false">'1er trim 2017'!D23</f>
        <v>RC GENERAL </v>
      </c>
      <c r="E133" s="395"/>
      <c r="F133" s="282" t="n">
        <f aca="false">'1er trim 2017'!F23</f>
        <v>0</v>
      </c>
      <c r="G133" s="29" t="n">
        <f aca="false">'1er trim 2017'!G23</f>
        <v>0</v>
      </c>
      <c r="H133" s="222"/>
      <c r="I133" s="132" t="n">
        <f aca="false">'1er trim 2017'!I23</f>
        <v>18.8028</v>
      </c>
      <c r="J133" s="437"/>
      <c r="K133" s="478" t="str">
        <f aca="false">IF(AND(A133=F1!$A$1,D133=F1!$B$1),ROW(),"")</f>
        <v/>
      </c>
    </row>
    <row r="134" customFormat="false" ht="17.35" hidden="false" customHeight="false" outlineLevel="0" collapsed="false">
      <c r="A134" s="481" t="str">
        <f aca="false">'1er Trimestre 2018'!A29</f>
        <v>02.2018</v>
      </c>
      <c r="B134" s="469" t="n">
        <f aca="false">'1er Trimestre 2018'!B29</f>
        <v>834437</v>
      </c>
      <c r="C134" s="524"/>
      <c r="D134" s="382" t="str">
        <f aca="false">'1er Trimestre 2018'!D29</f>
        <v>MOBILE2016</v>
      </c>
      <c r="E134" s="395"/>
      <c r="F134" s="282" t="n">
        <f aca="false">'1er Trimestre 2018'!F29</f>
        <v>0</v>
      </c>
      <c r="G134" s="29" t="n">
        <f aca="false">'1er Trimestre 2018'!G29</f>
        <v>0</v>
      </c>
      <c r="H134" s="222"/>
      <c r="I134" s="132" t="n">
        <f aca="false">'1er Trimestre 2018'!I29</f>
        <v>36.3915</v>
      </c>
      <c r="J134" s="437"/>
      <c r="K134" s="478" t="str">
        <f aca="false">IF(AND(A134=F1!$A$1,D134=F1!$B$1),ROW(),"")</f>
        <v/>
      </c>
    </row>
    <row r="135" customFormat="false" ht="17.35" hidden="false" customHeight="false" outlineLevel="0" collapsed="false">
      <c r="A135" s="597" t="str">
        <f aca="false">'2e trim 2016'!A21</f>
        <v>04.2016</v>
      </c>
      <c r="B135" s="598" t="n">
        <f aca="false">'2e trim 2016'!B21</f>
        <v>834437</v>
      </c>
      <c r="C135" s="599"/>
      <c r="D135" s="600" t="str">
        <f aca="false">'2e trim 2016'!D21</f>
        <v>ZENITH 60              Op 100</v>
      </c>
      <c r="E135" s="610"/>
      <c r="F135" s="602" t="n">
        <f aca="false">'2e trim 2016'!F21</f>
        <v>0</v>
      </c>
      <c r="G135" s="603" t="n">
        <f aca="false">'2e trim 2016'!G21</f>
        <v>0</v>
      </c>
      <c r="H135" s="604"/>
      <c r="I135" s="132" t="n">
        <f aca="false">'2e trim 2016'!I21</f>
        <v>361.584</v>
      </c>
      <c r="J135" s="437"/>
      <c r="K135" s="478" t="str">
        <f aca="false">IF(AND(A135=F1!$A$1,D135=F1!$B$1),ROW(),"")</f>
        <v/>
      </c>
    </row>
    <row r="136" customFormat="false" ht="17.35" hidden="false" customHeight="false" outlineLevel="0" collapsed="false">
      <c r="A136" s="597" t="str">
        <f aca="false">'4eme trim 2017  '!A51</f>
        <v>11.2017</v>
      </c>
      <c r="B136" s="598" t="n">
        <f aca="false">'4eme trim 2017  '!B51</f>
        <v>834437</v>
      </c>
      <c r="C136" s="599"/>
      <c r="D136" s="600" t="str">
        <f aca="false">'4eme trim 2017  '!D51</f>
        <v>HORIZONT60Invest</v>
      </c>
      <c r="E136" s="601"/>
      <c r="F136" s="602" t="n">
        <f aca="false">'4eme trim 2017  '!F51</f>
        <v>0</v>
      </c>
      <c r="G136" s="603" t="n">
        <f aca="false">'4eme trim 2017  '!G51</f>
        <v>2049</v>
      </c>
      <c r="H136" s="611"/>
      <c r="I136" s="531" t="n">
        <f aca="false">'4eme trim 2017  '!I51</f>
        <v>654.336</v>
      </c>
      <c r="K136" s="478" t="str">
        <f aca="false">IF(AND(A136=F1!$A$1,D136=F1!$B$1),ROW(),"")</f>
        <v/>
      </c>
    </row>
    <row r="137" customFormat="false" ht="17.35" hidden="false" customHeight="false" outlineLevel="0" collapsed="false">
      <c r="A137" s="481" t="str">
        <f aca="false">'1er Trimestre 2018'!A27</f>
        <v>02.2018</v>
      </c>
      <c r="B137" s="469" t="n">
        <f aca="false">'1er Trimestre 2018'!B27</f>
        <v>958444</v>
      </c>
      <c r="C137" s="524"/>
      <c r="D137" s="382" t="str">
        <f aca="false">'1er Trimestre 2018'!D27</f>
        <v>MOBILE2016</v>
      </c>
      <c r="E137" s="395"/>
      <c r="F137" s="282" t="n">
        <f aca="false">'1er Trimestre 2018'!F27</f>
        <v>0</v>
      </c>
      <c r="G137" s="29" t="n">
        <f aca="false">'1er Trimestre 2018'!G27</f>
        <v>0</v>
      </c>
      <c r="H137" s="222"/>
      <c r="I137" s="132" t="n">
        <f aca="false">'1er Trimestre 2018'!I27</f>
        <v>74.801</v>
      </c>
      <c r="J137" s="437"/>
      <c r="K137" s="478" t="str">
        <f aca="false">IF(AND(A137=F1!$A$1,D137=F1!$B$1),ROW(),"")</f>
        <v/>
      </c>
    </row>
    <row r="138" customFormat="false" ht="17.35" hidden="false" customHeight="false" outlineLevel="0" collapsed="false">
      <c r="A138" s="481" t="str">
        <f aca="false">'4ème trim 2016'!A74</f>
        <v>12.2016</v>
      </c>
      <c r="B138" s="469" t="n">
        <f aca="false">'4ème trim 2016'!B74</f>
        <v>798932</v>
      </c>
      <c r="C138" s="525"/>
      <c r="D138" s="382" t="str">
        <f aca="false">'4ème trim 2016'!D74</f>
        <v>MOBILE 2007 TR</v>
      </c>
      <c r="E138" s="383"/>
      <c r="F138" s="282" t="n">
        <f aca="false">'4ème trim 2016'!F74</f>
        <v>0</v>
      </c>
      <c r="G138" s="24" t="n">
        <f aca="false">'4ème trim 2016'!G74</f>
        <v>0</v>
      </c>
      <c r="H138" s="129"/>
      <c r="I138" s="130" t="n">
        <f aca="false">'4ème trim 2016'!I74</f>
        <v>108.1672</v>
      </c>
      <c r="J138" s="437"/>
      <c r="K138" s="478" t="str">
        <f aca="false">IF(AND(A138=F1!$A$1,D138=F1!$B$1),ROW(),"")</f>
        <v/>
      </c>
    </row>
    <row r="139" customFormat="false" ht="17.35" hidden="false" customHeight="false" outlineLevel="0" collapsed="false">
      <c r="A139" s="597" t="str">
        <f aca="false">'1er Trimestre 2018'!A48</f>
        <v>03.2018</v>
      </c>
      <c r="B139" s="598" t="n">
        <f aca="false">'1er Trimestre 2018'!B48</f>
        <v>303417</v>
      </c>
      <c r="C139" s="599"/>
      <c r="D139" s="600" t="str">
        <f aca="false">'1er Trimestre 2018'!D48</f>
        <v>MEDICIS</v>
      </c>
      <c r="E139" s="601"/>
      <c r="F139" s="602" t="n">
        <f aca="false">'1er Trimestre 2018'!F48</f>
        <v>0</v>
      </c>
      <c r="G139" s="603" t="n">
        <f aca="false">'1er Trimestre 2018'!G48</f>
        <v>0</v>
      </c>
      <c r="H139" s="604"/>
      <c r="I139" s="132" t="n">
        <f aca="false">'1er Trimestre 2018'!I48</f>
        <v>105.319375</v>
      </c>
      <c r="J139" s="437"/>
      <c r="K139" s="478" t="str">
        <f aca="false">IF(AND(A139=F1!$A$1,D139=F1!$B$1),ROW(),"")</f>
        <v/>
      </c>
    </row>
    <row r="140" customFormat="false" ht="17.35" hidden="false" customHeight="false" outlineLevel="0" collapsed="false">
      <c r="A140" s="481" t="str">
        <f aca="false">'4eme trim 2017  '!A30</f>
        <v>10.2017</v>
      </c>
      <c r="B140" s="469" t="n">
        <f aca="false">'4eme trim 2017  '!B30</f>
        <v>967212</v>
      </c>
      <c r="C140" s="524"/>
      <c r="D140" s="382" t="str">
        <f aca="false">'4eme trim 2017  '!D30</f>
        <v>MOBILE2016</v>
      </c>
      <c r="E140" s="395"/>
      <c r="F140" s="282" t="n">
        <f aca="false">'4eme trim 2017  '!F30</f>
        <v>0</v>
      </c>
      <c r="G140" s="29" t="n">
        <f aca="false">'4eme trim 2017  '!G30</f>
        <v>0</v>
      </c>
      <c r="H140" s="129"/>
      <c r="I140" s="612" t="n">
        <f aca="false">'4eme trim 2017  '!I30</f>
        <v>56.0465</v>
      </c>
      <c r="K140" s="478" t="str">
        <f aca="false">IF(AND(A140=F1!$A$1,D140=F1!$B$1),ROW(),"")</f>
        <v/>
      </c>
    </row>
    <row r="141" customFormat="false" ht="17.35" hidden="false" customHeight="false" outlineLevel="0" collapsed="false">
      <c r="A141" s="538" t="str">
        <f aca="false">'4ème trim 2016'!A67</f>
        <v>12.2016</v>
      </c>
      <c r="B141" s="539" t="n">
        <f aca="false">'4ème trim 2016'!B67</f>
        <v>812252</v>
      </c>
      <c r="C141" s="540"/>
      <c r="D141" s="541" t="str">
        <f aca="false">'4ème trim 2016'!D67</f>
        <v>HORIZONT 60 CAPI</v>
      </c>
      <c r="E141" s="542"/>
      <c r="F141" s="543" t="n">
        <f aca="false">'4ème trim 2016'!F67</f>
        <v>0</v>
      </c>
      <c r="G141" s="544" t="n">
        <f aca="false">'4ème trim 2016'!G67</f>
        <v>2037</v>
      </c>
      <c r="H141" s="545"/>
      <c r="I141" s="547" t="n">
        <f aca="false">'4ème trim 2016'!I67</f>
        <v>406.08</v>
      </c>
      <c r="J141" s="437"/>
      <c r="K141" s="478" t="str">
        <f aca="false">IF(AND(A141=F1!$A$1,D141=F1!$B$1),ROW(),"")</f>
        <v/>
      </c>
    </row>
    <row r="142" customFormat="false" ht="17.35" hidden="false" customHeight="false" outlineLevel="0" collapsed="false">
      <c r="A142" s="597" t="str">
        <f aca="false">'4eme trim 2017  '!A60</f>
        <v>11.2017</v>
      </c>
      <c r="B142" s="598" t="n">
        <f aca="false">'4eme trim 2017  '!B60</f>
        <v>429665</v>
      </c>
      <c r="C142" s="599"/>
      <c r="D142" s="600" t="str">
        <f aca="false">'4eme trim 2017  '!D60</f>
        <v>HORIZONT60Invest</v>
      </c>
      <c r="E142" s="601"/>
      <c r="F142" s="602" t="n">
        <f aca="false">'4eme trim 2017  '!F60</f>
        <v>0</v>
      </c>
      <c r="G142" s="603" t="n">
        <f aca="false">'4eme trim 2017  '!G60</f>
        <v>2036</v>
      </c>
      <c r="H142" s="604"/>
      <c r="I142" s="132" t="n">
        <f aca="false">'4eme trim 2017  '!I60</f>
        <v>205.2</v>
      </c>
      <c r="J142" s="437"/>
      <c r="K142" s="478" t="str">
        <f aca="false">IF(AND(A142=F1!$A$1,D142=F1!$B$1),ROW(),"")</f>
        <v/>
      </c>
    </row>
    <row r="143" customFormat="false" ht="17.35" hidden="false" customHeight="false" outlineLevel="0" collapsed="false">
      <c r="A143" s="597" t="str">
        <f aca="false">'2eme trim 2017 '!A35</f>
        <v>05.2017</v>
      </c>
      <c r="B143" s="598" t="n">
        <f aca="false">'2eme trim 2017 '!B35</f>
        <v>659424</v>
      </c>
      <c r="C143" s="599"/>
      <c r="D143" s="600" t="str">
        <f aca="false">'2eme trim 2017 '!D35</f>
        <v>HORIZONT 60 INVEST</v>
      </c>
      <c r="E143" s="601"/>
      <c r="F143" s="602" t="n">
        <f aca="false">'2eme trim 2017 '!F35</f>
        <v>0</v>
      </c>
      <c r="G143" s="603" t="n">
        <f aca="false">'2eme trim 2017 '!G35</f>
        <v>2036</v>
      </c>
      <c r="H143" s="604"/>
      <c r="I143" s="132" t="n">
        <f aca="false">'2eme trim 2017 '!I35</f>
        <v>269.28</v>
      </c>
      <c r="J143" s="437"/>
      <c r="K143" s="478" t="str">
        <f aca="false">IF(AND(A143=F1!$A$1,D143=F1!$B$1),ROW(),"")</f>
        <v/>
      </c>
    </row>
    <row r="144" customFormat="false" ht="17.35" hidden="false" customHeight="false" outlineLevel="0" collapsed="false">
      <c r="A144" s="597" t="str">
        <f aca="false">'2eme trim 2017 '!A36</f>
        <v>05.2017</v>
      </c>
      <c r="B144" s="598" t="n">
        <f aca="false">'2eme trim 2017 '!B36</f>
        <v>659426</v>
      </c>
      <c r="C144" s="599"/>
      <c r="D144" s="600" t="str">
        <f aca="false">'2eme trim 2017 '!D36</f>
        <v>HORIZONT 60 INVEST</v>
      </c>
      <c r="E144" s="601"/>
      <c r="F144" s="602" t="n">
        <f aca="false">'2eme trim 2017 '!F36</f>
        <v>0</v>
      </c>
      <c r="G144" s="603" t="n">
        <f aca="false">'2eme trim 2017 '!G36</f>
        <v>2039</v>
      </c>
      <c r="H144" s="604"/>
      <c r="I144" s="132" t="n">
        <f aca="false">'2eme trim 2017 '!I36</f>
        <v>164.16</v>
      </c>
      <c r="J144" s="437"/>
      <c r="K144" s="478" t="str">
        <f aca="false">IF(AND(A144=F1!$A$1,D144=F1!$B$1),ROW(),"")</f>
        <v/>
      </c>
    </row>
    <row r="145" customFormat="false" ht="17.35" hidden="false" customHeight="false" outlineLevel="0" collapsed="false">
      <c r="A145" s="481" t="str">
        <f aca="false">'2e trim 2016'!A19</f>
        <v>04.2016</v>
      </c>
      <c r="B145" s="469" t="n">
        <f aca="false">'2e trim 2016'!B19</f>
        <v>0</v>
      </c>
      <c r="C145" s="524"/>
      <c r="D145" s="560" t="str">
        <f aca="false">'2e trim 2016'!D19</f>
        <v>BSH</v>
      </c>
      <c r="E145" s="395"/>
      <c r="F145" s="282" t="n">
        <f aca="false">'2e trim 2016'!F19</f>
        <v>0</v>
      </c>
      <c r="G145" s="29" t="n">
        <f aca="false">'2e trim 2016'!G19</f>
        <v>0</v>
      </c>
      <c r="H145" s="222"/>
      <c r="I145" s="132" t="n">
        <f aca="false">'2e trim 2016'!I19</f>
        <v>84</v>
      </c>
      <c r="J145" s="437"/>
      <c r="K145" s="478" t="str">
        <f aca="false">IF(AND(A145=F1!$A$1,D145=F1!$B$1),ROW(),"")</f>
        <v/>
      </c>
    </row>
    <row r="146" customFormat="false" ht="17.35" hidden="false" customHeight="false" outlineLevel="0" collapsed="false">
      <c r="A146" s="490" t="str">
        <f aca="false">'2e trim 2016'!A60</f>
        <v>06.2016</v>
      </c>
      <c r="B146" s="507" t="n">
        <f aca="false">'2e trim 2016'!B60</f>
        <v>876066</v>
      </c>
      <c r="C146" s="534"/>
      <c r="D146" s="509" t="str">
        <f aca="false">'2e trim 2016'!D60</f>
        <v>SANTE</v>
      </c>
      <c r="E146" s="535"/>
      <c r="F146" s="536" t="n">
        <f aca="false">'2e trim 2016'!F60</f>
        <v>0</v>
      </c>
      <c r="G146" s="537" t="n">
        <f aca="false">'2e trim 2016'!G60</f>
        <v>0</v>
      </c>
      <c r="H146" s="513"/>
      <c r="I146" s="132" t="n">
        <f aca="false">'2e trim 2016'!I60</f>
        <v>530.6</v>
      </c>
      <c r="J146" s="437"/>
      <c r="K146" s="478" t="str">
        <f aca="false">IF(AND(A146=F1!$A$1,D146=F1!$B$1),ROW(),"")</f>
        <v/>
      </c>
    </row>
    <row r="147" customFormat="false" ht="17.35" hidden="false" customHeight="false" outlineLevel="0" collapsed="false">
      <c r="A147" s="481" t="str">
        <f aca="false">'1er trim 2017'!A72</f>
        <v>03.2017</v>
      </c>
      <c r="B147" s="469" t="n">
        <f aca="false">'1er trim 2017'!B72</f>
        <v>693638</v>
      </c>
      <c r="C147" s="524"/>
      <c r="D147" s="382" t="str">
        <f aca="false">'1er trim 2017'!D72</f>
        <v>MOBILE</v>
      </c>
      <c r="E147" s="395"/>
      <c r="F147" s="282" t="n">
        <f aca="false">'1er trim 2017'!F72</f>
        <v>0</v>
      </c>
      <c r="G147" s="29" t="n">
        <f aca="false">'1er trim 2017'!G72</f>
        <v>0</v>
      </c>
      <c r="H147" s="222"/>
      <c r="I147" s="132" t="n">
        <f aca="false">'1er trim 2017'!I72</f>
        <v>94.2931</v>
      </c>
      <c r="J147" s="437"/>
      <c r="K147" s="478" t="str">
        <f aca="false">IF(AND(A147=F1!$A$1,D147=F1!$B$1),ROW(),"")</f>
        <v/>
      </c>
    </row>
    <row r="148" customFormat="false" ht="17.35" hidden="false" customHeight="false" outlineLevel="0" collapsed="false">
      <c r="A148" s="481" t="str">
        <f aca="false">'4eme trim 2017  '!A38</f>
        <v>10.2017</v>
      </c>
      <c r="B148" s="469" t="n">
        <f aca="false">'4eme trim 2017  '!B38</f>
        <v>693638</v>
      </c>
      <c r="C148" s="524"/>
      <c r="D148" s="382" t="str">
        <f aca="false">'4eme trim 2017  '!D38</f>
        <v>REEBOU Family</v>
      </c>
      <c r="E148" s="395"/>
      <c r="F148" s="282" t="n">
        <f aca="false">'4eme trim 2017  '!F38</f>
        <v>0</v>
      </c>
      <c r="G148" s="29" t="n">
        <f aca="false">'4eme trim 2017  '!G38</f>
        <v>0</v>
      </c>
      <c r="H148" s="129"/>
      <c r="I148" s="612" t="n">
        <f aca="false">'4eme trim 2017  '!I38</f>
        <v>30.7788</v>
      </c>
      <c r="J148" s="437"/>
      <c r="K148" s="478" t="str">
        <f aca="false">IF(AND(A148=F1!$A$1,D148=F1!$B$1),ROW(),"")</f>
        <v/>
      </c>
    </row>
    <row r="149" customFormat="false" ht="17.35" hidden="false" customHeight="false" outlineLevel="0" collapsed="false">
      <c r="A149" s="481" t="str">
        <f aca="false">'4eme trim 2017  '!A66</f>
        <v>11.2017</v>
      </c>
      <c r="B149" s="469" t="n">
        <f aca="false">'4eme trim 2017  '!B66</f>
        <v>972349</v>
      </c>
      <c r="C149" s="524"/>
      <c r="D149" s="382" t="str">
        <f aca="false">'4eme trim 2017  '!D66</f>
        <v>MOBILE2016</v>
      </c>
      <c r="E149" s="395"/>
      <c r="F149" s="282" t="n">
        <f aca="false">'4eme trim 2017  '!F66</f>
        <v>0</v>
      </c>
      <c r="G149" s="29" t="n">
        <f aca="false">'4eme trim 2017  '!G66</f>
        <v>0</v>
      </c>
      <c r="H149" s="222"/>
      <c r="I149" s="132" t="n">
        <f aca="false">'4eme trim 2017  '!I66</f>
        <v>52.5528</v>
      </c>
      <c r="J149" s="437"/>
      <c r="K149" s="478" t="n">
        <f aca="false">IF(AND(A149=F1!$A$1,D149=F1!$B$1),ROW(),"")</f>
        <v>149</v>
      </c>
    </row>
    <row r="150" customFormat="false" ht="17.35" hidden="false" customHeight="false" outlineLevel="0" collapsed="false">
      <c r="A150" s="481" t="str">
        <f aca="false">'2e trim 2016'!A17</f>
        <v>04.2016</v>
      </c>
      <c r="B150" s="469" t="n">
        <f aca="false">'2e trim 2016'!B17</f>
        <v>678265</v>
      </c>
      <c r="C150" s="524"/>
      <c r="D150" s="382" t="str">
        <f aca="false">'2e trim 2016'!D17</f>
        <v>REEBOU FAMILY</v>
      </c>
      <c r="E150" s="395"/>
      <c r="F150" s="282" t="n">
        <f aca="false">'2e trim 2016'!F17</f>
        <v>0</v>
      </c>
      <c r="G150" s="29" t="n">
        <f aca="false">'2e trim 2016'!G17</f>
        <v>0</v>
      </c>
      <c r="H150" s="222"/>
      <c r="I150" s="132" t="n">
        <f aca="false">'2e trim 2016'!I17</f>
        <v>23.808</v>
      </c>
      <c r="J150" s="437"/>
      <c r="K150" s="478" t="str">
        <f aca="false">IF(AND(A150=F1!$A$1,D150=F1!$B$1),ROW(),"")</f>
        <v/>
      </c>
    </row>
    <row r="151" customFormat="false" ht="17.35" hidden="false" customHeight="false" outlineLevel="0" collapsed="false">
      <c r="A151" s="481" t="str">
        <f aca="false">'2eme trim 2017 '!A55</f>
        <v>06.2017</v>
      </c>
      <c r="B151" s="469" t="n">
        <f aca="false">'2eme trim 2017 '!B55</f>
        <v>603592</v>
      </c>
      <c r="C151" s="524"/>
      <c r="D151" s="382" t="str">
        <f aca="false">'2eme trim 2017 '!D55</f>
        <v>LOGGIA</v>
      </c>
      <c r="E151" s="395"/>
      <c r="F151" s="282" t="n">
        <f aca="false">'2eme trim 2017 '!F55</f>
        <v>0</v>
      </c>
      <c r="G151" s="29" t="n">
        <f aca="false">'2eme trim 2017 '!G55</f>
        <v>0</v>
      </c>
      <c r="H151" s="222"/>
      <c r="I151" s="132" t="n">
        <f aca="false">'2eme trim 2017 '!I55</f>
        <v>66.3564</v>
      </c>
      <c r="J151" s="437"/>
      <c r="K151" s="478" t="str">
        <f aca="false">IF(AND(A151=F1!$A$1,D151=F1!$B$1),ROW(),"")</f>
        <v/>
      </c>
    </row>
    <row r="152" customFormat="false" ht="13.8" hidden="false" customHeight="false" outlineLevel="0" collapsed="false">
      <c r="A152" s="481" t="str">
        <f aca="false">'1er trim 2017'!A62</f>
        <v>03.2017</v>
      </c>
      <c r="B152" s="613" t="n">
        <f aca="false">'1er trim 2017'!B62</f>
        <v>603592</v>
      </c>
      <c r="C152" s="614"/>
      <c r="D152" s="245" t="str">
        <f aca="false">'1er trim 2017'!D62</f>
        <v>MOBILE REGIO</v>
      </c>
      <c r="E152" s="245"/>
      <c r="F152" s="245" t="n">
        <f aca="false">'1er trim 2017'!F62</f>
        <v>0</v>
      </c>
      <c r="G152" s="245" t="n">
        <f aca="false">'1er trim 2017'!G62</f>
        <v>0</v>
      </c>
      <c r="H152" s="451"/>
      <c r="I152" s="457" t="n">
        <f aca="false">'1er trim 2017'!I62</f>
        <v>49.3895</v>
      </c>
      <c r="J152" s="437"/>
      <c r="K152" s="478" t="str">
        <f aca="false">IF(AND(A152=F1!$A$1,D152=F1!$B$1),ROW(),"")</f>
        <v/>
      </c>
    </row>
    <row r="153" customFormat="false" ht="13.8" hidden="false" customHeight="false" outlineLevel="0" collapsed="false">
      <c r="A153" s="481" t="str">
        <f aca="false">'1er trim 2017'!A63</f>
        <v>03.2017</v>
      </c>
      <c r="B153" s="613" t="n">
        <f aca="false">'1er trim 2017'!B63</f>
        <v>603592</v>
      </c>
      <c r="C153" s="614"/>
      <c r="D153" s="245" t="str">
        <f aca="false">'1er trim 2017'!D63</f>
        <v>LOGGIA</v>
      </c>
      <c r="E153" s="245"/>
      <c r="F153" s="245" t="n">
        <f aca="false">'1er trim 2017'!F63</f>
        <v>0</v>
      </c>
      <c r="G153" s="245" t="n">
        <f aca="false">'1er trim 2017'!G63</f>
        <v>0</v>
      </c>
      <c r="H153" s="451"/>
      <c r="I153" s="457" t="n">
        <f aca="false">'1er trim 2017'!I63</f>
        <v>65.5476</v>
      </c>
      <c r="J153" s="437"/>
      <c r="K153" s="478" t="str">
        <f aca="false">IF(AND(A153=F1!$A$1,D153=F1!$B$1),ROW(),"")</f>
        <v/>
      </c>
    </row>
    <row r="154" customFormat="false" ht="17.35" hidden="false" customHeight="false" outlineLevel="0" collapsed="false">
      <c r="A154" s="481" t="str">
        <f aca="false">'2e trim 2016'!A42</f>
        <v>05.2016</v>
      </c>
      <c r="B154" s="469" t="n">
        <f aca="false">'2e trim 2016'!B42</f>
        <v>703239</v>
      </c>
      <c r="C154" s="525"/>
      <c r="D154" s="382" t="str">
        <f aca="false">'2e trim 2016'!D42</f>
        <v>MOBILE</v>
      </c>
      <c r="E154" s="383"/>
      <c r="F154" s="282" t="n">
        <f aca="false">'2e trim 2016'!F42</f>
        <v>0</v>
      </c>
      <c r="G154" s="24" t="n">
        <f aca="false">'2e trim 2016'!G42</f>
        <v>0</v>
      </c>
      <c r="H154" s="132"/>
      <c r="I154" s="222" t="n">
        <f aca="false">'2e trim 2016'!I42</f>
        <v>17.1</v>
      </c>
      <c r="J154" s="437"/>
      <c r="K154" s="478" t="str">
        <f aca="false">IF(AND(A154=F1!$A$1,D154=F1!$B$1),ROW(),"")</f>
        <v/>
      </c>
    </row>
    <row r="155" customFormat="false" ht="17.35" hidden="false" customHeight="false" outlineLevel="0" collapsed="false">
      <c r="A155" s="481" t="str">
        <f aca="false">'2e trim 2016'!A56</f>
        <v>06.2016</v>
      </c>
      <c r="B155" s="469" t="n">
        <f aca="false">'2e trim 2016'!B56</f>
        <v>658932</v>
      </c>
      <c r="C155" s="524"/>
      <c r="D155" s="382" t="str">
        <f aca="false">'2e trim 2016'!D56</f>
        <v>PACK REEBOU FAMILY</v>
      </c>
      <c r="E155" s="395"/>
      <c r="F155" s="282" t="n">
        <f aca="false">'2e trim 2016'!F56</f>
        <v>0</v>
      </c>
      <c r="G155" s="29" t="n">
        <f aca="false">'2e trim 2016'!G56</f>
        <v>0</v>
      </c>
      <c r="H155" s="222"/>
      <c r="I155" s="132" t="n">
        <f aca="false">'2e trim 2016'!I56</f>
        <v>16.632</v>
      </c>
      <c r="J155" s="437"/>
      <c r="K155" s="478" t="str">
        <f aca="false">IF(AND(A155=F1!$A$1,D155=F1!$B$1),ROW(),"")</f>
        <v/>
      </c>
    </row>
    <row r="156" customFormat="false" ht="17.35" hidden="false" customHeight="false" outlineLevel="0" collapsed="false">
      <c r="A156" s="490" t="str">
        <f aca="false">'2e trim 2016'!A57</f>
        <v>06.2016</v>
      </c>
      <c r="B156" s="507" t="n">
        <f aca="false">'2e trim 2016'!B57</f>
        <v>658932</v>
      </c>
      <c r="C156" s="534"/>
      <c r="D156" s="509" t="str">
        <f aca="false">'2e trim 2016'!D57</f>
        <v>HELIOS PROTECT 100</v>
      </c>
      <c r="E156" s="535"/>
      <c r="F156" s="536" t="n">
        <f aca="false">'2e trim 2016'!F57</f>
        <v>0</v>
      </c>
      <c r="G156" s="537" t="n">
        <f aca="false">'2e trim 2016'!G57</f>
        <v>2031</v>
      </c>
      <c r="H156" s="513"/>
      <c r="I156" s="132" t="n">
        <f aca="false">'2e trim 2016'!I57</f>
        <v>174.96</v>
      </c>
      <c r="J156" s="437"/>
      <c r="K156" s="478" t="str">
        <f aca="false">IF(AND(A156=F1!$A$1,D156=F1!$B$1),ROW(),"")</f>
        <v/>
      </c>
    </row>
    <row r="157" customFormat="false" ht="17.35" hidden="false" customHeight="false" outlineLevel="0" collapsed="false">
      <c r="A157" s="481" t="str">
        <f aca="false">'2eme trim 2017 '!A45</f>
        <v>05.2017</v>
      </c>
      <c r="B157" s="469" t="n">
        <f aca="false">'2eme trim 2017 '!B45</f>
        <v>841184</v>
      </c>
      <c r="C157" s="525"/>
      <c r="D157" s="382" t="str">
        <f aca="false">'2eme trim 2017 '!D45</f>
        <v>MOBILE</v>
      </c>
      <c r="E157" s="383"/>
      <c r="F157" s="282" t="n">
        <f aca="false">'2eme trim 2017 '!F45</f>
        <v>0</v>
      </c>
      <c r="G157" s="24" t="n">
        <f aca="false">'2eme trim 2017 '!G45</f>
        <v>0</v>
      </c>
      <c r="H157" s="129"/>
      <c r="I157" s="222" t="n">
        <f aca="false">'2eme trim 2017 '!I45</f>
        <v>71.9022</v>
      </c>
      <c r="J157" s="437"/>
      <c r="K157" s="478" t="str">
        <f aca="false">IF(AND(A157=F1!$A$1,D157=F1!$B$1),ROW(),"")</f>
        <v/>
      </c>
    </row>
    <row r="158" customFormat="false" ht="17.35" hidden="false" customHeight="false" outlineLevel="0" collapsed="false">
      <c r="A158" s="481" t="str">
        <f aca="false">'2eme trim 2017 '!A46</f>
        <v>05.2017</v>
      </c>
      <c r="B158" s="469" t="n">
        <f aca="false">'2eme trim 2017 '!B46</f>
        <v>841184</v>
      </c>
      <c r="C158" s="524"/>
      <c r="D158" s="382" t="str">
        <f aca="false">'2eme trim 2017 '!D46</f>
        <v>EUROPE ASSIST.</v>
      </c>
      <c r="E158" s="395"/>
      <c r="F158" s="282" t="n">
        <f aca="false">'2eme trim 2017 '!F46</f>
        <v>0</v>
      </c>
      <c r="G158" s="29" t="n">
        <f aca="false">'2eme trim 2017 '!G46</f>
        <v>0</v>
      </c>
      <c r="H158" s="222"/>
      <c r="I158" s="132" t="n">
        <f aca="false">'2eme trim 2017 '!I46</f>
        <v>0</v>
      </c>
      <c r="J158" s="437"/>
      <c r="K158" s="478" t="str">
        <f aca="false">IF(AND(A158=F1!$A$1,D158=F1!$B$1),ROW(),"")</f>
        <v/>
      </c>
    </row>
    <row r="159" customFormat="false" ht="17.35" hidden="false" customHeight="false" outlineLevel="0" collapsed="false">
      <c r="A159" s="481" t="str">
        <f aca="false">'2e trim 2016'!A20</f>
        <v>04.2016</v>
      </c>
      <c r="B159" s="469" t="n">
        <f aca="false">'2e trim 2016'!B20</f>
        <v>914601</v>
      </c>
      <c r="C159" s="525"/>
      <c r="D159" s="382" t="str">
        <f aca="false">'2e trim 2016'!D20</f>
        <v>REEBOU PACK</v>
      </c>
      <c r="E159" s="383"/>
      <c r="F159" s="282" t="n">
        <f aca="false">'2e trim 2016'!F20</f>
        <v>0</v>
      </c>
      <c r="G159" s="24" t="n">
        <f aca="false">'2e trim 2016'!G20</f>
        <v>0</v>
      </c>
      <c r="H159" s="615"/>
      <c r="I159" s="132" t="n">
        <f aca="false">'2e trim 2016'!I20</f>
        <v>16.632</v>
      </c>
      <c r="J159" s="437"/>
      <c r="K159" s="478" t="str">
        <f aca="false">IF(AND(A159=F1!$A$1,D159=F1!$B$1),ROW(),"")</f>
        <v/>
      </c>
    </row>
    <row r="160" customFormat="false" ht="17.35" hidden="false" customHeight="false" outlineLevel="0" collapsed="false">
      <c r="A160" s="490" t="str">
        <f aca="false">'2e trim 2016'!A43</f>
        <v>05.2016</v>
      </c>
      <c r="B160" s="507" t="n">
        <f aca="false">'2e trim 2016'!B43</f>
        <v>880049</v>
      </c>
      <c r="C160" s="534"/>
      <c r="D160" s="509" t="str">
        <f aca="false">'2e trim 2016'!D43</f>
        <v>HORIZON 60 CAPI</v>
      </c>
      <c r="E160" s="535"/>
      <c r="F160" s="536" t="n">
        <f aca="false">'2e trim 2016'!F43</f>
        <v>0</v>
      </c>
      <c r="G160" s="537" t="n">
        <f aca="false">'2e trim 2016'!G43</f>
        <v>2039</v>
      </c>
      <c r="H160" s="513"/>
      <c r="I160" s="132" t="n">
        <f aca="false">'2e trim 2016'!I43</f>
        <v>198.72</v>
      </c>
      <c r="J160" s="437"/>
      <c r="K160" s="478" t="str">
        <f aca="false">IF(AND(A160=F1!$A$1,D160=F1!$B$1),ROW(),"")</f>
        <v/>
      </c>
    </row>
    <row r="161" customFormat="false" ht="17.35" hidden="false" customHeight="false" outlineLevel="0" collapsed="false">
      <c r="A161" s="481" t="str">
        <f aca="false">'4eme trim 2017  '!A40</f>
        <v>10.2017</v>
      </c>
      <c r="B161" s="469" t="n">
        <f aca="false">'4eme trim 2017  '!B40</f>
        <v>880049</v>
      </c>
      <c r="C161" s="524"/>
      <c r="D161" s="560" t="str">
        <f aca="false">'4eme trim 2017  '!D40</f>
        <v>SCHWABISCHHALL</v>
      </c>
      <c r="E161" s="395"/>
      <c r="F161" s="282" t="n">
        <f aca="false">'4eme trim 2017  '!F40</f>
        <v>0</v>
      </c>
      <c r="G161" s="29" t="n">
        <f aca="false">'4eme trim 2017  '!G40</f>
        <v>0</v>
      </c>
      <c r="H161" s="129"/>
      <c r="I161" s="222" t="n">
        <f aca="false">'4eme trim 2017  '!I40</f>
        <v>252</v>
      </c>
      <c r="J161" s="437"/>
      <c r="K161" s="478" t="str">
        <f aca="false">IF(AND(A161=F1!$A$1,D161=F1!$B$1),ROW(),"")</f>
        <v/>
      </c>
    </row>
    <row r="162" customFormat="false" ht="17.35" hidden="false" customHeight="false" outlineLevel="0" collapsed="false">
      <c r="A162" s="481" t="str">
        <f aca="false">'4eme trim 2017  '!A41</f>
        <v>10.2017</v>
      </c>
      <c r="B162" s="469" t="n">
        <f aca="false">'4eme trim 2017  '!B41</f>
        <v>880049</v>
      </c>
      <c r="C162" s="524"/>
      <c r="D162" s="560" t="str">
        <f aca="false">'4eme trim 2017  '!D41</f>
        <v>SCHWABISCHHALL</v>
      </c>
      <c r="E162" s="395"/>
      <c r="F162" s="282" t="n">
        <f aca="false">'4eme trim 2017  '!F41</f>
        <v>0</v>
      </c>
      <c r="G162" s="29" t="n">
        <f aca="false">'4eme trim 2017  '!G41</f>
        <v>0</v>
      </c>
      <c r="H162" s="129"/>
      <c r="I162" s="130" t="n">
        <f aca="false">'4eme trim 2017  '!I41</f>
        <v>252</v>
      </c>
      <c r="J162" s="437"/>
      <c r="K162" s="478" t="str">
        <f aca="false">IF(AND(A162=F1!$A$1,D162=F1!$B$1),ROW(),"")</f>
        <v/>
      </c>
    </row>
    <row r="163" customFormat="false" ht="17.35" hidden="false" customHeight="false" outlineLevel="0" collapsed="false">
      <c r="A163" s="481" t="str">
        <f aca="false">'4eme trim 2017  '!A42</f>
        <v>10.2017</v>
      </c>
      <c r="B163" s="469" t="n">
        <f aca="false">'4eme trim 2017  '!B42</f>
        <v>880049</v>
      </c>
      <c r="C163" s="524"/>
      <c r="D163" s="560" t="str">
        <f aca="false">'4eme trim 2017  '!D42</f>
        <v>SCHWABISCHHALL</v>
      </c>
      <c r="E163" s="395"/>
      <c r="F163" s="282" t="n">
        <f aca="false">'4eme trim 2017  '!F42</f>
        <v>0</v>
      </c>
      <c r="G163" s="29" t="n">
        <f aca="false">'4eme trim 2017  '!G42</f>
        <v>0</v>
      </c>
      <c r="H163" s="222"/>
      <c r="I163" s="132" t="n">
        <f aca="false">'4eme trim 2017  '!I42</f>
        <v>252</v>
      </c>
      <c r="J163" s="437"/>
      <c r="K163" s="478" t="str">
        <f aca="false">IF(AND(A163=F1!$A$1,D163=F1!$B$1),ROW(),"")</f>
        <v/>
      </c>
    </row>
    <row r="164" customFormat="false" ht="17.35" hidden="false" customHeight="false" outlineLevel="0" collapsed="false">
      <c r="A164" s="538" t="str">
        <f aca="false">'2eme trim 2017 '!A43</f>
        <v>05.2017</v>
      </c>
      <c r="B164" s="539" t="n">
        <f aca="false">'2eme trim 2017 '!B43</f>
        <v>850489</v>
      </c>
      <c r="C164" s="546"/>
      <c r="D164" s="541" t="str">
        <f aca="false">'2eme trim 2017 '!D43</f>
        <v>MEDICIS</v>
      </c>
      <c r="E164" s="565"/>
      <c r="F164" s="543" t="n">
        <f aca="false">'2eme trim 2017 '!F43</f>
        <v>0</v>
      </c>
      <c r="G164" s="563" t="n">
        <f aca="false">'2eme trim 2017 '!G43</f>
        <v>0</v>
      </c>
      <c r="H164" s="616"/>
      <c r="I164" s="132" t="n">
        <f aca="false">'2eme trim 2017 '!I43</f>
        <v>124.24825</v>
      </c>
      <c r="J164" s="437" t="n">
        <v>610224899</v>
      </c>
      <c r="K164" s="478" t="str">
        <f aca="false">IF(AND(A164=F1!$A$1,D164=F1!$B$1),ROW(),"")</f>
        <v/>
      </c>
    </row>
    <row r="165" customFormat="false" ht="13.8" hidden="false" customHeight="false" outlineLevel="0" collapsed="false">
      <c r="A165" s="484" t="str">
        <f aca="false">'3eme trim 2017  '!A44</f>
        <v>07.2017</v>
      </c>
      <c r="B165" s="485" t="n">
        <f aca="false">'3eme trim 2017  '!B44</f>
        <v>520444</v>
      </c>
      <c r="C165" s="525"/>
      <c r="D165" s="487" t="str">
        <f aca="false">'3eme trim 2017  '!D44</f>
        <v>MOBILE 2016</v>
      </c>
      <c r="E165" s="24"/>
      <c r="F165" s="245" t="n">
        <f aca="false">'3eme trim 2017  '!F44</f>
        <v>0</v>
      </c>
      <c r="G165" s="24" t="n">
        <f aca="false">'3eme trim 2017  '!G44</f>
        <v>0</v>
      </c>
      <c r="H165" s="132"/>
      <c r="I165" s="132" t="n">
        <f aca="false">'3eme trim 2017  '!I44</f>
        <v>66.4527</v>
      </c>
      <c r="J165" s="437"/>
      <c r="K165" s="478" t="str">
        <f aca="false">IF(AND(A165=F1!$A$1,D165=F1!$B$1),ROW(),"")</f>
        <v/>
      </c>
    </row>
    <row r="166" customFormat="false" ht="17.35" hidden="false" customHeight="false" outlineLevel="0" collapsed="false">
      <c r="A166" s="617" t="str">
        <f aca="false">'3ème trim 2016'!A31</f>
        <v>07.2016</v>
      </c>
      <c r="B166" s="618" t="n">
        <f aca="false">'3ème trim 2016'!B31</f>
        <v>299445</v>
      </c>
      <c r="C166" s="619"/>
      <c r="D166" s="620" t="str">
        <f aca="false">'3ème trim 2016'!D31</f>
        <v>FOCUS INVEST</v>
      </c>
      <c r="E166" s="621"/>
      <c r="F166" s="622" t="n">
        <f aca="false">'3ème trim 2016'!F31</f>
        <v>0</v>
      </c>
      <c r="G166" s="623" t="n">
        <f aca="false">'3ème trim 2016'!G31</f>
        <v>2046</v>
      </c>
      <c r="H166" s="624"/>
      <c r="I166" s="132" t="n">
        <f aca="false">'3ème trim 2016'!I31</f>
        <v>23.9364</v>
      </c>
      <c r="J166" s="437"/>
      <c r="K166" s="478" t="str">
        <f aca="false">IF(AND(A166=F1!$A$1,D166=F1!$B$1),ROW(),"")</f>
        <v/>
      </c>
    </row>
    <row r="167" customFormat="false" ht="17.35" hidden="false" customHeight="false" outlineLevel="0" collapsed="false">
      <c r="A167" s="481" t="str">
        <f aca="false">'3ème trim 2016'!A35</f>
        <v>08.2016</v>
      </c>
      <c r="B167" s="469" t="n">
        <f aca="false">'3ème trim 2016'!B35</f>
        <v>299445</v>
      </c>
      <c r="C167" s="524"/>
      <c r="D167" s="382" t="str">
        <f aca="false">'3ème trim 2016'!D35</f>
        <v>MOBILE</v>
      </c>
      <c r="E167" s="395"/>
      <c r="F167" s="282" t="n">
        <f aca="false">'3ème trim 2016'!F35</f>
        <v>0</v>
      </c>
      <c r="G167" s="29" t="n">
        <f aca="false">'3ème trim 2016'!G35</f>
        <v>0</v>
      </c>
      <c r="H167" s="222"/>
      <c r="I167" s="132" t="n">
        <f aca="false">'3ème trim 2016'!I35</f>
        <v>38.3706</v>
      </c>
      <c r="J167" s="437"/>
      <c r="K167" s="478" t="str">
        <f aca="false">IF(AND(A167=F1!$A$1,D167=F1!$B$1),ROW(),"")</f>
        <v/>
      </c>
    </row>
    <row r="168" customFormat="false" ht="17.35" hidden="false" customHeight="false" outlineLevel="0" collapsed="false">
      <c r="A168" s="481" t="str">
        <f aca="false">'3ème trim 2016'!A36</f>
        <v>08.2016</v>
      </c>
      <c r="B168" s="469" t="n">
        <f aca="false">'3ème trim 2016'!B36</f>
        <v>299445</v>
      </c>
      <c r="C168" s="524"/>
      <c r="D168" s="382" t="str">
        <f aca="false">'3ème trim 2016'!D36</f>
        <v>RC VIE PRIVE</v>
      </c>
      <c r="E168" s="395"/>
      <c r="F168" s="282" t="n">
        <f aca="false">'3ème trim 2016'!F36</f>
        <v>0</v>
      </c>
      <c r="G168" s="29" t="n">
        <f aca="false">'3ème trim 2016'!G36</f>
        <v>0</v>
      </c>
      <c r="H168" s="222"/>
      <c r="I168" s="132" t="n">
        <f aca="false">'3ème trim 2016'!I36</f>
        <v>21.8688</v>
      </c>
      <c r="J168" s="437"/>
      <c r="K168" s="478" t="str">
        <f aca="false">IF(AND(A168=F1!$A$1,D168=F1!$B$1),ROW(),"")</f>
        <v/>
      </c>
    </row>
    <row r="169" customFormat="false" ht="13.8" hidden="false" customHeight="false" outlineLevel="0" collapsed="false">
      <c r="A169" s="625" t="str">
        <f aca="false">'3eme trim 2017  '!A49</f>
        <v>08.2017</v>
      </c>
      <c r="B169" s="626" t="n">
        <f aca="false">'3eme trim 2017  '!B49</f>
        <v>963163</v>
      </c>
      <c r="C169" s="627"/>
      <c r="D169" s="628" t="str">
        <f aca="false">'3eme trim 2017  '!D49</f>
        <v>HORIZONT60Invest</v>
      </c>
      <c r="E169" s="629"/>
      <c r="F169" s="630" t="n">
        <f aca="false">'3eme trim 2017  '!F49</f>
        <v>0</v>
      </c>
      <c r="G169" s="629" t="n">
        <f aca="false">'3eme trim 2017  '!G49</f>
        <v>2033</v>
      </c>
      <c r="H169" s="631"/>
      <c r="I169" s="132" t="n">
        <f aca="false">'3eme trim 2017  '!I49</f>
        <v>230.4</v>
      </c>
      <c r="J169" s="437"/>
      <c r="K169" s="478" t="str">
        <f aca="false">IF(AND(A169=F1!$A$1,D169=F1!$B$1),ROW(),"")</f>
        <v/>
      </c>
    </row>
    <row r="170" customFormat="false" ht="17.35" hidden="false" customHeight="false" outlineLevel="0" collapsed="false">
      <c r="A170" s="481" t="str">
        <f aca="false">'1er Trimestre 2018'!A41</f>
        <v>02.2018</v>
      </c>
      <c r="B170" s="469" t="n">
        <f aca="false">'1er Trimestre 2018'!B41</f>
        <v>244454</v>
      </c>
      <c r="C170" s="524"/>
      <c r="D170" s="382" t="str">
        <f aca="false">'1er Trimestre 2018'!D41</f>
        <v>REEBOU Pack</v>
      </c>
      <c r="E170" s="395"/>
      <c r="F170" s="282" t="n">
        <f aca="false">'1er Trimestre 2018'!F41</f>
        <v>0</v>
      </c>
      <c r="G170" s="29" t="n">
        <f aca="false">'1er Trimestre 2018'!G41</f>
        <v>0</v>
      </c>
      <c r="H170" s="222"/>
      <c r="I170" s="132" t="n">
        <f aca="false">'1er Trimestre 2018'!I41</f>
        <v>14.1688</v>
      </c>
      <c r="J170" s="437"/>
      <c r="K170" s="478" t="str">
        <f aca="false">IF(AND(A170=F1!$A$1,D170=F1!$B$1),ROW(),"")</f>
        <v/>
      </c>
    </row>
    <row r="171" customFormat="false" ht="17.35" hidden="false" customHeight="false" outlineLevel="0" collapsed="false">
      <c r="A171" s="617" t="str">
        <f aca="false">'1er Trimestre 2018'!A45</f>
        <v>03.2018</v>
      </c>
      <c r="B171" s="618" t="n">
        <f aca="false">'1er Trimestre 2018'!B45</f>
        <v>421848</v>
      </c>
      <c r="C171" s="619"/>
      <c r="D171" s="620" t="str">
        <f aca="false">'1er Trimestre 2018'!D45</f>
        <v>HORIZONT60Invest</v>
      </c>
      <c r="E171" s="621"/>
      <c r="F171" s="622" t="n">
        <f aca="false">'1er Trimestre 2018'!F45</f>
        <v>0</v>
      </c>
      <c r="G171" s="623" t="n">
        <f aca="false">'1er Trimestre 2018'!G45</f>
        <v>2041</v>
      </c>
      <c r="H171" s="624"/>
      <c r="I171" s="132" t="n">
        <f aca="false">'1er Trimestre 2018'!I45</f>
        <v>331.2</v>
      </c>
      <c r="J171" s="437"/>
      <c r="K171" s="478" t="str">
        <f aca="false">IF(AND(A171=F1!$A$1,D171=F1!$B$1),ROW(),"")</f>
        <v/>
      </c>
    </row>
    <row r="172" customFormat="false" ht="17.35" hidden="false" customHeight="false" outlineLevel="0" collapsed="false">
      <c r="A172" s="481" t="str">
        <f aca="false">'2e trim 2016'!A23</f>
        <v>04.2016</v>
      </c>
      <c r="B172" s="469" t="n">
        <f aca="false">'2e trim 2016'!B23</f>
        <v>421848</v>
      </c>
      <c r="C172" s="524"/>
      <c r="D172" s="382" t="str">
        <f aca="false">'2e trim 2016'!D23</f>
        <v>MOBILE</v>
      </c>
      <c r="E172" s="395"/>
      <c r="F172" s="282" t="n">
        <f aca="false">'2e trim 2016'!F23</f>
        <v>0</v>
      </c>
      <c r="G172" s="29" t="n">
        <f aca="false">'2e trim 2016'!G23</f>
        <v>0</v>
      </c>
      <c r="H172" s="222"/>
      <c r="I172" s="132" t="n">
        <f aca="false">'2e trim 2016'!I23</f>
        <v>43.56</v>
      </c>
      <c r="J172" s="437"/>
      <c r="K172" s="478" t="str">
        <f aca="false">IF(AND(A172=F1!$A$1,D172=F1!$B$1),ROW(),"")</f>
        <v/>
      </c>
    </row>
    <row r="173" customFormat="false" ht="17.35" hidden="false" customHeight="false" outlineLevel="0" collapsed="false">
      <c r="A173" s="481" t="str">
        <f aca="false">'2e trim 2016'!A24</f>
        <v>04.2016</v>
      </c>
      <c r="B173" s="469" t="n">
        <f aca="false">'2e trim 2016'!B24</f>
        <v>421848</v>
      </c>
      <c r="C173" s="524"/>
      <c r="D173" s="382" t="str">
        <f aca="false">'2e trim 2016'!D24</f>
        <v>MOBILE</v>
      </c>
      <c r="E173" s="395"/>
      <c r="F173" s="282" t="n">
        <f aca="false">'2e trim 2016'!F24</f>
        <v>0</v>
      </c>
      <c r="G173" s="29" t="n">
        <f aca="false">'2e trim 2016'!G24</f>
        <v>0</v>
      </c>
      <c r="H173" s="222"/>
      <c r="I173" s="132" t="n">
        <f aca="false">'2e trim 2016'!I24</f>
        <v>33.06</v>
      </c>
      <c r="J173" s="437"/>
      <c r="K173" s="478" t="str">
        <f aca="false">IF(AND(A173=F1!$A$1,D173=F1!$B$1),ROW(),"")</f>
        <v/>
      </c>
    </row>
    <row r="174" customFormat="false" ht="17.35" hidden="false" customHeight="false" outlineLevel="0" collapsed="false">
      <c r="A174" s="481" t="str">
        <f aca="false">'2e trim 2016'!A25</f>
        <v>04.2016</v>
      </c>
      <c r="B174" s="469" t="n">
        <f aca="false">'2e trim 2016'!B25</f>
        <v>421848</v>
      </c>
      <c r="C174" s="525"/>
      <c r="D174" s="382" t="str">
        <f aca="false">'2e trim 2016'!D25</f>
        <v>REEBOU PACK</v>
      </c>
      <c r="E174" s="383"/>
      <c r="F174" s="282" t="n">
        <f aca="false">'2e trim 2016'!F25</f>
        <v>0</v>
      </c>
      <c r="G174" s="24" t="n">
        <f aca="false">'2e trim 2016'!G25</f>
        <v>0</v>
      </c>
      <c r="H174" s="129"/>
      <c r="I174" s="132" t="n">
        <f aca="false">'2e trim 2016'!I25</f>
        <v>16.632</v>
      </c>
      <c r="J174" s="437"/>
      <c r="K174" s="478" t="str">
        <f aca="false">IF(AND(A174=F1!$A$1,D174=F1!$B$1),ROW(),"")</f>
        <v/>
      </c>
    </row>
    <row r="175" customFormat="false" ht="17.35" hidden="false" customHeight="false" outlineLevel="0" collapsed="false">
      <c r="A175" s="481" t="str">
        <f aca="false">'2e trim 2016'!A26</f>
        <v>04.2016</v>
      </c>
      <c r="B175" s="469" t="n">
        <f aca="false">'2e trim 2016'!B26</f>
        <v>421848</v>
      </c>
      <c r="C175" s="524"/>
      <c r="D175" s="382" t="str">
        <f aca="false">'2e trim 2016'!D26</f>
        <v>REEBOU FAMILY</v>
      </c>
      <c r="E175" s="395"/>
      <c r="F175" s="282" t="n">
        <f aca="false">'2e trim 2016'!F26</f>
        <v>0</v>
      </c>
      <c r="G175" s="29" t="n">
        <f aca="false">'2e trim 2016'!G26</f>
        <v>0</v>
      </c>
      <c r="H175" s="222"/>
      <c r="I175" s="132" t="n">
        <f aca="false">'2e trim 2016'!I26</f>
        <v>33.12</v>
      </c>
      <c r="J175" s="437"/>
      <c r="K175" s="478" t="str">
        <f aca="false">IF(AND(A175=F1!$A$1,D175=F1!$B$1),ROW(),"")</f>
        <v/>
      </c>
    </row>
    <row r="176" customFormat="false" ht="17.35" hidden="false" customHeight="false" outlineLevel="0" collapsed="false">
      <c r="A176" s="481" t="str">
        <f aca="false">'2e trim 2016'!A31</f>
        <v>04.2016</v>
      </c>
      <c r="B176" s="469" t="n">
        <f aca="false">'2e trim 2016'!B31</f>
        <v>820795</v>
      </c>
      <c r="C176" s="524"/>
      <c r="D176" s="632" t="str">
        <f aca="false">'2e trim 2016'!D31</f>
        <v>BSH</v>
      </c>
      <c r="E176" s="395"/>
      <c r="F176" s="282" t="n">
        <f aca="false">'2e trim 2016'!F31</f>
        <v>0</v>
      </c>
      <c r="G176" s="29" t="n">
        <f aca="false">'2e trim 2016'!G31</f>
        <v>0</v>
      </c>
      <c r="H176" s="222"/>
      <c r="I176" s="132" t="n">
        <f aca="false">'2e trim 2016'!I31</f>
        <v>84</v>
      </c>
      <c r="J176" s="437"/>
      <c r="K176" s="478" t="str">
        <f aca="false">IF(AND(A176=F1!$A$1,D176=F1!$B$1),ROW(),"")</f>
        <v/>
      </c>
    </row>
    <row r="177" customFormat="false" ht="17.35" hidden="false" customHeight="false" outlineLevel="0" collapsed="false">
      <c r="A177" s="481" t="str">
        <f aca="false">'2e trim 2016'!A32</f>
        <v>04.2016</v>
      </c>
      <c r="B177" s="469" t="n">
        <f aca="false">'2e trim 2016'!B32</f>
        <v>820795</v>
      </c>
      <c r="C177" s="525"/>
      <c r="D177" s="632" t="str">
        <f aca="false">'2e trim 2016'!D32</f>
        <v>BSH</v>
      </c>
      <c r="E177" s="395"/>
      <c r="F177" s="282" t="n">
        <f aca="false">'2e trim 2016'!F32</f>
        <v>0</v>
      </c>
      <c r="G177" s="29" t="n">
        <f aca="false">'2e trim 2016'!G32</f>
        <v>0</v>
      </c>
      <c r="H177" s="132"/>
      <c r="I177" s="130" t="n">
        <f aca="false">'2e trim 2016'!I32</f>
        <v>84</v>
      </c>
      <c r="J177" s="437"/>
      <c r="K177" s="478" t="str">
        <f aca="false">IF(AND(A177=F1!$A$1,D177=F1!$B$1),ROW(),"")</f>
        <v/>
      </c>
    </row>
    <row r="178" customFormat="false" ht="17.35" hidden="false" customHeight="false" outlineLevel="0" collapsed="false">
      <c r="A178" s="481" t="str">
        <f aca="false">'2e trim 2016'!A33</f>
        <v>04.2016</v>
      </c>
      <c r="B178" s="469" t="n">
        <f aca="false">'2e trim 2016'!B33</f>
        <v>820795</v>
      </c>
      <c r="C178" s="524"/>
      <c r="D178" s="632" t="str">
        <f aca="false">'2e trim 2016'!D33</f>
        <v>BSH</v>
      </c>
      <c r="E178" s="395"/>
      <c r="F178" s="282" t="n">
        <f aca="false">'2e trim 2016'!F33</f>
        <v>0</v>
      </c>
      <c r="G178" s="29" t="n">
        <f aca="false">'2e trim 2016'!G33</f>
        <v>0</v>
      </c>
      <c r="H178" s="222"/>
      <c r="I178" s="132" t="n">
        <f aca="false">'2e trim 2016'!I33</f>
        <v>84</v>
      </c>
      <c r="J178" s="437"/>
      <c r="K178" s="478" t="str">
        <f aca="false">IF(AND(A178=F1!$A$1,D178=F1!$B$1),ROW(),"")</f>
        <v/>
      </c>
    </row>
    <row r="179" customFormat="false" ht="17.35" hidden="false" customHeight="false" outlineLevel="0" collapsed="false">
      <c r="A179" s="481" t="str">
        <f aca="false">'3ème trim 2016'!A22</f>
        <v>07.2016</v>
      </c>
      <c r="B179" s="469" t="n">
        <f aca="false">'3ème trim 2016'!B22</f>
        <v>896204</v>
      </c>
      <c r="C179" s="524"/>
      <c r="D179" s="382" t="str">
        <f aca="false">'3ème trim 2016'!D22</f>
        <v>MOBILE REGIO</v>
      </c>
      <c r="E179" s="395"/>
      <c r="F179" s="282" t="n">
        <f aca="false">'3ème trim 2016'!F22</f>
        <v>0</v>
      </c>
      <c r="G179" s="29" t="n">
        <f aca="false">'3ème trim 2016'!G22</f>
        <v>0</v>
      </c>
      <c r="H179" s="222"/>
      <c r="I179" s="132" t="n">
        <f aca="false">'3ème trim 2016'!I22</f>
        <v>15.5298</v>
      </c>
      <c r="J179" s="437"/>
      <c r="K179" s="478" t="str">
        <f aca="false">IF(AND(A179=F1!$A$1,D179=F1!$B$1),ROW(),"")</f>
        <v/>
      </c>
    </row>
    <row r="180" customFormat="false" ht="17.35" hidden="false" customHeight="false" outlineLevel="0" collapsed="false">
      <c r="A180" s="490" t="str">
        <f aca="false">'2e trim 2016'!A37</f>
        <v>05.2016</v>
      </c>
      <c r="B180" s="507" t="n">
        <f aca="false">'2e trim 2016'!B37</f>
        <v>755058</v>
      </c>
      <c r="C180" s="534"/>
      <c r="D180" s="509" t="str">
        <f aca="false">'2e trim 2016'!D37</f>
        <v>FOCUS INVEST</v>
      </c>
      <c r="E180" s="535"/>
      <c r="F180" s="536" t="n">
        <f aca="false">'2e trim 2016'!F37</f>
        <v>0</v>
      </c>
      <c r="G180" s="537" t="n">
        <f aca="false">'2e trim 2016'!G37</f>
        <v>0</v>
      </c>
      <c r="H180" s="513"/>
      <c r="I180" s="132" t="n">
        <f aca="false">'2e trim 2016'!I37</f>
        <v>1125</v>
      </c>
      <c r="J180" s="437"/>
      <c r="K180" s="478" t="str">
        <f aca="false">IF(AND(A180=F1!$A$1,D180=F1!$B$1),ROW(),"")</f>
        <v/>
      </c>
    </row>
    <row r="181" customFormat="false" ht="17.35" hidden="false" customHeight="false" outlineLevel="0" collapsed="false">
      <c r="A181" s="481" t="str">
        <f aca="false">'1er Trimestre 2018'!A55</f>
        <v>03.2018</v>
      </c>
      <c r="B181" s="469" t="n">
        <f aca="false">'1er Trimestre 2018'!B55</f>
        <v>770045</v>
      </c>
      <c r="C181" s="524"/>
      <c r="D181" s="382" t="str">
        <f aca="false">'1er Trimestre 2018'!D55</f>
        <v>MOBILE2016</v>
      </c>
      <c r="E181" s="395"/>
      <c r="F181" s="282" t="n">
        <f aca="false">'1er Trimestre 2018'!F55</f>
        <v>0</v>
      </c>
      <c r="G181" s="29" t="n">
        <f aca="false">'1er Trimestre 2018'!G55</f>
        <v>0</v>
      </c>
      <c r="H181" s="222"/>
      <c r="I181" s="132" t="n">
        <f aca="false">'1er Trimestre 2018'!I55</f>
        <v>8</v>
      </c>
      <c r="J181" s="437"/>
      <c r="K181" s="478" t="str">
        <f aca="false">IF(AND(A181=F1!$A$1,D181=F1!$B$1),ROW(),"")</f>
        <v/>
      </c>
    </row>
    <row r="182" customFormat="false" ht="17.35" hidden="false" customHeight="false" outlineLevel="0" collapsed="false">
      <c r="A182" s="538" t="str">
        <f aca="false">'2eme trim 2017 '!A37</f>
        <v>05.2017</v>
      </c>
      <c r="B182" s="539" t="n">
        <f aca="false">'2eme trim 2017 '!B37</f>
        <v>611396</v>
      </c>
      <c r="C182" s="540"/>
      <c r="D182" s="541" t="str">
        <f aca="false">'2eme trim 2017 '!D37</f>
        <v>MEDICIS</v>
      </c>
      <c r="E182" s="542"/>
      <c r="F182" s="543" t="n">
        <f aca="false">'2eme trim 2017 '!F37</f>
        <v>0</v>
      </c>
      <c r="G182" s="544" t="n">
        <f aca="false">'2eme trim 2017 '!G37</f>
        <v>0</v>
      </c>
      <c r="H182" s="545"/>
      <c r="I182" s="132" t="n">
        <f aca="false">'2eme trim 2017 '!I37</f>
        <v>149.4605</v>
      </c>
      <c r="J182" s="437"/>
      <c r="K182" s="478" t="str">
        <f aca="false">IF(AND(A182=F1!$A$1,D182=F1!$B$1),ROW(),"")</f>
        <v/>
      </c>
    </row>
    <row r="183" customFormat="false" ht="13.8" hidden="false" customHeight="false" outlineLevel="0" collapsed="false">
      <c r="A183" s="516" t="str">
        <f aca="false">'3eme trim 2017  '!A68</f>
        <v>09.2017</v>
      </c>
      <c r="B183" s="518" t="n">
        <f aca="false">'3eme trim 2017  '!B68</f>
        <v>611396</v>
      </c>
      <c r="C183" s="524"/>
      <c r="D183" s="487" t="str">
        <f aca="false">'3eme trim 2017  '!D68</f>
        <v>REEBOU Family</v>
      </c>
      <c r="E183" s="24"/>
      <c r="F183" s="245" t="n">
        <f aca="false">'3eme trim 2017  '!F68</f>
        <v>0</v>
      </c>
      <c r="G183" s="29" t="n">
        <f aca="false">'3eme trim 2017  '!G68</f>
        <v>0</v>
      </c>
      <c r="H183" s="222"/>
      <c r="I183" s="222" t="n">
        <f aca="false">'3eme trim 2017  '!I68</f>
        <v>30.5736</v>
      </c>
      <c r="J183" s="437"/>
      <c r="K183" s="478" t="str">
        <f aca="false">IF(AND(A183=F1!$A$1,D183=F1!$B$1),ROW(),"")</f>
        <v/>
      </c>
    </row>
    <row r="184" customFormat="false" ht="13.8" hidden="false" customHeight="false" outlineLevel="0" collapsed="false">
      <c r="A184" s="516" t="str">
        <f aca="false">'3eme trim 2017  '!A69</f>
        <v>09.2017</v>
      </c>
      <c r="B184" s="518" t="n">
        <f aca="false">'3eme trim 2017  '!B69</f>
        <v>611396</v>
      </c>
      <c r="C184" s="525"/>
      <c r="D184" s="487" t="str">
        <f aca="false">'3eme trim 2017  '!D69</f>
        <v>REEBOU Pack</v>
      </c>
      <c r="E184" s="24"/>
      <c r="F184" s="245" t="n">
        <f aca="false">'3eme trim 2017  '!F69</f>
        <v>0</v>
      </c>
      <c r="G184" s="24" t="n">
        <f aca="false">'3eme trim 2017  '!G69</f>
        <v>0</v>
      </c>
      <c r="H184" s="132"/>
      <c r="I184" s="132" t="n">
        <f aca="false">'3eme trim 2017  '!I69</f>
        <v>16.968</v>
      </c>
      <c r="J184" s="437"/>
      <c r="K184" s="478" t="str">
        <f aca="false">IF(AND(A184=F1!$A$1,D184=F1!$B$1),ROW(),"")</f>
        <v/>
      </c>
    </row>
    <row r="185" customFormat="false" ht="13.8" hidden="false" customHeight="false" outlineLevel="0" collapsed="false">
      <c r="A185" s="516" t="str">
        <f aca="false">'3eme trim 2017  '!A61</f>
        <v>09.2017</v>
      </c>
      <c r="B185" s="485" t="n">
        <f aca="false">'3eme trim 2017  '!B61</f>
        <v>260070</v>
      </c>
      <c r="C185" s="570"/>
      <c r="D185" s="24" t="str">
        <f aca="false">'3eme trim 2017  '!D61</f>
        <v>LOGGIA</v>
      </c>
      <c r="E185" s="24"/>
      <c r="F185" s="245" t="n">
        <f aca="false">'3eme trim 2017  '!F61</f>
        <v>0</v>
      </c>
      <c r="G185" s="24" t="n">
        <f aca="false">'3eme trim 2017  '!G61</f>
        <v>0</v>
      </c>
      <c r="H185" s="402"/>
      <c r="I185" s="402" t="n">
        <f aca="false">'3eme trim 2017  '!I61</f>
        <v>11.394</v>
      </c>
      <c r="J185" s="437"/>
      <c r="K185" s="478" t="str">
        <f aca="false">IF(AND(A185=F1!$A$1,D185=F1!$B$1),ROW(),"")</f>
        <v/>
      </c>
    </row>
    <row r="186" customFormat="false" ht="13.8" hidden="false" customHeight="false" outlineLevel="0" collapsed="false">
      <c r="A186" s="516" t="str">
        <f aca="false">'3eme trim 2017  '!A62</f>
        <v>09.2017</v>
      </c>
      <c r="B186" s="485" t="n">
        <f aca="false">'3eme trim 2017  '!B62</f>
        <v>260070</v>
      </c>
      <c r="C186" s="570"/>
      <c r="D186" s="487" t="str">
        <f aca="false">'3eme trim 2017  '!D62</f>
        <v>MOBILE Regio</v>
      </c>
      <c r="E186" s="24"/>
      <c r="F186" s="245" t="n">
        <f aca="false">'3eme trim 2017  '!F62</f>
        <v>0</v>
      </c>
      <c r="G186" s="24" t="n">
        <f aca="false">'3eme trim 2017  '!G62</f>
        <v>0</v>
      </c>
      <c r="H186" s="402"/>
      <c r="I186" s="402" t="n">
        <f aca="false">'3eme trim 2017  '!I62</f>
        <v>36.7014</v>
      </c>
      <c r="J186" s="437"/>
      <c r="K186" s="478" t="str">
        <f aca="false">IF(AND(A186=F1!$A$1,D186=F1!$B$1),ROW(),"")</f>
        <v/>
      </c>
    </row>
    <row r="187" customFormat="false" ht="17.35" hidden="false" customHeight="false" outlineLevel="0" collapsed="false">
      <c r="A187" s="490" t="str">
        <f aca="false">'4eme trim 2017  '!A36</f>
        <v>10.2017</v>
      </c>
      <c r="B187" s="507" t="n">
        <f aca="false">'4eme trim 2017  '!B36</f>
        <v>278619</v>
      </c>
      <c r="C187" s="534"/>
      <c r="D187" s="509" t="str">
        <f aca="false">'4eme trim 2017  '!D36</f>
        <v>HORIZONT60Invest</v>
      </c>
      <c r="E187" s="535"/>
      <c r="F187" s="536" t="n">
        <f aca="false">'4eme trim 2017  '!F36</f>
        <v>0</v>
      </c>
      <c r="G187" s="537" t="n">
        <f aca="false">'4eme trim 2017  '!G36</f>
        <v>2032</v>
      </c>
      <c r="H187" s="573"/>
      <c r="I187" s="132" t="n">
        <f aca="false">'4eme trim 2017  '!I36</f>
        <v>270</v>
      </c>
      <c r="J187" s="437"/>
      <c r="K187" s="478" t="str">
        <f aca="false">IF(AND(A187=F1!$A$1,D187=F1!$B$1),ROW(),"")</f>
        <v/>
      </c>
    </row>
    <row r="188" customFormat="false" ht="17.35" hidden="false" customHeight="false" outlineLevel="0" collapsed="false">
      <c r="A188" s="490" t="str">
        <f aca="false">'4eme trim 2017  '!A37</f>
        <v>10.2017</v>
      </c>
      <c r="B188" s="507" t="n">
        <f aca="false">'4eme trim 2017  '!B37</f>
        <v>299582</v>
      </c>
      <c r="C188" s="534"/>
      <c r="D188" s="509" t="str">
        <f aca="false">'4eme trim 2017  '!D37</f>
        <v>HORIZONT60Invest</v>
      </c>
      <c r="E188" s="535"/>
      <c r="F188" s="536" t="n">
        <f aca="false">'4eme trim 2017  '!F37</f>
        <v>0</v>
      </c>
      <c r="G188" s="537" t="n">
        <f aca="false">'4eme trim 2017  '!G37</f>
        <v>2043</v>
      </c>
      <c r="H188" s="573"/>
      <c r="I188" s="132" t="n">
        <f aca="false">'4eme trim 2017  '!I37</f>
        <v>468</v>
      </c>
      <c r="J188" s="437"/>
      <c r="K188" s="478" t="str">
        <f aca="false">IF(AND(A188=F1!$A$1,D188=F1!$B$1),ROW(),"")</f>
        <v/>
      </c>
    </row>
    <row r="189" customFormat="false" ht="17.35" hidden="false" customHeight="false" outlineLevel="0" collapsed="false">
      <c r="A189" s="515" t="str">
        <f aca="false">'4eme trim 2017  '!A50</f>
        <v>11.2017</v>
      </c>
      <c r="B189" s="526" t="n">
        <f aca="false">'4eme trim 2017  '!B50</f>
        <v>299582</v>
      </c>
      <c r="C189" s="527"/>
      <c r="D189" s="632" t="str">
        <f aca="false">'4eme trim 2017  '!D50</f>
        <v>SCHWABISCHHALL</v>
      </c>
      <c r="E189" s="528"/>
      <c r="F189" s="529" t="n">
        <f aca="false">'4eme trim 2017  '!F50</f>
        <v>0</v>
      </c>
      <c r="G189" s="530" t="n">
        <f aca="false">'4eme trim 2017  '!G50</f>
        <v>0</v>
      </c>
      <c r="H189" s="633"/>
      <c r="I189" s="531" t="n">
        <f aca="false">'4eme trim 2017  '!I50</f>
        <v>462</v>
      </c>
      <c r="K189" s="478" t="str">
        <f aca="false">IF(AND(A189=F1!$A$1,D189=F1!$B$1),ROW(),"")</f>
        <v/>
      </c>
    </row>
    <row r="190" customFormat="false" ht="17.35" hidden="false" customHeight="false" outlineLevel="0" collapsed="false">
      <c r="A190" s="481" t="str">
        <f aca="false">'2e trim 2016'!A27</f>
        <v>04.2016</v>
      </c>
      <c r="B190" s="469" t="n">
        <f aca="false">'2e trim 2016'!B27</f>
        <v>157437</v>
      </c>
      <c r="C190" s="524"/>
      <c r="D190" s="382" t="str">
        <f aca="false">'2e trim 2016'!D27</f>
        <v>MOBILE</v>
      </c>
      <c r="E190" s="395"/>
      <c r="F190" s="282" t="n">
        <f aca="false">'2e trim 2016'!F27</f>
        <v>0</v>
      </c>
      <c r="G190" s="29" t="n">
        <f aca="false">'2e trim 2016'!G27</f>
        <v>0</v>
      </c>
      <c r="H190" s="222"/>
      <c r="I190" s="132" t="n">
        <f aca="false">'2e trim 2016'!I27</f>
        <v>76.28</v>
      </c>
      <c r="J190" s="437"/>
      <c r="K190" s="478" t="str">
        <f aca="false">IF(AND(A190=F1!$A$1,D190=F1!$B$1),ROW(),"")</f>
        <v/>
      </c>
    </row>
    <row r="191" customFormat="false" ht="13.8" hidden="false" customHeight="false" outlineLevel="0" collapsed="false">
      <c r="A191" s="484" t="str">
        <f aca="false">'2eme trim 2017 '!A74</f>
        <v>06.2017</v>
      </c>
      <c r="B191" s="517" t="n">
        <f aca="false">'2eme trim 2017 '!B74</f>
        <v>157437</v>
      </c>
      <c r="C191" s="525"/>
      <c r="D191" s="634" t="str">
        <f aca="false">'2eme trim 2017 '!D74</f>
        <v>MOBILE</v>
      </c>
      <c r="E191" s="24"/>
      <c r="F191" s="245" t="n">
        <f aca="false">'2eme trim 2017 '!F74</f>
        <v>0</v>
      </c>
      <c r="G191" s="24" t="n">
        <f aca="false">'2eme trim 2017 '!G74</f>
        <v>0</v>
      </c>
      <c r="H191" s="132"/>
      <c r="I191" s="132" t="n">
        <f aca="false">'2eme trim 2017 '!I74</f>
        <v>5.58</v>
      </c>
      <c r="J191" s="437"/>
      <c r="K191" s="478" t="str">
        <f aca="false">IF(AND(A191=F1!$A$1,D191=F1!$B$1),ROW(),"")</f>
        <v/>
      </c>
    </row>
    <row r="192" customFormat="false" ht="17.35" hidden="false" customHeight="false" outlineLevel="0" collapsed="false">
      <c r="A192" s="481" t="str">
        <f aca="false">'4ème trim 2016'!A39</f>
        <v>11.2016</v>
      </c>
      <c r="B192" s="469" t="n">
        <f aca="false">'4ème trim 2016'!B39</f>
        <v>778333</v>
      </c>
      <c r="C192" s="317"/>
      <c r="D192" s="382" t="str">
        <f aca="false">'4ème trim 2016'!D39</f>
        <v>REEBOU FAMILY</v>
      </c>
      <c r="E192" s="635"/>
      <c r="F192" s="636" t="n">
        <f aca="false">'4ème trim 2016'!F39</f>
        <v>0</v>
      </c>
      <c r="G192" s="102" t="n">
        <f aca="false">'4ème trim 2016'!G39</f>
        <v>0</v>
      </c>
      <c r="H192" s="637"/>
      <c r="I192" s="132" t="n">
        <f aca="false">'4ème trim 2016'!I39</f>
        <v>26.9424</v>
      </c>
      <c r="J192" s="448"/>
      <c r="K192" s="478" t="str">
        <f aca="false">IF(AND(A192=F1!$A$1,D192=F1!$B$1),ROW(),"")</f>
        <v/>
      </c>
    </row>
    <row r="193" customFormat="false" ht="17.35" hidden="false" customHeight="false" outlineLevel="0" collapsed="false">
      <c r="A193" s="490" t="str">
        <f aca="false">'4ème trim 2016'!A17</f>
        <v>10.2016</v>
      </c>
      <c r="B193" s="638" t="n">
        <f aca="false">'4ème trim 2016'!B17</f>
        <v>473247</v>
      </c>
      <c r="C193" s="639"/>
      <c r="D193" s="509" t="str">
        <f aca="false">'4ème trim 2016'!D17</f>
        <v>MEDICIS GROUP</v>
      </c>
      <c r="E193" s="535"/>
      <c r="F193" s="640" t="n">
        <f aca="false">'4ème trim 2016'!F17</f>
        <v>0</v>
      </c>
      <c r="G193" s="641" t="n">
        <f aca="false">'4ème trim 2016'!G17</f>
        <v>0</v>
      </c>
      <c r="H193" s="513"/>
      <c r="I193" s="608" t="n">
        <f aca="false">'4ème trim 2016'!I17</f>
        <v>424.83875</v>
      </c>
      <c r="J193" s="448"/>
      <c r="K193" s="478" t="str">
        <f aca="false">IF(AND(A193=F1!$A$1,D193=F1!$B$1),ROW(),"")</f>
        <v/>
      </c>
    </row>
    <row r="194" customFormat="false" ht="17.35" hidden="false" customHeight="false" outlineLevel="0" collapsed="false">
      <c r="A194" s="490" t="str">
        <f aca="false">'1er trim 2017'!A64</f>
        <v>03.2017</v>
      </c>
      <c r="B194" s="490" t="n">
        <f aca="false">'1er trim 2017'!B64</f>
        <v>737949</v>
      </c>
      <c r="C194" s="534"/>
      <c r="D194" s="509" t="str">
        <f aca="false">'1er trim 2017'!D64</f>
        <v>MEDICIS</v>
      </c>
      <c r="E194" s="535"/>
      <c r="F194" s="536" t="n">
        <f aca="false">'1er trim 2017'!F64</f>
        <v>0</v>
      </c>
      <c r="G194" s="537" t="n">
        <f aca="false">'1er trim 2017'!G64</f>
        <v>0</v>
      </c>
      <c r="H194" s="513"/>
      <c r="I194" s="132" t="n">
        <f aca="false">'1er trim 2017'!I64</f>
        <v>308.8505</v>
      </c>
      <c r="J194" s="448"/>
      <c r="K194" s="478" t="str">
        <f aca="false">IF(AND(A194=F1!$A$1,D194=F1!$B$1),ROW(),"")</f>
        <v/>
      </c>
    </row>
    <row r="195" customFormat="false" ht="17.35" hidden="false" customHeight="false" outlineLevel="0" collapsed="false">
      <c r="A195" s="481" t="str">
        <f aca="false">'3ème trim 2016'!A44</f>
        <v>08.2016</v>
      </c>
      <c r="B195" s="469" t="n">
        <f aca="false">'3ème trim 2016'!B44</f>
        <v>581798</v>
      </c>
      <c r="C195" s="525"/>
      <c r="D195" s="632" t="str">
        <f aca="false">'3ème trim 2016'!D44</f>
        <v>BSH</v>
      </c>
      <c r="E195" s="395"/>
      <c r="F195" s="282" t="n">
        <f aca="false">'3ème trim 2016'!F44</f>
        <v>0</v>
      </c>
      <c r="G195" s="29" t="n">
        <f aca="false">'3ème trim 2016'!G44</f>
        <v>0</v>
      </c>
      <c r="H195" s="222"/>
      <c r="I195" s="222" t="n">
        <f aca="false">'3ème trim 2016'!I44</f>
        <v>420</v>
      </c>
      <c r="J195" s="437"/>
      <c r="K195" s="478" t="str">
        <f aca="false">IF(AND(A195=F1!$A$1,D195=F1!$B$1),ROW(),"")</f>
        <v/>
      </c>
    </row>
    <row r="196" customFormat="false" ht="17.35" hidden="false" customHeight="false" outlineLevel="0" collapsed="false">
      <c r="A196" s="481" t="str">
        <f aca="false">'3ème trim 2016'!A14</f>
        <v>07.2016</v>
      </c>
      <c r="B196" s="469" t="n">
        <f aca="false">'3ème trim 2016'!B14</f>
        <v>296024</v>
      </c>
      <c r="C196" s="525"/>
      <c r="D196" s="382" t="str">
        <f aca="false">'3ème trim 2016'!D14</f>
        <v>REEBOU PRO</v>
      </c>
      <c r="E196" s="383"/>
      <c r="F196" s="282" t="n">
        <f aca="false">'3ème trim 2016'!F14</f>
        <v>0</v>
      </c>
      <c r="G196" s="24" t="n">
        <f aca="false">'3ème trim 2016'!G14</f>
        <v>0</v>
      </c>
      <c r="H196" s="129"/>
      <c r="I196" s="222" t="n">
        <f aca="false">'3ème trim 2016'!I14</f>
        <v>56.7996</v>
      </c>
      <c r="J196" s="437"/>
      <c r="K196" s="478" t="str">
        <f aca="false">IF(AND(A196=F1!$A$1,D196=F1!$B$1),ROW(),"")</f>
        <v/>
      </c>
    </row>
    <row r="197" customFormat="false" ht="17.35" hidden="false" customHeight="false" outlineLevel="0" collapsed="false">
      <c r="A197" s="481" t="str">
        <f aca="false">'1er Trimestre 2018'!A56</f>
        <v>03.2018</v>
      </c>
      <c r="B197" s="469" t="n">
        <f aca="false">'1er Trimestre 2018'!B56</f>
        <v>437578</v>
      </c>
      <c r="C197" s="524"/>
      <c r="D197" s="382" t="str">
        <f aca="false">'1er Trimestre 2018'!D56</f>
        <v>REEBOU Family</v>
      </c>
      <c r="E197" s="395"/>
      <c r="F197" s="282" t="n">
        <f aca="false">'1er Trimestre 2018'!F56</f>
        <v>0</v>
      </c>
      <c r="G197" s="29" t="n">
        <f aca="false">'1er Trimestre 2018'!G56</f>
        <v>0</v>
      </c>
      <c r="H197" s="222"/>
      <c r="I197" s="132" t="n">
        <f aca="false">'1er Trimestre 2018'!I56</f>
        <v>5.4816</v>
      </c>
      <c r="J197" s="437"/>
      <c r="K197" s="478" t="str">
        <f aca="false">IF(AND(A197=F1!$A$1,D197=F1!$B$1),ROW(),"")</f>
        <v/>
      </c>
    </row>
    <row r="198" customFormat="false" ht="17.35" hidden="false" customHeight="false" outlineLevel="0" collapsed="false">
      <c r="A198" s="481" t="str">
        <f aca="false">'3ème trim 2016'!A19</f>
        <v>07.2016</v>
      </c>
      <c r="B198" s="469" t="n">
        <f aca="false">'3ème trim 2016'!B19</f>
        <v>296948</v>
      </c>
      <c r="C198" s="524"/>
      <c r="D198" s="382" t="str">
        <f aca="false">'3ème trim 2016'!D19</f>
        <v>MOBILE</v>
      </c>
      <c r="E198" s="395"/>
      <c r="F198" s="282" t="n">
        <f aca="false">'3ème trim 2016'!F19</f>
        <v>0</v>
      </c>
      <c r="G198" s="29" t="n">
        <f aca="false">'3ème trim 2016'!G19</f>
        <v>0</v>
      </c>
      <c r="H198" s="222"/>
      <c r="I198" s="132" t="n">
        <f aca="false">'3ème trim 2016'!I19</f>
        <v>57.275</v>
      </c>
      <c r="J198" s="437"/>
      <c r="K198" s="478" t="str">
        <f aca="false">IF(AND(A198=F1!$A$1,D198=F1!$B$1),ROW(),"")</f>
        <v/>
      </c>
    </row>
    <row r="199" customFormat="false" ht="17.35" hidden="false" customHeight="false" outlineLevel="0" collapsed="false">
      <c r="A199" s="481" t="str">
        <f aca="false">'3ème trim 2016'!A54</f>
        <v>09.2016</v>
      </c>
      <c r="B199" s="469" t="n">
        <f aca="false">'3ème trim 2016'!B54</f>
        <v>288653</v>
      </c>
      <c r="C199" s="525"/>
      <c r="D199" s="382" t="str">
        <f aca="false">'3ème trim 2016'!D54</f>
        <v>MOBILE</v>
      </c>
      <c r="E199" s="383"/>
      <c r="F199" s="282" t="n">
        <f aca="false">'3ème trim 2016'!F54</f>
        <v>0</v>
      </c>
      <c r="G199" s="24" t="n">
        <f aca="false">'3ème trim 2016'!G54</f>
        <v>0</v>
      </c>
      <c r="H199" s="129"/>
      <c r="I199" s="132" t="n">
        <f aca="false">'3ème trim 2016'!I54</f>
        <v>107.8896</v>
      </c>
      <c r="J199" s="437"/>
      <c r="K199" s="478" t="str">
        <f aca="false">IF(AND(A199=F1!$A$1,D199=F1!$B$1),ROW(),"")</f>
        <v/>
      </c>
    </row>
    <row r="200" customFormat="false" ht="17.35" hidden="false" customHeight="false" outlineLevel="0" collapsed="false">
      <c r="A200" s="481" t="str">
        <f aca="false">'1er trim 2017'!A41</f>
        <v>02.2017</v>
      </c>
      <c r="B200" s="469" t="n">
        <f aca="false">'1er trim 2017'!B41</f>
        <v>465040</v>
      </c>
      <c r="C200" s="525"/>
      <c r="D200" s="382" t="str">
        <f aca="false">'1er trim 2017'!D41</f>
        <v>MOBILE</v>
      </c>
      <c r="E200" s="395"/>
      <c r="F200" s="282" t="n">
        <f aca="false">'1er trim 2017'!F41</f>
        <v>0</v>
      </c>
      <c r="G200" s="29" t="n">
        <f aca="false">'1er trim 2017'!G41</f>
        <v>0</v>
      </c>
      <c r="H200" s="132"/>
      <c r="I200" s="222" t="n">
        <f aca="false">'1er trim 2017'!I41</f>
        <v>93.2305</v>
      </c>
      <c r="J200" s="437"/>
      <c r="K200" s="478" t="str">
        <f aca="false">IF(AND(A200=F1!$A$1,D200=F1!$B$1),ROW(),"")</f>
        <v/>
      </c>
    </row>
    <row r="201" customFormat="false" ht="17.35" hidden="false" customHeight="false" outlineLevel="0" collapsed="false">
      <c r="A201" s="481" t="str">
        <f aca="false">'2e trim 2016'!A44</f>
        <v>05.2016</v>
      </c>
      <c r="B201" s="469" t="n">
        <f aca="false">'2e trim 2016'!B44</f>
        <v>465040</v>
      </c>
      <c r="C201" s="524"/>
      <c r="D201" s="382" t="str">
        <f aca="false">'2e trim 2016'!D44</f>
        <v>MOBILE</v>
      </c>
      <c r="E201" s="395"/>
      <c r="F201" s="282" t="n">
        <f aca="false">'2e trim 2016'!F44</f>
        <v>0</v>
      </c>
      <c r="G201" s="29" t="n">
        <f aca="false">'2e trim 2016'!G44</f>
        <v>0</v>
      </c>
      <c r="H201" s="222"/>
      <c r="I201" s="132" t="n">
        <f aca="false">'2e trim 2016'!I44</f>
        <v>65.85</v>
      </c>
      <c r="J201" s="437"/>
      <c r="K201" s="478" t="str">
        <f aca="false">IF(AND(A201=F1!$A$1,D201=F1!$B$1),ROW(),"")</f>
        <v/>
      </c>
    </row>
    <row r="202" customFormat="false" ht="17.35" hidden="false" customHeight="false" outlineLevel="0" collapsed="false">
      <c r="A202" s="481" t="str">
        <f aca="false">'2e trim 2016'!A45</f>
        <v>05.2016</v>
      </c>
      <c r="B202" s="469" t="n">
        <f aca="false">'2e trim 2016'!B45</f>
        <v>465040</v>
      </c>
      <c r="C202" s="524"/>
      <c r="D202" s="382" t="str">
        <f aca="false">'2e trim 2016'!D45</f>
        <v>MOBILE</v>
      </c>
      <c r="E202" s="395"/>
      <c r="F202" s="282" t="n">
        <f aca="false">'2e trim 2016'!F45</f>
        <v>0</v>
      </c>
      <c r="G202" s="42" t="n">
        <f aca="false">'2e trim 2016'!G45</f>
        <v>0</v>
      </c>
      <c r="H202" s="222"/>
      <c r="I202" s="222" t="n">
        <f aca="false">'2e trim 2016'!I45</f>
        <v>65.85</v>
      </c>
      <c r="J202" s="437"/>
      <c r="K202" s="478" t="str">
        <f aca="false">IF(AND(A202=F1!$A$1,D202=F1!$B$1),ROW(),"")</f>
        <v/>
      </c>
    </row>
    <row r="203" customFormat="false" ht="17.35" hidden="false" customHeight="false" outlineLevel="0" collapsed="false">
      <c r="A203" s="481" t="str">
        <f aca="false">'3ème trim 2016'!A23</f>
        <v>07.2016</v>
      </c>
      <c r="B203" s="469" t="n">
        <f aca="false">'3ème trim 2016'!B23</f>
        <v>465040</v>
      </c>
      <c r="C203" s="524"/>
      <c r="D203" s="382" t="str">
        <f aca="false">'3ème trim 2016'!D23</f>
        <v>MOBILE</v>
      </c>
      <c r="E203" s="395"/>
      <c r="F203" s="282" t="n">
        <f aca="false">'3ème trim 2016'!F23</f>
        <v>0</v>
      </c>
      <c r="G203" s="29" t="n">
        <f aca="false">'3ème trim 2016'!G23</f>
        <v>0</v>
      </c>
      <c r="H203" s="222"/>
      <c r="I203" s="132" t="n">
        <f aca="false">'3ème trim 2016'!I23</f>
        <v>261.504</v>
      </c>
      <c r="J203" s="437"/>
      <c r="K203" s="478" t="str">
        <f aca="false">IF(AND(A203=F1!$A$1,D203=F1!$B$1),ROW(),"")</f>
        <v/>
      </c>
    </row>
    <row r="204" customFormat="false" ht="17.35" hidden="false" customHeight="false" outlineLevel="0" collapsed="false">
      <c r="A204" s="481" t="str">
        <f aca="false">'3ème trim 2016'!A24</f>
        <v>07.2016</v>
      </c>
      <c r="B204" s="469" t="n">
        <f aca="false">'3ème trim 2016'!B24</f>
        <v>465040</v>
      </c>
      <c r="C204" s="524"/>
      <c r="D204" s="382" t="str">
        <f aca="false">'3ème trim 2016'!D24</f>
        <v>MOBILE</v>
      </c>
      <c r="E204" s="395"/>
      <c r="F204" s="282" t="n">
        <f aca="false">'3ème trim 2016'!F24</f>
        <v>0</v>
      </c>
      <c r="G204" s="29" t="n">
        <f aca="false">'3ème trim 2016'!G24</f>
        <v>0</v>
      </c>
      <c r="H204" s="222"/>
      <c r="I204" s="132" t="n">
        <f aca="false">'3ème trim 2016'!I24</f>
        <v>60.2101</v>
      </c>
      <c r="J204" s="437"/>
      <c r="K204" s="478" t="str">
        <f aca="false">IF(AND(A204=F1!$A$1,D204=F1!$B$1),ROW(),"")</f>
        <v/>
      </c>
    </row>
    <row r="205" customFormat="false" ht="17.35" hidden="false" customHeight="false" outlineLevel="0" collapsed="false">
      <c r="A205" s="481" t="str">
        <f aca="false">'4ème trim 2016'!A81</f>
        <v>12.2016</v>
      </c>
      <c r="B205" s="469" t="n">
        <f aca="false">'4ème trim 2016'!B81</f>
        <v>292747</v>
      </c>
      <c r="C205" s="524"/>
      <c r="D205" s="382" t="str">
        <f aca="false">'4ème trim 2016'!D81</f>
        <v>P.J.</v>
      </c>
      <c r="E205" s="395"/>
      <c r="F205" s="282" t="n">
        <f aca="false">'4ème trim 2016'!F81</f>
        <v>0</v>
      </c>
      <c r="G205" s="29" t="n">
        <f aca="false">'4ème trim 2016'!G81</f>
        <v>0</v>
      </c>
      <c r="H205" s="222"/>
      <c r="I205" s="132" t="n">
        <f aca="false">'4ème trim 2016'!I81</f>
        <v>39.129</v>
      </c>
      <c r="J205" s="437"/>
      <c r="K205" s="478" t="str">
        <f aca="false">IF(AND(A205=F1!$A$1,D205=F1!$B$1),ROW(),"")</f>
        <v/>
      </c>
    </row>
    <row r="206" customFormat="false" ht="17.35" hidden="false" customHeight="false" outlineLevel="0" collapsed="false">
      <c r="A206" s="481" t="str">
        <f aca="false">'4eme trim 2017  '!A55</f>
        <v>11.2017</v>
      </c>
      <c r="B206" s="469" t="n">
        <f aca="false">'4eme trim 2017  '!B55</f>
        <v>970170</v>
      </c>
      <c r="C206" s="524"/>
      <c r="D206" s="382" t="str">
        <f aca="false">'4eme trim 2017  '!D55</f>
        <v>REEBOU Family</v>
      </c>
      <c r="E206" s="395"/>
      <c r="F206" s="282" t="n">
        <f aca="false">'4eme trim 2017  '!F55</f>
        <v>0</v>
      </c>
      <c r="G206" s="29" t="n">
        <f aca="false">'4eme trim 2017  '!G55</f>
        <v>0</v>
      </c>
      <c r="H206" s="132"/>
      <c r="I206" s="132" t="n">
        <f aca="false">'4eme trim 2017  '!I55</f>
        <v>0</v>
      </c>
      <c r="J206" s="437"/>
      <c r="K206" s="478" t="str">
        <f aca="false">IF(AND(A206=F1!$A$1,D206=F1!$B$1),ROW(),"")</f>
        <v/>
      </c>
    </row>
    <row r="207" customFormat="false" ht="17.35" hidden="false" customHeight="false" outlineLevel="0" collapsed="false">
      <c r="A207" s="481" t="str">
        <f aca="false">'2eme trim 2017 '!A19</f>
        <v>04.2017</v>
      </c>
      <c r="B207" s="469" t="n">
        <f aca="false">'2eme trim 2017 '!B19</f>
        <v>521956</v>
      </c>
      <c r="C207" s="524"/>
      <c r="D207" s="382" t="str">
        <f aca="false">'2eme trim 2017 '!D19</f>
        <v>MOBILE</v>
      </c>
      <c r="E207" s="395"/>
      <c r="F207" s="282" t="n">
        <f aca="false">'2eme trim 2017 '!F19</f>
        <v>0</v>
      </c>
      <c r="G207" s="29" t="n">
        <f aca="false">'2eme trim 2017 '!G19</f>
        <v>0</v>
      </c>
      <c r="H207" s="222"/>
      <c r="I207" s="132" t="n">
        <f aca="false">'2eme trim 2017 '!I19</f>
        <v>17.328</v>
      </c>
      <c r="J207" s="437"/>
      <c r="K207" s="478" t="str">
        <f aca="false">IF(AND(A207=F1!$A$1,D207=F1!$B$1),ROW(),"")</f>
        <v/>
      </c>
    </row>
    <row r="208" customFormat="false" ht="17.35" hidden="false" customHeight="false" outlineLevel="0" collapsed="false">
      <c r="A208" s="481" t="str">
        <f aca="false">'2eme trim 2017 '!A20</f>
        <v>04.2017</v>
      </c>
      <c r="B208" s="469" t="n">
        <f aca="false">'2eme trim 2017 '!B20</f>
        <v>521956</v>
      </c>
      <c r="C208" s="525"/>
      <c r="D208" s="382" t="str">
        <f aca="false">'2eme trim 2017 '!D20</f>
        <v>MOBILE</v>
      </c>
      <c r="E208" s="395"/>
      <c r="F208" s="282" t="n">
        <f aca="false">'2eme trim 2017 '!F20</f>
        <v>0</v>
      </c>
      <c r="G208" s="29" t="n">
        <f aca="false">'2eme trim 2017 '!G20</f>
        <v>0</v>
      </c>
      <c r="H208" s="132"/>
      <c r="I208" s="222" t="n">
        <f aca="false">'2eme trim 2017 '!I20</f>
        <v>40.5972</v>
      </c>
      <c r="J208" s="437"/>
      <c r="K208" s="478" t="str">
        <f aca="false">IF(AND(A208=F1!$A$1,D208=F1!$B$1),ROW(),"")</f>
        <v/>
      </c>
    </row>
    <row r="209" customFormat="false" ht="17.35" hidden="false" customHeight="false" outlineLevel="0" collapsed="false">
      <c r="A209" s="481" t="str">
        <f aca="false">'4eme trim 2017  '!A82</f>
        <v>12.2017</v>
      </c>
      <c r="B209" s="469" t="n">
        <f aca="false">'4eme trim 2017  '!B82</f>
        <v>521956</v>
      </c>
      <c r="C209" s="524"/>
      <c r="D209" s="382" t="str">
        <f aca="false">'4eme trim 2017  '!D82</f>
        <v>MOBILE2016</v>
      </c>
      <c r="E209" s="395"/>
      <c r="F209" s="282" t="n">
        <f aca="false">'4eme trim 2017  '!F82</f>
        <v>0</v>
      </c>
      <c r="G209" s="29" t="n">
        <f aca="false">'4eme trim 2017  '!G82</f>
        <v>0</v>
      </c>
      <c r="H209" s="222"/>
      <c r="I209" s="132" t="n">
        <f aca="false">'4eme trim 2017  '!I82</f>
        <v>119.6376</v>
      </c>
      <c r="J209" s="437"/>
      <c r="K209" s="478" t="str">
        <f aca="false">IF(AND(A209=F1!$A$1,D209=F1!$B$1),ROW(),"")</f>
        <v/>
      </c>
    </row>
    <row r="210" customFormat="false" ht="17.35" hidden="false" customHeight="false" outlineLevel="0" collapsed="false">
      <c r="A210" s="481" t="str">
        <f aca="false">'2e trim 2016'!A34</f>
        <v>04.2016</v>
      </c>
      <c r="B210" s="469" t="n">
        <f aca="false">'2e trim 2016'!B34</f>
        <v>282063</v>
      </c>
      <c r="C210" s="524"/>
      <c r="D210" s="382" t="str">
        <f aca="false">'2e trim 2016'!D34</f>
        <v>MOBILE</v>
      </c>
      <c r="E210" s="395"/>
      <c r="F210" s="282" t="n">
        <f aca="false">'2e trim 2016'!F34</f>
        <v>0</v>
      </c>
      <c r="G210" s="29" t="n">
        <f aca="false">'2e trim 2016'!G34</f>
        <v>0</v>
      </c>
      <c r="H210" s="222"/>
      <c r="I210" s="132" t="n">
        <f aca="false">'2e trim 2016'!I34</f>
        <v>126.24</v>
      </c>
      <c r="J210" s="437"/>
      <c r="K210" s="478" t="str">
        <f aca="false">IF(AND(A210=F1!$A$1,D210=F1!$B$1),ROW(),"")</f>
        <v/>
      </c>
    </row>
    <row r="211" customFormat="false" ht="17.35" hidden="false" customHeight="false" outlineLevel="0" collapsed="false">
      <c r="A211" s="538" t="str">
        <f aca="false">'1er trim 2017'!A67</f>
        <v>03.2017</v>
      </c>
      <c r="B211" s="539" t="n">
        <f aca="false">'1er trim 2017'!B67</f>
        <v>773729</v>
      </c>
      <c r="C211" s="540"/>
      <c r="D211" s="541" t="str">
        <f aca="false">'1er trim 2017'!D67</f>
        <v>MOBILE</v>
      </c>
      <c r="E211" s="542"/>
      <c r="F211" s="543" t="n">
        <f aca="false">'1er trim 2017'!F67</f>
        <v>0</v>
      </c>
      <c r="G211" s="544" t="n">
        <f aca="false">'1er trim 2017'!G67</f>
        <v>0</v>
      </c>
      <c r="H211" s="545"/>
      <c r="I211" s="547" t="n">
        <f aca="false">'1er trim 2017'!I67</f>
        <v>152.5032</v>
      </c>
      <c r="J211" s="568"/>
      <c r="K211" s="478" t="str">
        <f aca="false">IF(AND(A211=F1!$A$1,D211=F1!$B$1),ROW(),"")</f>
        <v/>
      </c>
    </row>
    <row r="212" customFormat="false" ht="17.35" hidden="false" customHeight="false" outlineLevel="0" collapsed="false">
      <c r="A212" s="538" t="str">
        <f aca="false">'2e trim 2016'!A46</f>
        <v>06.2016</v>
      </c>
      <c r="B212" s="539" t="n">
        <f aca="false">'2e trim 2016'!B46</f>
        <v>773729</v>
      </c>
      <c r="C212" s="540"/>
      <c r="D212" s="541" t="str">
        <f aca="false">'2e trim 2016'!D46</f>
        <v>MOBILE</v>
      </c>
      <c r="E212" s="542"/>
      <c r="F212" s="543" t="n">
        <f aca="false">'2e trim 2016'!F46</f>
        <v>0</v>
      </c>
      <c r="G212" s="544" t="n">
        <f aca="false">'2e trim 2016'!G46</f>
        <v>0</v>
      </c>
      <c r="H212" s="545"/>
      <c r="I212" s="547" t="n">
        <f aca="false">'2e trim 2016'!I46</f>
        <v>152.5032</v>
      </c>
      <c r="J212" s="568"/>
      <c r="K212" s="478" t="str">
        <f aca="false">IF(AND(A212=F1!$A$1,D212=F1!$B$1),ROW(),"")</f>
        <v/>
      </c>
    </row>
    <row r="213" customFormat="false" ht="17.35" hidden="false" customHeight="false" outlineLevel="0" collapsed="false">
      <c r="A213" s="481" t="str">
        <f aca="false">'2e trim 2016'!A47</f>
        <v>06.2016</v>
      </c>
      <c r="B213" s="469" t="n">
        <f aca="false">'2e trim 2016'!B47</f>
        <v>773729</v>
      </c>
      <c r="C213" s="525"/>
      <c r="D213" s="382" t="str">
        <f aca="false">'2e trim 2016'!D47</f>
        <v>REEBOU FAMILY</v>
      </c>
      <c r="E213" s="383"/>
      <c r="F213" s="282" t="n">
        <f aca="false">'2e trim 2016'!F47</f>
        <v>0</v>
      </c>
      <c r="G213" s="24" t="n">
        <f aca="false">'2e trim 2016'!G47</f>
        <v>0</v>
      </c>
      <c r="H213" s="129"/>
      <c r="I213" s="130" t="n">
        <f aca="false">'2e trim 2016'!I47</f>
        <v>26.322</v>
      </c>
      <c r="J213" s="437"/>
      <c r="K213" s="478" t="str">
        <f aca="false">IF(AND(A213=F1!$A$1,D213=F1!$B$1),ROW(),"")</f>
        <v/>
      </c>
    </row>
    <row r="214" customFormat="false" ht="17.35" hidden="false" customHeight="false" outlineLevel="0" collapsed="false">
      <c r="A214" s="481" t="str">
        <f aca="false">'2e trim 2016'!A48</f>
        <v>06.2016</v>
      </c>
      <c r="B214" s="469" t="n">
        <f aca="false">'2e trim 2016'!B48</f>
        <v>773729</v>
      </c>
      <c r="C214" s="524"/>
      <c r="D214" s="382" t="str">
        <f aca="false">'2e trim 2016'!D48</f>
        <v>REEBOU PACK</v>
      </c>
      <c r="E214" s="395"/>
      <c r="F214" s="282" t="n">
        <f aca="false">'2e trim 2016'!F48</f>
        <v>0</v>
      </c>
      <c r="G214" s="29" t="n">
        <f aca="false">'2e trim 2016'!G48</f>
        <v>0</v>
      </c>
      <c r="H214" s="222"/>
      <c r="I214" s="132" t="n">
        <f aca="false">'2e trim 2016'!I48</f>
        <v>16.632</v>
      </c>
      <c r="J214" s="437"/>
      <c r="K214" s="478" t="str">
        <f aca="false">IF(AND(A214=F1!$A$1,D214=F1!$B$1),ROW(),"")</f>
        <v/>
      </c>
    </row>
    <row r="215" customFormat="false" ht="17.35" hidden="false" customHeight="false" outlineLevel="0" collapsed="false">
      <c r="A215" s="481" t="str">
        <f aca="false">'2e trim 2016'!A49</f>
        <v>06.2016</v>
      </c>
      <c r="B215" s="469" t="n">
        <f aca="false">'2e trim 2016'!B49</f>
        <v>773729</v>
      </c>
      <c r="C215" s="525"/>
      <c r="D215" s="382" t="str">
        <f aca="false">'2e trim 2016'!D49</f>
        <v>REEBOU PACK</v>
      </c>
      <c r="E215" s="395"/>
      <c r="F215" s="282" t="n">
        <f aca="false">'2e trim 2016'!F49</f>
        <v>0</v>
      </c>
      <c r="G215" s="29" t="n">
        <f aca="false">'2e trim 2016'!G49</f>
        <v>0</v>
      </c>
      <c r="H215" s="132"/>
      <c r="I215" s="222" t="n">
        <f aca="false">'2e trim 2016'!I49</f>
        <v>25.851</v>
      </c>
      <c r="J215" s="437"/>
      <c r="K215" s="478" t="str">
        <f aca="false">IF(AND(A215=F1!$A$1,D215=F1!$B$1),ROW(),"")</f>
        <v/>
      </c>
    </row>
    <row r="216" customFormat="false" ht="17.35" hidden="false" customHeight="false" outlineLevel="0" collapsed="false">
      <c r="A216" s="481" t="str">
        <f aca="false">'3ème trim 2016'!A13</f>
        <v>07.2016</v>
      </c>
      <c r="B216" s="469" t="n">
        <f aca="false">'3ème trim 2016'!B13</f>
        <v>773729</v>
      </c>
      <c r="C216" s="524"/>
      <c r="D216" s="382" t="str">
        <f aca="false">'3ème trim 2016'!D13</f>
        <v>MOBILE</v>
      </c>
      <c r="E216" s="395"/>
      <c r="F216" s="282" t="n">
        <f aca="false">'3ème trim 2016'!F13</f>
        <v>0</v>
      </c>
      <c r="G216" s="29" t="n">
        <f aca="false">'3ème trim 2016'!G13</f>
        <v>0</v>
      </c>
      <c r="H216" s="222"/>
      <c r="I216" s="222" t="n">
        <f aca="false">'3ème trim 2016'!I13</f>
        <v>172.0736</v>
      </c>
      <c r="J216" s="437"/>
      <c r="K216" s="478" t="str">
        <f aca="false">IF(AND(A216=F1!$A$1,D216=F1!$B$1),ROW(),"")</f>
        <v/>
      </c>
    </row>
    <row r="217" customFormat="false" ht="17.35" hidden="false" customHeight="false" outlineLevel="0" collapsed="false">
      <c r="A217" s="490" t="str">
        <f aca="false">'1er Trimestre 2018'!A24</f>
        <v>02.2018</v>
      </c>
      <c r="B217" s="507" t="n">
        <f aca="false">'1er Trimestre 2018'!B24</f>
        <v>737308</v>
      </c>
      <c r="C217" s="534"/>
      <c r="D217" s="509" t="str">
        <f aca="false">'1er Trimestre 2018'!D24</f>
        <v>MEDICIS</v>
      </c>
      <c r="E217" s="535"/>
      <c r="F217" s="536" t="n">
        <f aca="false">'1er Trimestre 2018'!F24</f>
        <v>0</v>
      </c>
      <c r="G217" s="537" t="n">
        <f aca="false">'1er Trimestre 2018'!G24</f>
        <v>0</v>
      </c>
      <c r="H217" s="513"/>
      <c r="I217" s="132" t="n">
        <f aca="false">'1er Trimestre 2018'!I24</f>
        <v>616.245</v>
      </c>
      <c r="J217" s="437"/>
      <c r="K217" s="478" t="str">
        <f aca="false">IF(AND(A217=F1!$A$1,D217=F1!$B$1),ROW(),"")</f>
        <v/>
      </c>
    </row>
    <row r="218" customFormat="false" ht="17.35" hidden="false" customHeight="false" outlineLevel="0" collapsed="false">
      <c r="A218" s="481" t="str">
        <f aca="false">'1er Trimestre 2018'!A51</f>
        <v>03.2018</v>
      </c>
      <c r="B218" s="469" t="n">
        <f aca="false">'1er Trimestre 2018'!B51</f>
        <v>987828</v>
      </c>
      <c r="C218" s="524"/>
      <c r="D218" s="382" t="str">
        <f aca="false">'1er Trimestre 2018'!D51</f>
        <v>MOBILE2016</v>
      </c>
      <c r="E218" s="395"/>
      <c r="F218" s="282" t="n">
        <f aca="false">'1er Trimestre 2018'!F51</f>
        <v>0</v>
      </c>
      <c r="G218" s="29" t="n">
        <f aca="false">'1er Trimestre 2018'!G51</f>
        <v>0</v>
      </c>
      <c r="H218" s="222"/>
      <c r="I218" s="132" t="n">
        <f aca="false">'1er Trimestre 2018'!I51</f>
        <v>55.76575</v>
      </c>
      <c r="J218" s="437"/>
      <c r="K218" s="478" t="str">
        <f aca="false">IF(AND(A218=F1!$A$1,D218=F1!$B$1),ROW(),"")</f>
        <v/>
      </c>
    </row>
    <row r="219" customFormat="false" ht="17.35" hidden="false" customHeight="false" outlineLevel="0" collapsed="false">
      <c r="A219" s="490" t="str">
        <f aca="false">'2eme trim 2017 '!A59</f>
        <v>06.2017</v>
      </c>
      <c r="B219" s="507" t="n">
        <f aca="false">'2eme trim 2017 '!B59</f>
        <v>763711</v>
      </c>
      <c r="C219" s="520"/>
      <c r="D219" s="509" t="str">
        <f aca="false">'2eme trim 2017 '!D59</f>
        <v>MEDICIS</v>
      </c>
      <c r="E219" s="558"/>
      <c r="F219" s="536" t="n">
        <f aca="false">'2eme trim 2017 '!F59</f>
        <v>0</v>
      </c>
      <c r="G219" s="521" t="n">
        <f aca="false">'2eme trim 2017 '!G59</f>
        <v>0</v>
      </c>
      <c r="H219" s="573"/>
      <c r="I219" s="130" t="n">
        <f aca="false">'2eme trim 2017 '!I59</f>
        <v>120.456</v>
      </c>
      <c r="J219" s="437"/>
      <c r="K219" s="478" t="str">
        <f aca="false">IF(AND(A219=F1!$A$1,D219=F1!$B$1),ROW(),"")</f>
        <v/>
      </c>
    </row>
    <row r="220" customFormat="false" ht="17.35" hidden="false" customHeight="false" outlineLevel="0" collapsed="false">
      <c r="A220" s="481" t="str">
        <f aca="false">'1er Trimestre 2018'!A52</f>
        <v>03.2018</v>
      </c>
      <c r="B220" s="469" t="n">
        <f aca="false">'1er Trimestre 2018'!B52</f>
        <v>789065</v>
      </c>
      <c r="C220" s="524"/>
      <c r="D220" s="382" t="str">
        <f aca="false">'1er Trimestre 2018'!D52</f>
        <v>MOBILE2016</v>
      </c>
      <c r="E220" s="395"/>
      <c r="F220" s="282" t="n">
        <f aca="false">'1er Trimestre 2018'!F52</f>
        <v>0</v>
      </c>
      <c r="G220" s="29" t="n">
        <f aca="false">'1er Trimestre 2018'!G52</f>
        <v>0</v>
      </c>
      <c r="H220" s="222"/>
      <c r="I220" s="132" t="n">
        <f aca="false">'1er Trimestre 2018'!I52</f>
        <v>46.4948</v>
      </c>
      <c r="J220" s="437"/>
      <c r="K220" s="478" t="str">
        <f aca="false">IF(AND(A220=F1!$A$1,D220=F1!$B$1),ROW(),"")</f>
        <v/>
      </c>
    </row>
    <row r="221" customFormat="false" ht="17.35" hidden="false" customHeight="false" outlineLevel="0" collapsed="false">
      <c r="A221" s="481" t="str">
        <f aca="false">'2eme trim 2017 '!A18</f>
        <v>04.2017</v>
      </c>
      <c r="B221" s="469" t="n">
        <f aca="false">'2eme trim 2017 '!B18</f>
        <v>789065</v>
      </c>
      <c r="C221" s="524"/>
      <c r="D221" s="382" t="str">
        <f aca="false">'2eme trim 2017 '!D18</f>
        <v>REEBOU FAMILY</v>
      </c>
      <c r="E221" s="395"/>
      <c r="F221" s="282" t="n">
        <f aca="false">'2eme trim 2017 '!F18</f>
        <v>0</v>
      </c>
      <c r="G221" s="29" t="n">
        <f aca="false">'2eme trim 2017 '!G18</f>
        <v>0</v>
      </c>
      <c r="H221" s="222"/>
      <c r="I221" s="132" t="n">
        <f aca="false">'2eme trim 2017 '!I18</f>
        <v>59.778</v>
      </c>
      <c r="J221" s="437"/>
      <c r="K221" s="478" t="str">
        <f aca="false">IF(AND(A221=F1!$A$1,D221=F1!$B$1),ROW(),"")</f>
        <v/>
      </c>
    </row>
    <row r="222" customFormat="false" ht="17.35" hidden="false" customHeight="false" outlineLevel="0" collapsed="false">
      <c r="A222" s="490" t="str">
        <f aca="false">'3ème trim 2016'!A46</f>
        <v>09.2016</v>
      </c>
      <c r="B222" s="507" t="n">
        <f aca="false">'3ème trim 2016'!B46</f>
        <v>642719</v>
      </c>
      <c r="C222" s="534"/>
      <c r="D222" s="509" t="str">
        <f aca="false">'3ème trim 2016'!D46</f>
        <v>HORIZON 60 CAPI</v>
      </c>
      <c r="E222" s="535"/>
      <c r="F222" s="536" t="n">
        <f aca="false">'3ème trim 2016'!F46</f>
        <v>0</v>
      </c>
      <c r="G222" s="537" t="n">
        <f aca="false">'3ème trim 2016'!G46</f>
        <v>0</v>
      </c>
      <c r="H222" s="513"/>
      <c r="I222" s="130" t="n">
        <f aca="false">'3ème trim 2016'!I46</f>
        <v>537.6</v>
      </c>
      <c r="J222" s="437"/>
      <c r="K222" s="478" t="str">
        <f aca="false">IF(AND(A222=F1!$A$1,D222=F1!$B$1),ROW(),"")</f>
        <v/>
      </c>
    </row>
    <row r="223" customFormat="false" ht="17.35" hidden="false" customHeight="false" outlineLevel="0" collapsed="false">
      <c r="A223" s="490" t="str">
        <f aca="false">'1er Trimestre 2018'!A36</f>
        <v>02.2018</v>
      </c>
      <c r="B223" s="507" t="n">
        <f aca="false">'1er Trimestre 2018'!B36</f>
        <v>983501</v>
      </c>
      <c r="C223" s="534"/>
      <c r="D223" s="509" t="str">
        <f aca="false">'1er Trimestre 2018'!D36</f>
        <v>MEDICIS</v>
      </c>
      <c r="E223" s="535"/>
      <c r="F223" s="536" t="n">
        <f aca="false">'1er Trimestre 2018'!F36</f>
        <v>0</v>
      </c>
      <c r="G223" s="537" t="n">
        <f aca="false">'1er Trimestre 2018'!G36</f>
        <v>0</v>
      </c>
      <c r="H223" s="513"/>
      <c r="I223" s="132" t="n">
        <f aca="false">'1er Trimestre 2018'!I36</f>
        <v>21.1575</v>
      </c>
      <c r="J223" s="437"/>
      <c r="K223" s="478" t="str">
        <f aca="false">IF(AND(A223=F1!$A$1,D223=F1!$B$1),ROW(),"")</f>
        <v/>
      </c>
    </row>
    <row r="224" customFormat="false" ht="17.35" hidden="false" customHeight="false" outlineLevel="0" collapsed="false">
      <c r="A224" s="481" t="str">
        <f aca="false">'1er Trimestre 2018'!A37</f>
        <v>02.2018</v>
      </c>
      <c r="B224" s="469" t="n">
        <f aca="false">'1er Trimestre 2018'!B37</f>
        <v>983501</v>
      </c>
      <c r="C224" s="524"/>
      <c r="D224" s="382" t="str">
        <f aca="false">'1er Trimestre 2018'!D37</f>
        <v>FOCUS</v>
      </c>
      <c r="E224" s="395"/>
      <c r="F224" s="282" t="n">
        <f aca="false">'1er Trimestre 2018'!F37</f>
        <v>0</v>
      </c>
      <c r="G224" s="29" t="n">
        <f aca="false">'1er Trimestre 2018'!G37</f>
        <v>0</v>
      </c>
      <c r="H224" s="222"/>
      <c r="I224" s="132" t="n">
        <f aca="false">'1er Trimestre 2018'!I37</f>
        <v>36.7875</v>
      </c>
      <c r="J224" s="437"/>
      <c r="K224" s="478" t="str">
        <f aca="false">IF(AND(A224=F1!$A$1,D224=F1!$B$1),ROW(),"")</f>
        <v/>
      </c>
    </row>
    <row r="225" customFormat="false" ht="17.35" hidden="false" customHeight="false" outlineLevel="0" collapsed="false">
      <c r="A225" s="490" t="str">
        <f aca="false">'4ème trim 2016'!A63</f>
        <v>12.2016</v>
      </c>
      <c r="B225" s="507" t="n">
        <f aca="false">'4ème trim 2016'!B63</f>
        <v>480704</v>
      </c>
      <c r="C225" s="534"/>
      <c r="D225" s="509" t="str">
        <f aca="false">'4ème trim 2016'!D63</f>
        <v>MEDICIS GROUP</v>
      </c>
      <c r="E225" s="535"/>
      <c r="F225" s="536" t="n">
        <f aca="false">'4ème trim 2016'!F63</f>
        <v>0</v>
      </c>
      <c r="G225" s="537" t="n">
        <f aca="false">'4ème trim 2016'!G63</f>
        <v>0</v>
      </c>
      <c r="H225" s="513"/>
      <c r="I225" s="132" t="n">
        <f aca="false">'4ème trim 2016'!I63</f>
        <v>229.95</v>
      </c>
      <c r="J225" s="437"/>
      <c r="K225" s="478" t="str">
        <f aca="false">IF(AND(A225=F1!$A$1,D225=F1!$B$1),ROW(),"")</f>
        <v/>
      </c>
    </row>
    <row r="226" customFormat="false" ht="17.35" hidden="false" customHeight="false" outlineLevel="0" collapsed="false">
      <c r="A226" s="481" t="str">
        <f aca="false">'4eme trim 2017  '!A83</f>
        <v>12.2017</v>
      </c>
      <c r="B226" s="469" t="n">
        <f aca="false">'4eme trim 2017  '!B83</f>
        <v>962753</v>
      </c>
      <c r="C226" s="524"/>
      <c r="D226" s="382" t="str">
        <f aca="false">'4eme trim 2017  '!D83</f>
        <v>MOBILE2016</v>
      </c>
      <c r="E226" s="395"/>
      <c r="F226" s="282" t="n">
        <f aca="false">'4eme trim 2017  '!F83</f>
        <v>0</v>
      </c>
      <c r="G226" s="29" t="n">
        <f aca="false">'4eme trim 2017  '!G83</f>
        <v>0</v>
      </c>
      <c r="H226" s="222"/>
      <c r="I226" s="132" t="n">
        <f aca="false">'4eme trim 2017  '!I83</f>
        <v>105.0272</v>
      </c>
      <c r="J226" s="437"/>
      <c r="K226" s="478" t="str">
        <f aca="false">IF(AND(A226=F1!$A$1,D226=F1!$B$1),ROW(),"")</f>
        <v/>
      </c>
    </row>
    <row r="227" customFormat="false" ht="17.35" hidden="false" customHeight="false" outlineLevel="0" collapsed="false">
      <c r="A227" s="481" t="str">
        <f aca="false">'4eme trim 2017  '!A31</f>
        <v>10.2017</v>
      </c>
      <c r="B227" s="469" t="n">
        <f aca="false">'4eme trim 2017  '!B31</f>
        <v>969675</v>
      </c>
      <c r="C227" s="524"/>
      <c r="D227" s="382" t="str">
        <f aca="false">'4eme trim 2017  '!D31</f>
        <v>MOBILE2007</v>
      </c>
      <c r="E227" s="395"/>
      <c r="F227" s="282" t="n">
        <f aca="false">'4eme trim 2017  '!F31</f>
        <v>0</v>
      </c>
      <c r="G227" s="29" t="n">
        <f aca="false">'4eme trim 2017  '!G31</f>
        <v>0</v>
      </c>
      <c r="H227" s="129"/>
      <c r="I227" s="132" t="n">
        <f aca="false">'4eme trim 2017  '!I31</f>
        <v>26.025</v>
      </c>
      <c r="J227" s="437"/>
      <c r="K227" s="478" t="str">
        <f aca="false">IF(AND(A227=F1!$A$1,D227=F1!$B$1),ROW(),"")</f>
        <v/>
      </c>
    </row>
    <row r="228" customFormat="false" ht="23.85" hidden="false" customHeight="false" outlineLevel="0" collapsed="false">
      <c r="A228" s="538" t="str">
        <f aca="false">'1er trim 2017'!A51</f>
        <v>02.2017</v>
      </c>
      <c r="B228" s="539" t="n">
        <f aca="false">'1er trim 2017'!B51</f>
        <v>904456</v>
      </c>
      <c r="C228" s="540"/>
      <c r="D228" s="541" t="str">
        <f aca="false">'1er trim 2017'!D51</f>
        <v>MEDICIS</v>
      </c>
      <c r="E228" s="542"/>
      <c r="F228" s="543" t="n">
        <f aca="false">'1er trim 2017'!F51</f>
        <v>0</v>
      </c>
      <c r="G228" s="544" t="n">
        <f aca="false">'1er trim 2017'!G51</f>
        <v>0</v>
      </c>
      <c r="H228" s="545"/>
      <c r="I228" s="547" t="n">
        <f aca="false">'1er trim 2017'!I51</f>
        <v>148.3685</v>
      </c>
      <c r="J228" s="568" t="s">
        <v>605</v>
      </c>
      <c r="K228" s="478" t="str">
        <f aca="false">IF(AND(A228=F1!$A$1,D228=F1!$B$1),ROW(),"")</f>
        <v/>
      </c>
    </row>
    <row r="229" customFormat="false" ht="17.35" hidden="false" customHeight="false" outlineLevel="0" collapsed="false">
      <c r="A229" s="481" t="str">
        <f aca="false">'2e trim 2016'!A39</f>
        <v>05.2016</v>
      </c>
      <c r="B229" s="469" t="n">
        <f aca="false">'2e trim 2016'!B39</f>
        <v>862575</v>
      </c>
      <c r="C229" s="525"/>
      <c r="D229" s="382" t="str">
        <f aca="false">'2e trim 2016'!D39</f>
        <v>PJ</v>
      </c>
      <c r="E229" s="433"/>
      <c r="F229" s="434" t="n">
        <f aca="false">'2e trim 2016'!F39</f>
        <v>0</v>
      </c>
      <c r="G229" s="24" t="n">
        <f aca="false">'2e trim 2016'!G39</f>
        <v>0</v>
      </c>
      <c r="H229" s="129"/>
      <c r="I229" s="132" t="n">
        <f aca="false">'2e trim 2016'!I39</f>
        <v>30.4356</v>
      </c>
      <c r="J229" s="437"/>
      <c r="K229" s="478" t="str">
        <f aca="false">IF(AND(A229=F1!$A$1,D229=F1!$B$1),ROW(),"")</f>
        <v/>
      </c>
    </row>
    <row r="230" customFormat="false" ht="17.35" hidden="false" customHeight="false" outlineLevel="0" collapsed="false">
      <c r="A230" s="490" t="str">
        <f aca="false">'4ème trim 2016'!A68</f>
        <v>12.2016</v>
      </c>
      <c r="B230" s="507" t="n">
        <f aca="false">'4ème trim 2016'!B68</f>
        <v>515179</v>
      </c>
      <c r="C230" s="534"/>
      <c r="D230" s="509" t="str">
        <f aca="false">'4ème trim 2016'!D68</f>
        <v>FOCUS INVEST.</v>
      </c>
      <c r="E230" s="535"/>
      <c r="F230" s="536" t="n">
        <f aca="false">'4ème trim 2016'!F68</f>
        <v>0</v>
      </c>
      <c r="G230" s="537" t="n">
        <f aca="false">'4ème trim 2016'!G68</f>
        <v>0</v>
      </c>
      <c r="H230" s="513"/>
      <c r="I230" s="132" t="n">
        <f aca="false">'4ème trim 2016'!I68</f>
        <v>13.8114</v>
      </c>
      <c r="J230" s="437"/>
      <c r="K230" s="478" t="str">
        <f aca="false">IF(AND(A230=F1!$A$1,D230=F1!$B$1),ROW(),"")</f>
        <v/>
      </c>
    </row>
    <row r="231" customFormat="false" ht="17.35" hidden="false" customHeight="false" outlineLevel="0" collapsed="false">
      <c r="A231" s="490" t="str">
        <f aca="false">'2eme trim 2017 '!A13</f>
        <v>04.2017</v>
      </c>
      <c r="B231" s="507" t="n">
        <f aca="false">'2eme trim 2017 '!B13</f>
        <v>646798</v>
      </c>
      <c r="C231" s="534"/>
      <c r="D231" s="509" t="str">
        <f aca="false">'2eme trim 2017 '!D13</f>
        <v>HORIZONT 60 INVEST</v>
      </c>
      <c r="E231" s="535"/>
      <c r="F231" s="536" t="n">
        <f aca="false">'2eme trim 2017 '!F13</f>
        <v>0</v>
      </c>
      <c r="G231" s="537" t="n">
        <f aca="false">'2eme trim 2017 '!G13</f>
        <v>2039</v>
      </c>
      <c r="H231" s="513"/>
      <c r="I231" s="132" t="n">
        <f aca="false">'2eme trim 2017 '!I13</f>
        <v>316.8</v>
      </c>
      <c r="J231" s="437"/>
      <c r="K231" s="478" t="str">
        <f aca="false">IF(AND(A231=F1!$A$1,D231=F1!$B$1),ROW(),"")</f>
        <v/>
      </c>
    </row>
    <row r="232" customFormat="false" ht="17.35" hidden="false" customHeight="false" outlineLevel="0" collapsed="false">
      <c r="A232" s="481" t="str">
        <f aca="false">'4ème trim 2016'!A32</f>
        <v>11.2016</v>
      </c>
      <c r="B232" s="469" t="n">
        <f aca="false">'4ème trim 2016'!B32</f>
        <v>646798</v>
      </c>
      <c r="C232" s="524"/>
      <c r="D232" s="382" t="str">
        <f aca="false">'4ème trim 2016'!D32</f>
        <v>MOBILE 2007</v>
      </c>
      <c r="E232" s="395"/>
      <c r="F232" s="282" t="n">
        <f aca="false">'4ème trim 2016'!F32</f>
        <v>0</v>
      </c>
      <c r="G232" s="29" t="n">
        <f aca="false">'4ème trim 2016'!G32</f>
        <v>0</v>
      </c>
      <c r="H232" s="222"/>
      <c r="I232" s="222" t="n">
        <f aca="false">'4ème trim 2016'!I32</f>
        <v>57.7783</v>
      </c>
      <c r="J232" s="437"/>
      <c r="K232" s="478" t="str">
        <f aca="false">IF(AND(A232=F1!$A$1,D232=F1!$B$1),ROW(),"")</f>
        <v/>
      </c>
    </row>
    <row r="233" customFormat="false" ht="17.35" hidden="false" customHeight="false" outlineLevel="0" collapsed="false">
      <c r="A233" s="481" t="str">
        <f aca="false">'4ème trim 2016'!A33</f>
        <v>11.2016</v>
      </c>
      <c r="B233" s="469" t="n">
        <f aca="false">'4ème trim 2016'!B33</f>
        <v>646798</v>
      </c>
      <c r="C233" s="524"/>
      <c r="D233" s="382" t="str">
        <f aca="false">'4ème trim 2016'!D33</f>
        <v>REEBOU FAMILY</v>
      </c>
      <c r="E233" s="395"/>
      <c r="F233" s="282" t="n">
        <f aca="false">'4ème trim 2016'!F33</f>
        <v>0</v>
      </c>
      <c r="G233" s="29" t="n">
        <f aca="false">'4ème trim 2016'!G33</f>
        <v>0</v>
      </c>
      <c r="H233" s="222"/>
      <c r="I233" s="222" t="n">
        <f aca="false">'4ème trim 2016'!I33</f>
        <v>34.4412</v>
      </c>
      <c r="J233" s="437"/>
      <c r="K233" s="478" t="str">
        <f aca="false">IF(AND(A233=F1!$A$1,D233=F1!$B$1),ROW(),"")</f>
        <v/>
      </c>
    </row>
    <row r="234" customFormat="false" ht="17.35" hidden="false" customHeight="false" outlineLevel="0" collapsed="false">
      <c r="A234" s="481" t="str">
        <f aca="false">'1er trim 2017'!A70</f>
        <v>03.2017</v>
      </c>
      <c r="B234" s="469" t="n">
        <f aca="false">'1er trim 2017'!B70</f>
        <v>581937</v>
      </c>
      <c r="C234" s="525"/>
      <c r="D234" s="382" t="str">
        <f aca="false">'1er trim 2017'!D70</f>
        <v>MOBILE</v>
      </c>
      <c r="E234" s="383"/>
      <c r="F234" s="282" t="n">
        <f aca="false">'1er trim 2017'!F70</f>
        <v>0</v>
      </c>
      <c r="G234" s="24" t="n">
        <f aca="false">'1er trim 2017'!G70</f>
        <v>0</v>
      </c>
      <c r="H234" s="129"/>
      <c r="I234" s="132" t="n">
        <f aca="false">'1er trim 2017'!I70</f>
        <v>53.6427</v>
      </c>
      <c r="J234" s="437"/>
      <c r="K234" s="478" t="str">
        <f aca="false">IF(AND(A234=F1!$A$1,D234=F1!$B$1),ROW(),"")</f>
        <v/>
      </c>
    </row>
    <row r="235" customFormat="false" ht="17.35" hidden="false" customHeight="false" outlineLevel="0" collapsed="false">
      <c r="A235" s="481" t="str">
        <f aca="false">'4eme trim 2017  '!A56</f>
        <v>11.2017</v>
      </c>
      <c r="B235" s="469" t="n">
        <f aca="false">'4eme trim 2017  '!B56</f>
        <v>945980</v>
      </c>
      <c r="C235" s="524"/>
      <c r="D235" s="382" t="str">
        <f aca="false">'4eme trim 2017  '!D56</f>
        <v>SCHWABISCHHALL</v>
      </c>
      <c r="E235" s="395"/>
      <c r="F235" s="282" t="n">
        <f aca="false">'4eme trim 2017  '!F56</f>
        <v>0</v>
      </c>
      <c r="G235" s="29" t="n">
        <f aca="false">'4eme trim 2017  '!G56</f>
        <v>0</v>
      </c>
      <c r="H235" s="132"/>
      <c r="I235" s="222" t="n">
        <f aca="false">'4eme trim 2017  '!I56</f>
        <v>189</v>
      </c>
      <c r="J235" s="437"/>
      <c r="K235" s="478" t="str">
        <f aca="false">IF(AND(A235=F1!$A$1,D235=F1!$B$1),ROW(),"")</f>
        <v/>
      </c>
    </row>
    <row r="236" customFormat="false" ht="17.35" hidden="false" customHeight="false" outlineLevel="0" collapsed="false">
      <c r="A236" s="481" t="str">
        <f aca="false">'4ème trim 2016'!A76</f>
        <v>12.2016</v>
      </c>
      <c r="B236" s="469" t="n">
        <f aca="false">'4ème trim 2016'!B76</f>
        <v>462817</v>
      </c>
      <c r="C236" s="524"/>
      <c r="D236" s="382" t="str">
        <f aca="false">'4ème trim 2016'!D76</f>
        <v>MOBILE 2007</v>
      </c>
      <c r="E236" s="395"/>
      <c r="F236" s="282" t="n">
        <f aca="false">'4ème trim 2016'!F76</f>
        <v>0</v>
      </c>
      <c r="G236" s="29" t="n">
        <f aca="false">'4ème trim 2016'!G76</f>
        <v>0</v>
      </c>
      <c r="H236" s="222"/>
      <c r="I236" s="132" t="n">
        <f aca="false">'4ème trim 2016'!I76</f>
        <v>112.4736</v>
      </c>
      <c r="J236" s="437"/>
      <c r="K236" s="478" t="str">
        <f aca="false">IF(AND(A236=F1!$A$1,D236=F1!$B$1),ROW(),"")</f>
        <v/>
      </c>
    </row>
    <row r="237" customFormat="false" ht="17.35" hidden="false" customHeight="false" outlineLevel="0" collapsed="false">
      <c r="A237" s="481" t="str">
        <f aca="false">'4ème trim 2016'!A77</f>
        <v>12.2016</v>
      </c>
      <c r="B237" s="469" t="n">
        <f aca="false">'4ème trim 2016'!B77</f>
        <v>462817</v>
      </c>
      <c r="C237" s="524"/>
      <c r="D237" s="382" t="str">
        <f aca="false">'4ème trim 2016'!D77</f>
        <v>NOVA PROTECT</v>
      </c>
      <c r="E237" s="395"/>
      <c r="F237" s="282" t="n">
        <f aca="false">'4ème trim 2016'!F77</f>
        <v>0</v>
      </c>
      <c r="G237" s="29" t="n">
        <f aca="false">'4ème trim 2016'!G77</f>
        <v>0</v>
      </c>
      <c r="H237" s="222"/>
      <c r="I237" s="132" t="n">
        <f aca="false">'4ème trim 2016'!I77</f>
        <v>180</v>
      </c>
      <c r="J237" s="437"/>
      <c r="K237" s="478" t="str">
        <f aca="false">IF(AND(A237=F1!$A$1,D237=F1!$B$1),ROW(),"")</f>
        <v/>
      </c>
    </row>
    <row r="238" customFormat="false" ht="17.35" hidden="false" customHeight="false" outlineLevel="0" collapsed="false">
      <c r="A238" s="481" t="str">
        <f aca="false">'4ème trim 2016'!A78</f>
        <v>12.2016</v>
      </c>
      <c r="B238" s="469" t="n">
        <f aca="false">'4ème trim 2016'!B78</f>
        <v>462817</v>
      </c>
      <c r="C238" s="524"/>
      <c r="D238" s="642" t="str">
        <f aca="false">'4ème trim 2016'!D78</f>
        <v>REEBOU FAMILY</v>
      </c>
      <c r="E238" s="395"/>
      <c r="F238" s="282" t="n">
        <f aca="false">'4ème trim 2016'!F78</f>
        <v>0</v>
      </c>
      <c r="G238" s="29" t="n">
        <f aca="false">'4ème trim 2016'!G78</f>
        <v>0</v>
      </c>
      <c r="H238" s="222"/>
      <c r="I238" s="222" t="n">
        <f aca="false">'4ème trim 2016'!I78</f>
        <v>28.38</v>
      </c>
      <c r="J238" s="437"/>
      <c r="K238" s="478" t="str">
        <f aca="false">IF(AND(A238=F1!$A$1,D238=F1!$B$1),ROW(),"")</f>
        <v/>
      </c>
    </row>
    <row r="239" customFormat="false" ht="17.35" hidden="false" customHeight="false" outlineLevel="0" collapsed="false">
      <c r="A239" s="481" t="str">
        <f aca="false">'1er trim 2017'!A39</f>
        <v>02.2017</v>
      </c>
      <c r="B239" s="469" t="n">
        <f aca="false">'1er trim 2017'!B39</f>
        <v>653485</v>
      </c>
      <c r="C239" s="524"/>
      <c r="D239" s="382" t="str">
        <f aca="false">'1er trim 2017'!D39</f>
        <v>MOBILE</v>
      </c>
      <c r="E239" s="395"/>
      <c r="F239" s="282" t="n">
        <f aca="false">'1er trim 2017'!F39</f>
        <v>0</v>
      </c>
      <c r="G239" s="29" t="n">
        <f aca="false">'1er trim 2017'!G39</f>
        <v>0</v>
      </c>
      <c r="H239" s="222"/>
      <c r="I239" s="132" t="n">
        <f aca="false">'1er trim 2017'!I39</f>
        <v>113.2</v>
      </c>
      <c r="J239" s="437"/>
      <c r="K239" s="478" t="str">
        <f aca="false">IF(AND(A239=F1!$A$1,D239=F1!$B$1),ROW(),"")</f>
        <v/>
      </c>
    </row>
    <row r="240" customFormat="false" ht="17.35" hidden="false" customHeight="false" outlineLevel="0" collapsed="false">
      <c r="A240" s="481" t="str">
        <f aca="false">'1er trim 2017'!A40</f>
        <v>02.2017</v>
      </c>
      <c r="B240" s="469" t="n">
        <f aca="false">'1er trim 2017'!B40</f>
        <v>653485</v>
      </c>
      <c r="C240" s="524"/>
      <c r="D240" s="382" t="str">
        <f aca="false">'1er trim 2017'!D40</f>
        <v>REEBOU FAMILY</v>
      </c>
      <c r="E240" s="395"/>
      <c r="F240" s="282" t="n">
        <f aca="false">'1er trim 2017'!F40</f>
        <v>0</v>
      </c>
      <c r="G240" s="29" t="n">
        <f aca="false">'1er trim 2017'!G40</f>
        <v>0</v>
      </c>
      <c r="H240" s="222"/>
      <c r="I240" s="132" t="n">
        <f aca="false">'1er trim 2017'!I40</f>
        <v>25.194</v>
      </c>
      <c r="J240" s="437"/>
      <c r="K240" s="478" t="str">
        <f aca="false">IF(AND(A240=F1!$A$1,D240=F1!$B$1),ROW(),"")</f>
        <v/>
      </c>
    </row>
    <row r="241" customFormat="false" ht="17.35" hidden="false" customHeight="false" outlineLevel="0" collapsed="false">
      <c r="A241" s="481" t="str">
        <f aca="false">'2e trim 2016'!A30</f>
        <v>04.2016</v>
      </c>
      <c r="B241" s="469" t="n">
        <f aca="false">'2e trim 2016'!B30</f>
        <v>281857</v>
      </c>
      <c r="C241" s="524"/>
      <c r="D241" s="382" t="str">
        <f aca="false">'2e trim 2016'!D30</f>
        <v>REEBOU PRO</v>
      </c>
      <c r="E241" s="395"/>
      <c r="F241" s="282" t="n">
        <f aca="false">'2e trim 2016'!F30</f>
        <v>0</v>
      </c>
      <c r="G241" s="29" t="n">
        <f aca="false">'2e trim 2016'!G30</f>
        <v>0</v>
      </c>
      <c r="H241" s="222"/>
      <c r="I241" s="132" t="n">
        <f aca="false">'2e trim 2016'!I30</f>
        <v>215.4</v>
      </c>
      <c r="J241" s="437"/>
      <c r="K241" s="478" t="str">
        <f aca="false">IF(AND(A241=F1!$A$1,D241=F1!$B$1),ROW(),"")</f>
        <v/>
      </c>
    </row>
    <row r="242" customFormat="false" ht="17.35" hidden="false" customHeight="false" outlineLevel="0" collapsed="false">
      <c r="A242" s="490" t="str">
        <f aca="false">'4eme trim 2017  '!A61</f>
        <v>11.2017</v>
      </c>
      <c r="B242" s="507" t="n">
        <f aca="false">'4eme trim 2017  '!B61</f>
        <v>848696</v>
      </c>
      <c r="C242" s="534"/>
      <c r="D242" s="509" t="str">
        <f aca="false">'4eme trim 2017  '!D61</f>
        <v>MEDICIS</v>
      </c>
      <c r="E242" s="535"/>
      <c r="F242" s="536" t="str">
        <f aca="false">'4eme trim 2017  '!F61</f>
        <v>X</v>
      </c>
      <c r="G242" s="537" t="n">
        <f aca="false">'4eme trim 2017  '!G61</f>
        <v>0</v>
      </c>
      <c r="H242" s="523"/>
      <c r="I242" s="130" t="n">
        <f aca="false">'4eme trim 2017  '!I61</f>
        <v>64.029</v>
      </c>
      <c r="J242" s="437"/>
      <c r="K242" s="478" t="str">
        <f aca="false">IF(AND(A242=F1!$A$1,D242=F1!$B$1),ROW(),"")</f>
        <v/>
      </c>
    </row>
    <row r="243" customFormat="false" ht="17.35" hidden="false" customHeight="false" outlineLevel="0" collapsed="false">
      <c r="A243" s="538" t="str">
        <f aca="false">'3ème trim 2016'!A34</f>
        <v>07.2016</v>
      </c>
      <c r="B243" s="539" t="n">
        <f aca="false">'3ème trim 2016'!B34</f>
        <v>848696</v>
      </c>
      <c r="C243" s="540"/>
      <c r="D243" s="541" t="str">
        <f aca="false">'3ème trim 2016'!D34</f>
        <v>SANTE</v>
      </c>
      <c r="E243" s="542"/>
      <c r="F243" s="543" t="n">
        <f aca="false">'3ème trim 2016'!F34</f>
        <v>0</v>
      </c>
      <c r="G243" s="544" t="n">
        <f aca="false">'3ème trim 2016'!G34</f>
        <v>0</v>
      </c>
      <c r="H243" s="545"/>
      <c r="I243" s="132" t="n">
        <f aca="false">'3ème trim 2016'!I34</f>
        <v>51.05275</v>
      </c>
      <c r="J243" s="437"/>
      <c r="K243" s="478" t="str">
        <f aca="false">IF(AND(A243=F1!$A$1,D243=F1!$B$1),ROW(),"")</f>
        <v/>
      </c>
    </row>
    <row r="244" customFormat="false" ht="17.35" hidden="false" customHeight="false" outlineLevel="0" collapsed="false">
      <c r="A244" s="538" t="str">
        <f aca="false">'2e trim 2016'!A55</f>
        <v>06.2016</v>
      </c>
      <c r="B244" s="539" t="n">
        <f aca="false">'2e trim 2016'!B55</f>
        <v>848696</v>
      </c>
      <c r="C244" s="540"/>
      <c r="D244" s="541" t="str">
        <f aca="false">'2e trim 2016'!D55</f>
        <v>SANTE</v>
      </c>
      <c r="E244" s="542"/>
      <c r="F244" s="543" t="n">
        <f aca="false">'2e trim 2016'!F55</f>
        <v>0</v>
      </c>
      <c r="G244" s="544" t="n">
        <f aca="false">'2e trim 2016'!G55</f>
        <v>0</v>
      </c>
      <c r="H244" s="545"/>
      <c r="I244" s="132" t="n">
        <f aca="false">'2e trim 2016'!I55</f>
        <v>396.249</v>
      </c>
      <c r="J244" s="437"/>
      <c r="K244" s="478" t="str">
        <f aca="false">IF(AND(A244=F1!$A$1,D244=F1!$B$1),ROW(),"")</f>
        <v/>
      </c>
    </row>
    <row r="245" customFormat="false" ht="17.35" hidden="false" customHeight="false" outlineLevel="0" collapsed="false">
      <c r="A245" s="490" t="str">
        <f aca="false">'1er trim 2017'!A34</f>
        <v>02.2017</v>
      </c>
      <c r="B245" s="507" t="n">
        <f aca="false">'1er trim 2017'!B34</f>
        <v>848696</v>
      </c>
      <c r="C245" s="534"/>
      <c r="D245" s="509" t="str">
        <f aca="false">'1er trim 2017'!D34</f>
        <v>MEDICIS</v>
      </c>
      <c r="E245" s="535"/>
      <c r="F245" s="536" t="n">
        <f aca="false">'1er trim 2017'!F34</f>
        <v>0</v>
      </c>
      <c r="G245" s="537" t="n">
        <f aca="false">'1er trim 2017'!G34</f>
        <v>0</v>
      </c>
      <c r="H245" s="513"/>
      <c r="I245" s="132" t="n">
        <f aca="false">'1er trim 2017'!I34</f>
        <v>116.193</v>
      </c>
      <c r="J245" s="437"/>
      <c r="K245" s="478" t="str">
        <f aca="false">IF(AND(A245=F1!$A$1,D245=F1!$B$1),ROW(),"")</f>
        <v/>
      </c>
    </row>
    <row r="246" customFormat="false" ht="17.35" hidden="false" customHeight="false" outlineLevel="0" collapsed="false">
      <c r="A246" s="490" t="str">
        <f aca="false">'2eme trim 2017 '!A41</f>
        <v>05.2017</v>
      </c>
      <c r="B246" s="507" t="n">
        <f aca="false">'2eme trim 2017 '!B41</f>
        <v>848696</v>
      </c>
      <c r="C246" s="520"/>
      <c r="D246" s="509" t="str">
        <f aca="false">'2eme trim 2017 '!D41</f>
        <v>MEDICIS</v>
      </c>
      <c r="E246" s="558"/>
      <c r="F246" s="536" t="n">
        <f aca="false">'2eme trim 2017 '!F41</f>
        <v>0</v>
      </c>
      <c r="G246" s="521" t="n">
        <f aca="false">'2eme trim 2017 '!G41</f>
        <v>0</v>
      </c>
      <c r="H246" s="573"/>
      <c r="I246" s="132" t="n">
        <f aca="false">'2eme trim 2017 '!I41</f>
        <v>133.035</v>
      </c>
      <c r="J246" s="437"/>
      <c r="K246" s="478" t="str">
        <f aca="false">IF(AND(A246=F1!$A$1,D246=F1!$B$1),ROW(),"")</f>
        <v/>
      </c>
    </row>
    <row r="247" customFormat="false" ht="17.35" hidden="false" customHeight="false" outlineLevel="0" collapsed="false">
      <c r="A247" s="490" t="str">
        <f aca="false">'1er trim 2017'!A33</f>
        <v>02.2017</v>
      </c>
      <c r="B247" s="507" t="n">
        <f aca="false">'1er trim 2017'!B33</f>
        <v>848696</v>
      </c>
      <c r="C247" s="534"/>
      <c r="D247" s="509" t="str">
        <f aca="false">'1er trim 2017'!D33</f>
        <v>MEDICIS</v>
      </c>
      <c r="E247" s="535"/>
      <c r="F247" s="536" t="n">
        <f aca="false">'1er trim 2017'!F33</f>
        <v>0</v>
      </c>
      <c r="G247" s="537" t="n">
        <f aca="false">'1er trim 2017'!G33</f>
        <v>0</v>
      </c>
      <c r="H247" s="513"/>
      <c r="I247" s="132" t="n">
        <f aca="false">'1er trim 2017'!I33</f>
        <v>257.397</v>
      </c>
      <c r="J247" s="437"/>
      <c r="K247" s="478" t="str">
        <f aca="false">IF(AND(A247=F1!$A$1,D247=F1!$B$1),ROW(),"")</f>
        <v/>
      </c>
    </row>
    <row r="248" customFormat="false" ht="17.35" hidden="false" customHeight="false" outlineLevel="0" collapsed="false">
      <c r="A248" s="490" t="str">
        <f aca="false">'2eme trim 2017 '!A40</f>
        <v>05.2017</v>
      </c>
      <c r="B248" s="507" t="n">
        <f aca="false">'2eme trim 2017 '!B40</f>
        <v>848696</v>
      </c>
      <c r="C248" s="520"/>
      <c r="D248" s="509" t="str">
        <f aca="false">'2eme trim 2017 '!D40</f>
        <v>MEDICIS</v>
      </c>
      <c r="E248" s="558"/>
      <c r="F248" s="536" t="n">
        <f aca="false">'2eme trim 2017 '!F40</f>
        <v>0</v>
      </c>
      <c r="G248" s="521" t="n">
        <f aca="false">'2eme trim 2017 '!G40</f>
        <v>0</v>
      </c>
      <c r="H248" s="573"/>
      <c r="I248" s="132" t="n">
        <f aca="false">'2eme trim 2017 '!I40</f>
        <v>249.123</v>
      </c>
      <c r="J248" s="437"/>
      <c r="K248" s="478" t="str">
        <f aca="false">IF(AND(A248=F1!$A$1,D248=F1!$B$1),ROW(),"")</f>
        <v/>
      </c>
    </row>
    <row r="249" customFormat="false" ht="17.35" hidden="false" customHeight="false" outlineLevel="0" collapsed="false">
      <c r="A249" s="490" t="str">
        <f aca="false">'1er Trimestre 2018'!A46</f>
        <v>03.2018</v>
      </c>
      <c r="B249" s="507" t="n">
        <f aca="false">'1er Trimestre 2018'!B46</f>
        <v>848696</v>
      </c>
      <c r="C249" s="534"/>
      <c r="D249" s="509" t="str">
        <f aca="false">'1er Trimestre 2018'!D46</f>
        <v>MEDICIS</v>
      </c>
      <c r="E249" s="535"/>
      <c r="F249" s="536" t="n">
        <f aca="false">'1er Trimestre 2018'!F46</f>
        <v>0</v>
      </c>
      <c r="G249" s="537" t="n">
        <f aca="false">'1er Trimestre 2018'!G46</f>
        <v>0</v>
      </c>
      <c r="H249" s="513"/>
      <c r="I249" s="132" t="n">
        <f aca="false">'1er Trimestre 2018'!I46</f>
        <v>250.005</v>
      </c>
      <c r="J249" s="437"/>
      <c r="K249" s="478" t="str">
        <f aca="false">IF(AND(A249=F1!$A$1,D249=F1!$B$1),ROW(),"")</f>
        <v/>
      </c>
    </row>
    <row r="250" customFormat="false" ht="17.35" hidden="false" customHeight="false" outlineLevel="0" collapsed="false">
      <c r="A250" s="490" t="str">
        <f aca="false">'1er Trimestre 2018'!A47</f>
        <v>03.2018</v>
      </c>
      <c r="B250" s="507" t="n">
        <f aca="false">'1er Trimestre 2018'!B47</f>
        <v>848696</v>
      </c>
      <c r="C250" s="534"/>
      <c r="D250" s="509" t="str">
        <f aca="false">'1er Trimestre 2018'!D47</f>
        <v>MEDICIS</v>
      </c>
      <c r="E250" s="535"/>
      <c r="F250" s="536" t="n">
        <f aca="false">'1er Trimestre 2018'!F47</f>
        <v>0</v>
      </c>
      <c r="G250" s="537" t="n">
        <f aca="false">'1er Trimestre 2018'!G47</f>
        <v>0</v>
      </c>
      <c r="H250" s="513"/>
      <c r="I250" s="132" t="n">
        <f aca="false">'1er Trimestre 2018'!I47</f>
        <v>96.8275</v>
      </c>
      <c r="J250" s="437"/>
      <c r="K250" s="478" t="str">
        <f aca="false">IF(AND(A250=F1!$A$1,D250=F1!$B$1),ROW(),"")</f>
        <v/>
      </c>
    </row>
    <row r="251" customFormat="false" ht="17.35" hidden="false" customHeight="false" outlineLevel="0" collapsed="false">
      <c r="A251" s="481" t="str">
        <f aca="false">'4ème trim 2016'!A13</f>
        <v>10.2016</v>
      </c>
      <c r="B251" s="469" t="n">
        <f aca="false">'4ème trim 2016'!B13</f>
        <v>415134</v>
      </c>
      <c r="C251" s="525"/>
      <c r="D251" s="382" t="str">
        <f aca="false">'4ème trim 2016'!D13</f>
        <v>MOBILE 2007</v>
      </c>
      <c r="E251" s="395"/>
      <c r="F251" s="282" t="n">
        <f aca="false">'4ème trim 2016'!F13</f>
        <v>0</v>
      </c>
      <c r="G251" s="29" t="n">
        <f aca="false">'4ème trim 2016'!G13</f>
        <v>0</v>
      </c>
      <c r="H251" s="132"/>
      <c r="I251" s="132" t="n">
        <f aca="false">'4ème trim 2016'!I13</f>
        <v>131.9912</v>
      </c>
      <c r="J251" s="437"/>
      <c r="K251" s="478" t="str">
        <f aca="false">IF(AND(A251=F1!$A$1,D251=F1!$B$1),ROW(),"")</f>
        <v/>
      </c>
    </row>
    <row r="252" customFormat="false" ht="17.35" hidden="false" customHeight="false" outlineLevel="0" collapsed="false">
      <c r="A252" s="490" t="str">
        <f aca="false">'1er Trimestre 2018'!A10</f>
        <v>01.2018</v>
      </c>
      <c r="B252" s="507" t="n">
        <f aca="false">'1er Trimestre 2018'!B10</f>
        <v>854434</v>
      </c>
      <c r="C252" s="534"/>
      <c r="D252" s="509" t="str">
        <f aca="false">'1er Trimestre 2018'!D10</f>
        <v>HORIZONT60Invest</v>
      </c>
      <c r="E252" s="535"/>
      <c r="F252" s="536" t="n">
        <f aca="false">'1er Trimestre 2018'!F10</f>
        <v>0</v>
      </c>
      <c r="G252" s="537" t="n">
        <f aca="false">'1er Trimestre 2018'!G10</f>
        <v>2050</v>
      </c>
      <c r="H252" s="513"/>
      <c r="I252" s="132" t="n">
        <f aca="false">'1er Trimestre 2018'!I10</f>
        <v>791.04</v>
      </c>
      <c r="J252" s="437"/>
      <c r="K252" s="478" t="str">
        <f aca="false">IF(AND(A252=F1!$A$1,D252=F1!$B$1),ROW(),"")</f>
        <v/>
      </c>
    </row>
    <row r="253" customFormat="false" ht="17.35" hidden="false" customHeight="false" outlineLevel="0" collapsed="false">
      <c r="A253" s="490" t="str">
        <f aca="false">'4ème trim 2016'!A59</f>
        <v>12.2016</v>
      </c>
      <c r="B253" s="507" t="n">
        <f aca="false">'4ème trim 2016'!B59</f>
        <v>859813</v>
      </c>
      <c r="C253" s="520"/>
      <c r="D253" s="509" t="str">
        <f aca="false">'4ème trim 2016'!D59</f>
        <v>HORIZONT 60 CAPI</v>
      </c>
      <c r="E253" s="535"/>
      <c r="F253" s="536" t="n">
        <f aca="false">'4ème trim 2016'!F59</f>
        <v>0</v>
      </c>
      <c r="G253" s="537" t="n">
        <f aca="false">'4ème trim 2016'!G59</f>
        <v>2034</v>
      </c>
      <c r="H253" s="523"/>
      <c r="I253" s="222" t="n">
        <f aca="false">'4ème trim 2016'!I59</f>
        <v>306</v>
      </c>
      <c r="J253" s="437"/>
      <c r="K253" s="478" t="str">
        <f aca="false">IF(AND(A253=F1!$A$1,D253=F1!$B$1),ROW(),"")</f>
        <v/>
      </c>
    </row>
    <row r="254" customFormat="false" ht="17.35" hidden="false" customHeight="false" outlineLevel="0" collapsed="false">
      <c r="A254" s="481" t="str">
        <f aca="false">'4ème trim 2016'!A14</f>
        <v>10.2016</v>
      </c>
      <c r="B254" s="469" t="n">
        <f aca="false">'4ème trim 2016'!B14</f>
        <v>407702</v>
      </c>
      <c r="C254" s="525"/>
      <c r="D254" s="382" t="str">
        <f aca="false">'4ème trim 2016'!D14</f>
        <v>TOUS RISQUE CHANTIER</v>
      </c>
      <c r="E254" s="383"/>
      <c r="F254" s="282" t="n">
        <f aca="false">'4ème trim 2016'!F14</f>
        <v>0</v>
      </c>
      <c r="G254" s="24" t="n">
        <f aca="false">'4ème trim 2016'!G14</f>
        <v>0</v>
      </c>
      <c r="H254" s="615"/>
      <c r="I254" s="132" t="n">
        <f aca="false">'4ème trim 2016'!I14</f>
        <v>219.857</v>
      </c>
      <c r="J254" s="437"/>
      <c r="K254" s="478" t="str">
        <f aca="false">IF(AND(A254=F1!$A$1,D254=F1!$B$1),ROW(),"")</f>
        <v/>
      </c>
    </row>
    <row r="255" customFormat="false" ht="17.35" hidden="false" customHeight="false" outlineLevel="0" collapsed="false">
      <c r="A255" s="481" t="str">
        <f aca="false">'4ème trim 2016'!A15</f>
        <v>10.2016</v>
      </c>
      <c r="B255" s="469" t="n">
        <f aca="false">'4ème trim 2016'!B15</f>
        <v>407702</v>
      </c>
      <c r="C255" s="524"/>
      <c r="D255" s="382" t="str">
        <f aca="false">'4ème trim 2016'!D15</f>
        <v>REEBOU INVEST</v>
      </c>
      <c r="E255" s="395"/>
      <c r="F255" s="282" t="n">
        <f aca="false">'4ème trim 2016'!F15</f>
        <v>0</v>
      </c>
      <c r="G255" s="29" t="n">
        <f aca="false">'4ème trim 2016'!G15</f>
        <v>0</v>
      </c>
      <c r="H255" s="222"/>
      <c r="I255" s="132" t="n">
        <f aca="false">'4ème trim 2016'!I15</f>
        <v>92.5404</v>
      </c>
      <c r="J255" s="437"/>
      <c r="K255" s="478" t="str">
        <f aca="false">IF(AND(A255=F1!$A$1,D255=F1!$B$1),ROW(),"")</f>
        <v/>
      </c>
    </row>
    <row r="256" customFormat="false" ht="17.35" hidden="false" customHeight="false" outlineLevel="0" collapsed="false">
      <c r="A256" s="481" t="str">
        <f aca="false">'2eme trim 2017 '!A31</f>
        <v>05.2017</v>
      </c>
      <c r="B256" s="469" t="n">
        <f aca="false">'2eme trim 2017 '!B31</f>
        <v>294016</v>
      </c>
      <c r="C256" s="524"/>
      <c r="D256" s="382" t="str">
        <f aca="false">'2eme trim 2017 '!D31</f>
        <v>REEBOU FAMILY</v>
      </c>
      <c r="E256" s="395"/>
      <c r="F256" s="282" t="n">
        <f aca="false">'2eme trim 2017 '!F31</f>
        <v>0</v>
      </c>
      <c r="G256" s="29" t="n">
        <f aca="false">'2eme trim 2017 '!G31</f>
        <v>0</v>
      </c>
      <c r="H256" s="222"/>
      <c r="I256" s="222" t="n">
        <f aca="false">'2eme trim 2017 '!I31</f>
        <v>35.7876</v>
      </c>
      <c r="J256" s="437"/>
      <c r="K256" s="478" t="str">
        <f aca="false">IF(AND(A256=F1!$A$1,D256=F1!$B$1),ROW(),"")</f>
        <v/>
      </c>
    </row>
    <row r="257" customFormat="false" ht="17.35" hidden="false" customHeight="false" outlineLevel="0" collapsed="false">
      <c r="A257" s="481" t="str">
        <f aca="false">'2eme trim 2017 '!A32</f>
        <v>05.2017</v>
      </c>
      <c r="B257" s="469" t="n">
        <f aca="false">'2eme trim 2017 '!B32</f>
        <v>294016</v>
      </c>
      <c r="C257" s="524"/>
      <c r="D257" s="382" t="str">
        <f aca="false">'2eme trim 2017 '!D32</f>
        <v>PACK REEBOU FAMILY</v>
      </c>
      <c r="E257" s="395"/>
      <c r="F257" s="282" t="n">
        <f aca="false">'2eme trim 2017 '!F32</f>
        <v>0</v>
      </c>
      <c r="G257" s="29" t="n">
        <f aca="false">'2eme trim 2017 '!G32</f>
        <v>0</v>
      </c>
      <c r="H257" s="222"/>
      <c r="I257" s="132" t="n">
        <f aca="false">'2eme trim 2017 '!I32</f>
        <v>16.878</v>
      </c>
      <c r="J257" s="437"/>
      <c r="K257" s="478" t="str">
        <f aca="false">IF(AND(A257=F1!$A$1,D257=F1!$B$1),ROW(),"")</f>
        <v/>
      </c>
    </row>
    <row r="258" customFormat="false" ht="17.35" hidden="false" customHeight="false" outlineLevel="0" collapsed="false">
      <c r="A258" s="481" t="str">
        <f aca="false">'2eme trim 2017 '!A33</f>
        <v>05.2017</v>
      </c>
      <c r="B258" s="469" t="n">
        <f aca="false">'2eme trim 2017 '!B33</f>
        <v>294016</v>
      </c>
      <c r="C258" s="525"/>
      <c r="D258" s="382" t="str">
        <f aca="false">'2eme trim 2017 '!D33</f>
        <v>NOVA</v>
      </c>
      <c r="E258" s="383"/>
      <c r="F258" s="282" t="str">
        <f aca="false">'2eme trim 2017 '!F33</f>
        <v>x</v>
      </c>
      <c r="G258" s="24" t="n">
        <f aca="false">'2eme trim 2017 '!G33</f>
        <v>2026</v>
      </c>
      <c r="H258" s="615"/>
      <c r="I258" s="132" t="n">
        <f aca="false">'2eme trim 2017 '!I33</f>
        <v>40.5</v>
      </c>
      <c r="J258" s="437"/>
      <c r="K258" s="478" t="str">
        <f aca="false">IF(AND(A258=F1!$A$1,D258=F1!$B$1),ROW(),"")</f>
        <v/>
      </c>
    </row>
    <row r="259" customFormat="false" ht="13.8" hidden="false" customHeight="false" outlineLevel="0" collapsed="false">
      <c r="A259" s="484" t="str">
        <f aca="false">'3eme trim 2017  '!A47</f>
        <v>08.2017</v>
      </c>
      <c r="B259" s="517" t="n">
        <f aca="false">'3eme trim 2017  '!B47</f>
        <v>431621</v>
      </c>
      <c r="C259" s="525"/>
      <c r="D259" s="487" t="str">
        <f aca="false">'3eme trim 2017  '!D47</f>
        <v>REEBOU Pack</v>
      </c>
      <c r="E259" s="24"/>
      <c r="F259" s="245" t="n">
        <f aca="false">'3eme trim 2017  '!F47</f>
        <v>0</v>
      </c>
      <c r="G259" s="24" t="n">
        <f aca="false">'3eme trim 2017  '!G47</f>
        <v>0</v>
      </c>
      <c r="H259" s="132"/>
      <c r="I259" s="132" t="n">
        <f aca="false">'3eme trim 2017  '!I47</f>
        <v>16.968</v>
      </c>
      <c r="J259" s="437"/>
      <c r="K259" s="478" t="str">
        <f aca="false">IF(AND(A259=F1!$A$1,D259=F1!$B$1),ROW(),"")</f>
        <v/>
      </c>
    </row>
    <row r="260" customFormat="false" ht="17.35" hidden="false" customHeight="false" outlineLevel="0" collapsed="false">
      <c r="A260" s="481" t="str">
        <f aca="false">'3ème trim 2016'!A55</f>
        <v>09.2016</v>
      </c>
      <c r="B260" s="469" t="n">
        <f aca="false">'3ème trim 2016'!B55</f>
        <v>559422</v>
      </c>
      <c r="C260" s="525"/>
      <c r="D260" s="632" t="str">
        <f aca="false">'3ème trim 2016'!D55</f>
        <v>BSH</v>
      </c>
      <c r="E260" s="395"/>
      <c r="F260" s="282" t="n">
        <f aca="false">'3ème trim 2016'!F55</f>
        <v>0</v>
      </c>
      <c r="G260" s="29" t="n">
        <f aca="false">'3ème trim 2016'!G55</f>
        <v>0</v>
      </c>
      <c r="H260" s="132"/>
      <c r="I260" s="222" t="n">
        <f aca="false">'3ème trim 2016'!I55</f>
        <v>176.4</v>
      </c>
      <c r="J260" s="437"/>
      <c r="K260" s="478" t="str">
        <f aca="false">IF(AND(A260=F1!$A$1,D260=F1!$B$1),ROW(),"")</f>
        <v/>
      </c>
    </row>
    <row r="261" customFormat="false" ht="17.35" hidden="false" customHeight="false" outlineLevel="0" collapsed="false">
      <c r="A261" s="481" t="str">
        <f aca="false">'4ème trim 2016'!A85</f>
        <v>12.2016</v>
      </c>
      <c r="B261" s="469" t="n">
        <f aca="false">'4ème trim 2016'!B85</f>
        <v>559422</v>
      </c>
      <c r="C261" s="524"/>
      <c r="D261" s="632" t="str">
        <f aca="false">'4ème trim 2016'!D85</f>
        <v>BSH</v>
      </c>
      <c r="E261" s="395"/>
      <c r="F261" s="282" t="n">
        <f aca="false">'4ème trim 2016'!F85</f>
        <v>0</v>
      </c>
      <c r="G261" s="29" t="n">
        <f aca="false">'4ème trim 2016'!G85</f>
        <v>0</v>
      </c>
      <c r="H261" s="222"/>
      <c r="I261" s="132" t="n">
        <f aca="false">'4ème trim 2016'!I85</f>
        <v>176.4</v>
      </c>
      <c r="J261" s="437"/>
      <c r="K261" s="478" t="str">
        <f aca="false">IF(AND(A261=F1!$A$1,D261=F1!$B$1),ROW(),"")</f>
        <v/>
      </c>
    </row>
    <row r="262" customFormat="false" ht="17.35" hidden="false" customHeight="false" outlineLevel="0" collapsed="false">
      <c r="A262" s="481" t="str">
        <f aca="false">'3ème trim 2016'!A30</f>
        <v>07.2016</v>
      </c>
      <c r="B262" s="469" t="n">
        <f aca="false">'3ème trim 2016'!B30</f>
        <v>298136</v>
      </c>
      <c r="C262" s="524"/>
      <c r="D262" s="382" t="str">
        <f aca="false">'3ème trim 2016'!D30</f>
        <v>RC VIE PRIVE</v>
      </c>
      <c r="E262" s="395"/>
      <c r="F262" s="282" t="n">
        <f aca="false">'3ème trim 2016'!F30</f>
        <v>0</v>
      </c>
      <c r="G262" s="29" t="n">
        <f aca="false">'3ème trim 2016'!G30</f>
        <v>0</v>
      </c>
      <c r="H262" s="222"/>
      <c r="I262" s="132" t="n">
        <f aca="false">'3ème trim 2016'!I30</f>
        <v>11.004</v>
      </c>
      <c r="J262" s="437"/>
      <c r="K262" s="478" t="str">
        <f aca="false">IF(AND(A262=F1!$A$1,D262=F1!$B$1),ROW(),"")</f>
        <v/>
      </c>
    </row>
    <row r="263" customFormat="false" ht="17.35" hidden="false" customHeight="false" outlineLevel="0" collapsed="false">
      <c r="A263" s="481" t="str">
        <f aca="false">'4eme trim 2017  '!A53</f>
        <v>11.2017</v>
      </c>
      <c r="B263" s="469" t="n">
        <f aca="false">'4eme trim 2017  '!B53</f>
        <v>523259</v>
      </c>
      <c r="C263" s="524"/>
      <c r="D263" s="382" t="str">
        <f aca="false">'4eme trim 2017  '!D53</f>
        <v>MOBILE2016</v>
      </c>
      <c r="E263" s="395"/>
      <c r="F263" s="282" t="n">
        <f aca="false">'4eme trim 2017  '!F53</f>
        <v>0</v>
      </c>
      <c r="G263" s="29" t="n">
        <f aca="false">'4eme trim 2017  '!G53</f>
        <v>0</v>
      </c>
      <c r="H263" s="132"/>
      <c r="I263" s="132" t="n">
        <f aca="false">'4eme trim 2017  '!I53</f>
        <v>110.96</v>
      </c>
      <c r="J263" s="438"/>
      <c r="K263" s="478" t="n">
        <f aca="false">IF(AND(A263=F1!$A$1,D263=F1!$B$1),ROW(),"")</f>
        <v>263</v>
      </c>
    </row>
    <row r="264" customFormat="false" ht="13.8" hidden="false" customHeight="false" outlineLevel="0" collapsed="false">
      <c r="A264" s="481" t="str">
        <f aca="false">'4ème trim 2016'!A23</f>
        <v>11.2016</v>
      </c>
      <c r="B264" s="469" t="n">
        <f aca="false">'4ème trim 2016'!B23</f>
        <v>434718</v>
      </c>
      <c r="C264" s="524"/>
      <c r="D264" s="497" t="str">
        <f aca="false">'4ème trim 2016'!D23</f>
        <v>REEBOU FAMILY</v>
      </c>
      <c r="E264" s="29"/>
      <c r="F264" s="245" t="n">
        <f aca="false">'4ème trim 2016'!F23</f>
        <v>0</v>
      </c>
      <c r="G264" s="29" t="n">
        <f aca="false">'4ème trim 2016'!G23</f>
        <v>0</v>
      </c>
      <c r="H264" s="146"/>
      <c r="I264" s="222" t="n">
        <f aca="false">'4ème trim 2016'!I23</f>
        <v>27.0756</v>
      </c>
      <c r="J264" s="437"/>
      <c r="K264" s="478" t="str">
        <f aca="false">IF(AND(A264=F1!$A$1,D264=F1!$B$1),ROW(),"")</f>
        <v/>
      </c>
    </row>
    <row r="265" customFormat="false" ht="17.35" hidden="false" customHeight="false" outlineLevel="0" collapsed="false">
      <c r="A265" s="481" t="str">
        <f aca="false">'4ème trim 2016'!A56</f>
        <v>12.2016</v>
      </c>
      <c r="B265" s="469" t="n">
        <f aca="false">'4ème trim 2016'!B56</f>
        <v>434718</v>
      </c>
      <c r="C265" s="525"/>
      <c r="D265" s="382" t="str">
        <f aca="false">'4ème trim 2016'!D56</f>
        <v>MOBILE 2007</v>
      </c>
      <c r="E265" s="401"/>
      <c r="F265" s="282" t="n">
        <f aca="false">'4ème trim 2016'!F56</f>
        <v>0</v>
      </c>
      <c r="G265" s="24" t="n">
        <f aca="false">'4ème trim 2016'!G56</f>
        <v>0</v>
      </c>
      <c r="H265" s="402"/>
      <c r="I265" s="130" t="n">
        <f aca="false">'4ème trim 2016'!I56</f>
        <v>29.8902</v>
      </c>
      <c r="J265" s="437"/>
      <c r="K265" s="478" t="str">
        <f aca="false">IF(AND(A265=F1!$A$1,D265=F1!$B$1),ROW(),"")</f>
        <v/>
      </c>
    </row>
    <row r="266" customFormat="false" ht="17.35" hidden="false" customHeight="false" outlineLevel="0" collapsed="false">
      <c r="A266" s="481" t="str">
        <f aca="false">'4ème trim 2016'!A57</f>
        <v>12.2016</v>
      </c>
      <c r="B266" s="469" t="n">
        <f aca="false">'4ème trim 2016'!B57</f>
        <v>434718</v>
      </c>
      <c r="C266" s="524"/>
      <c r="D266" s="382" t="str">
        <f aca="false">'4ème trim 2016'!D57</f>
        <v>MOBILE 2007</v>
      </c>
      <c r="E266" s="395"/>
      <c r="F266" s="282" t="n">
        <f aca="false">'4ème trim 2016'!F57</f>
        <v>0</v>
      </c>
      <c r="G266" s="42" t="n">
        <f aca="false">'4ème trim 2016'!G57</f>
        <v>0</v>
      </c>
      <c r="H266" s="222"/>
      <c r="I266" s="222" t="n">
        <f aca="false">'4ème trim 2016'!I57</f>
        <v>37.7292</v>
      </c>
      <c r="J266" s="437"/>
      <c r="K266" s="478" t="str">
        <f aca="false">IF(AND(A266=F1!$A$1,D266=F1!$B$1),ROW(),"")</f>
        <v/>
      </c>
    </row>
    <row r="267" customFormat="false" ht="17.35" hidden="false" customHeight="false" outlineLevel="0" collapsed="false">
      <c r="A267" s="490" t="str">
        <f aca="false">'4ème trim 2016'!A75</f>
        <v>12.2016</v>
      </c>
      <c r="B267" s="507" t="n">
        <f aca="false">'4ème trim 2016'!B75</f>
        <v>777026</v>
      </c>
      <c r="C267" s="520"/>
      <c r="D267" s="509" t="str">
        <f aca="false">'4ème trim 2016'!D75</f>
        <v>HORIZONT 60 CAPI</v>
      </c>
      <c r="E267" s="558"/>
      <c r="F267" s="536" t="n">
        <f aca="false">'4ème trim 2016'!F75</f>
        <v>0</v>
      </c>
      <c r="G267" s="521" t="n">
        <f aca="false">'4ème trim 2016'!G75</f>
        <v>2052</v>
      </c>
      <c r="H267" s="573"/>
      <c r="I267" s="132" t="n">
        <f aca="false">'4ème trim 2016'!I75</f>
        <v>648</v>
      </c>
      <c r="J267" s="437"/>
      <c r="K267" s="478" t="str">
        <f aca="false">IF(AND(A267=F1!$A$1,D267=F1!$B$1),ROW(),"")</f>
        <v/>
      </c>
    </row>
    <row r="268" customFormat="false" ht="17.35" hidden="false" customHeight="false" outlineLevel="0" collapsed="false">
      <c r="A268" s="490" t="str">
        <f aca="false">'2eme trim 2017 '!A42</f>
        <v>05.2017</v>
      </c>
      <c r="B268" s="507" t="n">
        <f aca="false">'2eme trim 2017 '!B42</f>
        <v>526276</v>
      </c>
      <c r="C268" s="534"/>
      <c r="D268" s="509" t="str">
        <f aca="false">'2eme trim 2017 '!D42</f>
        <v>MEDICIS</v>
      </c>
      <c r="E268" s="535"/>
      <c r="F268" s="536" t="n">
        <f aca="false">'2eme trim 2017 '!F42</f>
        <v>0</v>
      </c>
      <c r="G268" s="537" t="n">
        <f aca="false">'2eme trim 2017 '!G42</f>
        <v>0</v>
      </c>
      <c r="H268" s="513"/>
      <c r="I268" s="132" t="n">
        <f aca="false">'2eme trim 2017 '!I42</f>
        <v>189.693</v>
      </c>
      <c r="J268" s="437"/>
      <c r="K268" s="478" t="str">
        <f aca="false">IF(AND(A268=F1!$A$1,D268=F1!$B$1),ROW(),"")</f>
        <v/>
      </c>
    </row>
    <row r="269" customFormat="false" ht="17.35" hidden="false" customHeight="false" outlineLevel="0" collapsed="false">
      <c r="A269" s="638" t="str">
        <f aca="false">'2eme trim 2017 '!A61</f>
        <v>06.2017</v>
      </c>
      <c r="B269" s="643" t="n">
        <f aca="false">'2eme trim 2017 '!B61</f>
        <v>526276</v>
      </c>
      <c r="C269" s="644"/>
      <c r="D269" s="509" t="str">
        <f aca="false">'2eme trim 2017 '!D61</f>
        <v>HORIZONT 60  INVEST</v>
      </c>
      <c r="E269" s="558"/>
      <c r="F269" s="536" t="n">
        <f aca="false">'2eme trim 2017 '!F61</f>
        <v>0</v>
      </c>
      <c r="G269" s="521" t="n">
        <f aca="false">'2eme trim 2017 '!G61</f>
        <v>2033</v>
      </c>
      <c r="H269" s="559"/>
      <c r="I269" s="132" t="n">
        <f aca="false">'2eme trim 2017 '!I61</f>
        <v>115.2</v>
      </c>
      <c r="J269" s="437"/>
      <c r="K269" s="478" t="str">
        <f aca="false">IF(AND(A269=F1!$A$1,D269=F1!$B$1),ROW(),"")</f>
        <v/>
      </c>
    </row>
    <row r="270" customFormat="false" ht="17.35" hidden="false" customHeight="false" outlineLevel="0" collapsed="false">
      <c r="A270" s="645" t="str">
        <f aca="false">'3ème trim 2016'!A32</f>
        <v>07.2016</v>
      </c>
      <c r="B270" s="646" t="n">
        <f aca="false">'3ème trim 2016'!B32</f>
        <v>765719</v>
      </c>
      <c r="C270" s="647"/>
      <c r="D270" s="382" t="str">
        <f aca="false">'3ème trim 2016'!D32</f>
        <v>REEBOU PACK</v>
      </c>
      <c r="E270" s="395"/>
      <c r="F270" s="282" t="n">
        <f aca="false">'3ème trim 2016'!F32</f>
        <v>0</v>
      </c>
      <c r="G270" s="29" t="n">
        <f aca="false">'3ème trim 2016'!G32</f>
        <v>0</v>
      </c>
      <c r="H270" s="222"/>
      <c r="I270" s="132" t="n">
        <f aca="false">'3ème trim 2016'!I32</f>
        <v>16.632</v>
      </c>
      <c r="J270" s="437"/>
      <c r="K270" s="478" t="str">
        <f aca="false">IF(AND(A270=F1!$A$1,D270=F1!$B$1),ROW(),"")</f>
        <v/>
      </c>
    </row>
    <row r="271" customFormat="false" ht="17.35" hidden="false" customHeight="false" outlineLevel="0" collapsed="false">
      <c r="A271" s="645" t="str">
        <f aca="false">'3ème trim 2016'!A41</f>
        <v>08.2016</v>
      </c>
      <c r="B271" s="648" t="n">
        <f aca="false">'3ème trim 2016'!B41</f>
        <v>765719</v>
      </c>
      <c r="C271" s="649"/>
      <c r="D271" s="382" t="str">
        <f aca="false">'3ème trim 2016'!D41</f>
        <v>MOBILE</v>
      </c>
      <c r="E271" s="383"/>
      <c r="F271" s="282" t="n">
        <f aca="false">'3ème trim 2016'!F41</f>
        <v>0</v>
      </c>
      <c r="G271" s="24" t="n">
        <f aca="false">'3ème trim 2016'!G41</f>
        <v>0</v>
      </c>
      <c r="H271" s="615"/>
      <c r="I271" s="132" t="n">
        <f aca="false">'3ème trim 2016'!I41</f>
        <v>73.5262</v>
      </c>
      <c r="J271" s="437"/>
      <c r="K271" s="478" t="str">
        <f aca="false">IF(AND(A271=F1!$A$1,D271=F1!$B$1),ROW(),"")</f>
        <v/>
      </c>
    </row>
    <row r="272" customFormat="false" ht="17.35" hidden="false" customHeight="false" outlineLevel="0" collapsed="false">
      <c r="A272" s="645" t="str">
        <f aca="false">'1er Trimestre 2018'!A14</f>
        <v>01.2018</v>
      </c>
      <c r="B272" s="648" t="n">
        <f aca="false">'1er Trimestre 2018'!B14</f>
        <v>623386</v>
      </c>
      <c r="C272" s="647"/>
      <c r="D272" s="382" t="str">
        <f aca="false">'1er Trimestre 2018'!D14</f>
        <v>REEBOU Pro</v>
      </c>
      <c r="E272" s="395"/>
      <c r="F272" s="282" t="n">
        <f aca="false">'1er Trimestre 2018'!F14</f>
        <v>0</v>
      </c>
      <c r="G272" s="29" t="n">
        <f aca="false">'1er Trimestre 2018'!G14</f>
        <v>0</v>
      </c>
      <c r="H272" s="222"/>
      <c r="I272" s="132" t="n">
        <f aca="false">'1er Trimestre 2018'!I14</f>
        <v>31.3808</v>
      </c>
      <c r="J272" s="437"/>
      <c r="K272" s="478" t="str">
        <f aca="false">IF(AND(A272=F1!$A$1,D272=F1!$B$1),ROW(),"")</f>
        <v/>
      </c>
    </row>
    <row r="273" customFormat="false" ht="17.35" hidden="false" customHeight="false" outlineLevel="0" collapsed="false">
      <c r="A273" s="645" t="str">
        <f aca="false">'1er trim 2017'!A36</f>
        <v>02.2017</v>
      </c>
      <c r="B273" s="648" t="n">
        <f aca="false">'1er trim 2017'!B36</f>
        <v>623396</v>
      </c>
      <c r="C273" s="647"/>
      <c r="D273" s="382" t="str">
        <f aca="false">'1er trim 2017'!D36</f>
        <v>REEBOU PRO</v>
      </c>
      <c r="E273" s="395"/>
      <c r="F273" s="282" t="n">
        <f aca="false">'1er trim 2017'!F36</f>
        <v>0</v>
      </c>
      <c r="G273" s="29" t="n">
        <f aca="false">'1er trim 2017'!G36</f>
        <v>0</v>
      </c>
      <c r="H273" s="222"/>
      <c r="I273" s="132" t="n">
        <f aca="false">'1er trim 2017'!I36</f>
        <v>31.5732</v>
      </c>
      <c r="J273" s="437"/>
      <c r="K273" s="478" t="str">
        <f aca="false">IF(AND(A273=F1!$A$1,D273=F1!$B$1),ROW(),"")</f>
        <v/>
      </c>
    </row>
    <row r="274" customFormat="false" ht="17.35" hidden="false" customHeight="false" outlineLevel="0" collapsed="false">
      <c r="A274" s="638" t="str">
        <f aca="false">'4ème trim 2016'!A66</f>
        <v>12.2016</v>
      </c>
      <c r="B274" s="643" t="n">
        <f aca="false">'4ème trim 2016'!B66</f>
        <v>399539</v>
      </c>
      <c r="C274" s="650"/>
      <c r="D274" s="509" t="str">
        <f aca="false">'4ème trim 2016'!D66</f>
        <v>SANTE</v>
      </c>
      <c r="E274" s="535"/>
      <c r="F274" s="536" t="n">
        <f aca="false">'4ème trim 2016'!F66</f>
        <v>0</v>
      </c>
      <c r="G274" s="537" t="n">
        <f aca="false">'4ème trim 2016'!G66</f>
        <v>0</v>
      </c>
      <c r="H274" s="513"/>
      <c r="I274" s="132" t="n">
        <f aca="false">'4ème trim 2016'!I66</f>
        <v>156.94525</v>
      </c>
      <c r="J274" s="437"/>
      <c r="K274" s="478" t="str">
        <f aca="false">IF(AND(A274=F1!$A$1,D274=F1!$B$1),ROW(),"")</f>
        <v/>
      </c>
    </row>
    <row r="275" customFormat="false" ht="17.35" hidden="false" customHeight="false" outlineLevel="0" collapsed="false">
      <c r="A275" s="645" t="str">
        <f aca="false">'3ème trim 2016'!A28</f>
        <v>07.2016</v>
      </c>
      <c r="B275" s="648" t="n">
        <f aca="false">'3ème trim 2016'!B28</f>
        <v>842814</v>
      </c>
      <c r="C275" s="649"/>
      <c r="D275" s="632" t="str">
        <f aca="false">'3ème trim 2016'!D28</f>
        <v>BSH</v>
      </c>
      <c r="E275" s="383"/>
      <c r="F275" s="282" t="n">
        <f aca="false">'3ème trim 2016'!F28</f>
        <v>0</v>
      </c>
      <c r="G275" s="24" t="n">
        <f aca="false">'3ème trim 2016'!G28</f>
        <v>0</v>
      </c>
      <c r="H275" s="129"/>
      <c r="I275" s="132" t="n">
        <f aca="false">'3ème trim 2016'!I28</f>
        <v>340.2</v>
      </c>
      <c r="J275" s="437"/>
      <c r="K275" s="478" t="str">
        <f aca="false">IF(AND(A275=F1!$A$1,D275=F1!$B$1),ROW(),"")</f>
        <v/>
      </c>
    </row>
    <row r="276" customFormat="false" ht="17.35" hidden="false" customHeight="false" outlineLevel="0" collapsed="false">
      <c r="A276" s="638" t="str">
        <f aca="false">'3ème trim 2016'!A53</f>
        <v>10.2016</v>
      </c>
      <c r="B276" s="643" t="n">
        <f aca="false">'3ème trim 2016'!B53</f>
        <v>842814</v>
      </c>
      <c r="C276" s="644"/>
      <c r="D276" s="509" t="str">
        <f aca="false">'3ème trim 2016'!D53</f>
        <v>HORIZON 60 CAPI</v>
      </c>
      <c r="E276" s="558"/>
      <c r="F276" s="536" t="n">
        <f aca="false">'3ème trim 2016'!F53</f>
        <v>0</v>
      </c>
      <c r="G276" s="521" t="n">
        <f aca="false">'3ème trim 2016'!G53</f>
        <v>2039</v>
      </c>
      <c r="H276" s="573"/>
      <c r="I276" s="132" t="n">
        <f aca="false">'3ème trim 2016'!I53</f>
        <v>414</v>
      </c>
      <c r="J276" s="437"/>
      <c r="K276" s="478" t="str">
        <f aca="false">IF(AND(A276=F1!$A$1,D276=F1!$B$1),ROW(),"")</f>
        <v/>
      </c>
    </row>
    <row r="277" customFormat="false" ht="17.35" hidden="false" customHeight="false" outlineLevel="0" collapsed="false">
      <c r="A277" s="645" t="str">
        <f aca="false">'2eme trim 2017 '!A65</f>
        <v>06.2017</v>
      </c>
      <c r="B277" s="648" t="n">
        <f aca="false">'2eme trim 2017 '!B65</f>
        <v>261094</v>
      </c>
      <c r="C277" s="647"/>
      <c r="D277" s="382" t="str">
        <f aca="false">'2eme trim 2017 '!D65</f>
        <v>MOBILE 2016</v>
      </c>
      <c r="E277" s="395"/>
      <c r="F277" s="282" t="n">
        <f aca="false">'2eme trim 2017 '!F65</f>
        <v>0</v>
      </c>
      <c r="G277" s="42" t="n">
        <f aca="false">'2eme trim 2017 '!G65</f>
        <v>0</v>
      </c>
      <c r="H277" s="222"/>
      <c r="I277" s="222" t="n">
        <f aca="false">'2eme trim 2017 '!I65</f>
        <v>77.9901</v>
      </c>
      <c r="J277" s="437"/>
      <c r="K277" s="478" t="str">
        <f aca="false">IF(AND(A277=F1!$A$1,D277=F1!$B$1),ROW(),"")</f>
        <v/>
      </c>
    </row>
    <row r="278" customFormat="false" ht="17.35" hidden="false" customHeight="false" outlineLevel="0" collapsed="false">
      <c r="A278" s="638" t="str">
        <f aca="false">'3ème trim 2016'!A45</f>
        <v>09.2016</v>
      </c>
      <c r="B278" s="643" t="n">
        <f aca="false">'3ème trim 2016'!B45</f>
        <v>931819</v>
      </c>
      <c r="C278" s="644"/>
      <c r="D278" s="509" t="str">
        <f aca="false">'3ème trim 2016'!D45</f>
        <v>HELIOS</v>
      </c>
      <c r="E278" s="558"/>
      <c r="F278" s="536" t="n">
        <f aca="false">'3ème trim 2016'!F45</f>
        <v>0</v>
      </c>
      <c r="G278" s="521" t="n">
        <f aca="false">'3ème trim 2016'!G45</f>
        <v>2026</v>
      </c>
      <c r="H278" s="573"/>
      <c r="I278" s="132" t="n">
        <f aca="false">'3ème trim 2016'!I45</f>
        <v>116.64</v>
      </c>
      <c r="J278" s="437"/>
      <c r="K278" s="478" t="str">
        <f aca="false">IF(AND(A278=F1!$A$1,D278=F1!$B$1),ROW(),"")</f>
        <v/>
      </c>
    </row>
    <row r="279" customFormat="false" ht="17.35" hidden="false" customHeight="false" outlineLevel="0" collapsed="false">
      <c r="A279" s="638" t="str">
        <f aca="false">'4ème trim 2016'!A47</f>
        <v>11.2016</v>
      </c>
      <c r="B279" s="643" t="n">
        <f aca="false">'4ème trim 2016'!B47</f>
        <v>839931</v>
      </c>
      <c r="C279" s="650"/>
      <c r="D279" s="509" t="str">
        <f aca="false">'4ème trim 2016'!D47</f>
        <v>SANTE</v>
      </c>
      <c r="E279" s="535"/>
      <c r="F279" s="536" t="n">
        <f aca="false">'4ème trim 2016'!F47</f>
        <v>0</v>
      </c>
      <c r="G279" s="537" t="n">
        <f aca="false">'4ème trim 2016'!G47</f>
        <v>0</v>
      </c>
      <c r="H279" s="513"/>
      <c r="I279" s="132" t="n">
        <f aca="false">'4ème trim 2016'!I47</f>
        <v>159.09425</v>
      </c>
      <c r="J279" s="437"/>
      <c r="K279" s="478" t="str">
        <f aca="false">IF(AND(A279=F1!$A$1,D279=F1!$B$1),ROW(),"")</f>
        <v/>
      </c>
    </row>
    <row r="280" customFormat="false" ht="17.35" hidden="false" customHeight="false" outlineLevel="0" collapsed="false">
      <c r="A280" s="645" t="str">
        <f aca="false">'4eme trim 2017  '!A62</f>
        <v>11.2017</v>
      </c>
      <c r="B280" s="648" t="n">
        <f aca="false">'4eme trim 2017  '!B62</f>
        <v>971770</v>
      </c>
      <c r="C280" s="651"/>
      <c r="D280" s="652" t="str">
        <f aca="false">'4eme trim 2017  '!D62</f>
        <v>MOBILE2016</v>
      </c>
      <c r="E280" s="635"/>
      <c r="F280" s="636" t="n">
        <f aca="false">'4eme trim 2017  '!F62</f>
        <v>0</v>
      </c>
      <c r="G280" s="102" t="n">
        <f aca="false">'4eme trim 2017  '!G62</f>
        <v>0</v>
      </c>
      <c r="H280" s="222"/>
      <c r="I280" s="222" t="n">
        <f aca="false">'4eme trim 2017  '!I62</f>
        <v>60.6056</v>
      </c>
      <c r="J280" s="437"/>
      <c r="K280" s="478" t="n">
        <f aca="false">IF(AND(A280=F1!$A$1,D280=F1!$B$1),ROW(),"")</f>
        <v>280</v>
      </c>
    </row>
    <row r="281" customFormat="false" ht="17.35" hidden="false" customHeight="false" outlineLevel="0" collapsed="false">
      <c r="A281" s="645" t="str">
        <f aca="false">'1er Trimestre 2018'!A21</f>
        <v>01.2018</v>
      </c>
      <c r="B281" s="648" t="n">
        <f aca="false">'1er Trimestre 2018'!B21</f>
        <v>971770</v>
      </c>
      <c r="C281" s="647"/>
      <c r="D281" s="382" t="str">
        <f aca="false">'1er Trimestre 2018'!D21</f>
        <v>REEBOU Family</v>
      </c>
      <c r="E281" s="395"/>
      <c r="F281" s="282" t="n">
        <f aca="false">'1er Trimestre 2018'!F21</f>
        <v>0</v>
      </c>
      <c r="G281" s="29" t="n">
        <f aca="false">'1er Trimestre 2018'!G21</f>
        <v>0</v>
      </c>
      <c r="H281" s="222"/>
      <c r="I281" s="132" t="n">
        <f aca="false">'1er Trimestre 2018'!I21</f>
        <v>17.6976</v>
      </c>
      <c r="J281" s="437"/>
      <c r="K281" s="478" t="str">
        <f aca="false">IF(AND(A281=F1!$A$1,D281=F1!$B$1),ROW(),"")</f>
        <v/>
      </c>
    </row>
    <row r="282" customFormat="false" ht="17.35" hidden="false" customHeight="false" outlineLevel="0" collapsed="false">
      <c r="A282" s="645" t="str">
        <f aca="false">'2eme trim 2017 '!A38</f>
        <v>05.2017</v>
      </c>
      <c r="B282" s="648" t="n">
        <f aca="false">'2eme trim 2017 '!B38</f>
        <v>849012</v>
      </c>
      <c r="C282" s="647"/>
      <c r="D282" s="382" t="str">
        <f aca="false">'2eme trim 2017 '!D38</f>
        <v>REEBOU FAMILY</v>
      </c>
      <c r="E282" s="395"/>
      <c r="F282" s="282" t="str">
        <f aca="false">'2eme trim 2017 '!F38</f>
        <v>X</v>
      </c>
      <c r="G282" s="29" t="n">
        <f aca="false">'2eme trim 2017 '!G38</f>
        <v>0</v>
      </c>
      <c r="H282" s="222"/>
      <c r="I282" s="132" t="n">
        <f aca="false">'2eme trim 2017 '!I38</f>
        <v>14.4798</v>
      </c>
      <c r="J282" s="437"/>
      <c r="K282" s="478" t="str">
        <f aca="false">IF(AND(A282=F1!$A$1,D282=F1!$B$1),ROW(),"")</f>
        <v/>
      </c>
    </row>
    <row r="283" customFormat="false" ht="17.35" hidden="false" customHeight="false" outlineLevel="0" collapsed="false">
      <c r="A283" s="653" t="str">
        <f aca="false">'2eme trim 2017 '!A39</f>
        <v>05.2017</v>
      </c>
      <c r="B283" s="654" t="n">
        <f aca="false">'2eme trim 2017 '!B39</f>
        <v>849012</v>
      </c>
      <c r="C283" s="655"/>
      <c r="D283" s="656" t="str">
        <f aca="false">'2eme trim 2017 '!D39</f>
        <v>FOCUS INVESTISSEMENT</v>
      </c>
      <c r="E283" s="657"/>
      <c r="F283" s="658" t="str">
        <f aca="false">'2eme trim 2017 '!F39</f>
        <v>X</v>
      </c>
      <c r="G283" s="659" t="n">
        <f aca="false">'2eme trim 2017 '!G39</f>
        <v>0</v>
      </c>
      <c r="H283" s="660"/>
      <c r="I283" s="661" t="n">
        <f aca="false">'2eme trim 2017 '!I39</f>
        <v>33.7725</v>
      </c>
      <c r="J283" s="437"/>
      <c r="K283" s="478" t="str">
        <f aca="false">IF(AND(A283=F1!$A$1,D283=F1!$B$1),ROW(),"")</f>
        <v/>
      </c>
    </row>
    <row r="284" customFormat="false" ht="13.8" hidden="false" customHeight="false" outlineLevel="0" collapsed="false">
      <c r="A284" s="662" t="str">
        <f aca="false">'3eme trim 2017  '!A36</f>
        <v>07.2017</v>
      </c>
      <c r="B284" s="663" t="n">
        <f aca="false">'3eme trim 2017  '!B36</f>
        <v>849012</v>
      </c>
      <c r="C284" s="644"/>
      <c r="D284" s="521" t="str">
        <f aca="false">'3eme trim 2017  '!D36</f>
        <v>MEDICIS</v>
      </c>
      <c r="E284" s="521"/>
      <c r="F284" s="522" t="n">
        <f aca="false">'3eme trim 2017  '!F36</f>
        <v>0</v>
      </c>
      <c r="G284" s="521" t="n">
        <f aca="false">'3eme trim 2017  '!G36</f>
        <v>0</v>
      </c>
      <c r="H284" s="523"/>
      <c r="I284" s="132" t="n">
        <f aca="false">'3eme trim 2017  '!I36</f>
        <v>133.035</v>
      </c>
      <c r="J284" s="437"/>
      <c r="K284" s="478" t="str">
        <f aca="false">IF(AND(A284=F1!$A$1,D284=F1!$B$1),ROW(),"")</f>
        <v/>
      </c>
    </row>
    <row r="285" customFormat="false" ht="13.8" hidden="false" customHeight="false" outlineLevel="0" collapsed="false">
      <c r="A285" s="664" t="str">
        <f aca="false">'3eme trim 2017  '!A37</f>
        <v>07.2017</v>
      </c>
      <c r="B285" s="665" t="n">
        <f aca="false">'3eme trim 2017  '!B37</f>
        <v>849012</v>
      </c>
      <c r="C285" s="666"/>
      <c r="D285" s="563" t="str">
        <f aca="false">'3eme trim 2017  '!D37</f>
        <v>REEBOU FAMILY</v>
      </c>
      <c r="E285" s="563"/>
      <c r="F285" s="564" t="n">
        <f aca="false">'3eme trim 2017  '!F37</f>
        <v>0</v>
      </c>
      <c r="G285" s="563" t="n">
        <f aca="false">'3eme trim 2017  '!G37</f>
        <v>0</v>
      </c>
      <c r="H285" s="547"/>
      <c r="I285" s="547" t="n">
        <f aca="false">'3eme trim 2017  '!I37</f>
        <v>27.4896</v>
      </c>
      <c r="J285" s="437" t="s">
        <v>606</v>
      </c>
      <c r="K285" s="478" t="str">
        <f aca="false">IF(AND(A285=F1!$A$1,D285=F1!$B$1),ROW(),"")</f>
        <v/>
      </c>
    </row>
    <row r="286" customFormat="false" ht="17.35" hidden="false" customHeight="false" outlineLevel="0" collapsed="false">
      <c r="A286" s="638" t="str">
        <f aca="false">'4eme trim 2017  '!A59</f>
        <v>11.2017</v>
      </c>
      <c r="B286" s="643" t="n">
        <f aca="false">'4eme trim 2017  '!B59</f>
        <v>849012</v>
      </c>
      <c r="C286" s="650"/>
      <c r="D286" s="509" t="str">
        <f aca="false">'4eme trim 2017  '!D59</f>
        <v>REEBOU Family</v>
      </c>
      <c r="E286" s="535"/>
      <c r="F286" s="536" t="n">
        <f aca="false">'4eme trim 2017  '!F59</f>
        <v>0</v>
      </c>
      <c r="G286" s="537" t="n">
        <f aca="false">'4eme trim 2017  '!G59</f>
        <v>0</v>
      </c>
      <c r="H286" s="513"/>
      <c r="I286" s="132" t="n">
        <f aca="false">'4eme trim 2017  '!I59</f>
        <v>34.4496</v>
      </c>
      <c r="J286" s="437"/>
      <c r="K286" s="478" t="str">
        <f aca="false">IF(AND(A286=F1!$A$1,D286=F1!$B$1),ROW(),"")</f>
        <v/>
      </c>
    </row>
    <row r="287" customFormat="false" ht="17.35" hidden="false" customHeight="false" outlineLevel="0" collapsed="false">
      <c r="A287" s="638" t="str">
        <f aca="false">'2e trim 2016'!A29</f>
        <v>04.2016</v>
      </c>
      <c r="B287" s="643" t="n">
        <f aca="false">'2e trim 2016'!B29</f>
        <v>262680</v>
      </c>
      <c r="C287" s="650"/>
      <c r="D287" s="509" t="str">
        <f aca="false">'2e trim 2016'!D29</f>
        <v>SANTE</v>
      </c>
      <c r="E287" s="535"/>
      <c r="F287" s="536" t="n">
        <f aca="false">'2e trim 2016'!F29</f>
        <v>0</v>
      </c>
      <c r="G287" s="537" t="n">
        <f aca="false">'2e trim 2016'!G29</f>
        <v>0</v>
      </c>
      <c r="H287" s="513"/>
      <c r="I287" s="132" t="n">
        <f aca="false">'2e trim 2016'!I29</f>
        <v>25.389</v>
      </c>
      <c r="J287" s="437"/>
      <c r="K287" s="478" t="str">
        <f aca="false">IF(AND(A287=F1!$A$1,D287=F1!$B$1),ROW(),"")</f>
        <v/>
      </c>
    </row>
    <row r="288" customFormat="false" ht="17.35" hidden="false" customHeight="false" outlineLevel="0" collapsed="false">
      <c r="A288" s="645" t="str">
        <f aca="false">'4eme trim 2017  '!A33</f>
        <v>10.2017</v>
      </c>
      <c r="B288" s="648" t="n">
        <f aca="false">'4eme trim 2017  '!B33</f>
        <v>965877</v>
      </c>
      <c r="C288" s="647"/>
      <c r="D288" s="382" t="str">
        <f aca="false">'4eme trim 2017  '!D33</f>
        <v>MOBILE2016</v>
      </c>
      <c r="E288" s="395"/>
      <c r="F288" s="282" t="n">
        <f aca="false">'4eme trim 2017  '!F33</f>
        <v>0</v>
      </c>
      <c r="G288" s="29" t="n">
        <f aca="false">'4eme trim 2017  '!G33</f>
        <v>0</v>
      </c>
      <c r="H288" s="129"/>
      <c r="I288" s="132" t="n">
        <f aca="false">'4eme trim 2017  '!I33</f>
        <v>14.2842</v>
      </c>
      <c r="J288" s="437"/>
      <c r="K288" s="478" t="str">
        <f aca="false">IF(AND(A288=F1!$A$1,D288=F1!$B$1),ROW(),"")</f>
        <v/>
      </c>
    </row>
    <row r="289" customFormat="false" ht="17.35" hidden="false" customHeight="false" outlineLevel="0" collapsed="false">
      <c r="A289" s="645" t="str">
        <f aca="false">'4eme trim 2017  '!A34</f>
        <v>10.2017</v>
      </c>
      <c r="B289" s="648" t="n">
        <f aca="false">'4eme trim 2017  '!B34</f>
        <v>965877</v>
      </c>
      <c r="C289" s="647"/>
      <c r="D289" s="382" t="str">
        <f aca="false">'4eme trim 2017  '!D34</f>
        <v>MOBILE2016</v>
      </c>
      <c r="E289" s="395"/>
      <c r="F289" s="282" t="n">
        <f aca="false">'4eme trim 2017  '!F34</f>
        <v>0</v>
      </c>
      <c r="G289" s="29" t="n">
        <f aca="false">'4eme trim 2017  '!G34</f>
        <v>0</v>
      </c>
      <c r="H289" s="132"/>
      <c r="I289" s="132" t="n">
        <f aca="false">'4eme trim 2017  '!I34</f>
        <v>31.6896</v>
      </c>
      <c r="J289" s="437"/>
      <c r="K289" s="478" t="str">
        <f aca="false">IF(AND(A289=F1!$A$1,D289=F1!$B$1),ROW(),"")</f>
        <v/>
      </c>
    </row>
    <row r="290" customFormat="false" ht="17.35" hidden="false" customHeight="false" outlineLevel="0" collapsed="false">
      <c r="A290" s="645" t="str">
        <f aca="false">'4eme trim 2017  '!A35</f>
        <v>10.2017</v>
      </c>
      <c r="B290" s="648" t="n">
        <f aca="false">'4eme trim 2017  '!B35</f>
        <v>965877</v>
      </c>
      <c r="C290" s="647"/>
      <c r="D290" s="382" t="str">
        <f aca="false">'4eme trim 2017  '!D35</f>
        <v>REEBOU Family</v>
      </c>
      <c r="E290" s="395"/>
      <c r="F290" s="282" t="n">
        <f aca="false">'4eme trim 2017  '!F35</f>
        <v>0</v>
      </c>
      <c r="G290" s="29" t="n">
        <f aca="false">'4eme trim 2017  '!G35</f>
        <v>0</v>
      </c>
      <c r="H290" s="132"/>
      <c r="I290" s="132" t="n">
        <f aca="false">'4eme trim 2017  '!I35</f>
        <v>23.7084</v>
      </c>
      <c r="J290" s="437"/>
      <c r="K290" s="478" t="str">
        <f aca="false">IF(AND(A290=F1!$A$1,D290=F1!$B$1),ROW(),"")</f>
        <v/>
      </c>
    </row>
    <row r="291" customFormat="false" ht="17.35" hidden="false" customHeight="false" outlineLevel="0" collapsed="false">
      <c r="A291" s="645" t="str">
        <f aca="false">'4ème trim 2016'!A79</f>
        <v>12.2016</v>
      </c>
      <c r="B291" s="648" t="n">
        <f aca="false">'4ème trim 2016'!B79</f>
        <v>531103</v>
      </c>
      <c r="C291" s="649"/>
      <c r="D291" s="382" t="str">
        <f aca="false">'4ème trim 2016'!D79</f>
        <v>MOBILE 2007</v>
      </c>
      <c r="E291" s="383"/>
      <c r="F291" s="282" t="n">
        <f aca="false">'4ème trim 2016'!F79</f>
        <v>0</v>
      </c>
      <c r="G291" s="24" t="n">
        <f aca="false">'4ème trim 2016'!G79</f>
        <v>0</v>
      </c>
      <c r="H291" s="615"/>
      <c r="I291" s="132" t="n">
        <f aca="false">'4ème trim 2016'!I79</f>
        <v>63.7031</v>
      </c>
      <c r="J291" s="437"/>
      <c r="K291" s="478" t="str">
        <f aca="false">IF(AND(A291=F1!$A$1,D291=F1!$B$1),ROW(),"")</f>
        <v/>
      </c>
    </row>
    <row r="292" customFormat="false" ht="13.8" hidden="false" customHeight="false" outlineLevel="0" collapsed="false">
      <c r="A292" s="662" t="str">
        <f aca="false">'2eme trim 2017 '!A69</f>
        <v>06.2017</v>
      </c>
      <c r="B292" s="663" t="n">
        <f aca="false">'2eme trim 2017 '!B69</f>
        <v>782333</v>
      </c>
      <c r="C292" s="644"/>
      <c r="D292" s="521" t="str">
        <f aca="false">'2eme trim 2017 '!D69</f>
        <v>HORIZONT 60 INVEST</v>
      </c>
      <c r="E292" s="521"/>
      <c r="F292" s="522" t="n">
        <f aca="false">'2eme trim 2017 '!F69</f>
        <v>0</v>
      </c>
      <c r="G292" s="521" t="n">
        <f aca="false">'2eme trim 2017 '!G69</f>
        <v>2033</v>
      </c>
      <c r="H292" s="523"/>
      <c r="I292" s="132" t="n">
        <f aca="false">'2eme trim 2017 '!I69</f>
        <v>211.2</v>
      </c>
      <c r="J292" s="437"/>
      <c r="K292" s="478" t="str">
        <f aca="false">IF(AND(A292=F1!$A$1,D292=F1!$B$1),ROW(),"")</f>
        <v/>
      </c>
    </row>
    <row r="293" customFormat="false" ht="13.8" hidden="false" customHeight="false" outlineLevel="0" collapsed="false">
      <c r="A293" s="667" t="str">
        <f aca="false">'2eme trim 2017 '!A70</f>
        <v>06.2017</v>
      </c>
      <c r="B293" s="668" t="n">
        <f aca="false">'2eme trim 2017 '!B70</f>
        <v>782333</v>
      </c>
      <c r="C293" s="649"/>
      <c r="D293" s="488" t="str">
        <f aca="false">'2eme trim 2017 '!D70</f>
        <v>BSH</v>
      </c>
      <c r="E293" s="24"/>
      <c r="F293" s="245" t="n">
        <f aca="false">'2eme trim 2017 '!F70</f>
        <v>0</v>
      </c>
      <c r="G293" s="24" t="n">
        <f aca="false">'2eme trim 2017 '!G70</f>
        <v>0</v>
      </c>
      <c r="H293" s="132"/>
      <c r="I293" s="132" t="n">
        <f aca="false">'2eme trim 2017 '!I70</f>
        <v>189</v>
      </c>
      <c r="J293" s="437"/>
      <c r="K293" s="478" t="str">
        <f aca="false">IF(AND(A293=F1!$A$1,D293=F1!$B$1),ROW(),"")</f>
        <v/>
      </c>
    </row>
    <row r="294" customFormat="false" ht="13.8" hidden="false" customHeight="false" outlineLevel="0" collapsed="false">
      <c r="A294" s="662" t="str">
        <f aca="false">'3eme trim 2017  '!A40</f>
        <v>07.2017</v>
      </c>
      <c r="B294" s="669" t="n">
        <f aca="false">'3eme trim 2017  '!B40</f>
        <v>782333</v>
      </c>
      <c r="C294" s="644"/>
      <c r="D294" s="521" t="str">
        <f aca="false">'3eme trim 2017  '!D40</f>
        <v>HORIZONT 60 INVEST</v>
      </c>
      <c r="E294" s="521"/>
      <c r="F294" s="522" t="n">
        <f aca="false">'3eme trim 2017  '!F40</f>
        <v>0</v>
      </c>
      <c r="G294" s="521" t="n">
        <f aca="false">'3eme trim 2017  '!G40</f>
        <v>2036</v>
      </c>
      <c r="H294" s="523"/>
      <c r="I294" s="132" t="n">
        <f aca="false">'3eme trim 2017  '!I40</f>
        <v>250.8</v>
      </c>
      <c r="J294" s="437"/>
      <c r="K294" s="478" t="str">
        <f aca="false">IF(AND(A294=F1!$A$1,D294=F1!$B$1),ROW(),"")</f>
        <v/>
      </c>
    </row>
    <row r="295" customFormat="false" ht="23.85" hidden="false" customHeight="false" outlineLevel="0" collapsed="false">
      <c r="A295" s="645" t="str">
        <f aca="false">'4eme trim 2017  '!A88</f>
        <v>12.2017</v>
      </c>
      <c r="B295" s="670" t="n">
        <f aca="false">'4eme trim 2017  '!B88</f>
        <v>782333</v>
      </c>
      <c r="C295" s="671"/>
      <c r="D295" s="455" t="str">
        <f aca="false">'4eme trim 2017  '!D88</f>
        <v>HORIZONT 60 INVEST</v>
      </c>
      <c r="E295" s="554"/>
      <c r="F295" s="282" t="n">
        <f aca="false">'4eme trim 2017  '!F88</f>
        <v>0</v>
      </c>
      <c r="G295" s="100" t="n">
        <f aca="false">'4eme trim 2017  '!G88</f>
        <v>2033</v>
      </c>
      <c r="H295" s="555"/>
      <c r="I295" s="555" t="n">
        <f aca="false">'4eme trim 2017  '!I88</f>
        <v>-211.2</v>
      </c>
      <c r="J295" s="556" t="str">
        <f aca="false">'4eme trim 2017  '!K88</f>
        <v>Rectification juin annulation samy</v>
      </c>
      <c r="K295" s="478" t="str">
        <f aca="false">IF(AND(A295=F1!$A$1,D295=F1!$B$1),ROW(),"")</f>
        <v/>
      </c>
    </row>
    <row r="296" customFormat="false" ht="17.35" hidden="false" customHeight="false" outlineLevel="0" collapsed="false">
      <c r="A296" s="638" t="str">
        <f aca="false">'2e trim 2016'!A38</f>
        <v>05.2016</v>
      </c>
      <c r="B296" s="643" t="n">
        <f aca="false">'2e trim 2016'!B38</f>
        <v>849394</v>
      </c>
      <c r="C296" s="644"/>
      <c r="D296" s="509" t="str">
        <f aca="false">'2e trim 2016'!D38</f>
        <v>SANTE</v>
      </c>
      <c r="E296" s="558"/>
      <c r="F296" s="536" t="n">
        <f aca="false">'2e trim 2016'!F38</f>
        <v>0</v>
      </c>
      <c r="G296" s="521" t="n">
        <f aca="false">'2e trim 2016'!G38</f>
        <v>0</v>
      </c>
      <c r="H296" s="573"/>
      <c r="I296" s="672" t="n">
        <f aca="false">'2e trim 2016'!I38</f>
        <v>130.788</v>
      </c>
      <c r="J296" s="568"/>
      <c r="K296" s="478" t="str">
        <f aca="false">IF(AND(A296=F1!$A$1,D296=F1!$B$1),ROW(),"")</f>
        <v/>
      </c>
    </row>
    <row r="297" customFormat="false" ht="17.35" hidden="false" customHeight="false" outlineLevel="0" collapsed="false">
      <c r="A297" s="645" t="str">
        <f aca="false">'1er Trimestre 2018'!A44</f>
        <v>03.2018</v>
      </c>
      <c r="B297" s="648" t="n">
        <f aca="false">'1er Trimestre 2018'!B44</f>
        <v>985885</v>
      </c>
      <c r="C297" s="647"/>
      <c r="D297" s="382" t="str">
        <f aca="false">'1er Trimestre 2018'!D44</f>
        <v>REEBOU Family</v>
      </c>
      <c r="E297" s="395"/>
      <c r="F297" s="282" t="n">
        <f aca="false">'1er Trimestre 2018'!F44</f>
        <v>0</v>
      </c>
      <c r="G297" s="29" t="n">
        <f aca="false">'1er Trimestre 2018'!G44</f>
        <v>0</v>
      </c>
      <c r="H297" s="222"/>
      <c r="I297" s="132" t="n">
        <f aca="false">'1er Trimestre 2018'!I44</f>
        <v>18.5472</v>
      </c>
      <c r="J297" s="437"/>
      <c r="K297" s="478" t="str">
        <f aca="false">IF(AND(A297=F1!$A$1,D297=F1!$B$1),ROW(),"")</f>
        <v/>
      </c>
    </row>
    <row r="298" customFormat="false" ht="17.35" hidden="false" customHeight="false" outlineLevel="0" collapsed="false">
      <c r="A298" s="673" t="str">
        <f aca="false">'2eme trim 2017 '!A11</f>
        <v>04.2017</v>
      </c>
      <c r="B298" s="674" t="n">
        <f aca="false">'2eme trim 2017 '!B11</f>
        <v>533374</v>
      </c>
      <c r="C298" s="675"/>
      <c r="D298" s="541" t="str">
        <f aca="false">'2eme trim 2017 '!D11</f>
        <v>HORIZONT 60 INVEST</v>
      </c>
      <c r="E298" s="542"/>
      <c r="F298" s="543" t="n">
        <f aca="false">'2eme trim 2017 '!F11</f>
        <v>0</v>
      </c>
      <c r="G298" s="544" t="n">
        <f aca="false">'2eme trim 2017 '!G11</f>
        <v>2041</v>
      </c>
      <c r="H298" s="545"/>
      <c r="I298" s="132" t="n">
        <f aca="false">'2eme trim 2017 '!I11</f>
        <v>432</v>
      </c>
      <c r="J298" s="437" t="s">
        <v>607</v>
      </c>
      <c r="K298" s="478" t="str">
        <f aca="false">IF(AND(A298=F1!$A$1,D298=F1!$B$1),ROW(),"")</f>
        <v/>
      </c>
    </row>
    <row r="299" customFormat="false" ht="17.35" hidden="false" customHeight="false" outlineLevel="0" collapsed="false">
      <c r="A299" s="638" t="str">
        <f aca="false">'2eme trim 2017 '!A62</f>
        <v>06.2017</v>
      </c>
      <c r="B299" s="643" t="n">
        <f aca="false">'2eme trim 2017 '!B62</f>
        <v>855692</v>
      </c>
      <c r="C299" s="650"/>
      <c r="D299" s="509" t="str">
        <f aca="false">'2eme trim 2017 '!D62</f>
        <v>MEDICIS</v>
      </c>
      <c r="E299" s="535"/>
      <c r="F299" s="536" t="n">
        <f aca="false">'2eme trim 2017 '!F62</f>
        <v>0</v>
      </c>
      <c r="G299" s="537" t="n">
        <f aca="false">'2eme trim 2017 '!G62</f>
        <v>0</v>
      </c>
      <c r="H299" s="513"/>
      <c r="I299" s="132" t="n">
        <f aca="false">'2eme trim 2017 '!I62</f>
        <v>25.389</v>
      </c>
      <c r="J299" s="437"/>
      <c r="K299" s="478" t="str">
        <f aca="false">IF(AND(A299=F1!$A$1,D299=F1!$B$1),ROW(),"")</f>
        <v/>
      </c>
    </row>
    <row r="300" customFormat="false" ht="17.35" hidden="false" customHeight="false" outlineLevel="0" collapsed="false">
      <c r="A300" s="638" t="str">
        <f aca="false">'2eme trim 2017 '!A63</f>
        <v>06.2017</v>
      </c>
      <c r="B300" s="643" t="n">
        <f aca="false">'2eme trim 2017 '!B63</f>
        <v>855692</v>
      </c>
      <c r="C300" s="650"/>
      <c r="D300" s="509" t="str">
        <f aca="false">'2eme trim 2017 '!D63</f>
        <v>HORIZONT 60 INVEST</v>
      </c>
      <c r="E300" s="535"/>
      <c r="F300" s="536" t="n">
        <f aca="false">'2eme trim 2017 '!F63</f>
        <v>0</v>
      </c>
      <c r="G300" s="537" t="n">
        <f aca="false">'2eme trim 2017 '!G63</f>
        <v>2045</v>
      </c>
      <c r="H300" s="513"/>
      <c r="I300" s="222" t="n">
        <f aca="false">'2eme trim 2017 '!I63</f>
        <v>403.2</v>
      </c>
      <c r="J300" s="437"/>
      <c r="K300" s="478" t="str">
        <f aca="false">IF(AND(A300=F1!$A$1,D300=F1!$B$1),ROW(),"")</f>
        <v/>
      </c>
    </row>
    <row r="301" customFormat="false" ht="17.35" hidden="false" customHeight="false" outlineLevel="0" collapsed="false">
      <c r="A301" s="638" t="str">
        <f aca="false">'2eme trim 2017 '!A12</f>
        <v>04.2017</v>
      </c>
      <c r="B301" s="643" t="n">
        <f aca="false">'2eme trim 2017 '!B12</f>
        <v>760929</v>
      </c>
      <c r="C301" s="650"/>
      <c r="D301" s="509" t="str">
        <f aca="false">'2eme trim 2017 '!D12</f>
        <v>HORIZONT 60 INVEST</v>
      </c>
      <c r="E301" s="535"/>
      <c r="F301" s="536" t="n">
        <f aca="false">'2eme trim 2017 '!F12</f>
        <v>0</v>
      </c>
      <c r="G301" s="537" t="n">
        <f aca="false">'2eme trim 2017 '!G12</f>
        <v>2047</v>
      </c>
      <c r="H301" s="513"/>
      <c r="I301" s="132" t="n">
        <f aca="false">'2eme trim 2017 '!I12</f>
        <v>432</v>
      </c>
      <c r="J301" s="437"/>
      <c r="K301" s="478" t="str">
        <f aca="false">IF(AND(A301=F1!$A$1,D301=F1!$B$1),ROW(),"")</f>
        <v/>
      </c>
    </row>
    <row r="302" customFormat="false" ht="17.35" hidden="false" customHeight="false" outlineLevel="0" collapsed="false">
      <c r="A302" s="638" t="str">
        <f aca="false">'2eme trim 2017 '!A14</f>
        <v>04.2017</v>
      </c>
      <c r="B302" s="643" t="n">
        <f aca="false">'2eme trim 2017 '!B14</f>
        <v>760929</v>
      </c>
      <c r="C302" s="650"/>
      <c r="D302" s="509" t="str">
        <f aca="false">'2eme trim 2017 '!D14</f>
        <v>MEDICIS</v>
      </c>
      <c r="E302" s="535"/>
      <c r="F302" s="536" t="n">
        <f aca="false">'2eme trim 2017 '!F14</f>
        <v>0</v>
      </c>
      <c r="G302" s="537" t="n">
        <f aca="false">'2eme trim 2017 '!G14</f>
        <v>0</v>
      </c>
      <c r="H302" s="513"/>
      <c r="I302" s="132" t="n">
        <f aca="false">'2eme trim 2017 '!I14</f>
        <v>124.551</v>
      </c>
      <c r="J302" s="437"/>
      <c r="K302" s="478" t="str">
        <f aca="false">IF(AND(A302=F1!$A$1,D302=F1!$B$1),ROW(),"")</f>
        <v/>
      </c>
    </row>
    <row r="303" customFormat="false" ht="17.35" hidden="false" customHeight="false" outlineLevel="0" collapsed="false">
      <c r="A303" s="645" t="str">
        <f aca="false">'2eme trim 2017 '!A15</f>
        <v>04.2017</v>
      </c>
      <c r="B303" s="648" t="n">
        <f aca="false">'2eme trim 2017 '!B15</f>
        <v>760929</v>
      </c>
      <c r="C303" s="647"/>
      <c r="D303" s="382" t="str">
        <f aca="false">'2eme trim 2017 '!D15</f>
        <v>MOBILE Tr</v>
      </c>
      <c r="E303" s="395"/>
      <c r="F303" s="282" t="str">
        <f aca="false">'2eme trim 2017 '!F15</f>
        <v>X</v>
      </c>
      <c r="G303" s="29" t="n">
        <f aca="false">'2eme trim 2017 '!G15</f>
        <v>0</v>
      </c>
      <c r="H303" s="222"/>
      <c r="I303" s="132" t="n">
        <f aca="false">'2eme trim 2017 '!I15</f>
        <v>46.94565</v>
      </c>
      <c r="J303" s="437"/>
      <c r="K303" s="478" t="str">
        <f aca="false">IF(AND(A303=F1!$A$1,D303=F1!$B$1),ROW(),"")</f>
        <v/>
      </c>
    </row>
    <row r="304" customFormat="false" ht="13.8" hidden="false" customHeight="false" outlineLevel="0" collapsed="false">
      <c r="A304" s="667" t="str">
        <f aca="false">'2eme trim 2017 '!A73</f>
        <v>06.2017</v>
      </c>
      <c r="B304" s="668" t="n">
        <f aca="false">'2eme trim 2017 '!B73</f>
        <v>760929</v>
      </c>
      <c r="C304" s="676"/>
      <c r="D304" s="24" t="str">
        <f aca="false">'2eme trim 2017 '!D73</f>
        <v>MOBILE</v>
      </c>
      <c r="E304" s="24"/>
      <c r="F304" s="245" t="n">
        <f aca="false">'2eme trim 2017 '!F73</f>
        <v>0</v>
      </c>
      <c r="G304" s="24" t="n">
        <f aca="false">'2eme trim 2017 '!G73</f>
        <v>0</v>
      </c>
      <c r="H304" s="402"/>
      <c r="I304" s="402" t="n">
        <f aca="false">'2eme trim 2017 '!I73</f>
        <v>67.131</v>
      </c>
      <c r="J304" s="437"/>
      <c r="K304" s="478" t="str">
        <f aca="false">IF(AND(A304=F1!$A$1,D304=F1!$B$1),ROW(),"")</f>
        <v/>
      </c>
    </row>
    <row r="305" customFormat="false" ht="17.35" hidden="false" customHeight="false" outlineLevel="0" collapsed="false">
      <c r="A305" s="645" t="str">
        <f aca="false">'2eme trim 2017 '!A16</f>
        <v>04.2017</v>
      </c>
      <c r="B305" s="648" t="n">
        <f aca="false">'2eme trim 2017 '!B16</f>
        <v>569553</v>
      </c>
      <c r="C305" s="647"/>
      <c r="D305" s="382" t="str">
        <f aca="false">'2eme trim 2017 '!D16</f>
        <v>PACK REEBOU FAMILY</v>
      </c>
      <c r="E305" s="395"/>
      <c r="F305" s="282" t="n">
        <f aca="false">'2eme trim 2017 '!F16</f>
        <v>0</v>
      </c>
      <c r="G305" s="29" t="n">
        <f aca="false">'2eme trim 2017 '!G16</f>
        <v>0</v>
      </c>
      <c r="H305" s="222"/>
      <c r="I305" s="132" t="n">
        <f aca="false">'2eme trim 2017 '!I16</f>
        <v>56.8455</v>
      </c>
      <c r="J305" s="437"/>
      <c r="K305" s="478" t="str">
        <f aca="false">IF(AND(A305=F1!$A$1,D305=F1!$B$1),ROW(),"")</f>
        <v/>
      </c>
    </row>
    <row r="306" customFormat="false" ht="17.35" hidden="false" customHeight="false" outlineLevel="0" collapsed="false">
      <c r="A306" s="645" t="str">
        <f aca="false">'3ème trim 2016'!A49</f>
        <v>09.2016</v>
      </c>
      <c r="B306" s="648" t="n">
        <f aca="false">'3ème trim 2016'!B49</f>
        <v>210428</v>
      </c>
      <c r="C306" s="647"/>
      <c r="D306" s="382" t="str">
        <f aca="false">'3ème trim 2016'!D49</f>
        <v>REEBOU PACK</v>
      </c>
      <c r="E306" s="395"/>
      <c r="F306" s="282" t="n">
        <f aca="false">'3ème trim 2016'!F49</f>
        <v>0</v>
      </c>
      <c r="G306" s="29" t="n">
        <f aca="false">'3ème trim 2016'!G49</f>
        <v>0</v>
      </c>
      <c r="H306" s="222"/>
      <c r="I306" s="132" t="n">
        <f aca="false">'3ème trim 2016'!I49</f>
        <v>18.741</v>
      </c>
      <c r="J306" s="437"/>
      <c r="K306" s="478" t="str">
        <f aca="false">IF(AND(A306=F1!$A$1,D306=F1!$B$1),ROW(),"")</f>
        <v/>
      </c>
    </row>
    <row r="307" customFormat="false" ht="17.35" hidden="false" customHeight="false" outlineLevel="0" collapsed="false">
      <c r="A307" s="481" t="str">
        <f aca="false">'1er trim 2017'!A13</f>
        <v>01.2017</v>
      </c>
      <c r="B307" s="469" t="n">
        <f aca="false">'1er trim 2017'!B13</f>
        <v>294775</v>
      </c>
      <c r="C307" s="524"/>
      <c r="D307" s="382" t="str">
        <f aca="false">'1er trim 2017'!D13</f>
        <v>REEBOU PRO</v>
      </c>
      <c r="E307" s="395"/>
      <c r="F307" s="282" t="n">
        <f aca="false">'1er trim 2017'!F13</f>
        <v>0</v>
      </c>
      <c r="G307" s="29" t="n">
        <f aca="false">'1er trim 2017'!G13</f>
        <v>0</v>
      </c>
      <c r="H307" s="222"/>
      <c r="I307" s="132" t="n">
        <f aca="false">'1er trim 2017'!I13</f>
        <v>29.3796</v>
      </c>
      <c r="J307" s="437"/>
      <c r="K307" s="478" t="str">
        <f aca="false">IF(AND(A307=F1!$A$1,D307=F1!$B$1),ROW(),"")</f>
        <v/>
      </c>
    </row>
    <row r="308" customFormat="false" ht="17.35" hidden="false" customHeight="false" outlineLevel="0" collapsed="false">
      <c r="A308" s="481" t="str">
        <f aca="false">'2e trim 2016'!A62</f>
        <v>06.2016</v>
      </c>
      <c r="B308" s="469" t="n">
        <f aca="false">'2e trim 2016'!B62</f>
        <v>294775</v>
      </c>
      <c r="C308" s="524"/>
      <c r="D308" s="382" t="str">
        <f aca="false">'2e trim 2016'!D62</f>
        <v>MOBILE</v>
      </c>
      <c r="E308" s="395"/>
      <c r="F308" s="282" t="n">
        <f aca="false">'2e trim 2016'!F62</f>
        <v>0</v>
      </c>
      <c r="G308" s="29" t="n">
        <f aca="false">'2e trim 2016'!G62</f>
        <v>0</v>
      </c>
      <c r="H308" s="222"/>
      <c r="I308" s="132" t="n">
        <f aca="false">'2e trim 2016'!I62</f>
        <v>94.963</v>
      </c>
      <c r="J308" s="437"/>
      <c r="K308" s="478" t="str">
        <f aca="false">IF(AND(A308=F1!$A$1,D308=F1!$B$1),ROW(),"")</f>
        <v/>
      </c>
    </row>
    <row r="309" customFormat="false" ht="17.35" hidden="false" customHeight="false" outlineLevel="0" collapsed="false">
      <c r="A309" s="481" t="str">
        <f aca="false">'3ème trim 2016'!A15</f>
        <v>07.2016</v>
      </c>
      <c r="B309" s="469" t="n">
        <f aca="false">'3ème trim 2016'!B15</f>
        <v>294775</v>
      </c>
      <c r="C309" s="524"/>
      <c r="D309" s="382" t="str">
        <f aca="false">'3ème trim 2016'!D15</f>
        <v>REEBOU FAMILY</v>
      </c>
      <c r="E309" s="395"/>
      <c r="F309" s="282" t="n">
        <f aca="false">'3ème trim 2016'!F15</f>
        <v>0</v>
      </c>
      <c r="G309" s="29" t="n">
        <f aca="false">'3ème trim 2016'!G15</f>
        <v>0</v>
      </c>
      <c r="H309" s="222"/>
      <c r="I309" s="132" t="n">
        <f aca="false">'3ème trim 2016'!I15</f>
        <v>67.9488</v>
      </c>
      <c r="J309" s="437"/>
      <c r="K309" s="478" t="str">
        <f aca="false">IF(AND(A309=F1!$A$1,D309=F1!$B$1),ROW(),"")</f>
        <v/>
      </c>
    </row>
    <row r="310" customFormat="false" ht="17.35" hidden="false" customHeight="false" outlineLevel="0" collapsed="false">
      <c r="A310" s="481" t="str">
        <f aca="false">'3ème trim 2016'!A16</f>
        <v>07.2016</v>
      </c>
      <c r="B310" s="469" t="n">
        <f aca="false">'3ème trim 2016'!B16</f>
        <v>294775</v>
      </c>
      <c r="C310" s="524"/>
      <c r="D310" s="382" t="str">
        <f aca="false">'3ème trim 2016'!D16</f>
        <v>MOBILE</v>
      </c>
      <c r="E310" s="395"/>
      <c r="F310" s="282" t="n">
        <f aca="false">'3ème trim 2016'!F16</f>
        <v>0</v>
      </c>
      <c r="G310" s="29" t="n">
        <f aca="false">'3ème trim 2016'!G16</f>
        <v>0</v>
      </c>
      <c r="H310" s="222"/>
      <c r="I310" s="132" t="n">
        <f aca="false">'3ème trim 2016'!I16</f>
        <v>52.6991</v>
      </c>
      <c r="J310" s="437"/>
      <c r="K310" s="478" t="str">
        <f aca="false">IF(AND(A310=F1!$A$1,D310=F1!$B$1),ROW(),"")</f>
        <v/>
      </c>
    </row>
    <row r="311" customFormat="false" ht="17.35" hidden="false" customHeight="false" outlineLevel="0" collapsed="false">
      <c r="A311" s="481" t="str">
        <f aca="false">'2eme trim 2017 '!A28</f>
        <v>05.2017</v>
      </c>
      <c r="B311" s="469" t="n">
        <f aca="false">'2eme trim 2017 '!B28</f>
        <v>813408</v>
      </c>
      <c r="C311" s="524"/>
      <c r="D311" s="382" t="str">
        <f aca="false">'2eme trim 2017 '!D28</f>
        <v>MOBILE </v>
      </c>
      <c r="E311" s="395"/>
      <c r="F311" s="282" t="n">
        <f aca="false">'2eme trim 2017 '!F28</f>
        <v>0</v>
      </c>
      <c r="G311" s="29" t="n">
        <f aca="false">'2eme trim 2017 '!G28</f>
        <v>0</v>
      </c>
      <c r="H311" s="222"/>
      <c r="I311" s="132" t="n">
        <f aca="false">'2eme trim 2017 '!I28</f>
        <v>143.1272</v>
      </c>
      <c r="J311" s="437"/>
      <c r="K311" s="478" t="str">
        <f aca="false">IF(AND(A311=F1!$A$1,D311=F1!$B$1),ROW(),"")</f>
        <v/>
      </c>
    </row>
    <row r="312" customFormat="false" ht="17.35" hidden="false" customHeight="false" outlineLevel="0" collapsed="false">
      <c r="A312" s="490" t="str">
        <f aca="false">'3eme trim 2017  '!A80</f>
        <v>09.2017</v>
      </c>
      <c r="B312" s="507" t="n">
        <f aca="false">'3eme trim 2017  '!B80</f>
        <v>741050</v>
      </c>
      <c r="C312" s="534"/>
      <c r="D312" s="509" t="str">
        <f aca="false">'3eme trim 2017  '!D80</f>
        <v>HELIOS100Invest</v>
      </c>
      <c r="E312" s="535"/>
      <c r="F312" s="536" t="n">
        <f aca="false">'3eme trim 2017  '!F80</f>
        <v>0</v>
      </c>
      <c r="G312" s="537" t="n">
        <f aca="false">'3eme trim 2017  '!G80</f>
        <v>2032</v>
      </c>
      <c r="H312" s="513"/>
      <c r="I312" s="132" t="n">
        <f aca="false">'3eme trim 2017  '!I80</f>
        <v>145.8</v>
      </c>
      <c r="J312" s="437"/>
      <c r="K312" s="478" t="str">
        <f aca="false">IF(AND(A312=F1!$A$1,D312=F1!$B$1),ROW(),"")</f>
        <v/>
      </c>
    </row>
    <row r="313" customFormat="false" ht="17.35" hidden="false" customHeight="false" outlineLevel="0" collapsed="false">
      <c r="A313" s="481" t="str">
        <f aca="false">'3eme trim 2017  '!A81</f>
        <v>09.2017</v>
      </c>
      <c r="B313" s="469" t="n">
        <f aca="false">'3eme trim 2017  '!B81</f>
        <v>741050</v>
      </c>
      <c r="C313" s="524"/>
      <c r="D313" s="382" t="str">
        <f aca="false">'3eme trim 2017  '!D81</f>
        <v>RC ENSEIGNANT</v>
      </c>
      <c r="E313" s="395"/>
      <c r="F313" s="282" t="str">
        <f aca="false">'3eme trim 2017  '!F81</f>
        <v>X</v>
      </c>
      <c r="G313" s="29" t="n">
        <f aca="false">'3eme trim 2017  '!G81</f>
        <v>0</v>
      </c>
      <c r="H313" s="222"/>
      <c r="I313" s="132" t="n">
        <f aca="false">'3eme trim 2017  '!I81</f>
        <v>4.3044</v>
      </c>
      <c r="J313" s="437"/>
      <c r="K313" s="478" t="str">
        <f aca="false">IF(AND(A313=F1!$A$1,D313=F1!$B$1),ROW(),"")</f>
        <v/>
      </c>
    </row>
    <row r="314" customFormat="false" ht="17.35" hidden="false" customHeight="false" outlineLevel="0" collapsed="false">
      <c r="A314" s="481" t="str">
        <f aca="false">'3eme trim 2017  '!A82</f>
        <v>09.2017</v>
      </c>
      <c r="B314" s="469" t="n">
        <f aca="false">'3eme trim 2017  '!B82</f>
        <v>741050</v>
      </c>
      <c r="C314" s="524"/>
      <c r="D314" s="382" t="str">
        <f aca="false">'3eme trim 2017  '!D82</f>
        <v>MOBILE2016</v>
      </c>
      <c r="E314" s="395"/>
      <c r="F314" s="282" t="str">
        <f aca="false">'3eme trim 2017  '!F82</f>
        <v>X</v>
      </c>
      <c r="G314" s="29" t="n">
        <f aca="false">'3eme trim 2017  '!G82</f>
        <v>0</v>
      </c>
      <c r="H314" s="222"/>
      <c r="I314" s="132" t="n">
        <f aca="false">'3eme trim 2017  '!I82</f>
        <v>57.042</v>
      </c>
      <c r="J314" s="437"/>
      <c r="K314" s="478" t="str">
        <f aca="false">IF(AND(A314=F1!$A$1,D314=F1!$B$1),ROW(),"")</f>
        <v/>
      </c>
    </row>
    <row r="315" customFormat="false" ht="17.35" hidden="false" customHeight="false" outlineLevel="0" collapsed="false">
      <c r="A315" s="490" t="str">
        <f aca="false">'4eme trim 2017  '!A54</f>
        <v>11.2017</v>
      </c>
      <c r="B315" s="507" t="n">
        <f aca="false">'4eme trim 2017  '!B54</f>
        <v>716291</v>
      </c>
      <c r="C315" s="534"/>
      <c r="D315" s="509" t="str">
        <f aca="false">'4eme trim 2017  '!D54</f>
        <v>HELIOS100Protect</v>
      </c>
      <c r="E315" s="535"/>
      <c r="F315" s="536" t="n">
        <f aca="false">'4eme trim 2017  '!F54</f>
        <v>0</v>
      </c>
      <c r="G315" s="537" t="n">
        <f aca="false">'4eme trim 2017  '!G54</f>
        <v>2027</v>
      </c>
      <c r="H315" s="523"/>
      <c r="I315" s="132" t="n">
        <f aca="false">'4eme trim 2017  '!I54</f>
        <v>72</v>
      </c>
      <c r="J315" s="437"/>
      <c r="K315" s="478" t="str">
        <f aca="false">IF(AND(A315=F1!$A$1,D315=F1!$B$1),ROW(),"")</f>
        <v/>
      </c>
    </row>
    <row r="316" customFormat="false" ht="17.35" hidden="false" customHeight="false" outlineLevel="0" collapsed="false">
      <c r="A316" s="584" t="str">
        <f aca="false">'4ème trim 2016'!A69</f>
        <v>12.2016</v>
      </c>
      <c r="B316" s="591" t="n">
        <f aca="false">'4ème trim 2016'!B69</f>
        <v>726792</v>
      </c>
      <c r="C316" s="592"/>
      <c r="D316" s="593" t="str">
        <f aca="false">'4ème trim 2016'!D69</f>
        <v>HORIZONT 60 CAPI</v>
      </c>
      <c r="E316" s="594"/>
      <c r="F316" s="588" t="n">
        <f aca="false">'4ème trim 2016'!F69</f>
        <v>0</v>
      </c>
      <c r="G316" s="595" t="n">
        <f aca="false">'4ème trim 2016'!G69</f>
        <v>2027</v>
      </c>
      <c r="H316" s="596"/>
      <c r="I316" s="132" t="n">
        <f aca="false">'4ème trim 2016'!I69</f>
        <v>231</v>
      </c>
      <c r="J316" s="437" t="s">
        <v>608</v>
      </c>
      <c r="K316" s="478" t="str">
        <f aca="false">IF(AND(A316=F1!$A$1,D316=F1!$B$1),ROW(),"")</f>
        <v/>
      </c>
    </row>
    <row r="317" customFormat="false" ht="17.35" hidden="false" customHeight="false" outlineLevel="0" collapsed="false">
      <c r="A317" s="481" t="str">
        <f aca="false">'3ème trim 2016'!A18</f>
        <v>07.2016</v>
      </c>
      <c r="B317" s="469" t="n">
        <f aca="false">'3ème trim 2016'!B18</f>
        <v>722631</v>
      </c>
      <c r="C317" s="524"/>
      <c r="D317" s="382" t="str">
        <f aca="false">'3ème trim 2016'!D18</f>
        <v>REEBOU PRO</v>
      </c>
      <c r="E317" s="395"/>
      <c r="F317" s="282" t="n">
        <f aca="false">'3ème trim 2016'!F18</f>
        <v>0</v>
      </c>
      <c r="G317" s="29" t="n">
        <f aca="false">'3ème trim 2016'!G18</f>
        <v>0</v>
      </c>
      <c r="H317" s="222"/>
      <c r="I317" s="132" t="n">
        <f aca="false">'3ème trim 2016'!I18</f>
        <v>120.5076</v>
      </c>
      <c r="J317" s="437"/>
      <c r="K317" s="478" t="str">
        <f aca="false">IF(AND(A317=F1!$A$1,D317=F1!$B$1),ROW(),"")</f>
        <v/>
      </c>
    </row>
    <row r="318" customFormat="false" ht="17.35" hidden="false" customHeight="false" outlineLevel="0" collapsed="false">
      <c r="A318" s="481" t="str">
        <f aca="false">'4eme trim 2017  '!A81</f>
        <v>12.2017</v>
      </c>
      <c r="B318" s="469" t="n">
        <f aca="false">'4eme trim 2017  '!B81</f>
        <v>971952</v>
      </c>
      <c r="C318" s="524"/>
      <c r="D318" s="382" t="str">
        <f aca="false">'4eme trim 2017  '!D81</f>
        <v>REEBOUImmo</v>
      </c>
      <c r="E318" s="395"/>
      <c r="F318" s="282" t="n">
        <f aca="false">'4eme trim 2017  '!F81</f>
        <v>0</v>
      </c>
      <c r="G318" s="29" t="n">
        <f aca="false">'4eme trim 2017  '!G81</f>
        <v>0</v>
      </c>
      <c r="H318" s="222"/>
      <c r="I318" s="222" t="n">
        <f aca="false">'4eme trim 2017  '!I81</f>
        <v>81.4704</v>
      </c>
      <c r="J318" s="437"/>
      <c r="K318" s="478" t="str">
        <f aca="false">IF(AND(A318=F1!$A$1,D318=F1!$B$1),ROW(),"")</f>
        <v/>
      </c>
    </row>
    <row r="319" customFormat="false" ht="17.35" hidden="false" customHeight="false" outlineLevel="0" collapsed="false">
      <c r="A319" s="481" t="str">
        <f aca="false">'1er trim 2017'!A32</f>
        <v>02.2017</v>
      </c>
      <c r="B319" s="469" t="n">
        <f aca="false">'1er trim 2017'!B32</f>
        <v>411055</v>
      </c>
      <c r="C319" s="524"/>
      <c r="D319" s="382" t="str">
        <f aca="false">'1er trim 2017'!D32</f>
        <v>REEBOU PRO</v>
      </c>
      <c r="E319" s="395"/>
      <c r="F319" s="282" t="n">
        <f aca="false">'1er trim 2017'!F32</f>
        <v>0</v>
      </c>
      <c r="G319" s="29" t="n">
        <f aca="false">'1er trim 2017'!G32</f>
        <v>0</v>
      </c>
      <c r="H319" s="222"/>
      <c r="I319" s="132" t="n">
        <f aca="false">'1er trim 2017'!I32</f>
        <v>20.748</v>
      </c>
      <c r="J319" s="437"/>
      <c r="K319" s="478" t="str">
        <f aca="false">IF(AND(A319=F1!$A$1,D319=F1!$B$1),ROW(),"")</f>
        <v/>
      </c>
    </row>
    <row r="320" customFormat="false" ht="17.35" hidden="false" customHeight="false" outlineLevel="0" collapsed="false">
      <c r="A320" s="481" t="str">
        <f aca="false">'1er Trimestre 2018'!A38</f>
        <v>02.2018</v>
      </c>
      <c r="B320" s="469" t="n">
        <f aca="false">'1er Trimestre 2018'!B38</f>
        <v>411055</v>
      </c>
      <c r="C320" s="524"/>
      <c r="D320" s="382" t="str">
        <f aca="false">'1er Trimestre 2018'!D38</f>
        <v>MOBILE2016</v>
      </c>
      <c r="E320" s="395"/>
      <c r="F320" s="282" t="n">
        <f aca="false">'1er Trimestre 2018'!F38</f>
        <v>0</v>
      </c>
      <c r="G320" s="29" t="n">
        <f aca="false">'1er Trimestre 2018'!G38</f>
        <v>0</v>
      </c>
      <c r="H320" s="222"/>
      <c r="I320" s="132" t="n">
        <f aca="false">'1er Trimestre 2018'!I38</f>
        <v>121.3072</v>
      </c>
      <c r="J320" s="437"/>
      <c r="K320" s="478" t="str">
        <f aca="false">IF(AND(A320=F1!$A$1,D320=F1!$B$1),ROW(),"")</f>
        <v/>
      </c>
    </row>
    <row r="321" customFormat="false" ht="17.35" hidden="false" customHeight="false" outlineLevel="0" collapsed="false">
      <c r="A321" s="481" t="str">
        <f aca="false">'4ème trim 2016'!A16</f>
        <v>10.2016</v>
      </c>
      <c r="B321" s="469" t="n">
        <f aca="false">'4ème trim 2016'!B16</f>
        <v>411055</v>
      </c>
      <c r="C321" s="524"/>
      <c r="D321" s="382" t="str">
        <f aca="false">'4ème trim 2016'!D16</f>
        <v>REEBOU PRO</v>
      </c>
      <c r="E321" s="395"/>
      <c r="F321" s="282" t="n">
        <f aca="false">'4ème trim 2016'!F16</f>
        <v>0</v>
      </c>
      <c r="G321" s="29" t="n">
        <f aca="false">'4ème trim 2016'!G16</f>
        <v>0</v>
      </c>
      <c r="H321" s="222"/>
      <c r="I321" s="132" t="n">
        <f aca="false">'4ème trim 2016'!I16</f>
        <v>20.598</v>
      </c>
      <c r="J321" s="437"/>
      <c r="K321" s="478" t="str">
        <f aca="false">IF(AND(A321=F1!$A$1,D321=F1!$B$1),ROW(),"")</f>
        <v/>
      </c>
    </row>
    <row r="322" customFormat="false" ht="17.35" hidden="false" customHeight="false" outlineLevel="0" collapsed="false">
      <c r="A322" s="481" t="str">
        <f aca="false">'4eme trim 2017  '!A63</f>
        <v>11.2017</v>
      </c>
      <c r="B322" s="469" t="n">
        <f aca="false">'4eme trim 2017  '!B63</f>
        <v>411055</v>
      </c>
      <c r="C322" s="524"/>
      <c r="D322" s="382" t="str">
        <f aca="false">'4eme trim 2017  '!D63</f>
        <v>REEBOU Pro</v>
      </c>
      <c r="E322" s="395"/>
      <c r="F322" s="282" t="n">
        <f aca="false">'4eme trim 2017  '!F63</f>
        <v>0</v>
      </c>
      <c r="G322" s="29" t="n">
        <f aca="false">'4eme trim 2017  '!G63</f>
        <v>0</v>
      </c>
      <c r="H322" s="132"/>
      <c r="I322" s="222" t="n">
        <f aca="false">'4eme trim 2017  '!I63</f>
        <v>61.7376</v>
      </c>
      <c r="J322" s="437"/>
      <c r="K322" s="478" t="str">
        <f aca="false">IF(AND(A322=F1!$A$1,D322=F1!$B$1),ROW(),"")</f>
        <v/>
      </c>
    </row>
    <row r="323" customFormat="false" ht="17.35" hidden="false" customHeight="false" outlineLevel="0" collapsed="false">
      <c r="A323" s="481" t="str">
        <f aca="false">'4eme trim 2017  '!A64</f>
        <v>11.2017</v>
      </c>
      <c r="B323" s="469" t="n">
        <f aca="false">'4eme trim 2017  '!B64</f>
        <v>411056</v>
      </c>
      <c r="C323" s="524"/>
      <c r="D323" s="382" t="str">
        <f aca="false">'4eme trim 2017  '!D64</f>
        <v>REEBOU Pro</v>
      </c>
      <c r="E323" s="395"/>
      <c r="F323" s="282" t="n">
        <f aca="false">'4eme trim 2017  '!F64</f>
        <v>0</v>
      </c>
      <c r="G323" s="29" t="n">
        <f aca="false">'4eme trim 2017  '!G64</f>
        <v>0</v>
      </c>
      <c r="H323" s="222"/>
      <c r="I323" s="132" t="n">
        <f aca="false">'4eme trim 2017  '!I64</f>
        <v>15.5076</v>
      </c>
      <c r="J323" s="437"/>
      <c r="K323" s="478" t="str">
        <f aca="false">IF(AND(A323=F1!$A$1,D323=F1!$B$1),ROW(),"")</f>
        <v/>
      </c>
    </row>
    <row r="324" customFormat="false" ht="17.35" hidden="false" customHeight="false" outlineLevel="0" collapsed="false">
      <c r="A324" s="481" t="str">
        <f aca="false">'2eme trim 2017 '!A29</f>
        <v>05.2017</v>
      </c>
      <c r="B324" s="469" t="n">
        <f aca="false">'2eme trim 2017 '!B29</f>
        <v>797110</v>
      </c>
      <c r="C324" s="524"/>
      <c r="D324" s="382" t="str">
        <f aca="false">'2eme trim 2017 '!D29</f>
        <v>MOBILE </v>
      </c>
      <c r="E324" s="395"/>
      <c r="F324" s="282" t="n">
        <f aca="false">'2eme trim 2017 '!F29</f>
        <v>0</v>
      </c>
      <c r="G324" s="29" t="n">
        <f aca="false">'2eme trim 2017 '!G29</f>
        <v>0</v>
      </c>
      <c r="H324" s="222"/>
      <c r="I324" s="132" t="n">
        <f aca="false">'2eme trim 2017 '!I29</f>
        <v>153.3744</v>
      </c>
      <c r="J324" s="437"/>
      <c r="K324" s="478" t="str">
        <f aca="false">IF(AND(A324=F1!$A$1,D324=F1!$B$1),ROW(),"")</f>
        <v/>
      </c>
    </row>
    <row r="325" customFormat="false" ht="13.8" hidden="false" customHeight="false" outlineLevel="0" collapsed="false">
      <c r="A325" s="484" t="str">
        <f aca="false">'3eme trim 2017  '!A42</f>
        <v>07.2017</v>
      </c>
      <c r="B325" s="485" t="n">
        <f aca="false">'3eme trim 2017  '!B42</f>
        <v>674507</v>
      </c>
      <c r="C325" s="525"/>
      <c r="D325" s="487" t="str">
        <f aca="false">'3eme trim 2017  '!D42</f>
        <v>REEBOU FAMILY</v>
      </c>
      <c r="E325" s="24"/>
      <c r="F325" s="245" t="n">
        <f aca="false">'3eme trim 2017  '!F42</f>
        <v>0</v>
      </c>
      <c r="G325" s="24" t="n">
        <f aca="false">'3eme trim 2017  '!G42</f>
        <v>0</v>
      </c>
      <c r="H325" s="132"/>
      <c r="I325" s="132" t="n">
        <f aca="false">'3eme trim 2017  '!I42</f>
        <v>20.6148</v>
      </c>
      <c r="J325" s="437"/>
      <c r="K325" s="478" t="str">
        <f aca="false">IF(AND(A325=F1!$A$1,D325=F1!$B$1),ROW(),"")</f>
        <v/>
      </c>
    </row>
    <row r="326" customFormat="false" ht="13.8" hidden="false" customHeight="false" outlineLevel="0" collapsed="false">
      <c r="A326" s="484" t="str">
        <f aca="false">'3eme trim 2017  '!A43</f>
        <v>07.2017</v>
      </c>
      <c r="B326" s="485" t="n">
        <f aca="false">'3eme trim 2017  '!B43</f>
        <v>674507</v>
      </c>
      <c r="C326" s="525"/>
      <c r="D326" s="487" t="str">
        <f aca="false">'3eme trim 2017  '!D43</f>
        <v>PACK REEBOU FAMILY</v>
      </c>
      <c r="E326" s="24"/>
      <c r="F326" s="245" t="n">
        <f aca="false">'3eme trim 2017  '!F43</f>
        <v>0</v>
      </c>
      <c r="G326" s="24" t="n">
        <f aca="false">'3eme trim 2017  '!G43</f>
        <v>0</v>
      </c>
      <c r="H326" s="132"/>
      <c r="I326" s="132" t="n">
        <f aca="false">'3eme trim 2017  '!I43</f>
        <v>16.908</v>
      </c>
      <c r="J326" s="437"/>
      <c r="K326" s="478" t="str">
        <f aca="false">IF(AND(A326=F1!$A$1,D326=F1!$B$1),ROW(),"")</f>
        <v/>
      </c>
    </row>
    <row r="327" customFormat="false" ht="13.8" hidden="false" customHeight="false" outlineLevel="0" collapsed="false">
      <c r="A327" s="677" t="str">
        <f aca="false">'3eme trim 2017  '!A55</f>
        <v>08.2017</v>
      </c>
      <c r="B327" s="678" t="n">
        <f aca="false">'3eme trim 2017  '!B55</f>
        <v>674507</v>
      </c>
      <c r="C327" s="534"/>
      <c r="D327" s="537" t="str">
        <f aca="false">'3eme trim 2017  '!D55</f>
        <v>HORIZONT60invest</v>
      </c>
      <c r="E327" s="537"/>
      <c r="F327" s="522" t="n">
        <f aca="false">'3eme trim 2017  '!F55</f>
        <v>0</v>
      </c>
      <c r="G327" s="537" t="n">
        <f aca="false">'3eme trim 2017  '!G55</f>
        <v>2047</v>
      </c>
      <c r="H327" s="513"/>
      <c r="I327" s="222" t="n">
        <f aca="false">'3eme trim 2017  '!I55</f>
        <v>302.4</v>
      </c>
      <c r="J327" s="437"/>
      <c r="K327" s="478" t="str">
        <f aca="false">IF(AND(A327=F1!$A$1,D327=F1!$B$1),ROW(),"")</f>
        <v/>
      </c>
    </row>
    <row r="328" customFormat="false" ht="13.8" hidden="false" customHeight="false" outlineLevel="0" collapsed="false">
      <c r="A328" s="677" t="str">
        <f aca="false">'3eme trim 2017  '!A70</f>
        <v>09.2017</v>
      </c>
      <c r="B328" s="500" t="n">
        <f aca="false">'3eme trim 2017  '!B70</f>
        <v>957574</v>
      </c>
      <c r="C328" s="534"/>
      <c r="D328" s="537" t="str">
        <f aca="false">'3eme trim 2017  '!D70</f>
        <v>FOCUS</v>
      </c>
      <c r="E328" s="679"/>
      <c r="F328" s="680" t="n">
        <f aca="false">'3eme trim 2017  '!F70</f>
        <v>0</v>
      </c>
      <c r="G328" s="537" t="n">
        <f aca="false">'3eme trim 2017  '!G70</f>
        <v>2041</v>
      </c>
      <c r="H328" s="513"/>
      <c r="I328" s="222" t="n">
        <f aca="false">'3eme trim 2017  '!I70</f>
        <v>23.5782</v>
      </c>
      <c r="J328" s="437"/>
      <c r="K328" s="478" t="str">
        <f aca="false">IF(AND(A328=F1!$A$1,D328=F1!$B$1),ROW(),"")</f>
        <v/>
      </c>
    </row>
    <row r="329" customFormat="false" ht="13.8" hidden="false" customHeight="false" outlineLevel="0" collapsed="false">
      <c r="A329" s="677" t="str">
        <f aca="false">'3eme trim 2017  '!A71</f>
        <v>09.2017</v>
      </c>
      <c r="B329" s="678" t="n">
        <f aca="false">'3eme trim 2017  '!B71</f>
        <v>957574</v>
      </c>
      <c r="C329" s="681"/>
      <c r="D329" s="502" t="str">
        <f aca="false">'3eme trim 2017  '!D71</f>
        <v>FOCUS</v>
      </c>
      <c r="E329" s="502"/>
      <c r="F329" s="522" t="n">
        <f aca="false">'3eme trim 2017  '!F71</f>
        <v>0</v>
      </c>
      <c r="G329" s="502" t="n">
        <f aca="false">'3eme trim 2017  '!G71</f>
        <v>2041</v>
      </c>
      <c r="H329" s="505"/>
      <c r="I329" s="402" t="n">
        <f aca="false">'3eme trim 2017  '!I71</f>
        <v>802.81431274455</v>
      </c>
      <c r="J329" s="437"/>
      <c r="K329" s="478" t="str">
        <f aca="false">IF(AND(A329=F1!$A$1,D329=F1!$B$1),ROW(),"")</f>
        <v/>
      </c>
    </row>
    <row r="330" customFormat="false" ht="13.8" hidden="false" customHeight="false" outlineLevel="0" collapsed="false">
      <c r="A330" s="499" t="str">
        <f aca="false">'3eme trim 2017  '!A50</f>
        <v>08.2017</v>
      </c>
      <c r="B330" s="500" t="n">
        <f aca="false">'3eme trim 2017  '!B50</f>
        <v>932605</v>
      </c>
      <c r="C330" s="520"/>
      <c r="D330" s="502" t="str">
        <f aca="false">'3eme trim 2017  '!D50</f>
        <v>HORIZONT60invest</v>
      </c>
      <c r="E330" s="521"/>
      <c r="F330" s="522" t="n">
        <f aca="false">'3eme trim 2017  '!F50</f>
        <v>0</v>
      </c>
      <c r="G330" s="521" t="n">
        <f aca="false">'3eme trim 2017  '!G50</f>
        <v>2056</v>
      </c>
      <c r="H330" s="523"/>
      <c r="I330" s="132" t="n">
        <f aca="false">'3eme trim 2017  '!I50</f>
        <v>393.12</v>
      </c>
      <c r="J330" s="437" t="s">
        <v>368</v>
      </c>
      <c r="K330" s="478" t="str">
        <f aca="false">IF(AND(A330=F1!$A$1,D330=F1!$B$1),ROW(),"")</f>
        <v/>
      </c>
    </row>
    <row r="331" customFormat="false" ht="17.35" hidden="false" customHeight="false" outlineLevel="0" collapsed="false">
      <c r="A331" s="490" t="str">
        <f aca="false">'4eme trim 2017  '!A84</f>
        <v>12.2017</v>
      </c>
      <c r="B331" s="507" t="n">
        <f aca="false">'4eme trim 2017  '!B84</f>
        <v>976480</v>
      </c>
      <c r="C331" s="534"/>
      <c r="D331" s="509" t="str">
        <f aca="false">'4eme trim 2017  '!D84</f>
        <v>HORIZONT60Capi</v>
      </c>
      <c r="E331" s="535"/>
      <c r="F331" s="536" t="n">
        <f aca="false">'4eme trim 2017  '!F84</f>
        <v>0</v>
      </c>
      <c r="G331" s="537" t="n">
        <f aca="false">'4eme trim 2017  '!G84</f>
        <v>2028</v>
      </c>
      <c r="H331" s="513"/>
      <c r="I331" s="132" t="n">
        <f aca="false">'4eme trim 2017  '!I84</f>
        <v>422.38944</v>
      </c>
      <c r="J331" s="437" t="s">
        <v>368</v>
      </c>
      <c r="K331" s="478" t="str">
        <f aca="false">IF(AND(A331=F1!$A$1,D331=F1!$B$1),ROW(),"")</f>
        <v/>
      </c>
    </row>
    <row r="332" customFormat="false" ht="17.35" hidden="false" customHeight="false" outlineLevel="0" collapsed="false">
      <c r="A332" s="481" t="str">
        <f aca="false">'3ème trim 2016'!A50</f>
        <v>09.2016</v>
      </c>
      <c r="B332" s="469" t="n">
        <f aca="false">'3ème trim 2016'!B50</f>
        <v>367848</v>
      </c>
      <c r="C332" s="524"/>
      <c r="D332" s="382" t="str">
        <f aca="false">'3ème trim 2016'!D50</f>
        <v>MOBILE</v>
      </c>
      <c r="E332" s="395"/>
      <c r="F332" s="282" t="n">
        <f aca="false">'3ème trim 2016'!F50</f>
        <v>0</v>
      </c>
      <c r="G332" s="29" t="n">
        <f aca="false">'3ème trim 2016'!G50</f>
        <v>0</v>
      </c>
      <c r="H332" s="222"/>
      <c r="I332" s="132" t="n">
        <f aca="false">'3ème trim 2016'!I50</f>
        <v>12.2826</v>
      </c>
      <c r="J332" s="437"/>
      <c r="K332" s="478" t="str">
        <f aca="false">IF(AND(A332=F1!$A$1,D332=F1!$B$1),ROW(),"")</f>
        <v/>
      </c>
    </row>
    <row r="333" customFormat="false" ht="17.35" hidden="false" customHeight="false" outlineLevel="0" collapsed="false">
      <c r="A333" s="481" t="str">
        <f aca="false">'2e trim 2016'!A50</f>
        <v>06.2016</v>
      </c>
      <c r="B333" s="469" t="n">
        <f aca="false">'2e trim 2016'!B50</f>
        <v>690308</v>
      </c>
      <c r="C333" s="524"/>
      <c r="D333" s="382" t="str">
        <f aca="false">'2e trim 2016'!D50</f>
        <v>MOBILE</v>
      </c>
      <c r="E333" s="395"/>
      <c r="F333" s="282" t="n">
        <f aca="false">'2e trim 2016'!F50</f>
        <v>0</v>
      </c>
      <c r="G333" s="29" t="n">
        <f aca="false">'2e trim 2016'!G50</f>
        <v>0</v>
      </c>
      <c r="H333" s="222"/>
      <c r="I333" s="132" t="n">
        <f aca="false">'2e trim 2016'!I50</f>
        <v>57.7888</v>
      </c>
      <c r="J333" s="437"/>
      <c r="K333" s="478" t="str">
        <f aca="false">IF(AND(A333=F1!$A$1,D333=F1!$B$1),ROW(),"")</f>
        <v/>
      </c>
    </row>
    <row r="334" customFormat="false" ht="17.35" hidden="false" customHeight="false" outlineLevel="0" collapsed="false">
      <c r="A334" s="481" t="str">
        <f aca="false">'1er trim 2017'!A48</f>
        <v>02.2017</v>
      </c>
      <c r="B334" s="469" t="n">
        <f aca="false">'1er trim 2017'!B48</f>
        <v>672695</v>
      </c>
      <c r="C334" s="524"/>
      <c r="D334" s="382" t="str">
        <f aca="false">'1er trim 2017'!D48</f>
        <v>MOBILE</v>
      </c>
      <c r="E334" s="395"/>
      <c r="F334" s="282" t="n">
        <f aca="false">'1er trim 2017'!F48</f>
        <v>0</v>
      </c>
      <c r="G334" s="42" t="n">
        <f aca="false">'1er trim 2017'!G48</f>
        <v>0</v>
      </c>
      <c r="H334" s="222"/>
      <c r="I334" s="222" t="n">
        <f aca="false">'1er trim 2017'!I48</f>
        <v>82.0844</v>
      </c>
      <c r="J334" s="437"/>
      <c r="K334" s="478" t="str">
        <f aca="false">IF(AND(A334=F1!$A$1,D334=F1!$B$1),ROW(),"")</f>
        <v/>
      </c>
    </row>
    <row r="335" customFormat="false" ht="17.35" hidden="false" customHeight="false" outlineLevel="0" collapsed="false">
      <c r="A335" s="481" t="str">
        <f aca="false">'2e trim 2016'!A53</f>
        <v>06.2016</v>
      </c>
      <c r="B335" s="469" t="n">
        <f aca="false">'2e trim 2016'!B53</f>
        <v>607388</v>
      </c>
      <c r="C335" s="525"/>
      <c r="D335" s="382" t="str">
        <f aca="false">'2e trim 2016'!D53</f>
        <v>MOBILE</v>
      </c>
      <c r="E335" s="401"/>
      <c r="F335" s="282" t="n">
        <f aca="false">'2e trim 2016'!F53</f>
        <v>0</v>
      </c>
      <c r="G335" s="24" t="n">
        <f aca="false">'2e trim 2016'!G53</f>
        <v>0</v>
      </c>
      <c r="H335" s="132"/>
      <c r="I335" s="222" t="n">
        <f aca="false">'2e trim 2016'!I53</f>
        <v>114.32</v>
      </c>
      <c r="J335" s="437"/>
      <c r="K335" s="478" t="str">
        <f aca="false">IF(AND(A335=F1!$A$1,D335=F1!$B$1),ROW(),"")</f>
        <v/>
      </c>
    </row>
    <row r="336" customFormat="false" ht="17.35" hidden="false" customHeight="false" outlineLevel="0" collapsed="false">
      <c r="A336" s="481" t="str">
        <f aca="false">'2e trim 2016'!A54</f>
        <v>06.2016</v>
      </c>
      <c r="B336" s="469" t="n">
        <f aca="false">'2e trim 2016'!B54</f>
        <v>607388</v>
      </c>
      <c r="C336" s="525"/>
      <c r="D336" s="382" t="str">
        <f aca="false">'2e trim 2016'!D54</f>
        <v>MOBILE Tr.</v>
      </c>
      <c r="E336" s="395"/>
      <c r="F336" s="282" t="n">
        <f aca="false">'2e trim 2016'!F54</f>
        <v>0</v>
      </c>
      <c r="G336" s="29" t="n">
        <f aca="false">'2e trim 2016'!G54</f>
        <v>0</v>
      </c>
      <c r="H336" s="222"/>
      <c r="I336" s="222" t="n">
        <f aca="false">'2e trim 2016'!I54</f>
        <v>14.49</v>
      </c>
      <c r="J336" s="437"/>
      <c r="K336" s="478" t="str">
        <f aca="false">IF(AND(A336=F1!$A$1,D336=F1!$B$1),ROW(),"")</f>
        <v/>
      </c>
    </row>
    <row r="337" customFormat="false" ht="17.35" hidden="false" customHeight="false" outlineLevel="0" collapsed="false">
      <c r="A337" s="490" t="str">
        <f aca="false">'1er trim 2017'!A20</f>
        <v>01.2017</v>
      </c>
      <c r="B337" s="507" t="n">
        <f aca="false">'1er trim 2017'!B20</f>
        <v>597572</v>
      </c>
      <c r="C337" s="534"/>
      <c r="D337" s="509" t="str">
        <f aca="false">'1er trim 2017'!D20</f>
        <v>HORIZONT 60 INVEST</v>
      </c>
      <c r="E337" s="535"/>
      <c r="F337" s="536" t="n">
        <f aca="false">'1er trim 2017'!F20</f>
        <v>0</v>
      </c>
      <c r="G337" s="537" t="n">
        <f aca="false">'1er trim 2017'!G20</f>
        <v>2028</v>
      </c>
      <c r="H337" s="513"/>
      <c r="I337" s="132" t="n">
        <f aca="false">'1er trim 2017'!I20</f>
        <v>158.4</v>
      </c>
      <c r="J337" s="437"/>
      <c r="K337" s="478" t="str">
        <f aca="false">IF(AND(A337=F1!$A$1,D337=F1!$B$1),ROW(),"")</f>
        <v/>
      </c>
    </row>
    <row r="338" customFormat="false" ht="17.35" hidden="false" customHeight="false" outlineLevel="0" collapsed="false">
      <c r="A338" s="490" t="str">
        <f aca="false">'1er trim 2017'!A21</f>
        <v>01.2017</v>
      </c>
      <c r="B338" s="507" t="n">
        <f aca="false">'1er trim 2017'!B21</f>
        <v>597551</v>
      </c>
      <c r="C338" s="534"/>
      <c r="D338" s="509" t="str">
        <f aca="false">'1er trim 2017'!D21</f>
        <v>HORIZONT 60 INVEST</v>
      </c>
      <c r="E338" s="535"/>
      <c r="F338" s="536" t="n">
        <f aca="false">'1er trim 2017'!F21</f>
        <v>0</v>
      </c>
      <c r="G338" s="537" t="n">
        <f aca="false">'1er trim 2017'!G21</f>
        <v>2026</v>
      </c>
      <c r="H338" s="513"/>
      <c r="I338" s="132" t="n">
        <f aca="false">'1er trim 2017'!I21</f>
        <v>129.6</v>
      </c>
      <c r="J338" s="437"/>
      <c r="K338" s="478" t="str">
        <f aca="false">IF(AND(A338=F1!$A$1,D338=F1!$B$1),ROW(),"")</f>
        <v/>
      </c>
    </row>
    <row r="339" customFormat="false" ht="17.35" hidden="false" customHeight="false" outlineLevel="0" collapsed="false">
      <c r="A339" s="538" t="str">
        <f aca="false">'2eme trim 2017 '!A66</f>
        <v>06.2017</v>
      </c>
      <c r="B339" s="539" t="n">
        <f aca="false">'2eme trim 2017 '!B66</f>
        <v>583445</v>
      </c>
      <c r="C339" s="540"/>
      <c r="D339" s="541" t="str">
        <f aca="false">'2eme trim 2017 '!D66</f>
        <v>MEDICIS</v>
      </c>
      <c r="E339" s="542"/>
      <c r="F339" s="543" t="n">
        <f aca="false">'2eme trim 2017 '!F66</f>
        <v>0</v>
      </c>
      <c r="G339" s="544" t="n">
        <f aca="false">'2eme trim 2017 '!G66</f>
        <v>0</v>
      </c>
      <c r="H339" s="545"/>
      <c r="I339" s="132" t="n">
        <f aca="false">'2eme trim 2017 '!I66</f>
        <v>184.863</v>
      </c>
      <c r="J339" s="437" t="s">
        <v>600</v>
      </c>
      <c r="K339" s="478" t="str">
        <f aca="false">IF(AND(A339=F1!$A$1,D339=F1!$B$1),ROW(),"")</f>
        <v/>
      </c>
    </row>
    <row r="340" customFormat="false" ht="17.35" hidden="false" customHeight="false" outlineLevel="0" collapsed="false">
      <c r="A340" s="538" t="str">
        <f aca="false">'3ème trim 2016'!A47</f>
        <v>09.2016</v>
      </c>
      <c r="B340" s="539" t="n">
        <f aca="false">'3ème trim 2016'!B47</f>
        <v>583445</v>
      </c>
      <c r="C340" s="546"/>
      <c r="D340" s="541" t="str">
        <f aca="false">'3ème trim 2016'!D47</f>
        <v>SANTE</v>
      </c>
      <c r="E340" s="565"/>
      <c r="F340" s="543" t="n">
        <f aca="false">'3ème trim 2016'!F47</f>
        <v>0</v>
      </c>
      <c r="G340" s="563" t="n">
        <f aca="false">'3ème trim 2016'!G47</f>
        <v>0</v>
      </c>
      <c r="H340" s="616"/>
      <c r="I340" s="132" t="n">
        <f aca="false">'3ème trim 2016'!I47</f>
        <v>233.877</v>
      </c>
      <c r="J340" s="437" t="s">
        <v>600</v>
      </c>
      <c r="K340" s="478" t="str">
        <f aca="false">IF(AND(A340=F1!$A$1,D340=F1!$B$1),ROW(),"")</f>
        <v/>
      </c>
    </row>
    <row r="341" customFormat="false" ht="17.35" hidden="false" customHeight="false" outlineLevel="0" collapsed="false">
      <c r="A341" s="481" t="str">
        <f aca="false">'4ème trim 2016'!A21</f>
        <v>11.2016</v>
      </c>
      <c r="B341" s="469" t="n">
        <f aca="false">'4ème trim 2016'!B21</f>
        <v>570348</v>
      </c>
      <c r="C341" s="524"/>
      <c r="D341" s="382" t="str">
        <f aca="false">'4ème trim 2016'!D21</f>
        <v>MOBILE 2007</v>
      </c>
      <c r="E341" s="395"/>
      <c r="F341" s="282" t="n">
        <f aca="false">'4ème trim 2016'!F21</f>
        <v>0</v>
      </c>
      <c r="G341" s="29" t="n">
        <f aca="false">'4ème trim 2016'!G21</f>
        <v>0</v>
      </c>
      <c r="H341" s="222"/>
      <c r="I341" s="132" t="n">
        <f aca="false">'4ème trim 2016'!I21</f>
        <v>116.488</v>
      </c>
      <c r="J341" s="437"/>
      <c r="K341" s="478" t="str">
        <f aca="false">IF(AND(A341=F1!$A$1,D341=F1!$B$1),ROW(),"")</f>
        <v/>
      </c>
    </row>
    <row r="342" customFormat="false" ht="17.35" hidden="false" customHeight="false" outlineLevel="0" collapsed="false">
      <c r="A342" s="481" t="str">
        <f aca="false">'3ème trim 2016'!A38</f>
        <v>08.2016</v>
      </c>
      <c r="B342" s="469" t="n">
        <f aca="false">'3ème trim 2016'!B38</f>
        <v>863855</v>
      </c>
      <c r="C342" s="524"/>
      <c r="D342" s="382" t="str">
        <f aca="false">'3ème trim 2016'!D38</f>
        <v>TR MOBILE</v>
      </c>
      <c r="E342" s="395"/>
      <c r="F342" s="282" t="str">
        <f aca="false">'3ème trim 2016'!F38</f>
        <v>X</v>
      </c>
      <c r="G342" s="29" t="n">
        <f aca="false">'3ème trim 2016'!G38</f>
        <v>0</v>
      </c>
      <c r="H342" s="222"/>
      <c r="I342" s="132" t="n">
        <f aca="false">'3ème trim 2016'!I38</f>
        <v>35.35925</v>
      </c>
      <c r="J342" s="437"/>
      <c r="K342" s="478" t="str">
        <f aca="false">IF(AND(A342=F1!$A$1,D342=F1!$B$1),ROW(),"")</f>
        <v/>
      </c>
    </row>
    <row r="343" customFormat="false" ht="17.35" hidden="false" customHeight="false" outlineLevel="0" collapsed="false">
      <c r="A343" s="481" t="str">
        <f aca="false">'3ème trim 2016'!A39</f>
        <v>08.2016</v>
      </c>
      <c r="B343" s="469" t="n">
        <f aca="false">'3ème trim 2016'!B39</f>
        <v>863855</v>
      </c>
      <c r="C343" s="525"/>
      <c r="D343" s="382" t="str">
        <f aca="false">'3ème trim 2016'!D39</f>
        <v>REEBOU FAMILY </v>
      </c>
      <c r="E343" s="395"/>
      <c r="F343" s="282" t="n">
        <f aca="false">'3ème trim 2016'!F39</f>
        <v>0</v>
      </c>
      <c r="G343" s="29" t="n">
        <f aca="false">'3ème trim 2016'!G39</f>
        <v>0</v>
      </c>
      <c r="H343" s="132"/>
      <c r="I343" s="132" t="n">
        <f aca="false">'3ème trim 2016'!I39</f>
        <v>19.173</v>
      </c>
      <c r="J343" s="437"/>
      <c r="K343" s="478" t="str">
        <f aca="false">IF(AND(A343=F1!$A$1,D343=F1!$B$1),ROW(),"")</f>
        <v/>
      </c>
    </row>
    <row r="344" customFormat="false" ht="17.35" hidden="false" customHeight="false" outlineLevel="0" collapsed="false">
      <c r="A344" s="481" t="str">
        <f aca="false">'3ème trim 2016'!A40</f>
        <v>08.2016</v>
      </c>
      <c r="B344" s="469" t="n">
        <f aca="false">'3ème trim 2016'!B40</f>
        <v>863855</v>
      </c>
      <c r="C344" s="525"/>
      <c r="D344" s="382" t="str">
        <f aca="false">'3ème trim 2016'!D40</f>
        <v>AXI Tr</v>
      </c>
      <c r="E344" s="383"/>
      <c r="F344" s="282" t="n">
        <f aca="false">'3ème trim 2016'!F40</f>
        <v>0</v>
      </c>
      <c r="G344" s="24" t="n">
        <f aca="false">'3ème trim 2016'!G40</f>
        <v>0</v>
      </c>
      <c r="H344" s="129"/>
      <c r="I344" s="132" t="n">
        <f aca="false">'3ème trim 2016'!I40</f>
        <v>10.5336</v>
      </c>
      <c r="J344" s="437"/>
      <c r="K344" s="478" t="str">
        <f aca="false">IF(AND(A344=F1!$A$1,D344=F1!$B$1),ROW(),"")</f>
        <v/>
      </c>
    </row>
    <row r="345" customFormat="false" ht="17.35" hidden="false" customHeight="false" outlineLevel="0" collapsed="false">
      <c r="A345" s="481" t="str">
        <f aca="false">'2e trim 2016'!A40</f>
        <v>05.2016</v>
      </c>
      <c r="B345" s="469" t="n">
        <f aca="false">'2e trim 2016'!B40</f>
        <v>882269</v>
      </c>
      <c r="C345" s="524"/>
      <c r="D345" s="382" t="str">
        <f aca="false">'2e trim 2016'!D40</f>
        <v>REEBOU FAMILY</v>
      </c>
      <c r="E345" s="395"/>
      <c r="F345" s="282" t="n">
        <f aca="false">'2e trim 2016'!F40</f>
        <v>0</v>
      </c>
      <c r="G345" s="42" t="n">
        <f aca="false">'2e trim 2016'!G40</f>
        <v>0</v>
      </c>
      <c r="H345" s="222"/>
      <c r="I345" s="222" t="n">
        <f aca="false">'2e trim 2016'!I40</f>
        <v>36.6564</v>
      </c>
      <c r="J345" s="437"/>
      <c r="K345" s="478" t="str">
        <f aca="false">IF(AND(A345=F1!$A$1,D345=F1!$B$1),ROW(),"")</f>
        <v/>
      </c>
    </row>
    <row r="346" customFormat="false" ht="17.35" hidden="false" customHeight="false" outlineLevel="0" collapsed="false">
      <c r="A346" s="481" t="str">
        <f aca="false">'2e trim 2016'!A41</f>
        <v>05.2016</v>
      </c>
      <c r="B346" s="469" t="n">
        <f aca="false">'2e trim 2016'!B41</f>
        <v>882269</v>
      </c>
      <c r="C346" s="525"/>
      <c r="D346" s="382" t="str">
        <f aca="false">'2e trim 2016'!D41</f>
        <v>REEBOU PACK</v>
      </c>
      <c r="E346" s="383"/>
      <c r="F346" s="282" t="n">
        <f aca="false">'2e trim 2016'!F41</f>
        <v>0</v>
      </c>
      <c r="G346" s="24" t="n">
        <f aca="false">'2e trim 2016'!G41</f>
        <v>0</v>
      </c>
      <c r="H346" s="132"/>
      <c r="I346" s="222" t="n">
        <f aca="false">'2e trim 2016'!I41</f>
        <v>16.632</v>
      </c>
      <c r="J346" s="437"/>
      <c r="K346" s="478" t="str">
        <f aca="false">IF(AND(A346=F1!$A$1,D346=F1!$B$1),ROW(),"")</f>
        <v/>
      </c>
    </row>
    <row r="347" customFormat="false" ht="17.35" hidden="false" customHeight="false" outlineLevel="0" collapsed="false">
      <c r="A347" s="481" t="str">
        <f aca="false">'1er Trimestre 2018'!A13</f>
        <v>01.2018</v>
      </c>
      <c r="B347" s="526" t="n">
        <f aca="false">'1er Trimestre 2018'!B13</f>
        <v>978168</v>
      </c>
      <c r="C347" s="524"/>
      <c r="D347" s="382" t="str">
        <f aca="false">'1er Trimestre 2018'!D13</f>
        <v>HORIZONT60Invest</v>
      </c>
      <c r="E347" s="395"/>
      <c r="F347" s="282" t="n">
        <f aca="false">'1er Trimestre 2018'!F13</f>
        <v>0</v>
      </c>
      <c r="G347" s="29" t="n">
        <f aca="false">'1er Trimestre 2018'!G13</f>
        <v>2030</v>
      </c>
      <c r="H347" s="222"/>
      <c r="I347" s="132" t="n">
        <f aca="false">'1er Trimestre 2018'!I13</f>
        <v>384</v>
      </c>
      <c r="J347" s="437"/>
      <c r="K347" s="478" t="str">
        <f aca="false">IF(AND(A347=F1!$A$1,D347=F1!$B$1),ROW(),"")</f>
        <v/>
      </c>
    </row>
    <row r="348" customFormat="false" ht="17.35" hidden="false" customHeight="false" outlineLevel="0" collapsed="false">
      <c r="A348" s="538" t="str">
        <f aca="false">'4eme trim 2017  '!A85</f>
        <v>12.2017</v>
      </c>
      <c r="B348" s="539" t="n">
        <f aca="false">'4eme trim 2017  '!B85</f>
        <v>793853</v>
      </c>
      <c r="C348" s="540"/>
      <c r="D348" s="541" t="str">
        <f aca="false">'4eme trim 2017  '!D85</f>
        <v>MEDICIS</v>
      </c>
      <c r="E348" s="542"/>
      <c r="F348" s="543" t="n">
        <f aca="false">'4eme trim 2017  '!F85</f>
        <v>0</v>
      </c>
      <c r="G348" s="544" t="n">
        <f aca="false">'4eme trim 2017  '!G85</f>
        <v>0</v>
      </c>
      <c r="H348" s="545"/>
      <c r="I348" s="132" t="n">
        <f aca="false">'4eme trim 2017  '!I85</f>
        <v>25.389</v>
      </c>
      <c r="J348" s="437" t="s">
        <v>600</v>
      </c>
      <c r="K348" s="478" t="str">
        <f aca="false">IF(AND(A348=F1!$A$1,D348=F1!$B$1),ROW(),"")</f>
        <v/>
      </c>
    </row>
    <row r="349" customFormat="false" ht="17.35" hidden="false" customHeight="false" outlineLevel="0" collapsed="false">
      <c r="A349" s="538" t="str">
        <f aca="false">'2e trim 2016'!A59</f>
        <v>06.2016</v>
      </c>
      <c r="B349" s="539" t="n">
        <f aca="false">'2e trim 2016'!B59</f>
        <v>793853</v>
      </c>
      <c r="C349" s="540"/>
      <c r="D349" s="541" t="str">
        <f aca="false">'2e trim 2016'!D59</f>
        <v>SANTE</v>
      </c>
      <c r="E349" s="542"/>
      <c r="F349" s="543" t="n">
        <f aca="false">'2e trim 2016'!F59</f>
        <v>0</v>
      </c>
      <c r="G349" s="544" t="n">
        <f aca="false">'2e trim 2016'!G59</f>
        <v>0</v>
      </c>
      <c r="H349" s="545"/>
      <c r="I349" s="132" t="n">
        <f aca="false">'2e trim 2016'!I59</f>
        <v>116.55</v>
      </c>
      <c r="J349" s="682" t="s">
        <v>609</v>
      </c>
      <c r="K349" s="478" t="str">
        <f aca="false">IF(AND(A349=F1!$A$1,D349=F1!$B$1),ROW(),"")</f>
        <v/>
      </c>
    </row>
    <row r="350" customFormat="false" ht="17.35" hidden="false" customHeight="false" outlineLevel="0" collapsed="false">
      <c r="A350" s="490" t="str">
        <f aca="false">'4ème trim 2016'!A73</f>
        <v>12.2016</v>
      </c>
      <c r="B350" s="507" t="n">
        <f aca="false">'4ème trim 2016'!B73</f>
        <v>614914</v>
      </c>
      <c r="C350" s="534"/>
      <c r="D350" s="509" t="str">
        <f aca="false">'4ème trim 2016'!D73</f>
        <v>FOCUS INVEST.</v>
      </c>
      <c r="E350" s="535"/>
      <c r="F350" s="536" t="n">
        <f aca="false">'4ème trim 2016'!F73</f>
        <v>0</v>
      </c>
      <c r="G350" s="537" t="n">
        <f aca="false">'4ème trim 2016'!G73</f>
        <v>2037</v>
      </c>
      <c r="H350" s="513"/>
      <c r="I350" s="132" t="n">
        <f aca="false">'4ème trim 2016'!I73</f>
        <v>11.3868</v>
      </c>
      <c r="J350" s="437"/>
      <c r="K350" s="478" t="str">
        <f aca="false">IF(AND(A350=F1!$A$1,D350=F1!$B$1),ROW(),"")</f>
        <v/>
      </c>
    </row>
    <row r="351" customFormat="false" ht="17.35" hidden="false" customHeight="false" outlineLevel="0" collapsed="false">
      <c r="A351" s="481" t="str">
        <f aca="false">'3eme trim 2017  '!A74</f>
        <v>09.2017</v>
      </c>
      <c r="B351" s="469" t="n">
        <f aca="false">'3eme trim 2017  '!B74</f>
        <v>644354</v>
      </c>
      <c r="C351" s="524"/>
      <c r="D351" s="382" t="str">
        <f aca="false">'3eme trim 2017  '!D74</f>
        <v>REEBOU Family</v>
      </c>
      <c r="E351" s="395"/>
      <c r="F351" s="282" t="n">
        <f aca="false">'3eme trim 2017  '!F74</f>
        <v>0</v>
      </c>
      <c r="G351" s="29" t="n">
        <f aca="false">'3eme trim 2017  '!G74</f>
        <v>0</v>
      </c>
      <c r="H351" s="222"/>
      <c r="I351" s="132" t="n">
        <f aca="false">'3eme trim 2017  '!I74</f>
        <v>22.6296</v>
      </c>
      <c r="J351" s="437"/>
      <c r="K351" s="478" t="str">
        <f aca="false">IF(AND(A351=F1!$A$1,D351=F1!$B$1),ROW(),"")</f>
        <v/>
      </c>
    </row>
    <row r="352" customFormat="false" ht="17.35" hidden="false" customHeight="false" outlineLevel="0" collapsed="false">
      <c r="A352" s="481" t="str">
        <f aca="false">'3eme trim 2017  '!A75</f>
        <v>09.2017</v>
      </c>
      <c r="B352" s="469" t="n">
        <f aca="false">'3eme trim 2017  '!B75</f>
        <v>644354</v>
      </c>
      <c r="C352" s="524"/>
      <c r="D352" s="382" t="str">
        <f aca="false">'3eme trim 2017  '!D75</f>
        <v>REEBOU Pack</v>
      </c>
      <c r="E352" s="395"/>
      <c r="F352" s="282" t="n">
        <f aca="false">'3eme trim 2017  '!F75</f>
        <v>0</v>
      </c>
      <c r="G352" s="29" t="n">
        <f aca="false">'3eme trim 2017  '!G75</f>
        <v>0</v>
      </c>
      <c r="H352" s="222"/>
      <c r="I352" s="132" t="n">
        <f aca="false">'3eme trim 2017  '!I75</f>
        <v>16.968</v>
      </c>
      <c r="J352" s="437"/>
      <c r="K352" s="478" t="str">
        <f aca="false">IF(AND(A352=F1!$A$1,D352=F1!$B$1),ROW(),"")</f>
        <v/>
      </c>
    </row>
    <row r="353" customFormat="false" ht="17.35" hidden="false" customHeight="false" outlineLevel="0" collapsed="false">
      <c r="A353" s="481" t="str">
        <f aca="false">'3eme trim 2017  '!A76</f>
        <v>09.2017</v>
      </c>
      <c r="B353" s="469" t="n">
        <f aca="false">'3eme trim 2017  '!B76</f>
        <v>228411</v>
      </c>
      <c r="C353" s="524"/>
      <c r="D353" s="382" t="str">
        <f aca="false">'3eme trim 2017  '!D76</f>
        <v>REEBOU Family</v>
      </c>
      <c r="E353" s="395"/>
      <c r="F353" s="282" t="str">
        <f aca="false">'3eme trim 2017  '!F76</f>
        <v>X</v>
      </c>
      <c r="G353" s="29" t="n">
        <f aca="false">'3eme trim 2017  '!G76</f>
        <v>0</v>
      </c>
      <c r="H353" s="222"/>
      <c r="I353" s="132" t="n">
        <f aca="false">'3eme trim 2017  '!I76</f>
        <v>30.3258</v>
      </c>
      <c r="J353" s="437"/>
      <c r="K353" s="478" t="str">
        <f aca="false">IF(AND(A353=F1!$A$1,D353=F1!$B$1),ROW(),"")</f>
        <v/>
      </c>
    </row>
    <row r="354" customFormat="false" ht="17.35" hidden="false" customHeight="false" outlineLevel="0" collapsed="false">
      <c r="A354" s="481" t="str">
        <f aca="false">'3ème trim 2016'!A48</f>
        <v>09.2016</v>
      </c>
      <c r="B354" s="469" t="n">
        <f aca="false">'3ème trim 2016'!B48</f>
        <v>228633</v>
      </c>
      <c r="C354" s="524"/>
      <c r="D354" s="560" t="str">
        <f aca="false">'3ème trim 2016'!D48</f>
        <v>BSH</v>
      </c>
      <c r="E354" s="395"/>
      <c r="F354" s="282" t="n">
        <f aca="false">'3ème trim 2016'!F48</f>
        <v>0</v>
      </c>
      <c r="G354" s="29" t="n">
        <f aca="false">'3ème trim 2016'!G48</f>
        <v>0</v>
      </c>
      <c r="H354" s="222"/>
      <c r="I354" s="132" t="n">
        <f aca="false">'3ème trim 2016'!I48</f>
        <v>277.2</v>
      </c>
      <c r="J354" s="437"/>
      <c r="K354" s="478" t="str">
        <f aca="false">IF(AND(A354=F1!$A$1,D354=F1!$B$1),ROW(),"")</f>
        <v/>
      </c>
    </row>
    <row r="355" customFormat="false" ht="17.35" hidden="false" customHeight="false" outlineLevel="0" collapsed="false">
      <c r="A355" s="490" t="str">
        <f aca="false">'1er Trimestre 2018'!A40</f>
        <v>02.2018</v>
      </c>
      <c r="B355" s="507" t="n">
        <f aca="false">'1er Trimestre 2018'!B40</f>
        <v>259955</v>
      </c>
      <c r="C355" s="534"/>
      <c r="D355" s="509" t="str">
        <f aca="false">'1er Trimestre 2018'!D40</f>
        <v>MEDICIS</v>
      </c>
      <c r="E355" s="535"/>
      <c r="F355" s="536" t="n">
        <f aca="false">'1er Trimestre 2018'!F40</f>
        <v>0</v>
      </c>
      <c r="G355" s="537" t="n">
        <f aca="false">'1er Trimestre 2018'!G40</f>
        <v>0</v>
      </c>
      <c r="H355" s="513"/>
      <c r="I355" s="531" t="n">
        <f aca="false">'1er Trimestre 2018'!I40</f>
        <v>21.1575</v>
      </c>
      <c r="J355" s="683"/>
      <c r="K355" s="478" t="str">
        <f aca="false">IF(AND(A355=F1!$A$1,D355=F1!$B$1),ROW(),"")</f>
        <v/>
      </c>
    </row>
    <row r="356" customFormat="false" ht="17.35" hidden="false" customHeight="false" outlineLevel="0" collapsed="false">
      <c r="A356" s="490" t="str">
        <f aca="false">'4eme trim 2017  '!A77</f>
        <v>12.2017</v>
      </c>
      <c r="B356" s="507" t="n">
        <f aca="false">'4eme trim 2017  '!B77</f>
        <v>259955</v>
      </c>
      <c r="C356" s="534"/>
      <c r="D356" s="509" t="str">
        <f aca="false">'4eme trim 2017  '!D77</f>
        <v>MEDICIS</v>
      </c>
      <c r="E356" s="535"/>
      <c r="F356" s="536" t="n">
        <f aca="false">'4eme trim 2017  '!F77</f>
        <v>0</v>
      </c>
      <c r="G356" s="537" t="n">
        <f aca="false">'4eme trim 2017  '!G77</f>
        <v>0</v>
      </c>
      <c r="H356" s="523"/>
      <c r="I356" s="531" t="n">
        <f aca="false">'4eme trim 2017  '!I77</f>
        <v>126.609</v>
      </c>
      <c r="J356" s="683"/>
      <c r="K356" s="478" t="str">
        <f aca="false">IF(AND(A356=F1!$A$1,D356=F1!$B$1),ROW(),"")</f>
        <v/>
      </c>
    </row>
    <row r="357" customFormat="false" ht="17.35" hidden="false" customHeight="false" outlineLevel="0" collapsed="false">
      <c r="A357" s="481" t="str">
        <f aca="false">'2eme trim 2017 '!A34</f>
        <v>05.2017</v>
      </c>
      <c r="B357" s="469" t="n">
        <f aca="false">'2eme trim 2017 '!B34</f>
        <v>751934</v>
      </c>
      <c r="C357" s="524"/>
      <c r="D357" s="382" t="str">
        <f aca="false">'2eme trim 2017 '!D34</f>
        <v>MOBILE</v>
      </c>
      <c r="E357" s="395"/>
      <c r="F357" s="282" t="n">
        <f aca="false">'2eme trim 2017 '!F34</f>
        <v>0</v>
      </c>
      <c r="G357" s="29" t="n">
        <f aca="false">'2eme trim 2017 '!G34</f>
        <v>0</v>
      </c>
      <c r="H357" s="222"/>
      <c r="I357" s="132" t="n">
        <f aca="false">'2eme trim 2017 '!I34</f>
        <v>67.3123</v>
      </c>
      <c r="J357" s="437"/>
      <c r="K357" s="478" t="str">
        <f aca="false">IF(AND(A357=F1!$A$1,D357=F1!$B$1),ROW(),"")</f>
        <v/>
      </c>
    </row>
    <row r="358" customFormat="false" ht="17.35" hidden="false" customHeight="false" outlineLevel="0" collapsed="false">
      <c r="A358" s="481" t="str">
        <f aca="false">'1er Trimestre 2018'!A32</f>
        <v>02.2018</v>
      </c>
      <c r="B358" s="469" t="n">
        <f aca="false">'1er Trimestre 2018'!B32</f>
        <v>982792</v>
      </c>
      <c r="C358" s="524"/>
      <c r="D358" s="382" t="str">
        <f aca="false">'1er Trimestre 2018'!D32</f>
        <v>HORIZONT60Invest</v>
      </c>
      <c r="E358" s="395"/>
      <c r="F358" s="282" t="n">
        <f aca="false">'1er Trimestre 2018'!F32</f>
        <v>0</v>
      </c>
      <c r="G358" s="29" t="n">
        <f aca="false">'1er Trimestre 2018'!G32</f>
        <v>2033</v>
      </c>
      <c r="H358" s="222"/>
      <c r="I358" s="132" t="n">
        <f aca="false">'1er Trimestre 2018'!I32</f>
        <v>478.8</v>
      </c>
      <c r="J358" s="437"/>
      <c r="K358" s="478" t="str">
        <f aca="false">IF(AND(A358=F1!$A$1,D358=F1!$B$1),ROW(),"")</f>
        <v/>
      </c>
    </row>
    <row r="359" customFormat="false" ht="17.35" hidden="false" customHeight="false" outlineLevel="0" collapsed="false">
      <c r="A359" s="481" t="str">
        <f aca="false">'4eme trim 2017  '!A87</f>
        <v>12.2017</v>
      </c>
      <c r="B359" s="469" t="n">
        <f aca="false">'4eme trim 2017  '!B87</f>
        <v>974377</v>
      </c>
      <c r="C359" s="524"/>
      <c r="D359" s="382" t="str">
        <f aca="false">'4eme trim 2017  '!D87</f>
        <v>REEBOU Family</v>
      </c>
      <c r="E359" s="395"/>
      <c r="F359" s="282" t="n">
        <f aca="false">'4eme trim 2017  '!F87</f>
        <v>0</v>
      </c>
      <c r="G359" s="29" t="n">
        <f aca="false">'4eme trim 2017  '!G87</f>
        <v>0</v>
      </c>
      <c r="H359" s="222"/>
      <c r="I359" s="132" t="n">
        <f aca="false">'4eme trim 2017  '!I87</f>
        <v>20.22</v>
      </c>
      <c r="J359" s="437"/>
      <c r="K359" s="478" t="str">
        <f aca="false">IF(AND(A359=F1!$A$1,D359=F1!$B$1),ROW(),"")</f>
        <v/>
      </c>
    </row>
    <row r="360" customFormat="false" ht="17.35" hidden="false" customHeight="false" outlineLevel="0" collapsed="false">
      <c r="A360" s="481" t="str">
        <f aca="false">'2e trim 2016'!A63</f>
        <v>06.2016</v>
      </c>
      <c r="B360" s="469" t="n">
        <f aca="false">'2e trim 2016'!B63</f>
        <v>294538</v>
      </c>
      <c r="C360" s="524"/>
      <c r="D360" s="382" t="str">
        <f aca="false">'2e trim 2016'!D63</f>
        <v>MOBILE</v>
      </c>
      <c r="E360" s="395"/>
      <c r="F360" s="282" t="n">
        <f aca="false">'2e trim 2016'!F63</f>
        <v>0</v>
      </c>
      <c r="G360" s="29" t="n">
        <f aca="false">'2e trim 2016'!G63</f>
        <v>0</v>
      </c>
      <c r="H360" s="222"/>
      <c r="I360" s="222" t="n">
        <f aca="false">'2e trim 2016'!I63</f>
        <v>70.4</v>
      </c>
      <c r="J360" s="437"/>
      <c r="K360" s="478" t="str">
        <f aca="false">IF(AND(A360=F1!$A$1,D360=F1!$B$1),ROW(),"")</f>
        <v/>
      </c>
    </row>
    <row r="361" customFormat="false" ht="17.35" hidden="false" customHeight="false" outlineLevel="0" collapsed="false">
      <c r="A361" s="490" t="str">
        <f aca="false">'1er Trimestre 2018'!A20</f>
        <v>01.2018</v>
      </c>
      <c r="B361" s="507" t="n">
        <f aca="false">'1er Trimestre 2018'!B20</f>
        <v>976301</v>
      </c>
      <c r="C361" s="534"/>
      <c r="D361" s="509" t="str">
        <f aca="false">'1er Trimestre 2018'!D20</f>
        <v>MEDICIS</v>
      </c>
      <c r="E361" s="535"/>
      <c r="F361" s="536" t="n">
        <f aca="false">'1er Trimestre 2018'!F20</f>
        <v>0</v>
      </c>
      <c r="G361" s="537" t="n">
        <f aca="false">'1er Trimestre 2018'!G20</f>
        <v>0</v>
      </c>
      <c r="H361" s="513"/>
      <c r="I361" s="132" t="n">
        <f aca="false">'1er Trimestre 2018'!I20</f>
        <v>112.5425</v>
      </c>
      <c r="J361" s="437"/>
      <c r="K361" s="478" t="str">
        <f aca="false">IF(AND(A361=F1!$A$1,D361=F1!$B$1),ROW(),"")</f>
        <v/>
      </c>
    </row>
    <row r="362" customFormat="false" ht="17.35" hidden="false" customHeight="false" outlineLevel="0" collapsed="false">
      <c r="A362" s="490" t="str">
        <f aca="false">'4ème trim 2016'!A71</f>
        <v>12.2016</v>
      </c>
      <c r="B362" s="507" t="n">
        <f aca="false">'4ème trim 2016'!B71</f>
        <v>498511</v>
      </c>
      <c r="C362" s="520"/>
      <c r="D362" s="509" t="str">
        <f aca="false">'4ème trim 2016'!D71</f>
        <v>HORIZONT 60 CAPI</v>
      </c>
      <c r="E362" s="535"/>
      <c r="F362" s="536" t="n">
        <f aca="false">'4ème trim 2016'!F71</f>
        <v>0</v>
      </c>
      <c r="G362" s="537" t="n">
        <f aca="false">'4ème trim 2016'!G71</f>
        <v>2041</v>
      </c>
      <c r="H362" s="523"/>
      <c r="I362" s="132" t="n">
        <f aca="false">'4ème trim 2016'!I71</f>
        <v>450</v>
      </c>
      <c r="J362" s="437"/>
      <c r="K362" s="478" t="str">
        <f aca="false">IF(AND(A362=F1!$A$1,D362=F1!$B$1),ROW(),"")</f>
        <v/>
      </c>
    </row>
    <row r="363" customFormat="false" ht="17.35" hidden="false" customHeight="false" outlineLevel="0" collapsed="false">
      <c r="A363" s="481" t="str">
        <f aca="false">'4ème trim 2016'!A60</f>
        <v>12.2016</v>
      </c>
      <c r="B363" s="469" t="n">
        <f aca="false">'4ème trim 2016'!B60</f>
        <v>294523</v>
      </c>
      <c r="C363" s="524"/>
      <c r="D363" s="382" t="str">
        <f aca="false">'4ème trim 2016'!D60</f>
        <v>REEBOU FAMILY</v>
      </c>
      <c r="E363" s="395"/>
      <c r="F363" s="282" t="n">
        <f aca="false">'4ème trim 2016'!F60</f>
        <v>0</v>
      </c>
      <c r="G363" s="29" t="n">
        <f aca="false">'4ème trim 2016'!G60</f>
        <v>0</v>
      </c>
      <c r="H363" s="222"/>
      <c r="I363" s="132" t="n">
        <f aca="false">'4ème trim 2016'!I60</f>
        <v>23.808</v>
      </c>
      <c r="J363" s="437"/>
      <c r="K363" s="478" t="str">
        <f aca="false">IF(AND(A363=F1!$A$1,D363=F1!$B$1),ROW(),"")</f>
        <v/>
      </c>
    </row>
    <row r="364" customFormat="false" ht="17.35" hidden="false" customHeight="false" outlineLevel="0" collapsed="false">
      <c r="A364" s="481" t="str">
        <f aca="false">'4ème trim 2016'!A61</f>
        <v>12.2016</v>
      </c>
      <c r="B364" s="469" t="n">
        <f aca="false">'4ème trim 2016'!B61</f>
        <v>294523</v>
      </c>
      <c r="C364" s="524"/>
      <c r="D364" s="382" t="str">
        <f aca="false">'4ème trim 2016'!D61</f>
        <v>PACK REEBOU</v>
      </c>
      <c r="E364" s="395"/>
      <c r="F364" s="282" t="n">
        <f aca="false">'4ème trim 2016'!F61</f>
        <v>0</v>
      </c>
      <c r="G364" s="29" t="n">
        <f aca="false">'4ème trim 2016'!G61</f>
        <v>0</v>
      </c>
      <c r="H364" s="222"/>
      <c r="I364" s="132" t="n">
        <f aca="false">'4ème trim 2016'!I61</f>
        <v>16.632</v>
      </c>
      <c r="J364" s="437"/>
      <c r="K364" s="478" t="str">
        <f aca="false">IF(AND(A364=F1!$A$1,D364=F1!$B$1),ROW(),"")</f>
        <v/>
      </c>
    </row>
    <row r="365" customFormat="false" ht="17.35" hidden="false" customHeight="false" outlineLevel="0" collapsed="false">
      <c r="A365" s="481" t="str">
        <f aca="false">'1er trim 2017'!A69</f>
        <v>03.2017</v>
      </c>
      <c r="B365" s="469" t="n">
        <f aca="false">'1er trim 2017'!B69</f>
        <v>792018</v>
      </c>
      <c r="C365" s="525"/>
      <c r="D365" s="382" t="str">
        <f aca="false">'1er trim 2017'!D69</f>
        <v>REEBOU FAMILY</v>
      </c>
      <c r="E365" s="383"/>
      <c r="F365" s="282" t="n">
        <f aca="false">'1er trim 2017'!F69</f>
        <v>0</v>
      </c>
      <c r="G365" s="24" t="n">
        <f aca="false">'1er trim 2017'!G69</f>
        <v>0</v>
      </c>
      <c r="H365" s="129"/>
      <c r="I365" s="222" t="n">
        <f aca="false">'1er trim 2017'!I69</f>
        <v>4.2396</v>
      </c>
      <c r="J365" s="437"/>
      <c r="K365" s="478" t="str">
        <f aca="false">IF(AND(A365=F1!$A$1,D365=F1!$B$1),ROW(),"")</f>
        <v/>
      </c>
    </row>
    <row r="366" customFormat="false" ht="17.35" hidden="false" customHeight="false" outlineLevel="0" collapsed="false">
      <c r="A366" s="490" t="str">
        <f aca="false">'4ème trim 2016'!A72</f>
        <v>12.2016</v>
      </c>
      <c r="B366" s="507" t="n">
        <f aca="false">'4ème trim 2016'!B72</f>
        <v>792018</v>
      </c>
      <c r="C366" s="520"/>
      <c r="D366" s="509" t="str">
        <f aca="false">'4ème trim 2016'!D72</f>
        <v>SANTE</v>
      </c>
      <c r="E366" s="535"/>
      <c r="F366" s="536" t="n">
        <f aca="false">'4ème trim 2016'!F72</f>
        <v>0</v>
      </c>
      <c r="G366" s="537" t="n">
        <f aca="false">'4ème trim 2016'!G72</f>
        <v>0</v>
      </c>
      <c r="H366" s="523"/>
      <c r="I366" s="132" t="n">
        <f aca="false">'4ème trim 2016'!I72</f>
        <v>107.17175</v>
      </c>
      <c r="J366" s="437"/>
      <c r="K366" s="478" t="str">
        <f aca="false">IF(AND(A366=F1!$A$1,D366=F1!$B$1),ROW(),"")</f>
        <v/>
      </c>
    </row>
    <row r="367" customFormat="false" ht="17.35" hidden="false" customHeight="false" outlineLevel="0" collapsed="false">
      <c r="A367" s="481" t="str">
        <f aca="false">'4ème trim 2016'!A40</f>
        <v>11.2016</v>
      </c>
      <c r="B367" s="469" t="n">
        <f aca="false">'4ème trim 2016'!B40</f>
        <v>766988</v>
      </c>
      <c r="C367" s="524"/>
      <c r="D367" s="382" t="str">
        <f aca="false">'4ème trim 2016'!D40</f>
        <v>MOBILE 2007</v>
      </c>
      <c r="E367" s="395"/>
      <c r="F367" s="282" t="n">
        <f aca="false">'4ème trim 2016'!F40</f>
        <v>0</v>
      </c>
      <c r="G367" s="29" t="n">
        <f aca="false">'4ème trim 2016'!G40</f>
        <v>0</v>
      </c>
      <c r="H367" s="222"/>
      <c r="I367" s="132" t="n">
        <f aca="false">'4ème trim 2016'!I40</f>
        <v>128.8864</v>
      </c>
      <c r="J367" s="437"/>
      <c r="K367" s="478" t="str">
        <f aca="false">IF(AND(A367=F1!$A$1,D367=F1!$B$1),ROW(),"")</f>
        <v/>
      </c>
    </row>
    <row r="368" customFormat="false" ht="17.35" hidden="false" customHeight="false" outlineLevel="0" collapsed="false">
      <c r="A368" s="490" t="str">
        <f aca="false">'4ème trim 2016'!A41</f>
        <v>11.2016</v>
      </c>
      <c r="B368" s="507" t="n">
        <f aca="false">'4ème trim 2016'!B41</f>
        <v>766988</v>
      </c>
      <c r="C368" s="534"/>
      <c r="D368" s="509" t="str">
        <f aca="false">'4ème trim 2016'!D41</f>
        <v>SANTE</v>
      </c>
      <c r="E368" s="535"/>
      <c r="F368" s="536" t="n">
        <f aca="false">'4ème trim 2016'!F41</f>
        <v>0</v>
      </c>
      <c r="G368" s="537" t="n">
        <f aca="false">'4ème trim 2016'!G41</f>
        <v>0</v>
      </c>
      <c r="H368" s="513"/>
      <c r="I368" s="132" t="n">
        <f aca="false">'4ème trim 2016'!I41</f>
        <v>88.263</v>
      </c>
      <c r="J368" s="437"/>
      <c r="K368" s="478" t="str">
        <f aca="false">IF(AND(A368=F1!$A$1,D368=F1!$B$1),ROW(),"")</f>
        <v/>
      </c>
    </row>
    <row r="369" customFormat="false" ht="17.35" hidden="false" customHeight="false" outlineLevel="0" collapsed="false">
      <c r="A369" s="481" t="str">
        <f aca="false">'4ème trim 2016'!A42</f>
        <v>11.2016</v>
      </c>
      <c r="B369" s="469" t="n">
        <f aca="false">'4ème trim 2016'!B42</f>
        <v>233039</v>
      </c>
      <c r="C369" s="524"/>
      <c r="D369" s="382" t="str">
        <f aca="false">'4ème trim 2016'!D42</f>
        <v>MOBILE 2007</v>
      </c>
      <c r="E369" s="395"/>
      <c r="F369" s="282" t="n">
        <f aca="false">'4ème trim 2016'!F42</f>
        <v>0</v>
      </c>
      <c r="G369" s="29" t="n">
        <f aca="false">'4ème trim 2016'!G42</f>
        <v>0</v>
      </c>
      <c r="H369" s="222"/>
      <c r="I369" s="132" t="n">
        <f aca="false">'4ème trim 2016'!I42</f>
        <v>72.6288</v>
      </c>
      <c r="J369" s="437"/>
      <c r="K369" s="478" t="str">
        <f aca="false">IF(AND(A369=F1!$A$1,D369=F1!$B$1),ROW(),"")</f>
        <v/>
      </c>
    </row>
    <row r="370" customFormat="false" ht="17.35" hidden="false" customHeight="false" outlineLevel="0" collapsed="false">
      <c r="A370" s="481" t="str">
        <f aca="false">'4ème trim 2016'!A43</f>
        <v>11.2016</v>
      </c>
      <c r="B370" s="469" t="n">
        <f aca="false">'4ème trim 2016'!B43</f>
        <v>233039</v>
      </c>
      <c r="C370" s="524"/>
      <c r="D370" s="382" t="str">
        <f aca="false">'4ème trim 2016'!D43</f>
        <v>MOBILE 2007</v>
      </c>
      <c r="E370" s="395"/>
      <c r="F370" s="282" t="n">
        <f aca="false">'4ème trim 2016'!F43</f>
        <v>0</v>
      </c>
      <c r="G370" s="29" t="n">
        <f aca="false">'4ème trim 2016'!G43</f>
        <v>0</v>
      </c>
      <c r="H370" s="222"/>
      <c r="I370" s="132" t="n">
        <f aca="false">'4ème trim 2016'!I43</f>
        <v>35.421</v>
      </c>
      <c r="J370" s="437"/>
      <c r="K370" s="478" t="str">
        <f aca="false">IF(AND(A370=F1!$A$1,D370=F1!$B$1),ROW(),"")</f>
        <v/>
      </c>
    </row>
    <row r="371" customFormat="false" ht="17.35" hidden="false" customHeight="false" outlineLevel="0" collapsed="false">
      <c r="A371" s="645" t="str">
        <f aca="false">'4ème trim 2016'!A44</f>
        <v>11.2016</v>
      </c>
      <c r="B371" s="648" t="n">
        <f aca="false">'4ème trim 2016'!B44</f>
        <v>233039</v>
      </c>
      <c r="C371" s="647"/>
      <c r="D371" s="382" t="str">
        <f aca="false">'4ème trim 2016'!D44</f>
        <v>MOBILE 2007</v>
      </c>
      <c r="E371" s="395"/>
      <c r="F371" s="282" t="n">
        <f aca="false">'4ème trim 2016'!F44</f>
        <v>0</v>
      </c>
      <c r="G371" s="29" t="n">
        <f aca="false">'4ème trim 2016'!G44</f>
        <v>0</v>
      </c>
      <c r="H371" s="222"/>
      <c r="I371" s="132" t="n">
        <f aca="false">'4ème trim 2016'!I44</f>
        <v>72.3803</v>
      </c>
      <c r="J371" s="437"/>
      <c r="K371" s="478" t="str">
        <f aca="false">IF(AND(A371=F1!$A$1,D371=F1!$B$1),ROW(),"")</f>
        <v/>
      </c>
    </row>
    <row r="372" customFormat="false" ht="17.35" hidden="false" customHeight="false" outlineLevel="0" collapsed="false">
      <c r="A372" s="645" t="str">
        <f aca="false">'4ème trim 2016'!A45</f>
        <v>11.2016</v>
      </c>
      <c r="B372" s="648" t="n">
        <f aca="false">'4ème trim 2016'!B45</f>
        <v>233039</v>
      </c>
      <c r="C372" s="651"/>
      <c r="D372" s="652" t="str">
        <f aca="false">'4ème trim 2016'!D45</f>
        <v>P.J.</v>
      </c>
      <c r="E372" s="635"/>
      <c r="F372" s="636" t="n">
        <f aca="false">'4ème trim 2016'!F45</f>
        <v>0</v>
      </c>
      <c r="G372" s="102" t="n">
        <f aca="false">'4ème trim 2016'!G45</f>
        <v>0</v>
      </c>
      <c r="H372" s="637"/>
      <c r="I372" s="684" t="n">
        <f aca="false">'4ème trim 2016'!I45</f>
        <v>28.555</v>
      </c>
      <c r="J372" s="437"/>
      <c r="K372" s="478" t="str">
        <f aca="false">IF(AND(A372=F1!$A$1,D372=F1!$B$1),ROW(),"")</f>
        <v/>
      </c>
    </row>
    <row r="373" customFormat="false" ht="17.35" hidden="false" customHeight="false" outlineLevel="0" collapsed="false">
      <c r="A373" s="638" t="str">
        <f aca="false">'4ème trim 2016'!A46</f>
        <v>11.2016</v>
      </c>
      <c r="B373" s="643" t="n">
        <f aca="false">'4ème trim 2016'!B46</f>
        <v>233039</v>
      </c>
      <c r="C373" s="650"/>
      <c r="D373" s="509" t="str">
        <f aca="false">'4ème trim 2016'!D46</f>
        <v>SANTE</v>
      </c>
      <c r="E373" s="535"/>
      <c r="F373" s="536" t="n">
        <f aca="false">'4ème trim 2016'!F46</f>
        <v>0</v>
      </c>
      <c r="G373" s="537" t="n">
        <f aca="false">'4ème trim 2016'!G46</f>
        <v>0</v>
      </c>
      <c r="H373" s="513"/>
      <c r="I373" s="132" t="n">
        <f aca="false">'4ème trim 2016'!I46</f>
        <v>51.177</v>
      </c>
      <c r="J373" s="437"/>
      <c r="K373" s="478" t="str">
        <f aca="false">IF(AND(A373=F1!$A$1,D373=F1!$B$1),ROW(),"")</f>
        <v/>
      </c>
    </row>
    <row r="374" customFormat="false" ht="17.35" hidden="false" customHeight="false" outlineLevel="0" collapsed="false">
      <c r="A374" s="643" t="str">
        <f aca="false">'1er Trimestre 2018'!A15</f>
        <v>01.2018</v>
      </c>
      <c r="B374" s="643" t="n">
        <f aca="false">'1er Trimestre 2018'!B15</f>
        <v>842474</v>
      </c>
      <c r="C374" s="650"/>
      <c r="D374" s="509" t="str">
        <f aca="false">'1er Trimestre 2018'!D15</f>
        <v>MEDICIS</v>
      </c>
      <c r="E374" s="535"/>
      <c r="F374" s="536" t="n">
        <f aca="false">'1er Trimestre 2018'!F15</f>
        <v>0</v>
      </c>
      <c r="G374" s="537" t="n">
        <f aca="false">'1er Trimestre 2018'!G15</f>
        <v>0</v>
      </c>
      <c r="H374" s="513"/>
      <c r="I374" s="132" t="n">
        <f aca="false">'1er Trimestre 2018'!I15</f>
        <v>255.9025</v>
      </c>
      <c r="J374" s="437"/>
      <c r="K374" s="478" t="str">
        <f aca="false">IF(AND(A374=F1!$A$1,D374=F1!$B$1),ROW(),"")</f>
        <v/>
      </c>
    </row>
    <row r="375" customFormat="false" ht="17.35" hidden="false" customHeight="false" outlineLevel="0" collapsed="false">
      <c r="A375" s="645" t="str">
        <f aca="false">'1er Trimestre 2018'!A16</f>
        <v>01.2018</v>
      </c>
      <c r="B375" s="648" t="n">
        <f aca="false">'1er Trimestre 2018'!B16</f>
        <v>842474</v>
      </c>
      <c r="C375" s="647"/>
      <c r="D375" s="382" t="str">
        <f aca="false">'1er Trimestre 2018'!D16</f>
        <v>MOBILE2016</v>
      </c>
      <c r="E375" s="395"/>
      <c r="F375" s="282" t="n">
        <f aca="false">'1er Trimestre 2018'!F16</f>
        <v>0</v>
      </c>
      <c r="G375" s="29" t="n">
        <f aca="false">'1er Trimestre 2018'!G16</f>
        <v>0</v>
      </c>
      <c r="H375" s="222"/>
      <c r="I375" s="132" t="n">
        <f aca="false">'1er Trimestre 2018'!I16</f>
        <v>78.883</v>
      </c>
      <c r="J375" s="437"/>
      <c r="K375" s="478" t="str">
        <f aca="false">IF(AND(A375=F1!$A$1,D375=F1!$B$1),ROW(),"")</f>
        <v/>
      </c>
    </row>
    <row r="376" customFormat="false" ht="17.35" hidden="false" customHeight="false" outlineLevel="0" collapsed="false">
      <c r="A376" s="645" t="str">
        <f aca="false">'1er Trimestre 2018'!A17</f>
        <v>01.2018</v>
      </c>
      <c r="B376" s="648" t="n">
        <f aca="false">'1er Trimestre 2018'!B17</f>
        <v>842474</v>
      </c>
      <c r="C376" s="647"/>
      <c r="D376" s="382" t="str">
        <f aca="false">'1er Trimestre 2018'!D17</f>
        <v>MOBILE2016</v>
      </c>
      <c r="E376" s="395"/>
      <c r="F376" s="282" t="n">
        <f aca="false">'1er Trimestre 2018'!F17</f>
        <v>0</v>
      </c>
      <c r="G376" s="29" t="n">
        <f aca="false">'1er Trimestre 2018'!G17</f>
        <v>0</v>
      </c>
      <c r="H376" s="222"/>
      <c r="I376" s="132" t="n">
        <f aca="false">'1er Trimestre 2018'!I17</f>
        <v>91.0679</v>
      </c>
      <c r="J376" s="437"/>
      <c r="K376" s="478" t="str">
        <f aca="false">IF(AND(A376=F1!$A$1,D376=F1!$B$1),ROW(),"")</f>
        <v/>
      </c>
    </row>
    <row r="377" customFormat="false" ht="17.35" hidden="false" customHeight="false" outlineLevel="0" collapsed="false">
      <c r="A377" s="645" t="str">
        <f aca="false">'1er Trimestre 2018'!A18</f>
        <v>01.2018</v>
      </c>
      <c r="B377" s="648" t="n">
        <f aca="false">'1er Trimestre 2018'!B18</f>
        <v>842474</v>
      </c>
      <c r="C377" s="647"/>
      <c r="D377" s="382" t="str">
        <f aca="false">'1er Trimestre 2018'!D18</f>
        <v>REEBOU Family</v>
      </c>
      <c r="E377" s="395"/>
      <c r="F377" s="282" t="n">
        <f aca="false">'1er Trimestre 2018'!F18</f>
        <v>0</v>
      </c>
      <c r="G377" s="29" t="n">
        <f aca="false">'1er Trimestre 2018'!G18</f>
        <v>0</v>
      </c>
      <c r="H377" s="222"/>
      <c r="I377" s="132" t="n">
        <f aca="false">'1er Trimestre 2018'!I18</f>
        <v>41.0912</v>
      </c>
      <c r="J377" s="437"/>
      <c r="K377" s="478" t="str">
        <f aca="false">IF(AND(A377=F1!$A$1,D377=F1!$B$1),ROW(),"")</f>
        <v/>
      </c>
    </row>
    <row r="378" customFormat="false" ht="17.35" hidden="false" customHeight="false" outlineLevel="0" collapsed="false">
      <c r="A378" s="645" t="str">
        <f aca="false">'1er Trimestre 2018'!A19</f>
        <v>01.2018</v>
      </c>
      <c r="B378" s="648" t="n">
        <f aca="false">'1er Trimestre 2018'!B19</f>
        <v>842474</v>
      </c>
      <c r="C378" s="647"/>
      <c r="D378" s="382" t="str">
        <f aca="false">'1er Trimestre 2018'!D19</f>
        <v>REEBOU Pack</v>
      </c>
      <c r="E378" s="395"/>
      <c r="F378" s="282" t="n">
        <f aca="false">'1er Trimestre 2018'!F19</f>
        <v>0</v>
      </c>
      <c r="G378" s="29" t="n">
        <f aca="false">'1er Trimestre 2018'!G19</f>
        <v>0</v>
      </c>
      <c r="H378" s="222"/>
      <c r="I378" s="132" t="n">
        <f aca="false">'1er Trimestre 2018'!I19</f>
        <v>9.1152</v>
      </c>
      <c r="J378" s="437"/>
      <c r="K378" s="478" t="str">
        <f aca="false">IF(AND(A378=F1!$A$1,D378=F1!$B$1),ROW(),"")</f>
        <v/>
      </c>
    </row>
    <row r="379" customFormat="false" ht="17.35" hidden="false" customHeight="false" outlineLevel="0" collapsed="false">
      <c r="A379" s="638" t="str">
        <f aca="false">'1er trim 2017'!A43</f>
        <v>02.2017</v>
      </c>
      <c r="B379" s="643" t="n">
        <f aca="false">'1er trim 2017'!B43</f>
        <v>397325</v>
      </c>
      <c r="C379" s="644"/>
      <c r="D379" s="509" t="str">
        <f aca="false">'1er trim 2017'!D43</f>
        <v>HORIZONT 60 INVEST</v>
      </c>
      <c r="E379" s="535"/>
      <c r="F379" s="536" t="n">
        <f aca="false">'1er trim 2017'!F43</f>
        <v>0</v>
      </c>
      <c r="G379" s="537" t="n">
        <f aca="false">'1er trim 2017'!G43</f>
        <v>2038</v>
      </c>
      <c r="H379" s="523"/>
      <c r="I379" s="222" t="n">
        <f aca="false">'1er trim 2017'!I43</f>
        <v>302.4</v>
      </c>
      <c r="J379" s="437"/>
      <c r="K379" s="478" t="str">
        <f aca="false">IF(AND(A379=F1!$A$1,D379=F1!$B$1),ROW(),"")</f>
        <v/>
      </c>
    </row>
    <row r="380" customFormat="false" ht="17.35" hidden="false" customHeight="false" outlineLevel="0" collapsed="false">
      <c r="A380" s="638" t="str">
        <f aca="false">'2e trim 2016'!A22</f>
        <v>04.2016</v>
      </c>
      <c r="B380" s="643" t="n">
        <f aca="false">'2e trim 2016'!B22</f>
        <v>604554</v>
      </c>
      <c r="C380" s="650"/>
      <c r="D380" s="509" t="str">
        <f aca="false">'2e trim 2016'!D22</f>
        <v>HORIZON 60 Invest</v>
      </c>
      <c r="E380" s="535"/>
      <c r="F380" s="536" t="n">
        <f aca="false">'2e trim 2016'!F22</f>
        <v>0</v>
      </c>
      <c r="G380" s="537" t="n">
        <f aca="false">'2e trim 2016'!G22</f>
        <v>2045</v>
      </c>
      <c r="H380" s="513"/>
      <c r="I380" s="132" t="n">
        <f aca="false">'2e trim 2016'!I22</f>
        <v>522</v>
      </c>
      <c r="J380" s="437"/>
      <c r="K380" s="478" t="str">
        <f aca="false">IF(AND(A380=F1!$A$1,D380=F1!$B$1),ROW(),"")</f>
        <v/>
      </c>
    </row>
    <row r="381" customFormat="false" ht="17.35" hidden="false" customHeight="false" outlineLevel="0" collapsed="false">
      <c r="A381" s="481" t="str">
        <f aca="false">'2eme trim 2017 '!A47</f>
        <v>05.2017</v>
      </c>
      <c r="B381" s="469" t="n">
        <f aca="false">'2eme trim 2017 '!B47</f>
        <v>851740</v>
      </c>
      <c r="C381" s="524"/>
      <c r="D381" s="382" t="str">
        <f aca="false">'2eme trim 2017 '!D47</f>
        <v>REEBOU FAMILY</v>
      </c>
      <c r="E381" s="395"/>
      <c r="F381" s="282" t="n">
        <f aca="false">'2eme trim 2017 '!F47</f>
        <v>0</v>
      </c>
      <c r="G381" s="29" t="n">
        <f aca="false">'2eme trim 2017 '!G47</f>
        <v>0</v>
      </c>
      <c r="H381" s="222"/>
      <c r="I381" s="132" t="n">
        <f aca="false">'2eme trim 2017 '!I47</f>
        <v>24.0972</v>
      </c>
      <c r="J381" s="437"/>
      <c r="K381" s="478" t="str">
        <f aca="false">IF(AND(A381=F1!$A$1,D381=F1!$B$1),ROW(),"")</f>
        <v/>
      </c>
    </row>
    <row r="382" customFormat="false" ht="17.35" hidden="false" customHeight="false" outlineLevel="0" collapsed="false">
      <c r="A382" s="481" t="str">
        <f aca="false">'2eme trim 2017 '!A58</f>
        <v>06.2017</v>
      </c>
      <c r="B382" s="469" t="n">
        <f aca="false">'2eme trim 2017 '!B58</f>
        <v>546111</v>
      </c>
      <c r="C382" s="525"/>
      <c r="D382" s="382" t="str">
        <f aca="false">'2eme trim 2017 '!D58</f>
        <v>MOBILE</v>
      </c>
      <c r="E382" s="383"/>
      <c r="F382" s="282" t="n">
        <f aca="false">'2eme trim 2017 '!F58</f>
        <v>0</v>
      </c>
      <c r="G382" s="24" t="n">
        <f aca="false">'2eme trim 2017 '!G58</f>
        <v>0</v>
      </c>
      <c r="H382" s="129"/>
      <c r="I382" s="130" t="n">
        <f aca="false">'2eme trim 2017 '!I58</f>
        <v>121.1328</v>
      </c>
      <c r="J382" s="437"/>
      <c r="K382" s="478" t="str">
        <f aca="false">IF(AND(A382=F1!$A$1,D382=F1!$B$1),ROW(),"")</f>
        <v/>
      </c>
    </row>
    <row r="383" customFormat="false" ht="17.35" hidden="false" customHeight="false" outlineLevel="0" collapsed="false">
      <c r="A383" s="490" t="str">
        <f aca="false">'1er trim 2017'!A29</f>
        <v>01.2017</v>
      </c>
      <c r="B383" s="507" t="n">
        <f aca="false">'1er trim 2017'!B29</f>
        <v>756960</v>
      </c>
      <c r="C383" s="534"/>
      <c r="D383" s="509" t="str">
        <f aca="false">'1er trim 2017'!D29</f>
        <v>MEDICIS</v>
      </c>
      <c r="E383" s="535"/>
      <c r="F383" s="536" t="n">
        <f aca="false">'1er trim 2017'!F29</f>
        <v>0</v>
      </c>
      <c r="G383" s="537" t="n">
        <f aca="false">'1er trim 2017'!G29</f>
        <v>0</v>
      </c>
      <c r="H383" s="513"/>
      <c r="I383" s="132" t="n">
        <f aca="false">'1er trim 2017'!I29</f>
        <v>116.193</v>
      </c>
      <c r="J383" s="437"/>
      <c r="K383" s="478" t="str">
        <f aca="false">IF(AND(A383=F1!$A$1,D383=F1!$B$1),ROW(),"")</f>
        <v/>
      </c>
    </row>
    <row r="384" customFormat="false" ht="17.35" hidden="false" customHeight="false" outlineLevel="0" collapsed="false">
      <c r="A384" s="481" t="str">
        <f aca="false">'4eme trim 2017  '!A47</f>
        <v>10.2017</v>
      </c>
      <c r="B384" s="469" t="n">
        <f aca="false">'4eme trim 2017  '!B47</f>
        <v>348319</v>
      </c>
      <c r="C384" s="524"/>
      <c r="D384" s="382" t="str">
        <f aca="false">'4eme trim 2017  '!D47</f>
        <v>REEBOU Family</v>
      </c>
      <c r="E384" s="395"/>
      <c r="F384" s="282" t="n">
        <f aca="false">'4eme trim 2017  '!F47</f>
        <v>0</v>
      </c>
      <c r="G384" s="29" t="n">
        <f aca="false">'4eme trim 2017  '!G47</f>
        <v>0</v>
      </c>
      <c r="H384" s="222"/>
      <c r="I384" s="132" t="n">
        <f aca="false">'4eme trim 2017  '!I47</f>
        <v>18.3324</v>
      </c>
      <c r="J384" s="437"/>
      <c r="K384" s="478" t="str">
        <f aca="false">IF(AND(A384=F1!$A$1,D384=F1!$B$1),ROW(),"")</f>
        <v/>
      </c>
    </row>
    <row r="385" customFormat="false" ht="13.8" hidden="false" customHeight="false" outlineLevel="0" collapsed="false">
      <c r="A385" s="516" t="str">
        <f aca="false">'3eme trim 2017  '!A57</f>
        <v>08.2017</v>
      </c>
      <c r="B385" s="518" t="n">
        <f aca="false">'3eme trim 2017  '!B57</f>
        <v>961947</v>
      </c>
      <c r="C385" s="685"/>
      <c r="D385" s="24" t="str">
        <f aca="false">'3eme trim 2017  '!D57</f>
        <v>MOBILE2016</v>
      </c>
      <c r="E385" s="29"/>
      <c r="F385" s="245" t="n">
        <f aca="false">'3eme trim 2017  '!F57</f>
        <v>0</v>
      </c>
      <c r="G385" s="29" t="n">
        <f aca="false">'3eme trim 2017  '!G57</f>
        <v>0</v>
      </c>
      <c r="H385" s="222"/>
      <c r="I385" s="222" t="n">
        <f aca="false">'3eme trim 2017  '!I57</f>
        <v>73.277</v>
      </c>
      <c r="J385" s="437"/>
      <c r="K385" s="478" t="str">
        <f aca="false">IF(AND(A385=F1!$A$1,D385=F1!$B$1),ROW(),"")</f>
        <v/>
      </c>
    </row>
    <row r="386" customFormat="false" ht="17.35" hidden="false" customHeight="false" outlineLevel="0" collapsed="false">
      <c r="A386" s="481" t="str">
        <f aca="false">'1er Trimestre 2018'!A33</f>
        <v>02.2018</v>
      </c>
      <c r="B386" s="469" t="n">
        <f aca="false">'1er Trimestre 2018'!B33</f>
        <v>979486</v>
      </c>
      <c r="C386" s="524"/>
      <c r="D386" s="382" t="str">
        <f aca="false">'1er Trimestre 2018'!D33</f>
        <v>REEBOU Family</v>
      </c>
      <c r="E386" s="395"/>
      <c r="F386" s="282" t="n">
        <f aca="false">'1er Trimestre 2018'!F33</f>
        <v>0</v>
      </c>
      <c r="G386" s="29" t="n">
        <f aca="false">'1er Trimestre 2018'!G33</f>
        <v>0</v>
      </c>
      <c r="H386" s="222"/>
      <c r="I386" s="132" t="n">
        <f aca="false">'1er Trimestre 2018'!I33</f>
        <v>12.6136</v>
      </c>
      <c r="J386" s="437"/>
      <c r="K386" s="478" t="str">
        <f aca="false">IF(AND(A386=F1!$A$1,D386=F1!$B$1),ROW(),"")</f>
        <v/>
      </c>
    </row>
    <row r="387" customFormat="false" ht="17.35" hidden="false" customHeight="false" outlineLevel="0" collapsed="false">
      <c r="A387" s="481" t="str">
        <f aca="false">'1er Trimestre 2018'!A34</f>
        <v>02.2018</v>
      </c>
      <c r="B387" s="469" t="n">
        <f aca="false">'1er Trimestre 2018'!B34</f>
        <v>979486</v>
      </c>
      <c r="C387" s="524"/>
      <c r="D387" s="382" t="str">
        <f aca="false">'1er Trimestre 2018'!D34</f>
        <v>MOBILE2016</v>
      </c>
      <c r="E387" s="395"/>
      <c r="F387" s="282" t="n">
        <f aca="false">'1er Trimestre 2018'!F34</f>
        <v>0</v>
      </c>
      <c r="G387" s="29" t="n">
        <f aca="false">'1er Trimestre 2018'!G34</f>
        <v>0</v>
      </c>
      <c r="H387" s="222"/>
      <c r="I387" s="132" t="n">
        <f aca="false">'1er Trimestre 2018'!I34</f>
        <v>100.0366</v>
      </c>
      <c r="J387" s="437"/>
      <c r="K387" s="478" t="str">
        <f aca="false">IF(AND(A387=F1!$A$1,D387=F1!$B$1),ROW(),"")</f>
        <v/>
      </c>
    </row>
    <row r="388" customFormat="false" ht="17.35" hidden="false" customHeight="false" outlineLevel="0" collapsed="false">
      <c r="A388" s="481" t="str">
        <f aca="false">'2e trim 2016'!A18</f>
        <v>04.2016</v>
      </c>
      <c r="B388" s="469" t="n">
        <f aca="false">'2e trim 2016'!B18</f>
        <v>604541</v>
      </c>
      <c r="C388" s="524"/>
      <c r="D388" s="560" t="str">
        <f aca="false">'2e trim 2016'!D18</f>
        <v>BSH</v>
      </c>
      <c r="E388" s="395"/>
      <c r="F388" s="282" t="n">
        <f aca="false">'2e trim 2016'!F18</f>
        <v>0</v>
      </c>
      <c r="G388" s="29" t="n">
        <f aca="false">'2e trim 2016'!G18</f>
        <v>0</v>
      </c>
      <c r="H388" s="222"/>
      <c r="I388" s="132" t="n">
        <f aca="false">'2e trim 2016'!I18</f>
        <v>176.4</v>
      </c>
      <c r="J388" s="437"/>
      <c r="K388" s="478" t="str">
        <f aca="false">IF(AND(A388=F1!$A$1,D388=F1!$B$1),ROW(),"")</f>
        <v/>
      </c>
    </row>
    <row r="389" customFormat="false" ht="17.35" hidden="false" customHeight="false" outlineLevel="0" collapsed="false">
      <c r="A389" s="481" t="str">
        <f aca="false">'4ème trim 2016'!A84</f>
        <v>12.2016</v>
      </c>
      <c r="B389" s="469" t="n">
        <f aca="false">'4ème trim 2016'!B84</f>
        <v>834160</v>
      </c>
      <c r="C389" s="524"/>
      <c r="D389" s="382" t="str">
        <f aca="false">'4ème trim 2016'!D84</f>
        <v>PACK REEBOU</v>
      </c>
      <c r="E389" s="395"/>
      <c r="F389" s="282" t="n">
        <f aca="false">'4ème trim 2016'!F84</f>
        <v>0</v>
      </c>
      <c r="G389" s="29" t="n">
        <f aca="false">'4ème trim 2016'!G84</f>
        <v>0</v>
      </c>
      <c r="H389" s="222"/>
      <c r="I389" s="132" t="n">
        <f aca="false">'4ème trim 2016'!I84</f>
        <v>16.632</v>
      </c>
      <c r="J389" s="437"/>
      <c r="K389" s="478" t="str">
        <f aca="false">IF(AND(A389=F1!$A$1,D389=F1!$B$1),ROW(),"")</f>
        <v/>
      </c>
    </row>
    <row r="390" customFormat="false" ht="17.35" hidden="false" customHeight="false" outlineLevel="0" collapsed="false">
      <c r="A390" s="490" t="str">
        <f aca="false">'4eme trim 2017  '!A78</f>
        <v>12.2017</v>
      </c>
      <c r="B390" s="507" t="n">
        <f aca="false">'4eme trim 2017  '!B78</f>
        <v>952598</v>
      </c>
      <c r="C390" s="534"/>
      <c r="D390" s="509" t="str">
        <f aca="false">'4eme trim 2017  '!D78</f>
        <v>HORIZONT60Invest</v>
      </c>
      <c r="E390" s="535"/>
      <c r="F390" s="536" t="n">
        <f aca="false">'4eme trim 2017  '!F78</f>
        <v>0</v>
      </c>
      <c r="G390" s="537" t="n">
        <f aca="false">'4eme trim 2017  '!G78</f>
        <v>2045</v>
      </c>
      <c r="H390" s="513"/>
      <c r="I390" s="132" t="n">
        <f aca="false">'4eme trim 2017  '!I78</f>
        <v>395.29728</v>
      </c>
      <c r="J390" s="437"/>
      <c r="K390" s="478" t="str">
        <f aca="false">IF(AND(A390=F1!$A$1,D390=F1!$B$1),ROW(),"")</f>
        <v/>
      </c>
    </row>
    <row r="391" customFormat="false" ht="13.8" hidden="false" customHeight="false" outlineLevel="0" collapsed="false">
      <c r="A391" s="484" t="str">
        <f aca="false">'3eme trim 2017  '!A48</f>
        <v>08.2017</v>
      </c>
      <c r="B391" s="485" t="n">
        <f aca="false">'3eme trim 2017  '!B48</f>
        <v>664441</v>
      </c>
      <c r="C391" s="525"/>
      <c r="D391" s="29" t="str">
        <f aca="false">'3eme trim 2017  '!D48</f>
        <v>REEBOU Pack</v>
      </c>
      <c r="E391" s="24"/>
      <c r="F391" s="245" t="n">
        <f aca="false">'3eme trim 2017  '!F48</f>
        <v>0</v>
      </c>
      <c r="G391" s="24" t="n">
        <f aca="false">'3eme trim 2017  '!G48</f>
        <v>0</v>
      </c>
      <c r="H391" s="132"/>
      <c r="I391" s="132" t="n">
        <f aca="false">'3eme trim 2017  '!I48</f>
        <v>16.968</v>
      </c>
      <c r="J391" s="437"/>
      <c r="K391" s="478" t="str">
        <f aca="false">IF(AND(A391=F1!$A$1,D391=F1!$B$1),ROW(),"")</f>
        <v/>
      </c>
    </row>
    <row r="392" customFormat="false" ht="17.35" hidden="false" customHeight="false" outlineLevel="0" collapsed="false">
      <c r="A392" s="490" t="str">
        <f aca="false">'4ème trim 2016'!A49</f>
        <v>11.2016</v>
      </c>
      <c r="B392" s="507" t="n">
        <f aca="false">'4ème trim 2016'!B49</f>
        <v>862831</v>
      </c>
      <c r="C392" s="534"/>
      <c r="D392" s="509" t="str">
        <f aca="false">'4ème trim 2016'!D49</f>
        <v>HORIZONT CAPI</v>
      </c>
      <c r="E392" s="535"/>
      <c r="F392" s="536" t="n">
        <f aca="false">'4ème trim 2016'!F49</f>
        <v>0</v>
      </c>
      <c r="G392" s="537" t="n">
        <f aca="false">'4ème trim 2016'!G49</f>
        <v>2025</v>
      </c>
      <c r="H392" s="513"/>
      <c r="I392" s="132" t="n">
        <f aca="false">'4ème trim 2016'!I49</f>
        <v>57.6</v>
      </c>
      <c r="J392" s="437"/>
      <c r="K392" s="478" t="str">
        <f aca="false">IF(AND(A392=F1!$A$1,D392=F1!$B$1),ROW(),"")</f>
        <v/>
      </c>
    </row>
    <row r="393" customFormat="false" ht="17.35" hidden="false" customHeight="false" outlineLevel="0" collapsed="false">
      <c r="A393" s="481" t="str">
        <f aca="false">'1er trim 2017'!A15</f>
        <v>01.2017</v>
      </c>
      <c r="B393" s="469" t="n">
        <f aca="false">'1er trim 2017'!B15</f>
        <v>556862</v>
      </c>
      <c r="C393" s="524"/>
      <c r="D393" s="382" t="str">
        <f aca="false">'1er trim 2017'!D15</f>
        <v>REBOU FAMILY</v>
      </c>
      <c r="E393" s="395"/>
      <c r="F393" s="282" t="n">
        <f aca="false">'1er trim 2017'!F15</f>
        <v>0</v>
      </c>
      <c r="G393" s="29" t="n">
        <f aca="false">'1er trim 2017'!G15</f>
        <v>0</v>
      </c>
      <c r="H393" s="222"/>
      <c r="I393" s="132" t="n">
        <f aca="false">'1er trim 2017'!I15</f>
        <v>23.9544</v>
      </c>
      <c r="J393" s="437"/>
      <c r="K393" s="478" t="str">
        <f aca="false">IF(AND(A393=F1!$A$1,D393=F1!$B$1),ROW(),"")</f>
        <v/>
      </c>
    </row>
    <row r="394" customFormat="false" ht="17.35" hidden="false" customHeight="false" outlineLevel="0" collapsed="false">
      <c r="A394" s="490" t="str">
        <f aca="false">'1er trim 2017'!A16</f>
        <v>01.2017</v>
      </c>
      <c r="B394" s="507" t="n">
        <f aca="false">'1er trim 2017'!B16</f>
        <v>556862</v>
      </c>
      <c r="C394" s="534"/>
      <c r="D394" s="509" t="str">
        <f aca="false">'1er trim 2017'!D16</f>
        <v>MEDICIS</v>
      </c>
      <c r="E394" s="535"/>
      <c r="F394" s="536" t="n">
        <f aca="false">'1er trim 2017'!F16</f>
        <v>0</v>
      </c>
      <c r="G394" s="537" t="n">
        <f aca="false">'1er trim 2017'!G16</f>
        <v>0</v>
      </c>
      <c r="H394" s="513"/>
      <c r="I394" s="132" t="n">
        <f aca="false">'1er trim 2017'!I16</f>
        <v>120.456</v>
      </c>
      <c r="J394" s="437"/>
      <c r="K394" s="478" t="str">
        <f aca="false">IF(AND(A394=F1!$A$1,D394=F1!$B$1),ROW(),"")</f>
        <v/>
      </c>
    </row>
    <row r="395" customFormat="false" ht="17.35" hidden="false" customHeight="false" outlineLevel="0" collapsed="false">
      <c r="A395" s="481" t="str">
        <f aca="false">'4eme trim 2017  '!A39</f>
        <v>10.2017</v>
      </c>
      <c r="B395" s="469" t="n">
        <f aca="false">'4eme trim 2017  '!B39</f>
        <v>273601</v>
      </c>
      <c r="C395" s="524"/>
      <c r="D395" s="382" t="str">
        <f aca="false">'4eme trim 2017  '!D39</f>
        <v>MOBILE Regio</v>
      </c>
      <c r="E395" s="395"/>
      <c r="F395" s="282" t="n">
        <f aca="false">'4eme trim 2017  '!F39</f>
        <v>0</v>
      </c>
      <c r="G395" s="29" t="n">
        <f aca="false">'4eme trim 2017  '!G39</f>
        <v>0</v>
      </c>
      <c r="H395" s="129"/>
      <c r="I395" s="222" t="n">
        <f aca="false">'4eme trim 2017  '!I39</f>
        <v>39.4878</v>
      </c>
      <c r="J395" s="437"/>
      <c r="K395" s="478" t="str">
        <f aca="false">IF(AND(A395=F1!$A$1,D395=F1!$B$1),ROW(),"")</f>
        <v/>
      </c>
    </row>
    <row r="396" customFormat="false" ht="17.35" hidden="false" customHeight="false" outlineLevel="0" collapsed="false">
      <c r="A396" s="481" t="str">
        <f aca="false">'1er trim 2017'!A55</f>
        <v>03.2017</v>
      </c>
      <c r="B396" s="469" t="n">
        <f aca="false">'1er trim 2017'!B55</f>
        <v>243203</v>
      </c>
      <c r="C396" s="524"/>
      <c r="D396" s="382" t="str">
        <f aca="false">'1er trim 2017'!D55</f>
        <v>MOBILE </v>
      </c>
      <c r="E396" s="395"/>
      <c r="F396" s="282" t="str">
        <f aca="false">'1er trim 2017'!F55</f>
        <v>X</v>
      </c>
      <c r="G396" s="29" t="n">
        <f aca="false">'1er trim 2017'!G55</f>
        <v>0</v>
      </c>
      <c r="H396" s="222"/>
      <c r="I396" s="132" t="n">
        <f aca="false">'1er trim 2017'!I55</f>
        <v>50.7015</v>
      </c>
      <c r="J396" s="437"/>
      <c r="K396" s="478" t="str">
        <f aca="false">IF(AND(A396=F1!$A$1,D396=F1!$B$1),ROW(),"")</f>
        <v/>
      </c>
    </row>
    <row r="397" customFormat="false" ht="17.35" hidden="false" customHeight="false" outlineLevel="0" collapsed="false">
      <c r="A397" s="481" t="str">
        <f aca="false">'1er trim 2017'!A73</f>
        <v>03.2017</v>
      </c>
      <c r="B397" s="469" t="n">
        <f aca="false">'1er trim 2017'!B73</f>
        <v>727461</v>
      </c>
      <c r="C397" s="524"/>
      <c r="D397" s="382" t="str">
        <f aca="false">'1er trim 2017'!D73</f>
        <v>REEBOU FAMILY</v>
      </c>
      <c r="E397" s="395"/>
      <c r="F397" s="282" t="n">
        <f aca="false">'1er trim 2017'!F73</f>
        <v>0</v>
      </c>
      <c r="G397" s="29" t="n">
        <f aca="false">'1er trim 2017'!G73</f>
        <v>0</v>
      </c>
      <c r="H397" s="222"/>
      <c r="I397" s="132" t="n">
        <f aca="false">'1er trim 2017'!I73</f>
        <v>22.1652</v>
      </c>
      <c r="J397" s="437"/>
      <c r="K397" s="478" t="str">
        <f aca="false">IF(AND(A397=F1!$A$1,D397=F1!$B$1),ROW(),"")</f>
        <v/>
      </c>
    </row>
    <row r="398" customFormat="false" ht="17.35" hidden="false" customHeight="false" outlineLevel="0" collapsed="false">
      <c r="A398" s="481" t="str">
        <f aca="false">'1er trim 2017'!A49</f>
        <v>02.2017</v>
      </c>
      <c r="B398" s="469" t="n">
        <f aca="false">'1er trim 2017'!B49</f>
        <v>727461</v>
      </c>
      <c r="C398" s="524"/>
      <c r="D398" s="560" t="str">
        <f aca="false">'1er trim 2017'!D49</f>
        <v>BSH</v>
      </c>
      <c r="E398" s="395"/>
      <c r="F398" s="282" t="n">
        <f aca="false">'1er trim 2017'!F49</f>
        <v>0</v>
      </c>
      <c r="G398" s="29" t="n">
        <f aca="false">'1er trim 2017'!G49</f>
        <v>0</v>
      </c>
      <c r="H398" s="222"/>
      <c r="I398" s="132" t="n">
        <f aca="false">'1er trim 2017'!I49</f>
        <v>168</v>
      </c>
      <c r="J398" s="437"/>
      <c r="K398" s="478" t="str">
        <f aca="false">IF(AND(A398=F1!$A$1,D398=F1!$B$1),ROW(),"")</f>
        <v/>
      </c>
    </row>
    <row r="399" customFormat="false" ht="13.8" hidden="false" customHeight="false" outlineLevel="0" collapsed="false">
      <c r="A399" s="677" t="str">
        <f aca="false">'3eme trim 2017  '!A58</f>
        <v>08.2017</v>
      </c>
      <c r="B399" s="678" t="n">
        <f aca="false">'3eme trim 2017  '!B58</f>
        <v>616905</v>
      </c>
      <c r="C399" s="534"/>
      <c r="D399" s="502" t="str">
        <f aca="false">'3eme trim 2017  '!D58</f>
        <v>MEDICIS</v>
      </c>
      <c r="E399" s="537"/>
      <c r="F399" s="522" t="str">
        <f aca="false">'3eme trim 2017  '!F58</f>
        <v>X</v>
      </c>
      <c r="G399" s="537" t="n">
        <f aca="false">'3eme trim 2017  '!G58</f>
        <v>0</v>
      </c>
      <c r="H399" s="513"/>
      <c r="I399" s="222" t="n">
        <f aca="false">'3eme trim 2017  '!I58</f>
        <v>89.488875</v>
      </c>
      <c r="J399" s="437"/>
      <c r="K399" s="478" t="str">
        <f aca="false">IF(AND(A399=F1!$A$1,D399=F1!$B$1),ROW(),"")</f>
        <v/>
      </c>
    </row>
    <row r="400" customFormat="false" ht="17.35" hidden="false" customHeight="false" outlineLevel="0" collapsed="false">
      <c r="A400" s="490" t="str">
        <f aca="false">'4eme trim 2017  '!A76</f>
        <v>12.2017</v>
      </c>
      <c r="B400" s="507" t="n">
        <f aca="false">'4eme trim 2017  '!B76</f>
        <v>973272</v>
      </c>
      <c r="C400" s="534"/>
      <c r="D400" s="509" t="str">
        <f aca="false">'4eme trim 2017  '!D76</f>
        <v>MEDICIS</v>
      </c>
      <c r="E400" s="535"/>
      <c r="F400" s="536" t="n">
        <f aca="false">'4eme trim 2017  '!F76</f>
        <v>0</v>
      </c>
      <c r="G400" s="537" t="n">
        <f aca="false">'4eme trim 2017  '!G76</f>
        <v>0</v>
      </c>
      <c r="H400" s="523"/>
      <c r="I400" s="132" t="n">
        <f aca="false">'4eme trim 2017  '!I76</f>
        <v>116.193</v>
      </c>
      <c r="J400" s="437"/>
      <c r="K400" s="478" t="str">
        <f aca="false">IF(AND(A400=F1!$A$1,D400=F1!$B$1),ROW(),"")</f>
        <v/>
      </c>
    </row>
    <row r="401" customFormat="false" ht="17.35" hidden="false" customHeight="false" outlineLevel="0" collapsed="false">
      <c r="A401" s="490" t="str">
        <f aca="false">'1er Trimestre 2018'!A25</f>
        <v>02.2018</v>
      </c>
      <c r="B401" s="507" t="n">
        <f aca="false">'1er Trimestre 2018'!B25</f>
        <v>358748</v>
      </c>
      <c r="C401" s="534"/>
      <c r="D401" s="509" t="str">
        <f aca="false">'1er Trimestre 2018'!D25</f>
        <v>MEDICIS</v>
      </c>
      <c r="E401" s="535"/>
      <c r="F401" s="536" t="n">
        <f aca="false">'1er Trimestre 2018'!F25</f>
        <v>0</v>
      </c>
      <c r="G401" s="537" t="n">
        <f aca="false">'1er Trimestre 2018'!G25</f>
        <v>0</v>
      </c>
      <c r="H401" s="513"/>
      <c r="I401" s="132" t="n">
        <f aca="false">'1er Trimestre 2018'!I25</f>
        <v>103.540208333333</v>
      </c>
      <c r="J401" s="437"/>
      <c r="K401" s="478" t="str">
        <f aca="false">IF(AND(A401=F1!$A$1,D401=F1!$B$1),ROW(),"")</f>
        <v/>
      </c>
    </row>
    <row r="402" customFormat="false" ht="17.35" hidden="false" customHeight="false" outlineLevel="0" collapsed="false">
      <c r="A402" s="481" t="str">
        <f aca="false">'3ème trim 2016'!A51</f>
        <v>09.2016</v>
      </c>
      <c r="B402" s="469" t="n">
        <f aca="false">'3ème trim 2016'!B51</f>
        <v>492356</v>
      </c>
      <c r="C402" s="524"/>
      <c r="D402" s="382" t="str">
        <f aca="false">'3ème trim 2016'!D51</f>
        <v>LOGGIA</v>
      </c>
      <c r="E402" s="395"/>
      <c r="F402" s="282" t="n">
        <f aca="false">'3ème trim 2016'!F51</f>
        <v>0</v>
      </c>
      <c r="G402" s="29" t="n">
        <f aca="false">'3ème trim 2016'!G51</f>
        <v>0</v>
      </c>
      <c r="H402" s="222"/>
      <c r="I402" s="132" t="n">
        <f aca="false">'3ème trim 2016'!I51</f>
        <v>21.066</v>
      </c>
      <c r="J402" s="437"/>
      <c r="K402" s="478" t="str">
        <f aca="false">IF(AND(A402=F1!$A$1,D402=F1!$B$1),ROW(),"")</f>
        <v/>
      </c>
    </row>
    <row r="403" customFormat="false" ht="17.35" hidden="false" customHeight="false" outlineLevel="0" collapsed="false">
      <c r="A403" s="481" t="str">
        <f aca="false">'3ème trim 2016'!A52</f>
        <v>10.2016</v>
      </c>
      <c r="B403" s="469" t="n">
        <f aca="false">'3ème trim 2016'!B52</f>
        <v>492356</v>
      </c>
      <c r="C403" s="524"/>
      <c r="D403" s="560" t="str">
        <f aca="false">'3ème trim 2016'!D52</f>
        <v>BSH</v>
      </c>
      <c r="E403" s="395"/>
      <c r="F403" s="282" t="n">
        <f aca="false">'3ème trim 2016'!F52</f>
        <v>0</v>
      </c>
      <c r="G403" s="29" t="n">
        <f aca="false">'3ème trim 2016'!G52</f>
        <v>0</v>
      </c>
      <c r="H403" s="222"/>
      <c r="I403" s="132" t="n">
        <f aca="false">'3ème trim 2016'!I52</f>
        <v>252</v>
      </c>
      <c r="J403" s="437"/>
      <c r="K403" s="478" t="str">
        <f aca="false">IF(AND(A403=F1!$A$1,D403=F1!$B$1),ROW(),"")</f>
        <v/>
      </c>
    </row>
    <row r="404" customFormat="false" ht="17.35" hidden="false" customHeight="false" outlineLevel="0" collapsed="false">
      <c r="A404" s="490" t="str">
        <f aca="false">'4ème trim 2016'!A52</f>
        <v>12.2016</v>
      </c>
      <c r="B404" s="507" t="n">
        <f aca="false">'4ème trim 2016'!B52</f>
        <v>492356</v>
      </c>
      <c r="C404" s="520"/>
      <c r="D404" s="509" t="str">
        <f aca="false">'4ème trim 2016'!D52</f>
        <v>FOCUS INVEST.</v>
      </c>
      <c r="E404" s="535"/>
      <c r="F404" s="536" t="n">
        <f aca="false">'4ème trim 2016'!F52</f>
        <v>0</v>
      </c>
      <c r="G404" s="537" t="n">
        <f aca="false">'4ème trim 2016'!G52</f>
        <v>0</v>
      </c>
      <c r="H404" s="513"/>
      <c r="I404" s="222" t="n">
        <f aca="false">'4ème trim 2016'!I52</f>
        <v>380.925</v>
      </c>
      <c r="J404" s="437"/>
      <c r="K404" s="478" t="str">
        <f aca="false">IF(AND(A404=F1!$A$1,D404=F1!$B$1),ROW(),"")</f>
        <v/>
      </c>
    </row>
    <row r="405" customFormat="false" ht="17.35" hidden="false" customHeight="false" outlineLevel="0" collapsed="false">
      <c r="A405" s="481" t="str">
        <f aca="false">'4eme trim 2017  '!A79</f>
        <v>12.2017</v>
      </c>
      <c r="B405" s="469" t="n">
        <f aca="false">'4eme trim 2017  '!B79</f>
        <v>492356</v>
      </c>
      <c r="C405" s="685"/>
      <c r="D405" s="382" t="str">
        <f aca="false">'4eme trim 2017  '!D79</f>
        <v>HORIZONT60Invest</v>
      </c>
      <c r="E405" s="395"/>
      <c r="F405" s="282" t="n">
        <f aca="false">'4eme trim 2017  '!F79</f>
        <v>0</v>
      </c>
      <c r="G405" s="29" t="n">
        <f aca="false">'4eme trim 2017  '!G79</f>
        <v>2033</v>
      </c>
      <c r="H405" s="686"/>
      <c r="I405" s="132" t="n">
        <f aca="false">'4eme trim 2017  '!I79</f>
        <v>158.12352</v>
      </c>
      <c r="J405" s="437"/>
      <c r="K405" s="478" t="str">
        <f aca="false">IF(AND(A405=F1!$A$1,D405=F1!$B$1),ROW(),"")</f>
        <v/>
      </c>
    </row>
    <row r="406" customFormat="false" ht="17.35" hidden="false" customHeight="false" outlineLevel="0" collapsed="false">
      <c r="A406" s="481" t="str">
        <f aca="false">'3ème trim 2016'!A17</f>
        <v>07.2016</v>
      </c>
      <c r="B406" s="469" t="n">
        <f aca="false">'3ème trim 2016'!B17</f>
        <v>310263</v>
      </c>
      <c r="C406" s="524"/>
      <c r="D406" s="382" t="str">
        <f aca="false">'3ème trim 2016'!D17</f>
        <v>REEBOU PACK</v>
      </c>
      <c r="E406" s="395"/>
      <c r="F406" s="282" t="n">
        <f aca="false">'3ème trim 2016'!F17</f>
        <v>0</v>
      </c>
      <c r="G406" s="29" t="n">
        <f aca="false">'3ème trim 2016'!G17</f>
        <v>0</v>
      </c>
      <c r="H406" s="222"/>
      <c r="I406" s="132" t="n">
        <f aca="false">'3ème trim 2016'!I17</f>
        <v>16.5</v>
      </c>
      <c r="J406" s="437"/>
      <c r="K406" s="478" t="str">
        <f aca="false">IF(AND(A406=F1!$A$1,D406=F1!$B$1),ROW(),"")</f>
        <v/>
      </c>
    </row>
    <row r="407" customFormat="false" ht="13.8" hidden="false" customHeight="false" outlineLevel="0" collapsed="false">
      <c r="A407" s="484" t="str">
        <f aca="false">'3eme trim 2017  '!A34</f>
        <v>07.2017</v>
      </c>
      <c r="B407" s="517" t="n">
        <f aca="false">'3eme trim 2017  '!B34</f>
        <v>960430</v>
      </c>
      <c r="C407" s="525"/>
      <c r="D407" s="487" t="str">
        <f aca="false">'3eme trim 2017  '!D34</f>
        <v>MOBILE 2016</v>
      </c>
      <c r="E407" s="24"/>
      <c r="F407" s="245" t="n">
        <f aca="false">'3eme trim 2017  '!F34</f>
        <v>0</v>
      </c>
      <c r="G407" s="24" t="n">
        <f aca="false">'3eme trim 2017  '!G34</f>
        <v>0</v>
      </c>
      <c r="H407" s="402"/>
      <c r="I407" s="132" t="n">
        <f aca="false">'3eme trim 2017  '!I34</f>
        <v>129.6624</v>
      </c>
      <c r="J407" s="437"/>
      <c r="K407" s="478" t="str">
        <f aca="false">IF(AND(A407=F1!$A$1,D407=F1!$B$1),ROW(),"")</f>
        <v/>
      </c>
    </row>
    <row r="408" customFormat="false" ht="13.8" hidden="false" customHeight="false" outlineLevel="0" collapsed="false">
      <c r="A408" s="484" t="str">
        <f aca="false">'3eme trim 2017  '!A35</f>
        <v>07.2017</v>
      </c>
      <c r="B408" s="485" t="n">
        <f aca="false">'3eme trim 2017  '!B35</f>
        <v>960430</v>
      </c>
      <c r="C408" s="525"/>
      <c r="D408" s="487" t="str">
        <f aca="false">'3eme trim 2017  '!D35</f>
        <v>REEBOU FAMILY</v>
      </c>
      <c r="E408" s="24"/>
      <c r="F408" s="245" t="n">
        <f aca="false">'3eme trim 2017  '!F35</f>
        <v>0</v>
      </c>
      <c r="G408" s="24" t="n">
        <f aca="false">'3eme trim 2017  '!G35</f>
        <v>0</v>
      </c>
      <c r="H408" s="132"/>
      <c r="I408" s="132" t="n">
        <f aca="false">'3eme trim 2017  '!I35</f>
        <v>35.826</v>
      </c>
      <c r="J408" s="437"/>
      <c r="K408" s="478" t="str">
        <f aca="false">IF(AND(A408=F1!$A$1,D408=F1!$B$1),ROW(),"")</f>
        <v/>
      </c>
    </row>
    <row r="409" customFormat="false" ht="17.35" hidden="false" customHeight="false" outlineLevel="0" collapsed="false">
      <c r="A409" s="481" t="str">
        <f aca="false">'3ème trim 2016'!A42</f>
        <v>08.2016</v>
      </c>
      <c r="B409" s="469" t="n">
        <f aca="false">'3ème trim 2016'!B42</f>
        <v>860025</v>
      </c>
      <c r="C409" s="525"/>
      <c r="D409" s="382" t="str">
        <f aca="false">'3ème trim 2016'!D42</f>
        <v>LOGGIA</v>
      </c>
      <c r="E409" s="383"/>
      <c r="F409" s="282" t="n">
        <f aca="false">'3ème trim 2016'!F42</f>
        <v>0</v>
      </c>
      <c r="G409" s="24" t="n">
        <f aca="false">'3ème trim 2016'!G42</f>
        <v>0</v>
      </c>
      <c r="H409" s="129"/>
      <c r="I409" s="132" t="n">
        <f aca="false">'3ème trim 2016'!I42</f>
        <v>57.3168</v>
      </c>
      <c r="J409" s="437"/>
      <c r="K409" s="478" t="str">
        <f aca="false">IF(AND(A409=F1!$A$1,D409=F1!$B$1),ROW(),"")</f>
        <v/>
      </c>
    </row>
    <row r="410" customFormat="false" ht="17.35" hidden="false" customHeight="false" outlineLevel="0" collapsed="false">
      <c r="A410" s="481" t="str">
        <f aca="false">'1er Trimestre 2018'!A53</f>
        <v>03.2018</v>
      </c>
      <c r="B410" s="469" t="n">
        <f aca="false">'1er Trimestre 2018'!B53</f>
        <v>606245</v>
      </c>
      <c r="C410" s="524"/>
      <c r="D410" s="382" t="str">
        <f aca="false">'1er Trimestre 2018'!D53</f>
        <v>REEBOU Pack</v>
      </c>
      <c r="E410" s="395"/>
      <c r="F410" s="282" t="n">
        <f aca="false">'1er Trimestre 2018'!F53</f>
        <v>0</v>
      </c>
      <c r="G410" s="29" t="n">
        <f aca="false">'1er Trimestre 2018'!G53</f>
        <v>0</v>
      </c>
      <c r="H410" s="222"/>
      <c r="I410" s="132" t="n">
        <f aca="false">'1er Trimestre 2018'!I53</f>
        <v>21.9144</v>
      </c>
      <c r="J410" s="437"/>
      <c r="K410" s="478" t="str">
        <f aca="false">IF(AND(A410=F1!$A$1,D410=F1!$B$1),ROW(),"")</f>
        <v/>
      </c>
    </row>
    <row r="411" customFormat="false" ht="17.35" hidden="false" customHeight="false" outlineLevel="0" collapsed="false">
      <c r="A411" s="481" t="str">
        <f aca="false">'1er trim 2017'!A26</f>
        <v>01.2017</v>
      </c>
      <c r="B411" s="469" t="n">
        <f aca="false">'1er trim 2017'!B26</f>
        <v>606245</v>
      </c>
      <c r="C411" s="524"/>
      <c r="D411" s="382" t="str">
        <f aca="false">'1er trim 2017'!D26</f>
        <v>REEBOU FAMILY</v>
      </c>
      <c r="E411" s="395"/>
      <c r="F411" s="282" t="n">
        <f aca="false">'1er trim 2017'!F26</f>
        <v>0</v>
      </c>
      <c r="G411" s="29" t="n">
        <f aca="false">'1er trim 2017'!G26</f>
        <v>0</v>
      </c>
      <c r="H411" s="222"/>
      <c r="I411" s="132" t="n">
        <f aca="false">'1er trim 2017'!I26</f>
        <v>54.5352</v>
      </c>
      <c r="J411" s="437"/>
      <c r="K411" s="478" t="str">
        <f aca="false">IF(AND(A411=F1!$A$1,D411=F1!$B$1),ROW(),"")</f>
        <v/>
      </c>
    </row>
    <row r="412" customFormat="false" ht="17.35" hidden="false" customHeight="false" outlineLevel="0" collapsed="false">
      <c r="A412" s="481" t="str">
        <f aca="false">'1er trim 2017'!A37</f>
        <v>02.2017</v>
      </c>
      <c r="B412" s="469" t="n">
        <f aca="false">'1er trim 2017'!B37</f>
        <v>606245</v>
      </c>
      <c r="C412" s="524"/>
      <c r="D412" s="382" t="str">
        <f aca="false">'1er trim 2017'!D37</f>
        <v>MOBILE</v>
      </c>
      <c r="E412" s="395"/>
      <c r="F412" s="282" t="n">
        <f aca="false">'1er trim 2017'!F37</f>
        <v>0</v>
      </c>
      <c r="G412" s="29" t="n">
        <f aca="false">'1er trim 2017'!G37</f>
        <v>0</v>
      </c>
      <c r="H412" s="222"/>
      <c r="I412" s="132" t="n">
        <f aca="false">'1er trim 2017'!I37</f>
        <v>31.2426</v>
      </c>
      <c r="J412" s="437"/>
      <c r="K412" s="478" t="str">
        <f aca="false">IF(AND(A412=F1!$A$1,D412=F1!$B$1),ROW(),"")</f>
        <v/>
      </c>
    </row>
    <row r="413" customFormat="false" ht="17.35" hidden="false" customHeight="false" outlineLevel="0" collapsed="false">
      <c r="A413" s="481" t="str">
        <f aca="false">'1er trim 2017'!A38</f>
        <v>02.2017</v>
      </c>
      <c r="B413" s="469" t="n">
        <f aca="false">'1er trim 2017'!B38</f>
        <v>606245</v>
      </c>
      <c r="C413" s="525"/>
      <c r="D413" s="382" t="str">
        <f aca="false">'1er trim 2017'!D38</f>
        <v>REEBOU FAMILY</v>
      </c>
      <c r="E413" s="395"/>
      <c r="F413" s="282" t="n">
        <f aca="false">'1er trim 2017'!F38</f>
        <v>0</v>
      </c>
      <c r="G413" s="29" t="str">
        <f aca="false">'1er trim 2017'!G38</f>
        <v>Effet Reporté au 01/18</v>
      </c>
      <c r="H413" s="132"/>
      <c r="I413" s="222" t="n">
        <f aca="false">'1er trim 2017'!I38</f>
        <v>0</v>
      </c>
      <c r="J413" s="437"/>
      <c r="K413" s="478" t="str">
        <f aca="false">IF(AND(A413=F1!$A$1,D413=F1!$B$1),ROW(),"")</f>
        <v/>
      </c>
    </row>
    <row r="414" customFormat="false" ht="17.35" hidden="false" customHeight="false" outlineLevel="0" collapsed="false">
      <c r="A414" s="481" t="str">
        <f aca="false">'1er trim 2017'!A24</f>
        <v>01.2017</v>
      </c>
      <c r="B414" s="469" t="n">
        <f aca="false">'1er trim 2017'!B24</f>
        <v>601423</v>
      </c>
      <c r="C414" s="524"/>
      <c r="D414" s="382" t="str">
        <f aca="false">'1er trim 2017'!D24</f>
        <v>MOBILE 2016</v>
      </c>
      <c r="E414" s="395"/>
      <c r="F414" s="282" t="n">
        <f aca="false">'1er trim 2017'!F24</f>
        <v>0</v>
      </c>
      <c r="G414" s="29" t="n">
        <f aca="false">'1er trim 2017'!G24</f>
        <v>0</v>
      </c>
      <c r="H414" s="222"/>
      <c r="I414" s="132" t="n">
        <f aca="false">'1er trim 2017'!I24</f>
        <v>74.0505</v>
      </c>
      <c r="J414" s="437"/>
      <c r="K414" s="478" t="str">
        <f aca="false">IF(AND(A414=F1!$A$1,D414=F1!$B$1),ROW(),"")</f>
        <v/>
      </c>
    </row>
    <row r="415" customFormat="false" ht="17.35" hidden="false" customHeight="false" outlineLevel="0" collapsed="false">
      <c r="A415" s="481" t="str">
        <f aca="false">'1er trim 2017'!A25</f>
        <v>01.2017</v>
      </c>
      <c r="B415" s="469" t="n">
        <f aca="false">'1er trim 2017'!B25</f>
        <v>601423</v>
      </c>
      <c r="C415" s="524"/>
      <c r="D415" s="382" t="str">
        <f aca="false">'1er trim 2017'!D25</f>
        <v>REEBOU FAMILY</v>
      </c>
      <c r="E415" s="395"/>
      <c r="F415" s="282" t="n">
        <f aca="false">'1er trim 2017'!F25</f>
        <v>0</v>
      </c>
      <c r="G415" s="29" t="n">
        <f aca="false">'1er trim 2017'!G25</f>
        <v>0</v>
      </c>
      <c r="H415" s="222"/>
      <c r="I415" s="132" t="n">
        <f aca="false">'1er trim 2017'!I25</f>
        <v>15.6792</v>
      </c>
      <c r="J415" s="437"/>
      <c r="K415" s="478" t="str">
        <f aca="false">IF(AND(A415=F1!$A$1,D415=F1!$B$1),ROW(),"")</f>
        <v/>
      </c>
    </row>
    <row r="416" customFormat="false" ht="17.35" hidden="false" customHeight="false" outlineLevel="0" collapsed="false">
      <c r="A416" s="490" t="str">
        <f aca="false">'1er Trimestre 2018'!A26</f>
        <v>02.2018</v>
      </c>
      <c r="B416" s="507" t="n">
        <f aca="false">'1er Trimestre 2018'!B26</f>
        <v>601423</v>
      </c>
      <c r="C416" s="534"/>
      <c r="D416" s="509" t="str">
        <f aca="false">'1er Trimestre 2018'!D26</f>
        <v>HORIZONT60Invest</v>
      </c>
      <c r="E416" s="535"/>
      <c r="F416" s="536" t="n">
        <f aca="false">'1er Trimestre 2018'!F26</f>
        <v>0</v>
      </c>
      <c r="G416" s="537" t="n">
        <f aca="false">'1er Trimestre 2018'!G26</f>
        <v>2052</v>
      </c>
      <c r="H416" s="513"/>
      <c r="I416" s="132" t="n">
        <f aca="false">'1er Trimestre 2018'!I26</f>
        <v>489.6</v>
      </c>
      <c r="J416" s="437"/>
      <c r="K416" s="478" t="str">
        <f aca="false">IF(AND(A416=F1!$A$1,D416=F1!$B$1),ROW(),"")</f>
        <v/>
      </c>
    </row>
    <row r="417" customFormat="false" ht="17.35" hidden="false" customHeight="false" outlineLevel="0" collapsed="false">
      <c r="A417" s="481" t="str">
        <f aca="false">'2eme trim 2017 '!A30</f>
        <v>05.2017</v>
      </c>
      <c r="B417" s="469" t="n">
        <f aca="false">'2eme trim 2017 '!B30</f>
        <v>843169</v>
      </c>
      <c r="C417" s="525"/>
      <c r="D417" s="382" t="str">
        <f aca="false">'2eme trim 2017 '!D30</f>
        <v>PACK REEBOU FAMILY</v>
      </c>
      <c r="E417" s="383"/>
      <c r="F417" s="282" t="n">
        <f aca="false">'2eme trim 2017 '!F30</f>
        <v>0</v>
      </c>
      <c r="G417" s="24" t="n">
        <f aca="false">'2eme trim 2017 '!G30</f>
        <v>0</v>
      </c>
      <c r="H417" s="129"/>
      <c r="I417" s="132" t="n">
        <f aca="false">'2eme trim 2017 '!I30</f>
        <v>30.2895</v>
      </c>
      <c r="J417" s="437"/>
      <c r="K417" s="478" t="str">
        <f aca="false">IF(AND(A417=F1!$A$1,D417=F1!$B$1),ROW(),"")</f>
        <v/>
      </c>
    </row>
    <row r="418" customFormat="false" ht="17.35" hidden="false" customHeight="false" outlineLevel="0" collapsed="false">
      <c r="A418" s="490" t="str">
        <f aca="false">'4eme trim 2017  '!A43</f>
        <v>10.2017</v>
      </c>
      <c r="B418" s="507" t="n">
        <f aca="false">'4eme trim 2017  '!B43</f>
        <v>481859</v>
      </c>
      <c r="C418" s="534"/>
      <c r="D418" s="509" t="str">
        <f aca="false">'4eme trim 2017  '!D43</f>
        <v>HORIZONT60Invest</v>
      </c>
      <c r="E418" s="535"/>
      <c r="F418" s="536" t="n">
        <f aca="false">'4eme trim 2017  '!F43</f>
        <v>0</v>
      </c>
      <c r="G418" s="537" t="n">
        <f aca="false">'4eme trim 2017  '!G43</f>
        <v>2035</v>
      </c>
      <c r="H418" s="513"/>
      <c r="I418" s="132" t="n">
        <f aca="false">'4eme trim 2017  '!I43</f>
        <v>259.2</v>
      </c>
      <c r="J418" s="437"/>
      <c r="K418" s="478" t="str">
        <f aca="false">IF(AND(A418=F1!$A$1,D418=F1!$B$1),ROW(),"")</f>
        <v/>
      </c>
    </row>
    <row r="419" customFormat="false" ht="17.35" hidden="false" customHeight="false" outlineLevel="0" collapsed="false">
      <c r="A419" s="490" t="str">
        <f aca="false">'2eme trim 2017 '!A27</f>
        <v>05.2017</v>
      </c>
      <c r="B419" s="507" t="n">
        <f aca="false">'2eme trim 2017 '!B27</f>
        <v>414852</v>
      </c>
      <c r="C419" s="639"/>
      <c r="D419" s="509" t="str">
        <f aca="false">'2eme trim 2017 '!D27</f>
        <v>MEDICIS</v>
      </c>
      <c r="E419" s="535"/>
      <c r="F419" s="536" t="n">
        <f aca="false">'2eme trim 2017 '!F27</f>
        <v>0</v>
      </c>
      <c r="G419" s="537" t="n">
        <f aca="false">'2eme trim 2017 '!G27</f>
        <v>0</v>
      </c>
      <c r="H419" s="513"/>
      <c r="I419" s="132" t="n">
        <f aca="false">'2eme trim 2017 '!I27</f>
        <v>25.515</v>
      </c>
      <c r="J419" s="437"/>
      <c r="K419" s="478" t="str">
        <f aca="false">IF(AND(A419=F1!$A$1,D419=F1!$B$1),ROW(),"")</f>
        <v/>
      </c>
    </row>
    <row r="420" s="432" customFormat="true" ht="17.35" hidden="false" customHeight="false" outlineLevel="0" collapsed="false">
      <c r="A420" s="469" t="str">
        <f aca="false">'3eme trim 2017  '!A77</f>
        <v>09.2017</v>
      </c>
      <c r="B420" s="469" t="n">
        <f aca="false">'3eme trim 2017  '!B77</f>
        <v>842467</v>
      </c>
      <c r="C420" s="524"/>
      <c r="D420" s="382" t="str">
        <f aca="false">'3eme trim 2017  '!D77</f>
        <v>REEBOU Family</v>
      </c>
      <c r="E420" s="395"/>
      <c r="F420" s="282" t="str">
        <f aca="false">'3eme trim 2017  '!F77</f>
        <v>X</v>
      </c>
      <c r="G420" s="29" t="n">
        <f aca="false">'3eme trim 2017  '!G77</f>
        <v>0</v>
      </c>
      <c r="H420" s="222"/>
      <c r="I420" s="132" t="n">
        <f aca="false">'3eme trim 2017  '!I77</f>
        <v>60.6</v>
      </c>
      <c r="J420" s="687"/>
      <c r="K420" s="478" t="str">
        <f aca="false">IF(AND(A420=F1!$A$1,D420=F1!$B$1),ROW(),"")</f>
        <v/>
      </c>
    </row>
    <row r="421" customFormat="false" ht="17.35" hidden="false" customHeight="false" outlineLevel="0" collapsed="false">
      <c r="A421" s="469" t="str">
        <f aca="false">'3ème trim 2016'!A43</f>
        <v>08.2016</v>
      </c>
      <c r="B421" s="469" t="n">
        <f aca="false">'3ème trim 2016'!B43</f>
        <v>304341</v>
      </c>
      <c r="C421" s="685"/>
      <c r="D421" s="382" t="str">
        <f aca="false">'3ème trim 2016'!D43</f>
        <v>REEBOU PACK</v>
      </c>
      <c r="E421" s="395"/>
      <c r="F421" s="282" t="n">
        <f aca="false">'3ème trim 2016'!F43</f>
        <v>0</v>
      </c>
      <c r="G421" s="29" t="n">
        <f aca="false">'3ème trim 2016'!G43</f>
        <v>0</v>
      </c>
      <c r="H421" s="222"/>
      <c r="I421" s="132" t="n">
        <f aca="false">'3ème trim 2016'!I43</f>
        <v>16.632</v>
      </c>
      <c r="J421" s="437"/>
      <c r="K421" s="478" t="str">
        <f aca="false">IF(AND(A421=F1!$A$1,D421=F1!$B$1),ROW(),"")</f>
        <v/>
      </c>
    </row>
    <row r="422" customFormat="false" ht="17.35" hidden="false" customHeight="false" outlineLevel="0" collapsed="false">
      <c r="A422" s="481" t="str">
        <f aca="false">'4ème trim 2016'!A80</f>
        <v>12.2016</v>
      </c>
      <c r="B422" s="469" t="n">
        <f aca="false">'4ème trim 2016'!B80</f>
        <v>807737</v>
      </c>
      <c r="C422" s="525"/>
      <c r="D422" s="382" t="str">
        <f aca="false">'4ème trim 2016'!D80</f>
        <v>PACK REEBOU</v>
      </c>
      <c r="E422" s="383"/>
      <c r="F422" s="282" t="n">
        <f aca="false">'4ème trim 2016'!F80</f>
        <v>0</v>
      </c>
      <c r="G422" s="24" t="n">
        <f aca="false">'4ème trim 2016'!G80</f>
        <v>0</v>
      </c>
      <c r="H422" s="615"/>
      <c r="I422" s="132" t="n">
        <f aca="false">'4ème trim 2016'!I80</f>
        <v>21.762</v>
      </c>
      <c r="J422" s="448"/>
      <c r="K422" s="478" t="str">
        <f aca="false">IF(AND(A422=F1!$A$1,D422=F1!$B$1),ROW(),"")</f>
        <v/>
      </c>
    </row>
    <row r="423" customFormat="false" ht="23.85" hidden="false" customHeight="false" outlineLevel="0" collapsed="false">
      <c r="A423" s="688" t="str">
        <f aca="false">'2eme trim 2017 '!A10</f>
        <v>04.2017</v>
      </c>
      <c r="B423" s="689" t="n">
        <f aca="false">'2eme trim 2017 '!B10</f>
        <v>838612</v>
      </c>
      <c r="C423" s="690"/>
      <c r="D423" s="656" t="str">
        <f aca="false">'2eme trim 2017 '!D10</f>
        <v>HORIZONT 60 INVEST</v>
      </c>
      <c r="E423" s="657"/>
      <c r="F423" s="658" t="n">
        <f aca="false">'2eme trim 2017 '!F10</f>
        <v>0</v>
      </c>
      <c r="G423" s="659" t="n">
        <f aca="false">'2eme trim 2017 '!G10</f>
        <v>2050</v>
      </c>
      <c r="H423" s="660"/>
      <c r="I423" s="661" t="n">
        <f aca="false">'2eme trim 2017 '!I10</f>
        <v>489.6</v>
      </c>
      <c r="J423" s="691" t="s">
        <v>610</v>
      </c>
      <c r="K423" s="478" t="str">
        <f aca="false">IF(AND(A423=F1!$A$1,D423=F1!$B$1),ROW(),"")</f>
        <v/>
      </c>
    </row>
    <row r="424" customFormat="false" ht="17.35" hidden="false" customHeight="false" outlineLevel="0" collapsed="false">
      <c r="A424" s="481" t="str">
        <f aca="false">'3ème trim 2016'!A20</f>
        <v>07.2016</v>
      </c>
      <c r="B424" s="469" t="n">
        <f aca="false">'3ème trim 2016'!B20</f>
        <v>909120</v>
      </c>
      <c r="C424" s="524"/>
      <c r="D424" s="382" t="str">
        <f aca="false">'3ème trim 2016'!D20</f>
        <v>REEBOU FAMILY</v>
      </c>
      <c r="E424" s="395"/>
      <c r="F424" s="282" t="n">
        <f aca="false">'3ème trim 2016'!F20</f>
        <v>0</v>
      </c>
      <c r="G424" s="29" t="n">
        <f aca="false">'3ème trim 2016'!G20</f>
        <v>0</v>
      </c>
      <c r="H424" s="222"/>
      <c r="I424" s="132" t="n">
        <f aca="false">'3ème trim 2016'!I20</f>
        <v>98.0556</v>
      </c>
      <c r="J424" s="437"/>
      <c r="K424" s="478" t="str">
        <f aca="false">IF(AND(A424=F1!$A$1,D424=F1!$B$1),ROW(),"")</f>
        <v/>
      </c>
    </row>
    <row r="425" customFormat="false" ht="17.35" hidden="false" customHeight="false" outlineLevel="0" collapsed="false">
      <c r="A425" s="481" t="str">
        <f aca="false">'3ème trim 2016'!A21</f>
        <v>07.2016</v>
      </c>
      <c r="B425" s="469" t="n">
        <f aca="false">'3ème trim 2016'!B21</f>
        <v>909120</v>
      </c>
      <c r="C425" s="524"/>
      <c r="D425" s="382" t="str">
        <f aca="false">'3ème trim 2016'!D21</f>
        <v>MOBILE</v>
      </c>
      <c r="E425" s="395"/>
      <c r="F425" s="282" t="n">
        <f aca="false">'3ème trim 2016'!F21</f>
        <v>0</v>
      </c>
      <c r="G425" s="29" t="n">
        <f aca="false">'3ème trim 2016'!G21</f>
        <v>0</v>
      </c>
      <c r="H425" s="222"/>
      <c r="I425" s="132" t="n">
        <f aca="false">'3ème trim 2016'!I21</f>
        <v>64.485</v>
      </c>
      <c r="J425" s="437"/>
      <c r="K425" s="478" t="str">
        <f aca="false">IF(AND(A425=F1!$A$1,D425=F1!$B$1),ROW(),"")</f>
        <v/>
      </c>
    </row>
    <row r="426" customFormat="false" ht="17.35" hidden="false" customHeight="false" outlineLevel="0" collapsed="false">
      <c r="A426" s="481" t="str">
        <f aca="false">'2eme trim 2017 '!A57</f>
        <v>06.2017</v>
      </c>
      <c r="B426" s="469" t="n">
        <f aca="false">'2eme trim 2017 '!B57</f>
        <v>524936</v>
      </c>
      <c r="C426" s="525"/>
      <c r="D426" s="382" t="str">
        <f aca="false">'2eme trim 2017 '!D57</f>
        <v>REEBOU PRO</v>
      </c>
      <c r="E426" s="383"/>
      <c r="F426" s="282" t="n">
        <f aca="false">'2eme trim 2017 '!F57</f>
        <v>0</v>
      </c>
      <c r="G426" s="24" t="n">
        <f aca="false">'2eme trim 2017 '!G57</f>
        <v>0</v>
      </c>
      <c r="H426" s="615"/>
      <c r="I426" s="132" t="n">
        <f aca="false">'2eme trim 2017 '!I57</f>
        <v>175.6068</v>
      </c>
      <c r="J426" s="462"/>
      <c r="K426" s="478" t="str">
        <f aca="false">IF(AND(A426=F1!$A$1,D426=F1!$B$1),ROW(),"")</f>
        <v/>
      </c>
    </row>
    <row r="427" customFormat="false" ht="17.35" hidden="false" customHeight="false" outlineLevel="0" collapsed="false">
      <c r="A427" s="481" t="str">
        <f aca="false">'4eme trim 2017  '!A89</f>
        <v>12.2017</v>
      </c>
      <c r="B427" s="552" t="n">
        <f aca="false">'4eme trim 2017  '!B89</f>
        <v>524936</v>
      </c>
      <c r="C427" s="553"/>
      <c r="D427" s="455" t="str">
        <f aca="false">'4eme trim 2017  '!D89</f>
        <v>REEBOU PRO</v>
      </c>
      <c r="E427" s="554"/>
      <c r="F427" s="282" t="n">
        <f aca="false">'4eme trim 2017  '!F89</f>
        <v>0</v>
      </c>
      <c r="G427" s="100" t="n">
        <f aca="false">'4eme trim 2017  '!G89</f>
        <v>0</v>
      </c>
      <c r="H427" s="555"/>
      <c r="I427" s="555" t="n">
        <f aca="false">'4eme trim 2017  '!I89</f>
        <v>-175.6068</v>
      </c>
      <c r="J427" s="556" t="str">
        <f aca="false">'4eme trim 2017  '!K89</f>
        <v>Annulation</v>
      </c>
      <c r="K427" s="478" t="str">
        <f aca="false">IF(AND(A427=F1!$A$1,D427=F1!$B$1),ROW(),"")</f>
        <v/>
      </c>
    </row>
    <row r="428" customFormat="false" ht="17.35" hidden="false" customHeight="false" outlineLevel="0" collapsed="false">
      <c r="A428" s="481" t="str">
        <f aca="false">'4eme trim 2017  '!A86</f>
        <v>12.2017</v>
      </c>
      <c r="B428" s="469" t="n">
        <f aca="false">'4eme trim 2017  '!B86</f>
        <v>974373</v>
      </c>
      <c r="C428" s="524"/>
      <c r="D428" s="382" t="str">
        <f aca="false">'4eme trim 2017  '!D86</f>
        <v>REEBOU Family</v>
      </c>
      <c r="E428" s="395"/>
      <c r="F428" s="282" t="n">
        <f aca="false">'4eme trim 2017  '!F86</f>
        <v>0</v>
      </c>
      <c r="G428" s="29" t="n">
        <f aca="false">'4eme trim 2017  '!G86</f>
        <v>0</v>
      </c>
      <c r="H428" s="222"/>
      <c r="I428" s="132" t="n">
        <f aca="false">'4eme trim 2017  '!I86</f>
        <v>20.22</v>
      </c>
      <c r="J428" s="437"/>
      <c r="K428" s="478" t="str">
        <f aca="false">IF(AND(A428=F1!$A$1,D428=F1!$B$1),ROW(),"")</f>
        <v/>
      </c>
    </row>
    <row r="429" customFormat="false" ht="17.35" hidden="false" customHeight="false" outlineLevel="0" collapsed="false">
      <c r="A429" s="441" t="str">
        <f aca="false">'2ème Trim.2018'!A30</f>
        <v>04.2018</v>
      </c>
      <c r="B429" s="432" t="n">
        <f aca="false">'2ème Trim.2018'!B30</f>
        <v>891120</v>
      </c>
      <c r="C429" s="524"/>
      <c r="D429" s="382" t="str">
        <f aca="false">'2ème Trim.2018'!D30</f>
        <v>MOBILE2016</v>
      </c>
      <c r="E429" s="395"/>
      <c r="F429" s="282" t="n">
        <f aca="false">'2ème Trim.2018'!F30</f>
        <v>0</v>
      </c>
      <c r="G429" s="29" t="n">
        <f aca="false">'2ème Trim.2018'!G30</f>
        <v>0</v>
      </c>
      <c r="H429" s="222"/>
      <c r="I429" s="132" t="n">
        <f aca="false">'2ème Trim.2018'!I30</f>
        <v>82.7037</v>
      </c>
      <c r="K429" s="478" t="str">
        <f aca="false">IF(AND(A429=F1!$A$1,D429=F1!$B$1),ROW(),"")</f>
        <v/>
      </c>
    </row>
    <row r="430" customFormat="false" ht="17.35" hidden="false" customHeight="false" outlineLevel="0" collapsed="false">
      <c r="A430" s="441" t="str">
        <f aca="false">'2ème Trim.2018'!A31</f>
        <v>04.2018</v>
      </c>
      <c r="B430" s="432" t="n">
        <f aca="false">'2ème Trim.2018'!B31</f>
        <v>988611</v>
      </c>
      <c r="C430" s="524"/>
      <c r="D430" s="382" t="str">
        <f aca="false">'2ème Trim.2018'!D31</f>
        <v>MOBILE2016</v>
      </c>
      <c r="E430" s="395"/>
      <c r="F430" s="282" t="n">
        <f aca="false">'2ème Trim.2018'!F31</f>
        <v>0</v>
      </c>
      <c r="G430" s="29" t="n">
        <f aca="false">'2ème Trim.2018'!G31</f>
        <v>0</v>
      </c>
      <c r="H430" s="222"/>
      <c r="I430" s="132" t="n">
        <f aca="false">'2ème Trim.2018'!I31</f>
        <v>123.4379</v>
      </c>
      <c r="K430" s="478" t="str">
        <f aca="false">IF(AND(A430=F1!$A$1,D430=F1!$B$1),ROW(),"")</f>
        <v/>
      </c>
    </row>
    <row r="431" customFormat="false" ht="17.35" hidden="false" customHeight="false" outlineLevel="0" collapsed="false">
      <c r="A431" s="441" t="str">
        <f aca="false">'2ème Trim.2018'!A32</f>
        <v>04.2018</v>
      </c>
      <c r="B431" s="432" t="n">
        <f aca="false">'2ème Trim.2018'!B32</f>
        <v>801165</v>
      </c>
      <c r="C431" s="524"/>
      <c r="D431" s="382" t="str">
        <f aca="false">'2ème Trim.2018'!D32</f>
        <v>HORIZONT60Invest</v>
      </c>
      <c r="E431" s="395"/>
      <c r="F431" s="282" t="n">
        <f aca="false">'2ème Trim.2018'!F32</f>
        <v>0</v>
      </c>
      <c r="G431" s="29" t="n">
        <f aca="false">'2ème Trim.2018'!G32</f>
        <v>2037</v>
      </c>
      <c r="H431" s="222"/>
      <c r="I431" s="132" t="n">
        <f aca="false">'2ème Trim.2018'!I32</f>
        <v>606.48</v>
      </c>
      <c r="K431" s="478" t="str">
        <f aca="false">IF(AND(A431=F1!$A$1,D431=F1!$B$1),ROW(),"")</f>
        <v/>
      </c>
    </row>
    <row r="432" customFormat="false" ht="17.35" hidden="false" customHeight="false" outlineLevel="0" collapsed="false">
      <c r="A432" s="441" t="str">
        <f aca="false">'2ème Trim.2018'!A33</f>
        <v>04.2018</v>
      </c>
      <c r="B432" s="432" t="n">
        <f aca="false">'2ème Trim.2018'!B33</f>
        <v>989575</v>
      </c>
      <c r="C432" s="524"/>
      <c r="D432" s="382" t="str">
        <f aca="false">'2ème Trim.2018'!D33</f>
        <v>NOVA</v>
      </c>
      <c r="E432" s="395"/>
      <c r="F432" s="282" t="n">
        <f aca="false">'2ème Trim.2018'!F33</f>
        <v>0</v>
      </c>
      <c r="G432" s="29" t="n">
        <f aca="false">'2ème Trim.2018'!G33</f>
        <v>2033</v>
      </c>
      <c r="H432" s="222"/>
      <c r="I432" s="132" t="n">
        <f aca="false">'2ème Trim.2018'!I33</f>
        <v>112.5</v>
      </c>
      <c r="K432" s="478" t="str">
        <f aca="false">IF(AND(A432=F1!$A$1,D432=F1!$B$1),ROW(),"")</f>
        <v/>
      </c>
    </row>
    <row r="433" customFormat="false" ht="17.35" hidden="false" customHeight="false" outlineLevel="0" collapsed="false">
      <c r="A433" s="441" t="str">
        <f aca="false">'2ème Trim.2018'!A34</f>
        <v>04.2018</v>
      </c>
      <c r="B433" s="432" t="n">
        <f aca="false">'2ème Trim.2018'!B34</f>
        <v>989575</v>
      </c>
      <c r="C433" s="524"/>
      <c r="D433" s="382" t="str">
        <f aca="false">'2ème Trim.2018'!D34</f>
        <v>NOVA</v>
      </c>
      <c r="E433" s="395"/>
      <c r="F433" s="282" t="n">
        <f aca="false">'2ème Trim.2018'!F34</f>
        <v>0</v>
      </c>
      <c r="G433" s="29" t="n">
        <f aca="false">'2ème Trim.2018'!G34</f>
        <v>2034</v>
      </c>
      <c r="H433" s="222"/>
      <c r="I433" s="132" t="n">
        <f aca="false">'2ème Trim.2018'!I34</f>
        <v>120</v>
      </c>
      <c r="K433" s="478" t="str">
        <f aca="false">IF(AND(A433=F1!$A$1,D433=F1!$B$1),ROW(),"")</f>
        <v/>
      </c>
    </row>
    <row r="434" customFormat="false" ht="17.35" hidden="false" customHeight="false" outlineLevel="0" collapsed="false">
      <c r="A434" s="441" t="str">
        <f aca="false">'2ème Trim.2018'!A35</f>
        <v>04.2018</v>
      </c>
      <c r="B434" s="432" t="n">
        <f aca="false">'2ème Trim.2018'!B35</f>
        <v>427416</v>
      </c>
      <c r="C434" s="524"/>
      <c r="D434" s="382" t="str">
        <f aca="false">'2ème Trim.2018'!D35</f>
        <v>REEBOU Family</v>
      </c>
      <c r="E434" s="395"/>
      <c r="F434" s="282" t="n">
        <f aca="false">'2ème Trim.2018'!F35</f>
        <v>0</v>
      </c>
      <c r="G434" s="29" t="n">
        <f aca="false">'2ème Trim.2018'!G35</f>
        <v>0</v>
      </c>
      <c r="H434" s="222"/>
      <c r="I434" s="132" t="n">
        <f aca="false">'2ème Trim.2018'!I35</f>
        <v>57.4736</v>
      </c>
      <c r="K434" s="478" t="str">
        <f aca="false">IF(AND(A434=F1!$A$1,D434=F1!$B$1),ROW(),"")</f>
        <v/>
      </c>
    </row>
    <row r="435" customFormat="false" ht="17.35" hidden="false" customHeight="false" outlineLevel="0" collapsed="false">
      <c r="A435" s="441" t="str">
        <f aca="false">'2ème Trim.2018'!A36</f>
        <v>04.2018</v>
      </c>
      <c r="B435" s="432" t="n">
        <f aca="false">'2ème Trim.2018'!B36</f>
        <v>0</v>
      </c>
      <c r="C435" s="524"/>
      <c r="D435" s="382" t="str">
        <f aca="false">'2ème Trim.2018'!D36</f>
        <v>BSH</v>
      </c>
      <c r="E435" s="395"/>
      <c r="F435" s="282" t="n">
        <f aca="false">'2ème Trim.2018'!F36</f>
        <v>0</v>
      </c>
      <c r="G435" s="29" t="n">
        <f aca="false">'2ème Trim.2018'!G36</f>
        <v>0</v>
      </c>
      <c r="H435" s="222"/>
      <c r="I435" s="132" t="n">
        <f aca="false">'2ème Trim.2018'!I36</f>
        <v>0</v>
      </c>
      <c r="K435" s="478" t="str">
        <f aca="false">IF(AND(A435=F1!$A$1,D435=F1!$B$1),ROW(),"")</f>
        <v/>
      </c>
    </row>
    <row r="436" customFormat="false" ht="17.35" hidden="false" customHeight="false" outlineLevel="0" collapsed="false">
      <c r="A436" s="441" t="str">
        <f aca="false">'2ème Trim.2018'!A37</f>
        <v>04.2018</v>
      </c>
      <c r="B436" s="432" t="n">
        <f aca="false">'2ème Trim.2018'!B37</f>
        <v>992259</v>
      </c>
      <c r="C436" s="524"/>
      <c r="D436" s="382" t="str">
        <f aca="false">'2ème Trim.2018'!D37</f>
        <v>REEBOU Family</v>
      </c>
      <c r="E436" s="395"/>
      <c r="F436" s="282" t="n">
        <f aca="false">'2ème Trim.2018'!F37</f>
        <v>0</v>
      </c>
      <c r="G436" s="29" t="n">
        <f aca="false">'2ème Trim.2018'!G37</f>
        <v>0</v>
      </c>
      <c r="H436" s="222"/>
      <c r="I436" s="132" t="n">
        <f aca="false">'2ème Trim.2018'!I37</f>
        <v>20.0424</v>
      </c>
      <c r="K436" s="478" t="str">
        <f aca="false">IF(AND(A436=F1!$A$1,D436=F1!$B$1),ROW(),"")</f>
        <v/>
      </c>
    </row>
    <row r="437" customFormat="false" ht="17.35" hidden="false" customHeight="false" outlineLevel="0" collapsed="false">
      <c r="A437" s="441" t="str">
        <f aca="false">'2ème Trim.2018'!A38</f>
        <v>04.2018</v>
      </c>
      <c r="B437" s="432" t="n">
        <f aca="false">'2ème Trim.2018'!B38</f>
        <v>395414</v>
      </c>
      <c r="C437" s="524"/>
      <c r="D437" s="382" t="str">
        <f aca="false">'2ème Trim.2018'!D38</f>
        <v>FOCUS</v>
      </c>
      <c r="E437" s="395"/>
      <c r="F437" s="282" t="n">
        <f aca="false">'2ème Trim.2018'!F38</f>
        <v>0</v>
      </c>
      <c r="G437" s="29" t="n">
        <f aca="false">'2ème Trim.2018'!G38</f>
        <v>0</v>
      </c>
      <c r="H437" s="222"/>
      <c r="I437" s="132" t="n">
        <f aca="false">'2ème Trim.2018'!I38</f>
        <v>44.022</v>
      </c>
      <c r="K437" s="478" t="str">
        <f aca="false">IF(AND(A437=F1!$A$1,D437=F1!$B$1),ROW(),"")</f>
        <v/>
      </c>
    </row>
    <row r="438" customFormat="false" ht="17.35" hidden="false" customHeight="false" outlineLevel="0" collapsed="false">
      <c r="A438" s="441" t="str">
        <f aca="false">'2ème Trim.2018'!A39</f>
        <v>04.2018</v>
      </c>
      <c r="B438" s="432" t="n">
        <f aca="false">'2ème Trim.2018'!B39</f>
        <v>991345</v>
      </c>
      <c r="C438" s="524"/>
      <c r="D438" s="382" t="str">
        <f aca="false">'2ème Trim.2018'!D39</f>
        <v>MOBILE2016</v>
      </c>
      <c r="E438" s="395"/>
      <c r="F438" s="282" t="n">
        <f aca="false">'2ème Trim.2018'!F39</f>
        <v>0</v>
      </c>
      <c r="G438" s="29" t="n">
        <f aca="false">'2ème Trim.2018'!G39</f>
        <v>0</v>
      </c>
      <c r="H438" s="222"/>
      <c r="I438" s="132" t="n">
        <f aca="false">'2ème Trim.2018'!I39</f>
        <v>63.0581</v>
      </c>
      <c r="K438" s="478" t="str">
        <f aca="false">IF(AND(A438=F1!$A$1,D438=F1!$B$1),ROW(),"")</f>
        <v/>
      </c>
    </row>
    <row r="439" customFormat="false" ht="17.35" hidden="false" customHeight="false" outlineLevel="0" collapsed="false">
      <c r="A439" s="441" t="str">
        <f aca="false">'2ème Trim.2018'!A40</f>
        <v>04.2018</v>
      </c>
      <c r="B439" s="432" t="n">
        <f aca="false">'2ème Trim.2018'!B40</f>
        <v>809253</v>
      </c>
      <c r="C439" s="524"/>
      <c r="D439" s="382" t="str">
        <f aca="false">'2ème Trim.2018'!D40</f>
        <v>MOBILE2016</v>
      </c>
      <c r="E439" s="395"/>
      <c r="F439" s="282" t="n">
        <f aca="false">'2ème Trim.2018'!F40</f>
        <v>0</v>
      </c>
      <c r="G439" s="29" t="n">
        <f aca="false">'2ème Trim.2018'!G40</f>
        <v>0</v>
      </c>
      <c r="H439" s="222"/>
      <c r="I439" s="132" t="n">
        <f aca="false">'2ème Trim.2018'!I40</f>
        <v>75.97425</v>
      </c>
      <c r="K439" s="478" t="str">
        <f aca="false">IF(AND(A439=F1!$A$1,D439=F1!$B$1),ROW(),"")</f>
        <v/>
      </c>
    </row>
    <row r="440" customFormat="false" ht="17.35" hidden="false" customHeight="false" outlineLevel="0" collapsed="false">
      <c r="A440" s="441" t="str">
        <f aca="false">'2ème Trim.2018'!A41</f>
        <v>04.2018</v>
      </c>
      <c r="B440" s="432" t="n">
        <f aca="false">'2ème Trim.2018'!B41</f>
        <v>0</v>
      </c>
      <c r="C440" s="524"/>
      <c r="D440" s="382" t="str">
        <f aca="false">'2ème Trim.2018'!D41</f>
        <v>BSH</v>
      </c>
      <c r="E440" s="395"/>
      <c r="F440" s="282" t="n">
        <f aca="false">'2ème Trim.2018'!F41</f>
        <v>0</v>
      </c>
      <c r="G440" s="29" t="n">
        <f aca="false">'2ème Trim.2018'!G41</f>
        <v>0</v>
      </c>
      <c r="H440" s="222"/>
      <c r="I440" s="132" t="n">
        <f aca="false">'2ème Trim.2018'!I41</f>
        <v>0</v>
      </c>
      <c r="K440" s="478" t="str">
        <f aca="false">IF(AND(A440=F1!$A$1,D440=F1!$B$1),ROW(),"")</f>
        <v/>
      </c>
    </row>
    <row r="441" customFormat="false" ht="17.35" hidden="false" customHeight="false" outlineLevel="0" collapsed="false">
      <c r="A441" s="441" t="str">
        <f aca="false">'2ème Trim.2018'!A42</f>
        <v>04.2018</v>
      </c>
      <c r="B441" s="432" t="n">
        <f aca="false">'2ème Trim.2018'!B42</f>
        <v>990516</v>
      </c>
      <c r="C441" s="524"/>
      <c r="D441" s="382" t="str">
        <f aca="false">'2ème Trim.2018'!D42</f>
        <v>MOBILE2016</v>
      </c>
      <c r="E441" s="395"/>
      <c r="F441" s="282" t="n">
        <f aca="false">'2ème Trim.2018'!F42</f>
        <v>0</v>
      </c>
      <c r="G441" s="29" t="n">
        <f aca="false">'2ème Trim.2018'!G42</f>
        <v>0</v>
      </c>
      <c r="H441" s="222"/>
      <c r="I441" s="132" t="n">
        <f aca="false">'2ème Trim.2018'!I42</f>
        <v>69.87335</v>
      </c>
      <c r="K441" s="478" t="str">
        <f aca="false">IF(AND(A441=F1!$A$1,D441=F1!$B$1),ROW(),"")</f>
        <v/>
      </c>
    </row>
    <row r="442" customFormat="false" ht="17.35" hidden="false" customHeight="false" outlineLevel="0" collapsed="false">
      <c r="A442" s="441" t="str">
        <f aca="false">'2ème Trim.2018'!A43</f>
        <v>04.2018</v>
      </c>
      <c r="B442" s="432" t="n">
        <f aca="false">'2ème Trim.2018'!B43</f>
        <v>273884</v>
      </c>
      <c r="C442" s="524"/>
      <c r="D442" s="382" t="str">
        <f aca="false">'2ème Trim.2018'!D43</f>
        <v>MOBILE2016</v>
      </c>
      <c r="E442" s="395"/>
      <c r="F442" s="282" t="n">
        <f aca="false">'2ème Trim.2018'!F43</f>
        <v>0</v>
      </c>
      <c r="G442" s="29" t="n">
        <f aca="false">'2ème Trim.2018'!G43</f>
        <v>0</v>
      </c>
      <c r="H442" s="222"/>
      <c r="I442" s="132" t="n">
        <f aca="false">'2ème Trim.2018'!I43</f>
        <v>43.1148</v>
      </c>
      <c r="K442" s="478" t="str">
        <f aca="false">IF(AND(A442=F1!$A$1,D442=F1!$B$1),ROW(),"")</f>
        <v/>
      </c>
    </row>
    <row r="443" customFormat="false" ht="17.35" hidden="false" customHeight="false" outlineLevel="0" collapsed="false">
      <c r="A443" s="441"/>
      <c r="B443" s="432"/>
      <c r="C443" s="524"/>
      <c r="D443" s="382"/>
      <c r="E443" s="395"/>
      <c r="F443" s="282"/>
      <c r="G443" s="29"/>
      <c r="H443" s="222"/>
      <c r="I443" s="132"/>
      <c r="K443" s="478" t="str">
        <f aca="false">IF(AND(A443=F1!$A$1,D443=F1!$B$1),ROW(),"")</f>
        <v/>
      </c>
    </row>
    <row r="444" customFormat="false" ht="17.35" hidden="false" customHeight="false" outlineLevel="0" collapsed="false">
      <c r="A444" s="441"/>
      <c r="B444" s="432"/>
      <c r="C444" s="524"/>
      <c r="D444" s="382"/>
      <c r="E444" s="395"/>
      <c r="F444" s="282"/>
      <c r="G444" s="29"/>
      <c r="H444" s="222"/>
      <c r="I444" s="132"/>
      <c r="K444" s="478" t="str">
        <f aca="false">IF(AND(A444=F1!$A$1,D444=F1!$B$1),ROW(),"")</f>
        <v/>
      </c>
    </row>
    <row r="445" customFormat="false" ht="17.35" hidden="false" customHeight="false" outlineLevel="0" collapsed="false">
      <c r="A445" s="441"/>
      <c r="B445" s="432"/>
      <c r="C445" s="524"/>
      <c r="D445" s="382"/>
      <c r="E445" s="395"/>
      <c r="F445" s="282"/>
      <c r="G445" s="29"/>
      <c r="H445" s="222"/>
      <c r="I445" s="132"/>
      <c r="K445" s="478" t="str">
        <f aca="false">IF(AND(A445=F1!$A$1,D445=F1!$B$1),ROW(),"")</f>
        <v/>
      </c>
    </row>
    <row r="446" customFormat="false" ht="17.35" hidden="false" customHeight="false" outlineLevel="0" collapsed="false">
      <c r="A446" s="441"/>
      <c r="B446" s="432"/>
      <c r="C446" s="524"/>
      <c r="D446" s="382"/>
      <c r="E446" s="395"/>
      <c r="F446" s="282"/>
      <c r="G446" s="29"/>
      <c r="H446" s="222"/>
      <c r="I446" s="132"/>
      <c r="K446" s="478" t="str">
        <f aca="false">IF(AND(A446=F1!$A$1,D446=F1!$B$1),ROW(),"")</f>
        <v/>
      </c>
    </row>
    <row r="447" customFormat="false" ht="17.35" hidden="false" customHeight="false" outlineLevel="0" collapsed="false">
      <c r="A447" s="441"/>
      <c r="B447" s="432"/>
      <c r="C447" s="524"/>
      <c r="D447" s="382"/>
      <c r="E447" s="395"/>
      <c r="F447" s="282"/>
      <c r="G447" s="29"/>
      <c r="H447" s="222"/>
      <c r="I447" s="132"/>
      <c r="K447" s="478" t="str">
        <f aca="false">IF(AND(A447=F1!$A$1,D447=F1!$B$1),ROW(),"")</f>
        <v/>
      </c>
    </row>
    <row r="448" customFormat="false" ht="17.35" hidden="false" customHeight="false" outlineLevel="0" collapsed="false">
      <c r="A448" s="441"/>
      <c r="B448" s="432"/>
      <c r="C448" s="524"/>
      <c r="D448" s="382"/>
      <c r="E448" s="395"/>
      <c r="F448" s="282"/>
      <c r="G448" s="29"/>
      <c r="H448" s="222"/>
      <c r="I448" s="132"/>
      <c r="K448" s="478" t="str">
        <f aca="false">IF(AND(A448=F1!$A$1,D448=F1!$B$1),ROW(),"")</f>
        <v/>
      </c>
    </row>
    <row r="449" customFormat="false" ht="17.35" hidden="false" customHeight="false" outlineLevel="0" collapsed="false">
      <c r="A449" s="441"/>
      <c r="B449" s="432"/>
      <c r="C449" s="524"/>
      <c r="D449" s="382"/>
      <c r="E449" s="395"/>
      <c r="F449" s="282"/>
      <c r="G449" s="29"/>
      <c r="H449" s="222"/>
      <c r="I449" s="132"/>
      <c r="K449" s="478" t="str">
        <f aca="false">IF(AND(A449=F1!$A$1,D449=F1!$B$1),ROW(),"")</f>
        <v/>
      </c>
    </row>
    <row r="450" customFormat="false" ht="17.35" hidden="false" customHeight="false" outlineLevel="0" collapsed="false">
      <c r="A450" s="441"/>
      <c r="B450" s="432"/>
      <c r="C450" s="524"/>
      <c r="D450" s="382"/>
      <c r="E450" s="395"/>
      <c r="F450" s="282"/>
      <c r="G450" s="29"/>
      <c r="H450" s="222"/>
      <c r="I450" s="132"/>
      <c r="K450" s="478" t="str">
        <f aca="false">IF(AND(A450=F1!$A$1,D450=F1!$B$1),ROW(),"")</f>
        <v/>
      </c>
    </row>
    <row r="451" customFormat="false" ht="17.35" hidden="false" customHeight="false" outlineLevel="0" collapsed="false">
      <c r="A451" s="441"/>
      <c r="B451" s="432"/>
      <c r="C451" s="524"/>
      <c r="D451" s="382"/>
      <c r="E451" s="395"/>
      <c r="F451" s="282"/>
      <c r="G451" s="29"/>
      <c r="H451" s="222"/>
      <c r="I451" s="132"/>
      <c r="K451" s="478" t="str">
        <f aca="false">IF(AND(A451=F1!$A$1,D451=F1!$B$1),ROW(),"")</f>
        <v/>
      </c>
    </row>
    <row r="452" customFormat="false" ht="17.35" hidden="false" customHeight="false" outlineLevel="0" collapsed="false">
      <c r="A452" s="441"/>
      <c r="B452" s="432"/>
      <c r="C452" s="524"/>
      <c r="D452" s="382"/>
      <c r="E452" s="395"/>
      <c r="F452" s="282"/>
      <c r="G452" s="29"/>
      <c r="H452" s="222"/>
      <c r="I452" s="132"/>
      <c r="K452" s="478" t="str">
        <f aca="false">IF(AND(A452=F1!$A$1,D452=F1!$B$1),ROW(),"")</f>
        <v/>
      </c>
    </row>
    <row r="453" customFormat="false" ht="17.35" hidden="false" customHeight="false" outlineLevel="0" collapsed="false">
      <c r="A453" s="441"/>
      <c r="B453" s="432"/>
      <c r="C453" s="524"/>
      <c r="D453" s="382"/>
      <c r="E453" s="395"/>
      <c r="F453" s="282"/>
      <c r="G453" s="29"/>
      <c r="H453" s="222"/>
      <c r="I453" s="132"/>
      <c r="K453" s="478" t="str">
        <f aca="false">IF(AND(A453=F1!$A$1,D453=F1!$B$1),ROW(),"")</f>
        <v/>
      </c>
    </row>
    <row r="454" customFormat="false" ht="17.35" hidden="false" customHeight="false" outlineLevel="0" collapsed="false">
      <c r="A454" s="441"/>
      <c r="B454" s="432"/>
      <c r="C454" s="524"/>
      <c r="D454" s="382"/>
      <c r="E454" s="395"/>
      <c r="F454" s="282"/>
      <c r="G454" s="29"/>
      <c r="H454" s="222"/>
      <c r="I454" s="132"/>
      <c r="K454" s="478" t="str">
        <f aca="false">IF(AND(A454=F1!$A$1,D454=F1!$B$1),ROW(),"")</f>
        <v/>
      </c>
    </row>
    <row r="455" customFormat="false" ht="17.35" hidden="false" customHeight="false" outlineLevel="0" collapsed="false">
      <c r="A455" s="441"/>
      <c r="B455" s="432"/>
      <c r="C455" s="524"/>
      <c r="D455" s="382"/>
      <c r="E455" s="395"/>
      <c r="F455" s="282"/>
      <c r="G455" s="29"/>
      <c r="H455" s="222"/>
      <c r="I455" s="132"/>
      <c r="K455" s="478" t="str">
        <f aca="false">IF(AND(A455=F1!$A$1,D455=F1!$B$1),ROW(),"")</f>
        <v/>
      </c>
    </row>
    <row r="456" customFormat="false" ht="17.35" hidden="false" customHeight="false" outlineLevel="0" collapsed="false">
      <c r="A456" s="69"/>
      <c r="B456" s="86"/>
      <c r="C456" s="685"/>
      <c r="D456" s="382"/>
      <c r="E456" s="395"/>
      <c r="F456" s="282"/>
      <c r="G456" s="29"/>
      <c r="H456" s="222"/>
      <c r="I456" s="132"/>
      <c r="K456" s="478" t="str">
        <f aca="false">IF(AND(A456=F1!$A$1,D456=F1!$B$1),ROW(),"")</f>
        <v/>
      </c>
    </row>
    <row r="457" customFormat="false" ht="13.8" hidden="false" customHeight="false" outlineLevel="0" collapsed="false">
      <c r="A457" s="432"/>
      <c r="B457" s="432"/>
      <c r="C457" s="532"/>
      <c r="D457" s="395"/>
      <c r="E457" s="433"/>
      <c r="F457" s="533"/>
      <c r="G457" s="433"/>
      <c r="H457" s="147"/>
      <c r="I457" s="147"/>
      <c r="K457" s="478" t="str">
        <f aca="false">IF(AND(A457=F1!$A$1,D457=F1!$B$1),ROW(),"")</f>
        <v/>
      </c>
    </row>
    <row r="458" customFormat="false" ht="17.35" hidden="false" customHeight="false" outlineLevel="0" collapsed="false">
      <c r="A458" s="432"/>
      <c r="B458" s="432"/>
      <c r="C458" s="685"/>
      <c r="D458" s="382"/>
      <c r="E458" s="395"/>
      <c r="F458" s="282"/>
      <c r="G458" s="29"/>
      <c r="H458" s="222"/>
      <c r="I458" s="132"/>
      <c r="K458" s="478" t="str">
        <f aca="false">IF(AND(A458=F1!$A$1,D458=F1!$B$1),ROW(),"")</f>
        <v/>
      </c>
    </row>
    <row r="459" customFormat="false" ht="17.35" hidden="false" customHeight="false" outlineLevel="0" collapsed="false">
      <c r="A459" s="441"/>
      <c r="B459" s="432"/>
      <c r="C459" s="524"/>
      <c r="D459" s="382"/>
      <c r="E459" s="395"/>
      <c r="F459" s="282"/>
      <c r="G459" s="29"/>
      <c r="H459" s="222"/>
      <c r="I459" s="132"/>
      <c r="K459" s="478" t="str">
        <f aca="false">IF(AND(A459=F1!$A$1,D459=F1!$B$1),ROW(),"")</f>
        <v/>
      </c>
    </row>
    <row r="460" customFormat="false" ht="17.35" hidden="false" customHeight="false" outlineLevel="0" collapsed="false">
      <c r="A460" s="441"/>
      <c r="B460" s="432"/>
      <c r="C460" s="524"/>
      <c r="D460" s="382"/>
      <c r="E460" s="395"/>
      <c r="F460" s="282"/>
      <c r="G460" s="29"/>
      <c r="H460" s="222"/>
      <c r="I460" s="132"/>
      <c r="K460" s="478" t="str">
        <f aca="false">IF(AND(A460=F1!$A$1,D460=F1!$B$1),ROW(),"")</f>
        <v/>
      </c>
    </row>
    <row r="461" customFormat="false" ht="17.35" hidden="false" customHeight="false" outlineLevel="0" collapsed="false">
      <c r="A461" s="441"/>
      <c r="B461" s="432"/>
      <c r="C461" s="524"/>
      <c r="D461" s="382"/>
      <c r="E461" s="395"/>
      <c r="F461" s="282"/>
      <c r="G461" s="29"/>
      <c r="H461" s="222"/>
      <c r="I461" s="132"/>
      <c r="K461" s="478" t="str">
        <f aca="false">IF(AND(A461=F1!$A$1,D461=F1!$B$1),ROW(),"")</f>
        <v/>
      </c>
    </row>
    <row r="462" customFormat="false" ht="17.35" hidden="false" customHeight="false" outlineLevel="0" collapsed="false">
      <c r="A462" s="441"/>
      <c r="B462" s="432"/>
      <c r="C462" s="524"/>
      <c r="D462" s="382"/>
      <c r="E462" s="395"/>
      <c r="F462" s="282"/>
      <c r="G462" s="29"/>
      <c r="H462" s="222"/>
      <c r="I462" s="132"/>
      <c r="K462" s="478" t="str">
        <f aca="false">IF(AND(A462=F1!$A$1,D462=F1!$B$1),ROW(),"")</f>
        <v/>
      </c>
    </row>
    <row r="463" customFormat="false" ht="17.35" hidden="false" customHeight="false" outlineLevel="0" collapsed="false">
      <c r="A463" s="441"/>
      <c r="B463" s="432"/>
      <c r="C463" s="524"/>
      <c r="D463" s="382"/>
      <c r="E463" s="395"/>
      <c r="F463" s="282"/>
      <c r="G463" s="29"/>
      <c r="H463" s="222"/>
      <c r="I463" s="132"/>
      <c r="K463" s="478" t="str">
        <f aca="false">IF(AND(A463=F1!$A$1,D463=F1!$B$1),ROW(),"")</f>
        <v/>
      </c>
    </row>
    <row r="464" customFormat="false" ht="17.35" hidden="false" customHeight="false" outlineLevel="0" collapsed="false">
      <c r="A464" s="441"/>
      <c r="B464" s="432"/>
      <c r="C464" s="524"/>
      <c r="D464" s="382"/>
      <c r="E464" s="395"/>
      <c r="F464" s="282"/>
      <c r="G464" s="29"/>
      <c r="H464" s="222"/>
      <c r="I464" s="132"/>
      <c r="K464" s="478" t="str">
        <f aca="false">IF(AND(A464=F1!$A$1,D464=F1!$B$1),ROW(),"")</f>
        <v/>
      </c>
    </row>
    <row r="465" customFormat="false" ht="17.35" hidden="false" customHeight="false" outlineLevel="0" collapsed="false">
      <c r="A465" s="441"/>
      <c r="B465" s="432"/>
      <c r="C465" s="524"/>
      <c r="D465" s="382"/>
      <c r="E465" s="395"/>
      <c r="F465" s="282"/>
      <c r="G465" s="29"/>
      <c r="H465" s="222"/>
      <c r="I465" s="132"/>
      <c r="K465" s="478" t="str">
        <f aca="false">IF(AND(A465=F1!$A$1,D465=F1!$B$1),ROW(),"")</f>
        <v/>
      </c>
    </row>
    <row r="466" customFormat="false" ht="17.35" hidden="false" customHeight="false" outlineLevel="0" collapsed="false">
      <c r="A466" s="441"/>
      <c r="B466" s="432"/>
      <c r="C466" s="524"/>
      <c r="D466" s="382"/>
      <c r="E466" s="395"/>
      <c r="F466" s="282"/>
      <c r="G466" s="29"/>
      <c r="H466" s="222"/>
      <c r="I466" s="132"/>
      <c r="K466" s="478" t="str">
        <f aca="false">IF(AND(A466=F1!$A$1,D466=F1!$B$1),ROW(),"")</f>
        <v/>
      </c>
    </row>
    <row r="467" customFormat="false" ht="17.35" hidden="false" customHeight="false" outlineLevel="0" collapsed="false">
      <c r="A467" s="441"/>
      <c r="B467" s="432"/>
      <c r="C467" s="524"/>
      <c r="D467" s="382"/>
      <c r="E467" s="395"/>
      <c r="F467" s="282"/>
      <c r="G467" s="29"/>
      <c r="H467" s="222"/>
      <c r="I467" s="132"/>
      <c r="K467" s="478" t="str">
        <f aca="false">IF(AND(A467=F1!$A$1,D467=F1!$B$1),ROW(),"")</f>
        <v/>
      </c>
    </row>
    <row r="468" customFormat="false" ht="17.35" hidden="false" customHeight="false" outlineLevel="0" collapsed="false">
      <c r="A468" s="441"/>
      <c r="B468" s="432"/>
      <c r="C468" s="524"/>
      <c r="D468" s="382"/>
      <c r="E468" s="395"/>
      <c r="F468" s="282"/>
      <c r="G468" s="29"/>
      <c r="H468" s="222"/>
      <c r="I468" s="132"/>
      <c r="K468" s="478" t="str">
        <f aca="false">IF(AND(A468=F1!$A$1,D468=F1!$B$1),ROW(),"")</f>
        <v/>
      </c>
    </row>
    <row r="469" customFormat="false" ht="17.35" hidden="false" customHeight="false" outlineLevel="0" collapsed="false">
      <c r="A469" s="441"/>
      <c r="B469" s="432"/>
      <c r="C469" s="524"/>
      <c r="D469" s="382"/>
      <c r="E469" s="395"/>
      <c r="F469" s="282"/>
      <c r="G469" s="29"/>
      <c r="H469" s="222"/>
      <c r="I469" s="132"/>
      <c r="K469" s="478" t="str">
        <f aca="false">IF(AND(A469=F1!$A$1,D469=F1!$B$1),ROW(),"")</f>
        <v/>
      </c>
    </row>
    <row r="470" customFormat="false" ht="17.35" hidden="false" customHeight="false" outlineLevel="0" collapsed="false">
      <c r="A470" s="441"/>
      <c r="B470" s="432"/>
      <c r="C470" s="524"/>
      <c r="D470" s="382"/>
      <c r="E470" s="395"/>
      <c r="F470" s="282"/>
      <c r="G470" s="29"/>
      <c r="H470" s="222"/>
      <c r="I470" s="132"/>
      <c r="K470" s="478" t="str">
        <f aca="false">IF(AND(A470=F1!$A$1,D470=F1!$B$1),ROW(),"")</f>
        <v/>
      </c>
    </row>
    <row r="471" customFormat="false" ht="17.35" hidden="false" customHeight="false" outlineLevel="0" collapsed="false">
      <c r="A471" s="441"/>
      <c r="B471" s="432"/>
      <c r="C471" s="524"/>
      <c r="D471" s="382"/>
      <c r="E471" s="395"/>
      <c r="F471" s="282"/>
      <c r="G471" s="29"/>
      <c r="H471" s="222"/>
      <c r="I471" s="132"/>
      <c r="K471" s="478" t="str">
        <f aca="false">IF(AND(A471=F1!$A$1,D471=F1!$B$1),ROW(),"")</f>
        <v/>
      </c>
    </row>
    <row r="472" customFormat="false" ht="17.35" hidden="false" customHeight="false" outlineLevel="0" collapsed="false">
      <c r="A472" s="441"/>
      <c r="B472" s="432"/>
      <c r="C472" s="524"/>
      <c r="D472" s="382"/>
      <c r="E472" s="395"/>
      <c r="F472" s="282"/>
      <c r="G472" s="29"/>
      <c r="H472" s="222"/>
      <c r="I472" s="132"/>
      <c r="K472" s="478" t="str">
        <f aca="false">IF(AND(A472=F1!$A$1,D472=F1!$B$1),ROW(),"")</f>
        <v/>
      </c>
    </row>
    <row r="473" customFormat="false" ht="17.35" hidden="false" customHeight="false" outlineLevel="0" collapsed="false">
      <c r="A473" s="441"/>
      <c r="B473" s="432"/>
      <c r="C473" s="524"/>
      <c r="D473" s="382"/>
      <c r="E473" s="395"/>
      <c r="F473" s="282"/>
      <c r="G473" s="29"/>
      <c r="H473" s="222"/>
      <c r="I473" s="132"/>
      <c r="K473" s="478" t="str">
        <f aca="false">IF(AND(A473=F1!$A$1,D473=F1!$B$1),ROW(),"")</f>
        <v/>
      </c>
    </row>
    <row r="474" customFormat="false" ht="17.35" hidden="false" customHeight="false" outlineLevel="0" collapsed="false">
      <c r="A474" s="441"/>
      <c r="B474" s="432"/>
      <c r="C474" s="524"/>
      <c r="D474" s="382"/>
      <c r="E474" s="395"/>
      <c r="F474" s="282"/>
      <c r="G474" s="29"/>
      <c r="H474" s="222"/>
      <c r="I474" s="132"/>
      <c r="K474" s="478" t="str">
        <f aca="false">IF(AND(A474=F1!$A$1,D474=F1!$B$1),ROW(),"")</f>
        <v/>
      </c>
    </row>
    <row r="475" customFormat="false" ht="17.35" hidden="false" customHeight="false" outlineLevel="0" collapsed="false">
      <c r="A475" s="441"/>
      <c r="B475" s="432"/>
      <c r="C475" s="524"/>
      <c r="D475" s="382"/>
      <c r="E475" s="395"/>
      <c r="F475" s="282"/>
      <c r="G475" s="29"/>
      <c r="H475" s="222"/>
      <c r="I475" s="132"/>
      <c r="K475" s="478" t="str">
        <f aca="false">IF(AND(A475=F1!$A$1,D475=F1!$B$1),ROW(),"")</f>
        <v/>
      </c>
    </row>
    <row r="476" customFormat="false" ht="17.35" hidden="false" customHeight="false" outlineLevel="0" collapsed="false">
      <c r="A476" s="441"/>
      <c r="B476" s="432"/>
      <c r="C476" s="524"/>
      <c r="D476" s="382"/>
      <c r="E476" s="395"/>
      <c r="F476" s="282"/>
      <c r="G476" s="29"/>
      <c r="H476" s="222"/>
      <c r="I476" s="132"/>
      <c r="K476" s="478" t="str">
        <f aca="false">IF(AND(A476=F1!$A$1,D476=F1!$B$1),ROW(),"")</f>
        <v/>
      </c>
    </row>
    <row r="477" customFormat="false" ht="17.35" hidden="false" customHeight="false" outlineLevel="0" collapsed="false">
      <c r="A477" s="441"/>
      <c r="B477" s="432"/>
      <c r="C477" s="524"/>
      <c r="D477" s="382"/>
      <c r="E477" s="395"/>
      <c r="F477" s="282"/>
      <c r="G477" s="29"/>
      <c r="H477" s="222"/>
      <c r="I477" s="132"/>
      <c r="K477" s="478" t="str">
        <f aca="false">IF(AND(A477=F1!$A$1,D477=F1!$B$1),ROW(),"")</f>
        <v/>
      </c>
    </row>
    <row r="478" customFormat="false" ht="17.35" hidden="false" customHeight="false" outlineLevel="0" collapsed="false">
      <c r="A478" s="441"/>
      <c r="B478" s="432"/>
      <c r="C478" s="524"/>
      <c r="D478" s="382"/>
      <c r="E478" s="395"/>
      <c r="F478" s="282"/>
      <c r="G478" s="29"/>
      <c r="H478" s="222"/>
      <c r="I478" s="132"/>
      <c r="K478" s="478" t="str">
        <f aca="false">IF(AND(A478=F1!$A$1,D478=F1!$B$1),ROW(),"")</f>
        <v/>
      </c>
    </row>
    <row r="479" customFormat="false" ht="17.35" hidden="false" customHeight="false" outlineLevel="0" collapsed="false">
      <c r="A479" s="441"/>
      <c r="B479" s="432"/>
      <c r="C479" s="524"/>
      <c r="D479" s="382"/>
      <c r="E479" s="395"/>
      <c r="F479" s="282"/>
      <c r="G479" s="29"/>
      <c r="H479" s="222"/>
      <c r="I479" s="132"/>
      <c r="K479" s="478" t="str">
        <f aca="false">IF(AND(A479=F1!$A$1,D479=F1!$B$1),ROW(),"")</f>
        <v/>
      </c>
    </row>
    <row r="480" customFormat="false" ht="17.35" hidden="false" customHeight="false" outlineLevel="0" collapsed="false">
      <c r="A480" s="441"/>
      <c r="B480" s="432"/>
      <c r="C480" s="524"/>
      <c r="D480" s="382"/>
      <c r="E480" s="395"/>
      <c r="F480" s="282"/>
      <c r="G480" s="29"/>
      <c r="H480" s="222"/>
      <c r="I480" s="132"/>
      <c r="K480" s="478" t="str">
        <f aca="false">IF(AND(A480=F1!$A$1,D480=F1!$B$1),ROW(),"")</f>
        <v/>
      </c>
    </row>
    <row r="481" customFormat="false" ht="17.35" hidden="false" customHeight="false" outlineLevel="0" collapsed="false">
      <c r="A481" s="441"/>
      <c r="B481" s="432"/>
      <c r="C481" s="524"/>
      <c r="D481" s="382"/>
      <c r="E481" s="395"/>
      <c r="F481" s="282"/>
      <c r="G481" s="29"/>
      <c r="H481" s="222"/>
      <c r="I481" s="132"/>
      <c r="K481" s="478" t="str">
        <f aca="false">IF(AND(A481=F1!$A$1,D481=F1!$B$1),ROW(),"")</f>
        <v/>
      </c>
    </row>
    <row r="482" customFormat="false" ht="17.35" hidden="false" customHeight="false" outlineLevel="0" collapsed="false">
      <c r="A482" s="441"/>
      <c r="B482" s="432"/>
      <c r="C482" s="524"/>
      <c r="D482" s="382"/>
      <c r="E482" s="395"/>
      <c r="F482" s="282"/>
      <c r="G482" s="29"/>
      <c r="H482" s="222"/>
      <c r="I482" s="132"/>
      <c r="K482" s="478" t="str">
        <f aca="false">IF(AND(A482=F1!$A$1,D482=F1!$B$1),ROW(),"")</f>
        <v/>
      </c>
    </row>
    <row r="483" customFormat="false" ht="17.35" hidden="false" customHeight="false" outlineLevel="0" collapsed="false">
      <c r="A483" s="441"/>
      <c r="B483" s="432"/>
      <c r="C483" s="524"/>
      <c r="D483" s="382"/>
      <c r="E483" s="395"/>
      <c r="F483" s="282"/>
      <c r="G483" s="29"/>
      <c r="H483" s="222"/>
      <c r="I483" s="132"/>
      <c r="K483" s="478" t="str">
        <f aca="false">IF(AND(A483=F1!$A$1,D483=F1!$B$1),ROW(),"")</f>
        <v/>
      </c>
    </row>
    <row r="484" customFormat="false" ht="17.35" hidden="false" customHeight="false" outlineLevel="0" collapsed="false">
      <c r="A484" s="441"/>
      <c r="B484" s="432"/>
      <c r="C484" s="524"/>
      <c r="D484" s="382"/>
      <c r="E484" s="395"/>
      <c r="F484" s="282"/>
      <c r="G484" s="29"/>
      <c r="H484" s="222"/>
      <c r="I484" s="132"/>
      <c r="K484" s="478" t="str">
        <f aca="false">IF(AND(A484=F1!$A$1,D484=F1!$B$1),ROW(),"")</f>
        <v/>
      </c>
    </row>
    <row r="485" customFormat="false" ht="17.35" hidden="false" customHeight="false" outlineLevel="0" collapsed="false">
      <c r="A485" s="441"/>
      <c r="B485" s="432"/>
      <c r="C485" s="524"/>
      <c r="D485" s="382"/>
      <c r="E485" s="395"/>
      <c r="F485" s="282"/>
      <c r="G485" s="29"/>
      <c r="H485" s="222"/>
      <c r="I485" s="132"/>
      <c r="K485" s="478" t="str">
        <f aca="false">IF(AND(A485=F1!$A$1,D485=F1!$B$1),ROW(),"")</f>
        <v/>
      </c>
    </row>
    <row r="486" customFormat="false" ht="17.35" hidden="false" customHeight="false" outlineLevel="0" collapsed="false">
      <c r="A486" s="441"/>
      <c r="B486" s="432"/>
      <c r="C486" s="524"/>
      <c r="D486" s="382"/>
      <c r="E486" s="395"/>
      <c r="F486" s="282"/>
      <c r="G486" s="29"/>
      <c r="H486" s="222"/>
      <c r="I486" s="132"/>
      <c r="K486" s="478" t="str">
        <f aca="false">IF(AND(A486=F1!$A$1,D486=F1!$B$1),ROW(),"")</f>
        <v/>
      </c>
    </row>
    <row r="487" customFormat="false" ht="17.35" hidden="false" customHeight="false" outlineLevel="0" collapsed="false">
      <c r="A487" s="441"/>
      <c r="B487" s="432"/>
      <c r="C487" s="524"/>
      <c r="D487" s="382"/>
      <c r="E487" s="395"/>
      <c r="F487" s="282"/>
      <c r="G487" s="29"/>
      <c r="H487" s="222"/>
      <c r="I487" s="132"/>
      <c r="K487" s="478" t="str">
        <f aca="false">IF(AND(A487=F1!$A$1,D487=F1!$B$1),ROW(),"")</f>
        <v/>
      </c>
    </row>
    <row r="488" customFormat="false" ht="17.35" hidden="false" customHeight="false" outlineLevel="0" collapsed="false">
      <c r="A488" s="441"/>
      <c r="B488" s="432"/>
      <c r="C488" s="524"/>
      <c r="D488" s="382"/>
      <c r="E488" s="395"/>
      <c r="F488" s="282"/>
      <c r="G488" s="29"/>
      <c r="H488" s="222"/>
      <c r="I488" s="132"/>
      <c r="K488" s="478" t="str">
        <f aca="false">IF(AND(A488=F1!$A$1,D488=F1!$B$1),ROW(),"")</f>
        <v/>
      </c>
    </row>
    <row r="489" customFormat="false" ht="17.35" hidden="false" customHeight="false" outlineLevel="0" collapsed="false">
      <c r="A489" s="441"/>
      <c r="B489" s="432"/>
      <c r="C489" s="524"/>
      <c r="D489" s="382"/>
      <c r="E489" s="395"/>
      <c r="F489" s="282"/>
      <c r="G489" s="29"/>
      <c r="H489" s="222"/>
      <c r="I489" s="132"/>
      <c r="K489" s="478" t="str">
        <f aca="false">IF(AND(A489=F1!$A$1,D489=F1!$B$1),ROW(),"")</f>
        <v/>
      </c>
    </row>
    <row r="490" customFormat="false" ht="17.35" hidden="false" customHeight="false" outlineLevel="0" collapsed="false">
      <c r="A490" s="441"/>
      <c r="B490" s="432"/>
      <c r="C490" s="524"/>
      <c r="D490" s="382"/>
      <c r="E490" s="395"/>
      <c r="F490" s="282"/>
      <c r="G490" s="29"/>
      <c r="H490" s="222"/>
      <c r="I490" s="132"/>
      <c r="K490" s="478" t="str">
        <f aca="false">IF(AND(A490=F1!$A$1,D490=F1!$B$1),ROW(),"")</f>
        <v/>
      </c>
    </row>
    <row r="491" customFormat="false" ht="17.35" hidden="false" customHeight="false" outlineLevel="0" collapsed="false">
      <c r="A491" s="441"/>
      <c r="B491" s="432"/>
      <c r="C491" s="524"/>
      <c r="D491" s="382"/>
      <c r="E491" s="395"/>
      <c r="F491" s="282"/>
      <c r="G491" s="29"/>
      <c r="H491" s="222"/>
      <c r="I491" s="132"/>
      <c r="K491" s="478" t="str">
        <f aca="false">IF(AND(A491=F1!$A$1,D491=F1!$B$1),ROW(),"")</f>
        <v/>
      </c>
    </row>
    <row r="492" customFormat="false" ht="17.35" hidden="false" customHeight="false" outlineLevel="0" collapsed="false">
      <c r="A492" s="441"/>
      <c r="B492" s="432"/>
      <c r="C492" s="524"/>
      <c r="D492" s="382"/>
      <c r="E492" s="395"/>
      <c r="F492" s="282"/>
      <c r="G492" s="29"/>
      <c r="H492" s="222"/>
      <c r="I492" s="132"/>
      <c r="K492" s="478" t="str">
        <f aca="false">IF(AND(A492=F1!$A$1,D492=F1!$B$1),ROW(),"")</f>
        <v/>
      </c>
    </row>
    <row r="493" customFormat="false" ht="17.35" hidden="false" customHeight="false" outlineLevel="0" collapsed="false">
      <c r="A493" s="69"/>
      <c r="B493" s="86"/>
      <c r="C493" s="685"/>
      <c r="D493" s="382"/>
      <c r="E493" s="395"/>
      <c r="F493" s="282"/>
      <c r="G493" s="29"/>
      <c r="H493" s="222"/>
      <c r="I493" s="132"/>
      <c r="K493" s="478" t="str">
        <f aca="false">IF(AND(A493=F1!$A$1,D493=F1!$B$1),ROW(),"")</f>
        <v/>
      </c>
    </row>
    <row r="494" customFormat="false" ht="13.8" hidden="false" customHeight="false" outlineLevel="0" collapsed="false">
      <c r="A494" s="432"/>
      <c r="B494" s="432"/>
      <c r="C494" s="532"/>
      <c r="D494" s="395"/>
      <c r="E494" s="433"/>
      <c r="F494" s="533"/>
      <c r="G494" s="433"/>
      <c r="H494" s="147"/>
      <c r="I494" s="147"/>
      <c r="K494" s="478" t="str">
        <f aca="false">IF(AND(A494=F1!$A$1,D494=F1!$B$1),ROW(),"")</f>
        <v/>
      </c>
    </row>
    <row r="495" customFormat="false" ht="17.35" hidden="false" customHeight="false" outlineLevel="0" collapsed="false">
      <c r="A495" s="432"/>
      <c r="B495" s="432"/>
      <c r="C495" s="685"/>
      <c r="D495" s="382"/>
      <c r="E495" s="395"/>
      <c r="F495" s="282"/>
      <c r="G495" s="29"/>
      <c r="H495" s="222"/>
      <c r="I495" s="132"/>
      <c r="K495" s="478" t="str">
        <f aca="false">IF(AND(A495=F1!$A$1,D495=F1!$B$1),ROW(),"")</f>
        <v/>
      </c>
    </row>
    <row r="496" customFormat="false" ht="17.35" hidden="false" customHeight="false" outlineLevel="0" collapsed="false">
      <c r="A496" s="441"/>
      <c r="B496" s="432"/>
      <c r="C496" s="524"/>
      <c r="D496" s="382"/>
      <c r="E496" s="395"/>
      <c r="F496" s="282"/>
      <c r="G496" s="29"/>
      <c r="H496" s="222"/>
      <c r="I496" s="132"/>
      <c r="K496" s="478" t="str">
        <f aca="false">IF(AND(A496=F1!$A$1,D496=F1!$B$1),ROW(),"")</f>
        <v/>
      </c>
    </row>
    <row r="497" customFormat="false" ht="17.35" hidden="false" customHeight="false" outlineLevel="0" collapsed="false">
      <c r="A497" s="441"/>
      <c r="B497" s="432"/>
      <c r="C497" s="524"/>
      <c r="D497" s="382"/>
      <c r="E497" s="395"/>
      <c r="F497" s="282"/>
      <c r="G497" s="29"/>
      <c r="H497" s="222"/>
      <c r="I497" s="132"/>
      <c r="K497" s="478" t="str">
        <f aca="false">IF(AND(A497=F1!$A$1,D497=F1!$B$1),ROW(),"")</f>
        <v/>
      </c>
    </row>
    <row r="498" customFormat="false" ht="17.35" hidden="false" customHeight="false" outlineLevel="0" collapsed="false">
      <c r="A498" s="441"/>
      <c r="B498" s="432"/>
      <c r="C498" s="524"/>
      <c r="D498" s="382"/>
      <c r="E498" s="395"/>
      <c r="F498" s="282"/>
      <c r="G498" s="29"/>
      <c r="H498" s="222"/>
      <c r="I498" s="132"/>
      <c r="K498" s="478" t="str">
        <f aca="false">IF(AND(A498=F1!$A$1,D498=F1!$B$1),ROW(),"")</f>
        <v/>
      </c>
    </row>
    <row r="499" customFormat="false" ht="17.35" hidden="false" customHeight="false" outlineLevel="0" collapsed="false">
      <c r="A499" s="441"/>
      <c r="B499" s="432"/>
      <c r="C499" s="524"/>
      <c r="D499" s="382"/>
      <c r="E499" s="395"/>
      <c r="F499" s="282"/>
      <c r="G499" s="29"/>
      <c r="H499" s="222"/>
      <c r="I499" s="132"/>
      <c r="K499" s="478" t="str">
        <f aca="false">IF(AND(A499=F1!$A$1,D499=F1!$B$1),ROW(),"")</f>
        <v/>
      </c>
    </row>
    <row r="500" customFormat="false" ht="17.35" hidden="false" customHeight="false" outlineLevel="0" collapsed="false">
      <c r="A500" s="441"/>
      <c r="B500" s="432"/>
      <c r="C500" s="524"/>
      <c r="D500" s="382"/>
      <c r="E500" s="395"/>
      <c r="F500" s="282"/>
      <c r="G500" s="29"/>
      <c r="H500" s="222"/>
      <c r="I500" s="132"/>
      <c r="K500" s="478" t="str">
        <f aca="false">IF(AND(A500=F1!$A$1,D500=F1!$B$1),ROW(),"")</f>
        <v/>
      </c>
    </row>
    <row r="501" customFormat="false" ht="17.35" hidden="false" customHeight="false" outlineLevel="0" collapsed="false">
      <c r="A501" s="441"/>
      <c r="B501" s="432"/>
      <c r="C501" s="524"/>
      <c r="D501" s="382"/>
      <c r="E501" s="395"/>
      <c r="F501" s="282"/>
      <c r="G501" s="29"/>
      <c r="H501" s="222"/>
      <c r="I501" s="132"/>
      <c r="K501" s="478" t="str">
        <f aca="false">IF(AND(A501=F1!$A$1,D501=F1!$B$1),ROW(),"")</f>
        <v/>
      </c>
    </row>
    <row r="502" customFormat="false" ht="17.35" hidden="false" customHeight="false" outlineLevel="0" collapsed="false">
      <c r="A502" s="441"/>
      <c r="B502" s="432"/>
      <c r="C502" s="524"/>
      <c r="D502" s="382"/>
      <c r="E502" s="395"/>
      <c r="F502" s="282"/>
      <c r="G502" s="29"/>
      <c r="H502" s="222"/>
      <c r="I502" s="132"/>
      <c r="K502" s="478" t="str">
        <f aca="false">IF(AND(A502=F1!$A$1,D502=F1!$B$1),ROW(),"")</f>
        <v/>
      </c>
    </row>
    <row r="503" customFormat="false" ht="17.35" hidden="false" customHeight="false" outlineLevel="0" collapsed="false">
      <c r="A503" s="441"/>
      <c r="B503" s="432"/>
      <c r="C503" s="524"/>
      <c r="D503" s="382"/>
      <c r="E503" s="395"/>
      <c r="F503" s="282"/>
      <c r="G503" s="29"/>
      <c r="H503" s="222"/>
      <c r="I503" s="132"/>
      <c r="K503" s="478" t="str">
        <f aca="false">IF(AND(A503=F1!$A$1,D503=F1!$B$1),ROW(),"")</f>
        <v/>
      </c>
    </row>
    <row r="504" customFormat="false" ht="17.35" hidden="false" customHeight="false" outlineLevel="0" collapsed="false">
      <c r="A504" s="441"/>
      <c r="B504" s="432"/>
      <c r="C504" s="524"/>
      <c r="D504" s="382"/>
      <c r="E504" s="395"/>
      <c r="F504" s="282"/>
      <c r="G504" s="29"/>
      <c r="H504" s="222"/>
      <c r="I504" s="132"/>
      <c r="K504" s="478" t="str">
        <f aca="false">IF(AND(A504=F1!$A$1,D504=F1!$B$1),ROW(),"")</f>
        <v/>
      </c>
    </row>
    <row r="505" customFormat="false" ht="17.35" hidden="false" customHeight="false" outlineLevel="0" collapsed="false">
      <c r="A505" s="441"/>
      <c r="B505" s="432"/>
      <c r="C505" s="524"/>
      <c r="D505" s="382"/>
      <c r="E505" s="395"/>
      <c r="F505" s="282"/>
      <c r="G505" s="29"/>
      <c r="H505" s="222"/>
      <c r="I505" s="132"/>
      <c r="K505" s="478" t="str">
        <f aca="false">IF(AND(A505=F1!$A$1,D505=F1!$B$1),ROW(),"")</f>
        <v/>
      </c>
    </row>
    <row r="506" customFormat="false" ht="17.35" hidden="false" customHeight="false" outlineLevel="0" collapsed="false">
      <c r="A506" s="441"/>
      <c r="B506" s="432"/>
      <c r="C506" s="524"/>
      <c r="D506" s="382"/>
      <c r="E506" s="395"/>
      <c r="F506" s="282"/>
      <c r="G506" s="29"/>
      <c r="H506" s="222"/>
      <c r="I506" s="132"/>
      <c r="K506" s="478" t="str">
        <f aca="false">IF(AND(A506=F1!$A$1,D506=F1!$B$1),ROW(),"")</f>
        <v/>
      </c>
    </row>
    <row r="507" customFormat="false" ht="17.35" hidden="false" customHeight="false" outlineLevel="0" collapsed="false">
      <c r="A507" s="441"/>
      <c r="B507" s="432"/>
      <c r="C507" s="524"/>
      <c r="D507" s="382"/>
      <c r="E507" s="395"/>
      <c r="F507" s="282"/>
      <c r="G507" s="29"/>
      <c r="H507" s="222"/>
      <c r="I507" s="132"/>
      <c r="K507" s="478" t="str">
        <f aca="false">IF(AND(A507=F1!$A$1,D507=F1!$B$1),ROW(),"")</f>
        <v/>
      </c>
    </row>
    <row r="508" customFormat="false" ht="17.35" hidden="false" customHeight="false" outlineLevel="0" collapsed="false">
      <c r="A508" s="441"/>
      <c r="B508" s="432"/>
      <c r="C508" s="524"/>
      <c r="D508" s="382"/>
      <c r="E508" s="395"/>
      <c r="F508" s="282"/>
      <c r="G508" s="29"/>
      <c r="H508" s="222"/>
      <c r="I508" s="132"/>
      <c r="K508" s="478" t="str">
        <f aca="false">IF(AND(A508=F1!$A$1,D508=F1!$B$1),ROW(),"")</f>
        <v/>
      </c>
    </row>
    <row r="509" customFormat="false" ht="17.35" hidden="false" customHeight="false" outlineLevel="0" collapsed="false">
      <c r="A509" s="441"/>
      <c r="B509" s="432"/>
      <c r="C509" s="524"/>
      <c r="D509" s="382"/>
      <c r="E509" s="395"/>
      <c r="F509" s="282"/>
      <c r="G509" s="29"/>
      <c r="H509" s="222"/>
      <c r="I509" s="132"/>
      <c r="K509" s="478" t="str">
        <f aca="false">IF(AND(A509=F1!$A$1,D509=F1!$B$1),ROW(),"")</f>
        <v/>
      </c>
    </row>
    <row r="510" customFormat="false" ht="17.35" hidden="false" customHeight="false" outlineLevel="0" collapsed="false">
      <c r="A510" s="441"/>
      <c r="B510" s="432"/>
      <c r="C510" s="524"/>
      <c r="D510" s="382"/>
      <c r="E510" s="395"/>
      <c r="F510" s="282"/>
      <c r="G510" s="29"/>
      <c r="H510" s="222"/>
      <c r="I510" s="132"/>
      <c r="K510" s="478" t="str">
        <f aca="false">IF(AND(A510=F1!$A$1,D510=F1!$B$1),ROW(),"")</f>
        <v/>
      </c>
    </row>
    <row r="511" customFormat="false" ht="17.35" hidden="false" customHeight="false" outlineLevel="0" collapsed="false">
      <c r="A511" s="441"/>
      <c r="B511" s="432"/>
      <c r="C511" s="524"/>
      <c r="D511" s="382"/>
      <c r="E511" s="395"/>
      <c r="F511" s="282"/>
      <c r="G511" s="29"/>
      <c r="H511" s="222"/>
      <c r="I511" s="132"/>
      <c r="K511" s="478" t="str">
        <f aca="false">IF(AND(A511=F1!$A$1,D511=F1!$B$1),ROW(),"")</f>
        <v/>
      </c>
    </row>
    <row r="512" customFormat="false" ht="17.35" hidden="false" customHeight="false" outlineLevel="0" collapsed="false">
      <c r="A512" s="441"/>
      <c r="B512" s="432"/>
      <c r="C512" s="524"/>
      <c r="D512" s="382"/>
      <c r="E512" s="395"/>
      <c r="F512" s="282"/>
      <c r="G512" s="29"/>
      <c r="H512" s="222"/>
      <c r="I512" s="132"/>
      <c r="K512" s="478" t="str">
        <f aca="false">IF(AND(A512=F1!$A$1,D512=F1!$B$1),ROW(),"")</f>
        <v/>
      </c>
    </row>
    <row r="513" customFormat="false" ht="17.35" hidden="false" customHeight="false" outlineLevel="0" collapsed="false">
      <c r="A513" s="441"/>
      <c r="B513" s="432"/>
      <c r="C513" s="524"/>
      <c r="D513" s="382"/>
      <c r="E513" s="395"/>
      <c r="F513" s="282"/>
      <c r="G513" s="29"/>
      <c r="H513" s="222"/>
      <c r="I513" s="132"/>
      <c r="K513" s="478" t="str">
        <f aca="false">IF(AND(A513=F1!$A$1,D513=F1!$B$1),ROW(),"")</f>
        <v/>
      </c>
    </row>
    <row r="514" customFormat="false" ht="17.35" hidden="false" customHeight="false" outlineLevel="0" collapsed="false">
      <c r="A514" s="441"/>
      <c r="B514" s="432"/>
      <c r="C514" s="524"/>
      <c r="D514" s="382"/>
      <c r="E514" s="395"/>
      <c r="F514" s="282"/>
      <c r="G514" s="29"/>
      <c r="H514" s="222"/>
      <c r="I514" s="132"/>
      <c r="K514" s="478" t="str">
        <f aca="false">IF(AND(A514=F1!$A$1,D514=F1!$B$1),ROW(),"")</f>
        <v/>
      </c>
    </row>
    <row r="515" customFormat="false" ht="17.35" hidden="false" customHeight="false" outlineLevel="0" collapsed="false">
      <c r="A515" s="441"/>
      <c r="B515" s="432"/>
      <c r="C515" s="524"/>
      <c r="D515" s="382"/>
      <c r="E515" s="395"/>
      <c r="F515" s="282"/>
      <c r="G515" s="29"/>
      <c r="H515" s="222"/>
      <c r="I515" s="132"/>
      <c r="K515" s="478" t="str">
        <f aca="false">IF(AND(A515=F1!$A$1,D515=F1!$B$1),ROW(),"")</f>
        <v/>
      </c>
    </row>
    <row r="516" customFormat="false" ht="17.35" hidden="false" customHeight="false" outlineLevel="0" collapsed="false">
      <c r="A516" s="441"/>
      <c r="B516" s="432"/>
      <c r="C516" s="524"/>
      <c r="D516" s="382"/>
      <c r="E516" s="395"/>
      <c r="F516" s="282"/>
      <c r="G516" s="29"/>
      <c r="H516" s="222"/>
      <c r="I516" s="132"/>
      <c r="K516" s="478" t="str">
        <f aca="false">IF(AND(A516=F1!$A$1,D516=F1!$B$1),ROW(),"")</f>
        <v/>
      </c>
    </row>
    <row r="517" customFormat="false" ht="17.35" hidden="false" customHeight="false" outlineLevel="0" collapsed="false">
      <c r="A517" s="441"/>
      <c r="B517" s="432"/>
      <c r="C517" s="524"/>
      <c r="D517" s="382"/>
      <c r="E517" s="395"/>
      <c r="F517" s="282"/>
      <c r="G517" s="29"/>
      <c r="H517" s="222"/>
      <c r="I517" s="132"/>
      <c r="K517" s="478" t="str">
        <f aca="false">IF(AND(A517=F1!$A$1,D517=F1!$B$1),ROW(),"")</f>
        <v/>
      </c>
    </row>
    <row r="518" customFormat="false" ht="17.35" hidden="false" customHeight="false" outlineLevel="0" collapsed="false">
      <c r="A518" s="441"/>
      <c r="B518" s="432"/>
      <c r="C518" s="524"/>
      <c r="D518" s="382"/>
      <c r="E518" s="395"/>
      <c r="F518" s="282"/>
      <c r="G518" s="29"/>
      <c r="H518" s="222"/>
      <c r="I518" s="132"/>
      <c r="K518" s="478" t="str">
        <f aca="false">IF(AND(A518=F1!$A$1,D518=F1!$B$1),ROW(),"")</f>
        <v/>
      </c>
    </row>
    <row r="519" customFormat="false" ht="17.35" hidden="false" customHeight="false" outlineLevel="0" collapsed="false">
      <c r="A519" s="441"/>
      <c r="B519" s="432"/>
      <c r="C519" s="524"/>
      <c r="D519" s="382"/>
      <c r="E519" s="395"/>
      <c r="F519" s="282"/>
      <c r="G519" s="29"/>
      <c r="H519" s="222"/>
      <c r="I519" s="132"/>
      <c r="K519" s="478" t="str">
        <f aca="false">IF(AND(A519=F1!$A$1,D519=F1!$B$1),ROW(),"")</f>
        <v/>
      </c>
    </row>
    <row r="520" customFormat="false" ht="17.35" hidden="false" customHeight="false" outlineLevel="0" collapsed="false">
      <c r="A520" s="441"/>
      <c r="B520" s="432"/>
      <c r="C520" s="524"/>
      <c r="D520" s="382"/>
      <c r="E520" s="395"/>
      <c r="F520" s="282"/>
      <c r="G520" s="29"/>
      <c r="H520" s="222"/>
      <c r="I520" s="132"/>
      <c r="K520" s="478" t="str">
        <f aca="false">IF(AND(A520=F1!$A$1,D520=F1!$B$1),ROW(),"")</f>
        <v/>
      </c>
    </row>
    <row r="521" customFormat="false" ht="17.35" hidden="false" customHeight="false" outlineLevel="0" collapsed="false">
      <c r="A521" s="441"/>
      <c r="B521" s="432"/>
      <c r="C521" s="524"/>
      <c r="D521" s="382"/>
      <c r="E521" s="395"/>
      <c r="F521" s="282"/>
      <c r="G521" s="29"/>
      <c r="H521" s="222"/>
      <c r="I521" s="132"/>
      <c r="K521" s="478" t="str">
        <f aca="false">IF(AND(A521=F1!$A$1,D521=F1!$B$1),ROW(),"")</f>
        <v/>
      </c>
    </row>
    <row r="522" customFormat="false" ht="17.35" hidden="false" customHeight="false" outlineLevel="0" collapsed="false">
      <c r="A522" s="441"/>
      <c r="B522" s="432"/>
      <c r="C522" s="524"/>
      <c r="D522" s="382"/>
      <c r="E522" s="395"/>
      <c r="F522" s="282"/>
      <c r="G522" s="29"/>
      <c r="H522" s="222"/>
      <c r="I522" s="132"/>
      <c r="K522" s="478" t="str">
        <f aca="false">IF(AND(A522=F1!$A$1,D522=F1!$B$1),ROW(),"")</f>
        <v/>
      </c>
    </row>
    <row r="523" customFormat="false" ht="17.35" hidden="false" customHeight="false" outlineLevel="0" collapsed="false">
      <c r="A523" s="441"/>
      <c r="B523" s="432"/>
      <c r="C523" s="524"/>
      <c r="D523" s="382"/>
      <c r="E523" s="395"/>
      <c r="F523" s="282"/>
      <c r="G523" s="29"/>
      <c r="H523" s="222"/>
      <c r="I523" s="132"/>
      <c r="K523" s="478" t="str">
        <f aca="false">IF(AND(A523=F1!$A$1,D523=F1!$B$1),ROW(),"")</f>
        <v/>
      </c>
    </row>
    <row r="524" customFormat="false" ht="17.35" hidden="false" customHeight="false" outlineLevel="0" collapsed="false">
      <c r="A524" s="441"/>
      <c r="B524" s="432"/>
      <c r="C524" s="524"/>
      <c r="D524" s="382"/>
      <c r="E524" s="395"/>
      <c r="F524" s="282"/>
      <c r="G524" s="29"/>
      <c r="H524" s="222"/>
      <c r="I524" s="132"/>
      <c r="K524" s="478" t="str">
        <f aca="false">IF(AND(A524=F1!$A$1,D524=F1!$B$1),ROW(),"")</f>
        <v/>
      </c>
    </row>
    <row r="525" customFormat="false" ht="17.35" hidden="false" customHeight="false" outlineLevel="0" collapsed="false">
      <c r="A525" s="441"/>
      <c r="B525" s="432"/>
      <c r="C525" s="524"/>
      <c r="D525" s="382"/>
      <c r="E525" s="395"/>
      <c r="F525" s="282"/>
      <c r="G525" s="29"/>
      <c r="H525" s="222"/>
      <c r="I525" s="132"/>
      <c r="K525" s="478" t="str">
        <f aca="false">IF(AND(A525=F1!$A$1,D525=F1!$B$1),ROW(),"")</f>
        <v/>
      </c>
    </row>
    <row r="526" customFormat="false" ht="17.35" hidden="false" customHeight="false" outlineLevel="0" collapsed="false">
      <c r="A526" s="441"/>
      <c r="B526" s="432"/>
      <c r="C526" s="524"/>
      <c r="D526" s="382"/>
      <c r="E526" s="395"/>
      <c r="F526" s="282"/>
      <c r="G526" s="29"/>
      <c r="H526" s="222"/>
      <c r="I526" s="132"/>
      <c r="K526" s="478" t="str">
        <f aca="false">IF(AND(A526=F1!$A$1,D526=F1!$B$1),ROW(),"")</f>
        <v/>
      </c>
    </row>
    <row r="527" customFormat="false" ht="17.35" hidden="false" customHeight="false" outlineLevel="0" collapsed="false">
      <c r="A527" s="441"/>
      <c r="B527" s="432"/>
      <c r="C527" s="524"/>
      <c r="D527" s="382"/>
      <c r="E527" s="395"/>
      <c r="F527" s="282"/>
      <c r="G527" s="29"/>
      <c r="H527" s="222"/>
      <c r="I527" s="132"/>
      <c r="K527" s="478" t="str">
        <f aca="false">IF(AND(A527=F1!$A$1,D527=F1!$B$1),ROW(),"")</f>
        <v/>
      </c>
    </row>
    <row r="528" customFormat="false" ht="17.35" hidden="false" customHeight="false" outlineLevel="0" collapsed="false">
      <c r="A528" s="441"/>
      <c r="B528" s="432"/>
      <c r="C528" s="524"/>
      <c r="D528" s="382"/>
      <c r="E528" s="395"/>
      <c r="F528" s="282"/>
      <c r="G528" s="29"/>
      <c r="H528" s="222"/>
      <c r="I528" s="132"/>
      <c r="K528" s="478" t="str">
        <f aca="false">IF(AND(A528=F1!$A$1,D528=F1!$B$1),ROW(),"")</f>
        <v/>
      </c>
    </row>
    <row r="529" customFormat="false" ht="17.35" hidden="false" customHeight="false" outlineLevel="0" collapsed="false">
      <c r="A529" s="441"/>
      <c r="B529" s="432"/>
      <c r="C529" s="524"/>
      <c r="D529" s="382"/>
      <c r="E529" s="395"/>
      <c r="F529" s="282"/>
      <c r="G529" s="29"/>
      <c r="H529" s="222"/>
      <c r="I529" s="132"/>
      <c r="K529" s="478" t="str">
        <f aca="false">IF(AND(A529=F1!$A$1,D529=F1!$B$1),ROW(),"")</f>
        <v/>
      </c>
    </row>
    <row r="530" customFormat="false" ht="17.35" hidden="false" customHeight="false" outlineLevel="0" collapsed="false">
      <c r="A530" s="69"/>
      <c r="B530" s="86"/>
      <c r="C530" s="685"/>
      <c r="D530" s="382"/>
      <c r="E530" s="395"/>
      <c r="F530" s="282"/>
      <c r="G530" s="29"/>
      <c r="H530" s="222"/>
      <c r="I530" s="132"/>
      <c r="K530" s="478" t="str">
        <f aca="false">IF(AND(A530=F1!$A$1,D530=F1!$B$1),ROW(),"")</f>
        <v/>
      </c>
    </row>
    <row r="531" customFormat="false" ht="13.8" hidden="false" customHeight="false" outlineLevel="0" collapsed="false">
      <c r="A531" s="432"/>
      <c r="B531" s="432"/>
      <c r="C531" s="532"/>
      <c r="D531" s="395"/>
      <c r="E531" s="433"/>
      <c r="F531" s="533"/>
      <c r="G531" s="433"/>
      <c r="H531" s="147"/>
      <c r="I531" s="147"/>
      <c r="K531" s="478" t="str">
        <f aca="false">IF(AND(A531=F1!$A$1,D531=F1!$B$1),ROW(),"")</f>
        <v/>
      </c>
    </row>
    <row r="532" customFormat="false" ht="17.35" hidden="false" customHeight="false" outlineLevel="0" collapsed="false">
      <c r="A532" s="432"/>
      <c r="B532" s="432"/>
      <c r="C532" s="685"/>
      <c r="D532" s="382"/>
      <c r="E532" s="395"/>
      <c r="F532" s="282"/>
      <c r="G532" s="29"/>
      <c r="H532" s="222"/>
      <c r="I532" s="132"/>
      <c r="K532" s="478" t="str">
        <f aca="false">IF(AND(A532=F1!$A$1,D532=F1!$B$1),ROW(),"")</f>
        <v/>
      </c>
    </row>
    <row r="533" customFormat="false" ht="13.8" hidden="false" customHeight="false" outlineLevel="0" collapsed="false">
      <c r="A533" s="69"/>
      <c r="B533" s="444"/>
      <c r="C533" s="692"/>
      <c r="D533" s="256"/>
      <c r="E533" s="256"/>
      <c r="F533" s="256"/>
      <c r="G533" s="256"/>
      <c r="H533" s="693"/>
      <c r="I533" s="694"/>
      <c r="K533" s="478" t="str">
        <f aca="false">IF(AND(A533=F1!$A$1,D533=F1!$B$1),ROW(),"")</f>
        <v/>
      </c>
    </row>
    <row r="534" customFormat="false" ht="17.35" hidden="false" customHeight="false" outlineLevel="0" collapsed="false">
      <c r="A534" s="105"/>
      <c r="B534" s="105"/>
      <c r="C534" s="695" t="s">
        <v>611</v>
      </c>
      <c r="D534" s="415"/>
      <c r="E534" s="416"/>
      <c r="F534" s="417"/>
      <c r="G534" s="107"/>
      <c r="H534" s="418"/>
      <c r="I534" s="419"/>
      <c r="K534" s="478" t="str">
        <f aca="false">IF(AND(A534=F1!$A$1,D534=F1!$B$1),ROW(),"")</f>
        <v/>
      </c>
    </row>
    <row r="535" customFormat="false" ht="17.35" hidden="false" customHeight="false" outlineLevel="0" collapsed="false">
      <c r="A535" s="110"/>
      <c r="B535" s="110"/>
      <c r="C535" s="696"/>
      <c r="D535" s="420"/>
      <c r="E535" s="421"/>
      <c r="F535" s="422"/>
      <c r="G535" s="112"/>
      <c r="H535" s="423"/>
      <c r="I535" s="380"/>
      <c r="K535" s="478" t="str">
        <f aca="false">IF(AND(A535=F1!$A$1,D535=F1!$B$1),ROW(),"")</f>
        <v/>
      </c>
    </row>
    <row r="536" customFormat="false" ht="17.35" hidden="false" customHeight="false" outlineLevel="0" collapsed="false">
      <c r="A536" s="110"/>
      <c r="B536" s="110"/>
      <c r="C536" s="696"/>
      <c r="D536" s="420"/>
      <c r="E536" s="421"/>
      <c r="F536" s="422"/>
      <c r="G536" s="112"/>
      <c r="H536" s="423"/>
      <c r="I536" s="380"/>
      <c r="K536" s="478" t="str">
        <f aca="false">IF(AND(A536=F1!$A$1,D536=F1!$B$1),ROW(),"")</f>
        <v/>
      </c>
    </row>
    <row r="537" customFormat="false" ht="17.35" hidden="false" customHeight="false" outlineLevel="0" collapsed="false">
      <c r="A537" s="110"/>
      <c r="B537" s="110"/>
      <c r="C537" s="697"/>
      <c r="D537" s="391"/>
      <c r="E537" s="397"/>
      <c r="F537" s="393"/>
      <c r="G537" s="60"/>
      <c r="H537" s="424"/>
      <c r="I537" s="461"/>
      <c r="K537" s="478" t="str">
        <f aca="false">IF(AND(A537=F1!$A$1,D537=F1!$B$1),ROW(),"")</f>
        <v/>
      </c>
    </row>
  </sheetData>
  <dataValidations count="6">
    <dataValidation allowBlank="true" operator="between" prompt="Liste choix" showDropDown="false" showErrorMessage="true" showInputMessage="true" sqref="D43:D62 D64:D127 D129:D193 D195:D419 D421:D456 D458:D493 D495:D530 D532:D533" type="list">
      <formula1>"MOBILE2016,MOBILE Regio,REEBOU Family,REEBOUImmo,REEBOU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128 D194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24 D63" type="list">
      <formula1>"MOBILE2016,MOBILE Regio,REEBOUfamily,REEBOUpack,REEBOUpro,REEBOUinvest,LOGGIA,MEDICIS,RC,RC ENSEIGN,ZENITH60op100,ZENITH60op25,HORIZONT60invest,HORIZONT60protect,HORIZONT60capi,HELIOS100protect,HELIOS60invest,HELIOS100invest,FOCUS,NOVA,BSH"</formula1>
      <formula2>0</formula2>
    </dataValidation>
    <dataValidation allowBlank="true" operator="between" prompt="CHOIX PRODUIT" showDropDown="false" showErrorMessage="true" showInputMessage="true" sqref="D5:D23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25:D42" type="list">
      <formula1>"MOBILE2016,MOBILE2007,MOBILE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4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</dataValidations>
  <printOptions headings="false" gridLines="false" gridLinesSet="true" horizontalCentered="false" verticalCentered="false"/>
  <pageMargins left="0.708333333333333" right="0.708333333333333" top="0.747916666666667" bottom="0.748611111111111" header="0.511805555555555" footer="0.315277777777778"/>
  <pageSetup paperSize="9" scale="63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>&amp;Lmauve : vérifié
orange : +-prob.</oddFooter>
  </headerFooter>
  <rowBreaks count="7" manualBreakCount="7">
    <brk id="60" man="true" max="16383" min="0"/>
    <brk id="119" man="true" max="16383" min="0"/>
    <brk id="178" man="true" max="16383" min="0"/>
    <brk id="238" man="true" max="16383" min="0"/>
    <brk id="298" man="true" max="16383" min="0"/>
    <brk id="358" man="true" max="16383" min="0"/>
    <brk id="418" man="true" max="16383" min="0"/>
  </rowBreaks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:A7"/>
    </sheetView>
  </sheetViews>
  <sheetFormatPr defaultRowHeight="12.8" zeroHeight="false" outlineLevelRow="0" outlineLevelCol="0"/>
  <cols>
    <col collapsed="false" customWidth="true" hidden="false" outlineLevel="0" max="2" min="2" style="0" width="22.64"/>
  </cols>
  <sheetData>
    <row r="1" customFormat="false" ht="13.8" hidden="false" customHeight="false" outlineLevel="0" collapsed="false">
      <c r="A1" s="34" t="s">
        <v>502</v>
      </c>
      <c r="B1" s="34" t="s">
        <v>426</v>
      </c>
      <c r="C1" s="698" t="n">
        <f aca="false">COUNTIF(Récapitulatif!K:K,"&gt;1")</f>
        <v>5</v>
      </c>
    </row>
    <row r="2" customFormat="false" ht="13.8" hidden="false" customHeight="false" outlineLevel="0" collapsed="false">
      <c r="A2" s="0" t="n">
        <f aca="false">SMALL(Récapitulatif!K:K,ROW()-1)</f>
        <v>4</v>
      </c>
    </row>
    <row r="3" customFormat="false" ht="13.8" hidden="false" customHeight="false" outlineLevel="0" collapsed="false">
      <c r="A3" s="0" t="n">
        <f aca="false">SMALL(Récapitulatif!K:K,ROW()-1)</f>
        <v>67</v>
      </c>
    </row>
    <row r="4" customFormat="false" ht="13.8" hidden="false" customHeight="false" outlineLevel="0" collapsed="false">
      <c r="A4" s="0" t="n">
        <f aca="false">SMALL(Récapitulatif!K:K,ROW()-1)</f>
        <v>149</v>
      </c>
    </row>
    <row r="5" customFormat="false" ht="13.8" hidden="false" customHeight="false" outlineLevel="0" collapsed="false">
      <c r="A5" s="0" t="n">
        <f aca="false">SMALL(Récapitulatif!K:K,ROW()-1)</f>
        <v>263</v>
      </c>
    </row>
    <row r="6" customFormat="false" ht="13.8" hidden="false" customHeight="false" outlineLevel="0" collapsed="false">
      <c r="A6" s="0" t="n">
        <f aca="false">SMALL(Récapitulatif!K:K,ROW()-1)</f>
        <v>280</v>
      </c>
    </row>
    <row r="7" customFormat="false" ht="13.8" hidden="false" customHeight="false" outlineLevel="0" collapsed="false">
      <c r="A7" s="0" t="e">
        <f aca="false">SMALL(Récapitulatif!K:K,ROW()-1)</f>
        <v>#VALUE!</v>
      </c>
    </row>
  </sheetData>
  <dataValidations count="2">
    <dataValidation allowBlank="false" operator="equal" showDropDown="false" showErrorMessage="true" showInputMessage="false" sqref="A1" type="list">
      <formula1>Récapitulatif!$A:A</formula1>
      <formula2>0</formula2>
    </dataValidation>
    <dataValidation allowBlank="false" operator="equal" showDropDown="false" showErrorMessage="true" showInputMessage="false" sqref="B1" type="list">
      <formula1>Récapitulatif!$D:D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7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3" activeCellId="1" sqref="A2:A7 H3"/>
    </sheetView>
  </sheetViews>
  <sheetFormatPr defaultRowHeight="18.75" zeroHeight="false" outlineLevelRow="0" outlineLevelCol="0"/>
  <cols>
    <col collapsed="false" customWidth="false" hidden="false" outlineLevel="0" max="1" min="1" style="62" width="11.42"/>
    <col collapsed="false" customWidth="true" hidden="false" outlineLevel="0" max="2" min="2" style="62" width="17.42"/>
    <col collapsed="false" customWidth="true" hidden="false" outlineLevel="0" max="3" min="3" style="2" width="27.99"/>
    <col collapsed="false" customWidth="true" hidden="false" outlineLevel="0" max="4" min="4" style="362" width="21.71"/>
    <col collapsed="false" customWidth="true" hidden="false" outlineLevel="0" max="5" min="5" style="363" width="24.71"/>
    <col collapsed="false" customWidth="true" hidden="false" outlineLevel="0" max="6" min="6" style="181" width="3.71"/>
    <col collapsed="false" customWidth="true" hidden="false" outlineLevel="0" max="7" min="7" style="3" width="10.58"/>
    <col collapsed="false" customWidth="true" hidden="false" outlineLevel="0" max="8" min="8" style="122" width="13.29"/>
    <col collapsed="false" customWidth="true" hidden="false" outlineLevel="0" max="9" min="9" style="122" width="12.42"/>
    <col collapsed="false" customWidth="true" hidden="false" outlineLevel="0" max="10" min="10" style="5" width="12.42"/>
    <col collapsed="false" customWidth="true" hidden="true" outlineLevel="0" max="11" min="11" style="0" width="34.29"/>
    <col collapsed="false" customWidth="true" hidden="true" outlineLevel="0" max="12" min="12" style="0" width="11.57"/>
    <col collapsed="false" customWidth="true" hidden="false" outlineLevel="0" max="1025" min="13" style="0" width="10.67"/>
  </cols>
  <sheetData>
    <row r="1" customFormat="false" ht="18.75" hidden="false" customHeight="false" outlineLevel="0" collapsed="false">
      <c r="A1" s="62" t="n">
        <v>2018</v>
      </c>
      <c r="C1" s="2" t="s">
        <v>539</v>
      </c>
      <c r="H1" s="122" t="s">
        <v>540</v>
      </c>
      <c r="J1" s="464" t="n">
        <f aca="false">2398.3*3</f>
        <v>7194.9</v>
      </c>
      <c r="K1" s="12"/>
    </row>
    <row r="2" customFormat="false" ht="18.75" hidden="false" customHeight="false" outlineLevel="0" collapsed="false">
      <c r="C2" s="465" t="s">
        <v>541</v>
      </c>
      <c r="J2" s="464"/>
      <c r="K2" s="12"/>
    </row>
    <row r="3" customFormat="false" ht="18.75" hidden="false" customHeight="false" outlineLevel="0" collapsed="false">
      <c r="C3" s="2" t="s">
        <v>542</v>
      </c>
      <c r="G3" s="1" t="s">
        <v>612</v>
      </c>
      <c r="H3" s="466" t="s">
        <v>613</v>
      </c>
      <c r="J3" s="10" t="n">
        <f aca="false">0*0</f>
        <v>0</v>
      </c>
      <c r="K3" s="12"/>
    </row>
    <row r="4" customFormat="false" ht="18.75" hidden="false" customHeight="false" outlineLevel="0" collapsed="false">
      <c r="C4" s="2" t="s">
        <v>125</v>
      </c>
      <c r="G4" s="1" t="s">
        <v>612</v>
      </c>
      <c r="H4" s="466" t="s">
        <v>614</v>
      </c>
      <c r="J4" s="10" t="n">
        <f aca="false">0*0</f>
        <v>0</v>
      </c>
      <c r="K4" s="12"/>
    </row>
    <row r="5" customFormat="false" ht="18.75" hidden="false" customHeight="false" outlineLevel="0" collapsed="false">
      <c r="C5" s="2" t="s">
        <v>547</v>
      </c>
      <c r="G5" s="1" t="s">
        <v>615</v>
      </c>
      <c r="H5" s="466" t="s">
        <v>616</v>
      </c>
      <c r="J5" s="10" t="n">
        <f aca="false">0*0</f>
        <v>0</v>
      </c>
      <c r="K5" s="12"/>
    </row>
    <row r="6" customFormat="false" ht="18.75" hidden="false" customHeight="false" outlineLevel="0" collapsed="false">
      <c r="D6" s="1"/>
      <c r="H6" s="466"/>
      <c r="I6" s="125"/>
      <c r="J6" s="10"/>
      <c r="K6" s="12"/>
    </row>
    <row r="7" customFormat="false" ht="18.75" hidden="false" customHeight="false" outlineLevel="0" collapsed="false">
      <c r="C7" s="2" t="s">
        <v>131</v>
      </c>
      <c r="G7" s="1"/>
      <c r="H7" s="466"/>
      <c r="I7" s="125"/>
      <c r="J7" s="63" t="n">
        <f aca="false">SUM(J1:J6)</f>
        <v>7194.9</v>
      </c>
      <c r="K7" s="12"/>
    </row>
    <row r="8" customFormat="false" ht="19.5" hidden="false" customHeight="false" outlineLevel="0" collapsed="false">
      <c r="K8" s="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84" t="s">
        <v>15</v>
      </c>
      <c r="I9" s="128" t="s">
        <v>16</v>
      </c>
      <c r="J9" s="19" t="s">
        <v>17</v>
      </c>
    </row>
    <row r="10" customFormat="false" ht="18.75" hidden="false" customHeight="false" outlineLevel="0" collapsed="false">
      <c r="A10" s="69"/>
      <c r="B10" s="432"/>
      <c r="C10" s="99"/>
      <c r="D10" s="382"/>
      <c r="E10" s="395"/>
      <c r="F10" s="282"/>
      <c r="G10" s="29"/>
      <c r="H10" s="222"/>
      <c r="I10" s="222"/>
      <c r="J10" s="26"/>
      <c r="K10" s="0" t="s">
        <v>134</v>
      </c>
    </row>
    <row r="11" customFormat="false" ht="18" hidden="false" customHeight="true" outlineLevel="0" collapsed="false">
      <c r="A11" s="69"/>
      <c r="B11" s="432"/>
      <c r="C11" s="70"/>
      <c r="D11" s="382"/>
      <c r="E11" s="383"/>
      <c r="F11" s="282"/>
      <c r="G11" s="24"/>
      <c r="H11" s="132"/>
      <c r="I11" s="132"/>
      <c r="J11" s="26"/>
      <c r="K11" s="0" t="s">
        <v>136</v>
      </c>
    </row>
    <row r="12" customFormat="false" ht="18" hidden="false" customHeight="true" outlineLevel="0" collapsed="false">
      <c r="A12" s="69"/>
      <c r="B12" s="432"/>
      <c r="C12" s="70"/>
      <c r="D12" s="382"/>
      <c r="E12" s="383"/>
      <c r="F12" s="282"/>
      <c r="G12" s="24"/>
      <c r="H12" s="132"/>
      <c r="I12" s="132"/>
      <c r="J12" s="26"/>
    </row>
    <row r="13" customFormat="false" ht="18" hidden="false" customHeight="true" outlineLevel="0" collapsed="false">
      <c r="A13" s="69"/>
      <c r="B13" s="432"/>
      <c r="C13" s="70"/>
      <c r="D13" s="382"/>
      <c r="E13" s="383"/>
      <c r="F13" s="282"/>
      <c r="G13" s="24"/>
      <c r="H13" s="132"/>
      <c r="I13" s="222"/>
      <c r="J13" s="26"/>
    </row>
    <row r="14" customFormat="false" ht="18" hidden="false" customHeight="true" outlineLevel="0" collapsed="false">
      <c r="A14" s="69"/>
      <c r="B14" s="432"/>
      <c r="C14" s="70"/>
      <c r="D14" s="382"/>
      <c r="E14" s="383"/>
      <c r="F14" s="282"/>
      <c r="G14" s="24"/>
      <c r="H14" s="132"/>
      <c r="I14" s="132"/>
      <c r="J14" s="26"/>
      <c r="K14" s="0" t="s">
        <v>139</v>
      </c>
    </row>
    <row r="15" customFormat="false" ht="18" hidden="false" customHeight="true" outlineLevel="0" collapsed="false">
      <c r="A15" s="69"/>
      <c r="B15" s="432"/>
      <c r="C15" s="70"/>
      <c r="D15" s="382"/>
      <c r="E15" s="383"/>
      <c r="F15" s="282"/>
      <c r="G15" s="24"/>
      <c r="H15" s="132"/>
      <c r="I15" s="130"/>
      <c r="J15" s="26"/>
    </row>
    <row r="16" customFormat="false" ht="18" hidden="false" customHeight="true" outlineLevel="0" collapsed="false">
      <c r="A16" s="69"/>
      <c r="B16" s="432"/>
      <c r="C16" s="70"/>
      <c r="D16" s="382"/>
      <c r="E16" s="383"/>
      <c r="F16" s="282"/>
      <c r="G16" s="24"/>
      <c r="H16" s="132"/>
      <c r="I16" s="130"/>
      <c r="J16" s="26"/>
    </row>
    <row r="17" customFormat="false" ht="18" hidden="false" customHeight="true" outlineLevel="0" collapsed="false">
      <c r="A17" s="69"/>
      <c r="B17" s="432"/>
      <c r="C17" s="70"/>
      <c r="D17" s="382"/>
      <c r="E17" s="383"/>
      <c r="F17" s="282"/>
      <c r="G17" s="24"/>
      <c r="H17" s="132"/>
      <c r="I17" s="130"/>
      <c r="J17" s="26"/>
    </row>
    <row r="18" customFormat="false" ht="18" hidden="false" customHeight="true" outlineLevel="0" collapsed="false">
      <c r="A18" s="69"/>
      <c r="B18" s="432"/>
      <c r="C18" s="70"/>
      <c r="D18" s="382"/>
      <c r="E18" s="433"/>
      <c r="F18" s="434"/>
      <c r="G18" s="24"/>
      <c r="H18" s="132"/>
      <c r="I18" s="132"/>
      <c r="J18" s="26"/>
    </row>
    <row r="19" customFormat="false" ht="18" hidden="false" customHeight="true" outlineLevel="0" collapsed="false">
      <c r="A19" s="69"/>
      <c r="B19" s="432"/>
      <c r="C19" s="70"/>
      <c r="D19" s="382"/>
      <c r="E19" s="433"/>
      <c r="F19" s="282"/>
      <c r="G19" s="24"/>
      <c r="H19" s="132"/>
      <c r="I19" s="132"/>
      <c r="J19" s="26"/>
    </row>
    <row r="20" customFormat="false" ht="18" hidden="false" customHeight="true" outlineLevel="0" collapsed="false">
      <c r="A20" s="69"/>
      <c r="B20" s="432"/>
      <c r="C20" s="70"/>
      <c r="D20" s="382"/>
      <c r="E20" s="383"/>
      <c r="F20" s="282"/>
      <c r="G20" s="24"/>
      <c r="H20" s="132"/>
      <c r="I20" s="130"/>
      <c r="J20" s="26"/>
      <c r="K20" s="0" t="s">
        <v>141</v>
      </c>
    </row>
    <row r="21" customFormat="false" ht="18" hidden="false" customHeight="true" outlineLevel="0" collapsed="false">
      <c r="A21" s="69"/>
      <c r="B21" s="432"/>
      <c r="C21" s="70"/>
      <c r="D21" s="382"/>
      <c r="E21" s="383"/>
      <c r="F21" s="282"/>
      <c r="G21" s="24"/>
      <c r="H21" s="132"/>
      <c r="I21" s="132"/>
      <c r="J21" s="26"/>
    </row>
    <row r="22" customFormat="false" ht="18" hidden="false" customHeight="true" outlineLevel="0" collapsed="false">
      <c r="A22" s="69"/>
      <c r="B22" s="69"/>
      <c r="C22" s="70"/>
      <c r="D22" s="382"/>
      <c r="E22" s="383"/>
      <c r="F22" s="282"/>
      <c r="G22" s="24"/>
      <c r="H22" s="132"/>
      <c r="I22" s="130"/>
      <c r="J22" s="26"/>
    </row>
    <row r="23" s="34" customFormat="true" ht="19.5" hidden="false" customHeight="false" outlineLevel="0" collapsed="false">
      <c r="A23" s="69"/>
      <c r="B23" s="69"/>
      <c r="C23" s="135" t="s">
        <v>454</v>
      </c>
      <c r="D23" s="391"/>
      <c r="E23" s="392"/>
      <c r="F23" s="393"/>
      <c r="G23" s="137"/>
      <c r="H23" s="467"/>
      <c r="I23" s="139"/>
      <c r="J23" s="140" t="n">
        <f aca="false">SUM(J10:J22)</f>
        <v>0</v>
      </c>
      <c r="K23" s="34" t="s">
        <v>175</v>
      </c>
    </row>
    <row r="24" customFormat="false" ht="18.75" hidden="false" customHeight="false" outlineLevel="0" collapsed="false">
      <c r="A24" s="141"/>
      <c r="B24" s="443"/>
      <c r="C24" s="66"/>
      <c r="D24" s="468"/>
      <c r="E24" s="373"/>
      <c r="F24" s="374"/>
      <c r="G24" s="16"/>
      <c r="H24" s="185"/>
      <c r="I24" s="130"/>
      <c r="J24" s="130"/>
      <c r="K24" s="34" t="s">
        <v>177</v>
      </c>
    </row>
    <row r="25" customFormat="false" ht="18.75" hidden="false" customHeight="false" outlineLevel="0" collapsed="false">
      <c r="A25" s="86"/>
      <c r="B25" s="432"/>
      <c r="C25" s="70"/>
      <c r="D25" s="382"/>
      <c r="E25" s="383"/>
      <c r="F25" s="282"/>
      <c r="G25" s="24"/>
      <c r="H25" s="132"/>
      <c r="I25" s="130"/>
      <c r="J25" s="130"/>
      <c r="K25" s="34" t="s">
        <v>178</v>
      </c>
    </row>
    <row r="26" customFormat="false" ht="18.75" hidden="false" customHeight="false" outlineLevel="0" collapsed="false">
      <c r="A26" s="86"/>
      <c r="B26" s="469"/>
      <c r="C26" s="70"/>
      <c r="D26" s="382"/>
      <c r="E26" s="383"/>
      <c r="F26" s="282"/>
      <c r="G26" s="24"/>
      <c r="H26" s="132"/>
      <c r="I26" s="222"/>
      <c r="J26" s="130"/>
      <c r="K26" s="88" t="s">
        <v>182</v>
      </c>
      <c r="L26" s="0" t="s">
        <v>459</v>
      </c>
    </row>
    <row r="27" s="51" customFormat="true" ht="18.75" hidden="false" customHeight="false" outlineLevel="0" collapsed="false">
      <c r="A27" s="86"/>
      <c r="B27" s="432"/>
      <c r="C27" s="70"/>
      <c r="D27" s="382"/>
      <c r="E27" s="383"/>
      <c r="F27" s="282"/>
      <c r="G27" s="24"/>
      <c r="H27" s="132"/>
      <c r="I27" s="222"/>
      <c r="J27" s="130"/>
      <c r="K27" s="51" t="s">
        <v>186</v>
      </c>
    </row>
    <row r="28" s="51" customFormat="true" ht="18.75" hidden="false" customHeight="false" outlineLevel="0" collapsed="false">
      <c r="A28" s="86"/>
      <c r="B28" s="432"/>
      <c r="C28" s="70"/>
      <c r="D28" s="382"/>
      <c r="E28" s="395"/>
      <c r="F28" s="282"/>
      <c r="G28" s="29"/>
      <c r="H28" s="222"/>
      <c r="I28" s="222"/>
      <c r="J28" s="130"/>
      <c r="K28" s="88"/>
    </row>
    <row r="29" s="51" customFormat="true" ht="18.75" hidden="false" customHeight="false" outlineLevel="0" collapsed="false">
      <c r="A29" s="86"/>
      <c r="B29" s="432"/>
      <c r="C29" s="70"/>
      <c r="D29" s="382"/>
      <c r="E29" s="395"/>
      <c r="F29" s="282"/>
      <c r="G29" s="29"/>
      <c r="H29" s="222"/>
      <c r="I29" s="222"/>
      <c r="J29" s="130"/>
      <c r="K29" s="88"/>
    </row>
    <row r="30" s="51" customFormat="true" ht="18.75" hidden="false" customHeight="false" outlineLevel="0" collapsed="false">
      <c r="A30" s="86"/>
      <c r="B30" s="432"/>
      <c r="C30" s="70"/>
      <c r="D30" s="382"/>
      <c r="E30" s="395"/>
      <c r="F30" s="282"/>
      <c r="G30" s="29"/>
      <c r="H30" s="222"/>
      <c r="I30" s="222"/>
      <c r="J30" s="130"/>
      <c r="K30" s="51" t="s">
        <v>190</v>
      </c>
    </row>
    <row r="31" s="51" customFormat="true" ht="18.75" hidden="false" customHeight="false" outlineLevel="0" collapsed="false">
      <c r="A31" s="86"/>
      <c r="B31" s="432"/>
      <c r="C31" s="70"/>
      <c r="D31" s="382"/>
      <c r="E31" s="395"/>
      <c r="F31" s="282"/>
      <c r="G31" s="29"/>
      <c r="H31" s="132"/>
      <c r="I31" s="222"/>
      <c r="J31" s="130"/>
      <c r="K31" s="51" t="s">
        <v>170</v>
      </c>
    </row>
    <row r="32" s="51" customFormat="true" ht="18.75" hidden="false" customHeight="false" outlineLevel="0" collapsed="false">
      <c r="A32" s="86"/>
      <c r="B32" s="432"/>
      <c r="C32" s="70"/>
      <c r="D32" s="382"/>
      <c r="E32" s="383"/>
      <c r="F32" s="282"/>
      <c r="G32" s="24"/>
      <c r="H32" s="132"/>
      <c r="I32" s="222"/>
      <c r="J32" s="130"/>
    </row>
    <row r="33" s="51" customFormat="true" ht="18.75" hidden="false" customHeight="false" outlineLevel="0" collapsed="false">
      <c r="A33" s="86"/>
      <c r="B33" s="432"/>
      <c r="C33" s="70"/>
      <c r="D33" s="382"/>
      <c r="E33" s="395"/>
      <c r="F33" s="282"/>
      <c r="G33" s="29"/>
      <c r="H33" s="132"/>
      <c r="I33" s="222"/>
      <c r="J33" s="130"/>
    </row>
    <row r="34" s="51" customFormat="true" ht="18.75" hidden="false" customHeight="false" outlineLevel="0" collapsed="false">
      <c r="A34" s="86"/>
      <c r="B34" s="432"/>
      <c r="C34" s="70"/>
      <c r="D34" s="382"/>
      <c r="E34" s="395"/>
      <c r="F34" s="282"/>
      <c r="G34" s="29"/>
      <c r="H34" s="132"/>
      <c r="I34" s="222"/>
      <c r="J34" s="130"/>
    </row>
    <row r="35" s="51" customFormat="true" ht="18.75" hidden="false" customHeight="false" outlineLevel="0" collapsed="false">
      <c r="A35" s="86"/>
      <c r="B35" s="432"/>
      <c r="C35" s="70"/>
      <c r="D35" s="382"/>
      <c r="E35" s="395"/>
      <c r="F35" s="282"/>
      <c r="G35" s="29"/>
      <c r="H35" s="132"/>
      <c r="I35" s="222"/>
      <c r="J35" s="130"/>
    </row>
    <row r="36" s="51" customFormat="true" ht="18.75" hidden="false" customHeight="false" outlineLevel="0" collapsed="false">
      <c r="A36" s="86"/>
      <c r="B36" s="432"/>
      <c r="C36" s="70"/>
      <c r="D36" s="382"/>
      <c r="E36" s="395"/>
      <c r="F36" s="282"/>
      <c r="G36" s="29"/>
      <c r="H36" s="132"/>
      <c r="I36" s="130"/>
      <c r="J36" s="130"/>
    </row>
    <row r="37" s="51" customFormat="true" ht="18.75" hidden="false" customHeight="false" outlineLevel="0" collapsed="false">
      <c r="A37" s="86"/>
      <c r="B37" s="432"/>
      <c r="C37" s="70"/>
      <c r="D37" s="382"/>
      <c r="E37" s="395"/>
      <c r="F37" s="282"/>
      <c r="G37" s="29"/>
      <c r="H37" s="132"/>
      <c r="I37" s="75"/>
      <c r="J37" s="130"/>
    </row>
    <row r="38" s="51" customFormat="true" ht="18.75" hidden="false" customHeight="false" outlineLevel="0" collapsed="false">
      <c r="A38" s="86"/>
      <c r="B38" s="432"/>
      <c r="C38" s="70"/>
      <c r="D38" s="382"/>
      <c r="E38" s="395"/>
      <c r="F38" s="282"/>
      <c r="G38" s="29"/>
      <c r="H38" s="132"/>
      <c r="I38" s="222"/>
      <c r="J38" s="130"/>
    </row>
    <row r="39" s="51" customFormat="true" ht="18.75" hidden="false" customHeight="false" outlineLevel="0" collapsed="false">
      <c r="A39" s="86"/>
      <c r="B39" s="432"/>
      <c r="C39" s="70"/>
      <c r="D39" s="382"/>
      <c r="E39" s="395"/>
      <c r="F39" s="282"/>
      <c r="G39" s="29"/>
      <c r="H39" s="132"/>
      <c r="I39" s="222"/>
      <c r="J39" s="130"/>
    </row>
    <row r="40" s="51" customFormat="true" ht="18.75" hidden="false" customHeight="false" outlineLevel="0" collapsed="false">
      <c r="A40" s="86"/>
      <c r="B40" s="432"/>
      <c r="C40" s="70"/>
      <c r="D40" s="382"/>
      <c r="E40" s="395"/>
      <c r="F40" s="282"/>
      <c r="G40" s="29"/>
      <c r="H40" s="132"/>
      <c r="I40" s="130"/>
      <c r="J40" s="130"/>
    </row>
    <row r="41" s="51" customFormat="true" ht="18.75" hidden="false" customHeight="false" outlineLevel="0" collapsed="false">
      <c r="A41" s="86"/>
      <c r="B41" s="432"/>
      <c r="C41" s="70"/>
      <c r="D41" s="382"/>
      <c r="E41" s="395"/>
      <c r="F41" s="282"/>
      <c r="G41" s="29"/>
      <c r="H41" s="132"/>
      <c r="I41" s="222"/>
      <c r="J41" s="130"/>
    </row>
    <row r="42" s="51" customFormat="true" ht="18.75" hidden="false" customHeight="false" outlineLevel="0" collapsed="false">
      <c r="A42" s="69"/>
      <c r="B42" s="69"/>
      <c r="C42" s="70"/>
      <c r="D42" s="382"/>
      <c r="E42" s="395"/>
      <c r="F42" s="282"/>
      <c r="G42" s="29"/>
      <c r="H42" s="132"/>
      <c r="I42" s="222"/>
      <c r="J42" s="130" t="n">
        <f aca="false">I42</f>
        <v>0</v>
      </c>
    </row>
    <row r="43" customFormat="false" ht="19.5" hidden="false" customHeight="false" outlineLevel="0" collapsed="false">
      <c r="A43" s="69"/>
      <c r="B43" s="69"/>
      <c r="C43" s="135" t="s">
        <v>236</v>
      </c>
      <c r="D43" s="391"/>
      <c r="E43" s="397"/>
      <c r="F43" s="393"/>
      <c r="G43" s="60"/>
      <c r="H43" s="150"/>
      <c r="I43" s="150"/>
      <c r="J43" s="115" t="n">
        <f aca="false">SUM(J24:J42)</f>
        <v>0</v>
      </c>
      <c r="K43" s="34" t="s">
        <v>194</v>
      </c>
    </row>
    <row r="44" customFormat="false" ht="18.75" hidden="false" customHeight="false" outlineLevel="0" collapsed="false">
      <c r="A44" s="141"/>
      <c r="B44" s="469"/>
      <c r="C44" s="70"/>
      <c r="D44" s="468"/>
      <c r="E44" s="24"/>
      <c r="F44" s="282"/>
      <c r="G44" s="24"/>
      <c r="H44" s="132"/>
      <c r="I44" s="222"/>
      <c r="J44" s="19"/>
      <c r="K44" s="34"/>
    </row>
    <row r="45" s="51" customFormat="true" ht="18.75" hidden="false" customHeight="false" outlineLevel="0" collapsed="false">
      <c r="A45" s="86"/>
      <c r="B45" s="432"/>
      <c r="C45" s="70"/>
      <c r="D45" s="382"/>
      <c r="E45" s="383"/>
      <c r="F45" s="399"/>
      <c r="G45" s="24"/>
      <c r="H45" s="132"/>
      <c r="I45" s="222"/>
      <c r="J45" s="26"/>
      <c r="K45" s="34" t="s">
        <v>200</v>
      </c>
    </row>
    <row r="46" customFormat="false" ht="18.75" hidden="false" customHeight="false" outlineLevel="0" collapsed="false">
      <c r="A46" s="86"/>
      <c r="B46" s="432"/>
      <c r="C46" s="70"/>
      <c r="D46" s="382"/>
      <c r="E46" s="395"/>
      <c r="F46" s="282"/>
      <c r="G46" s="29"/>
      <c r="H46" s="222"/>
      <c r="I46" s="130"/>
      <c r="J46" s="45"/>
      <c r="K46" s="88" t="s">
        <v>202</v>
      </c>
    </row>
    <row r="47" customFormat="false" ht="18.75" hidden="false" customHeight="false" outlineLevel="0" collapsed="false">
      <c r="A47" s="86"/>
      <c r="B47" s="432"/>
      <c r="C47" s="70"/>
      <c r="D47" s="382"/>
      <c r="E47" s="383"/>
      <c r="F47" s="282"/>
      <c r="G47" s="24"/>
      <c r="H47" s="132"/>
      <c r="I47" s="130"/>
      <c r="J47" s="26"/>
      <c r="K47" s="88" t="s">
        <v>205</v>
      </c>
    </row>
    <row r="48" s="34" customFormat="true" ht="18.75" hidden="false" customHeight="false" outlineLevel="0" collapsed="false">
      <c r="A48" s="86"/>
      <c r="B48" s="432"/>
      <c r="C48" s="70"/>
      <c r="D48" s="382"/>
      <c r="E48" s="401"/>
      <c r="F48" s="282"/>
      <c r="G48" s="24"/>
      <c r="H48" s="132"/>
      <c r="I48" s="130"/>
      <c r="J48" s="26"/>
      <c r="K48" s="88"/>
    </row>
    <row r="49" s="34" customFormat="true" ht="18.75" hidden="false" customHeight="false" outlineLevel="0" collapsed="false">
      <c r="A49" s="86"/>
      <c r="B49" s="432"/>
      <c r="C49" s="70"/>
      <c r="D49" s="382"/>
      <c r="E49" s="401"/>
      <c r="F49" s="282"/>
      <c r="G49" s="24"/>
      <c r="H49" s="402"/>
      <c r="I49" s="222"/>
      <c r="J49" s="31"/>
    </row>
    <row r="50" customFormat="false" ht="18.75" hidden="false" customHeight="false" outlineLevel="0" collapsed="false">
      <c r="A50" s="86"/>
      <c r="B50" s="432"/>
      <c r="C50" s="70"/>
      <c r="D50" s="382"/>
      <c r="E50" s="383"/>
      <c r="F50" s="282"/>
      <c r="G50" s="24"/>
      <c r="H50" s="132"/>
      <c r="I50" s="222"/>
      <c r="J50" s="26"/>
      <c r="K50" s="34" t="s">
        <v>210</v>
      </c>
    </row>
    <row r="51" s="46" customFormat="true" ht="18.75" hidden="false" customHeight="false" outlineLevel="0" collapsed="false">
      <c r="A51" s="86"/>
      <c r="B51" s="432"/>
      <c r="C51" s="99"/>
      <c r="D51" s="382"/>
      <c r="E51" s="395"/>
      <c r="F51" s="282"/>
      <c r="G51" s="42"/>
      <c r="H51" s="222"/>
      <c r="I51" s="222"/>
      <c r="J51" s="404"/>
      <c r="K51" s="51" t="s">
        <v>213</v>
      </c>
    </row>
    <row r="52" s="46" customFormat="true" ht="18.75" hidden="false" customHeight="false" outlineLevel="0" collapsed="false">
      <c r="A52" s="86"/>
      <c r="B52" s="432"/>
      <c r="C52" s="99"/>
      <c r="D52" s="382"/>
      <c r="E52" s="395"/>
      <c r="F52" s="282"/>
      <c r="G52" s="42"/>
      <c r="H52" s="222"/>
      <c r="I52" s="222"/>
      <c r="J52" s="404"/>
      <c r="K52" s="51"/>
    </row>
    <row r="53" s="51" customFormat="true" ht="18.75" hidden="false" customHeight="false" outlineLevel="0" collapsed="false">
      <c r="A53" s="86"/>
      <c r="B53" s="432"/>
      <c r="C53" s="90"/>
      <c r="D53" s="382"/>
      <c r="E53" s="395"/>
      <c r="F53" s="282"/>
      <c r="G53" s="29"/>
      <c r="H53" s="222"/>
      <c r="I53" s="222"/>
      <c r="J53" s="45"/>
      <c r="K53" s="34" t="s">
        <v>214</v>
      </c>
      <c r="L53" s="46"/>
    </row>
    <row r="54" customFormat="false" ht="18.75" hidden="false" customHeight="false" outlineLevel="0" collapsed="false">
      <c r="A54" s="86"/>
      <c r="B54" s="432"/>
      <c r="C54" s="90"/>
      <c r="D54" s="382"/>
      <c r="E54" s="395"/>
      <c r="F54" s="282"/>
      <c r="G54" s="29"/>
      <c r="H54" s="222"/>
      <c r="I54" s="222"/>
      <c r="J54" s="45"/>
      <c r="K54" s="34" t="s">
        <v>216</v>
      </c>
    </row>
    <row r="55" customFormat="false" ht="18.75" hidden="false" customHeight="false" outlineLevel="0" collapsed="false">
      <c r="A55" s="86"/>
      <c r="B55" s="432"/>
      <c r="C55" s="99"/>
      <c r="D55" s="382"/>
      <c r="E55" s="395"/>
      <c r="F55" s="282"/>
      <c r="G55" s="29"/>
      <c r="H55" s="222"/>
      <c r="I55" s="222"/>
      <c r="J55" s="45"/>
      <c r="K55" s="34"/>
    </row>
    <row r="56" customFormat="false" ht="18.75" hidden="false" customHeight="false" outlineLevel="0" collapsed="false">
      <c r="A56" s="86"/>
      <c r="B56" s="432"/>
      <c r="C56" s="99"/>
      <c r="D56" s="382"/>
      <c r="E56" s="395"/>
      <c r="F56" s="282"/>
      <c r="G56" s="29"/>
      <c r="H56" s="222"/>
      <c r="I56" s="222"/>
      <c r="J56" s="45"/>
      <c r="K56" s="34"/>
    </row>
    <row r="57" customFormat="false" ht="18.75" hidden="false" customHeight="false" outlineLevel="0" collapsed="false">
      <c r="A57" s="69"/>
      <c r="B57" s="69"/>
      <c r="C57" s="99"/>
      <c r="D57" s="382"/>
      <c r="E57" s="395"/>
      <c r="F57" s="282"/>
      <c r="G57" s="29"/>
      <c r="H57" s="222"/>
      <c r="I57" s="222"/>
      <c r="J57" s="45"/>
      <c r="K57" s="34"/>
    </row>
    <row r="58" customFormat="false" ht="18.75" hidden="false" customHeight="false" outlineLevel="0" collapsed="false">
      <c r="A58" s="69"/>
      <c r="B58" s="69"/>
      <c r="C58" s="99"/>
      <c r="D58" s="382"/>
      <c r="E58" s="395"/>
      <c r="F58" s="282"/>
      <c r="G58" s="29"/>
      <c r="H58" s="222"/>
      <c r="I58" s="222"/>
      <c r="J58" s="45"/>
      <c r="K58" s="34"/>
    </row>
    <row r="59" customFormat="false" ht="18.75" hidden="false" customHeight="false" outlineLevel="0" collapsed="false">
      <c r="A59" s="69"/>
      <c r="B59" s="69"/>
      <c r="C59" s="99"/>
      <c r="D59" s="382"/>
      <c r="E59" s="395"/>
      <c r="F59" s="282"/>
      <c r="G59" s="29"/>
      <c r="H59" s="222"/>
      <c r="I59" s="222"/>
      <c r="J59" s="45"/>
      <c r="K59" s="34"/>
    </row>
    <row r="60" customFormat="false" ht="18.75" hidden="false" customHeight="false" outlineLevel="0" collapsed="false">
      <c r="A60" s="69"/>
      <c r="B60" s="69"/>
      <c r="C60" s="99"/>
      <c r="D60" s="382"/>
      <c r="E60" s="395"/>
      <c r="F60" s="282"/>
      <c r="G60" s="29"/>
      <c r="H60" s="222"/>
      <c r="I60" s="222"/>
      <c r="J60" s="45"/>
      <c r="K60" s="34"/>
    </row>
    <row r="61" customFormat="false" ht="18.75" hidden="false" customHeight="false" outlineLevel="0" collapsed="false">
      <c r="A61" s="69"/>
      <c r="B61" s="69"/>
      <c r="C61" s="99"/>
      <c r="D61" s="382"/>
      <c r="E61" s="395"/>
      <c r="F61" s="282"/>
      <c r="G61" s="29"/>
      <c r="H61" s="222"/>
      <c r="I61" s="222"/>
      <c r="J61" s="45"/>
      <c r="K61" s="34"/>
    </row>
    <row r="62" customFormat="false" ht="18.75" hidden="false" customHeight="false" outlineLevel="0" collapsed="false">
      <c r="A62" s="69"/>
      <c r="B62" s="69"/>
      <c r="C62" s="99"/>
      <c r="D62" s="382"/>
      <c r="E62" s="395"/>
      <c r="F62" s="282"/>
      <c r="G62" s="29"/>
      <c r="H62" s="222"/>
      <c r="I62" s="222"/>
      <c r="J62" s="45"/>
      <c r="K62" s="34"/>
    </row>
    <row r="63" customFormat="false" ht="18.75" hidden="false" customHeight="false" outlineLevel="0" collapsed="false">
      <c r="A63" s="69"/>
      <c r="B63" s="69"/>
      <c r="C63" s="99"/>
      <c r="D63" s="382"/>
      <c r="E63" s="395"/>
      <c r="F63" s="282"/>
      <c r="G63" s="29"/>
      <c r="H63" s="222"/>
      <c r="I63" s="222"/>
      <c r="J63" s="45"/>
      <c r="K63" s="34"/>
    </row>
    <row r="64" customFormat="false" ht="18.75" hidden="false" customHeight="false" outlineLevel="0" collapsed="false">
      <c r="A64" s="69"/>
      <c r="B64" s="69"/>
      <c r="C64" s="99"/>
      <c r="D64" s="382"/>
      <c r="E64" s="395"/>
      <c r="F64" s="282"/>
      <c r="G64" s="29"/>
      <c r="H64" s="222"/>
      <c r="I64" s="222"/>
      <c r="J64" s="45"/>
      <c r="K64" s="34"/>
    </row>
    <row r="65" customFormat="false" ht="18.75" hidden="false" customHeight="false" outlineLevel="0" collapsed="false">
      <c r="A65" s="69"/>
      <c r="B65" s="69"/>
      <c r="C65" s="99"/>
      <c r="D65" s="382"/>
      <c r="E65" s="395"/>
      <c r="F65" s="282"/>
      <c r="G65" s="29"/>
      <c r="H65" s="222"/>
      <c r="I65" s="222"/>
      <c r="J65" s="45"/>
      <c r="K65" s="34"/>
    </row>
    <row r="66" customFormat="false" ht="19.5" hidden="false" customHeight="false" outlineLevel="0" collapsed="false">
      <c r="A66" s="105"/>
      <c r="B66" s="148"/>
      <c r="C66" s="160" t="s">
        <v>236</v>
      </c>
      <c r="D66" s="391"/>
      <c r="E66" s="407"/>
      <c r="F66" s="393"/>
      <c r="G66" s="161"/>
      <c r="H66" s="408"/>
      <c r="I66" s="408"/>
      <c r="J66" s="164" t="n">
        <f aca="false">SUM(J44:J65)</f>
        <v>0</v>
      </c>
      <c r="K66" s="34"/>
    </row>
    <row r="67" customFormat="false" ht="19.5" hidden="false" customHeight="false" outlineLevel="0" collapsed="false">
      <c r="A67" s="195"/>
      <c r="B67" s="195"/>
      <c r="C67" s="470"/>
      <c r="D67" s="471"/>
      <c r="E67" s="192"/>
      <c r="F67" s="472"/>
      <c r="G67" s="473"/>
      <c r="H67" s="474"/>
      <c r="I67" s="474"/>
      <c r="J67" s="475"/>
      <c r="K67" s="34"/>
    </row>
    <row r="68" customFormat="false" ht="19.5" hidden="false" customHeight="false" outlineLevel="0" collapsed="false">
      <c r="A68" s="110"/>
      <c r="B68" s="230"/>
      <c r="C68" s="171" t="s">
        <v>285</v>
      </c>
      <c r="D68" s="415"/>
      <c r="E68" s="416"/>
      <c r="F68" s="417"/>
      <c r="G68" s="107"/>
      <c r="H68" s="418"/>
      <c r="I68" s="419"/>
      <c r="J68" s="108" t="n">
        <f aca="false">SUM(J23,J43,J66)</f>
        <v>0</v>
      </c>
      <c r="K68" s="34"/>
    </row>
    <row r="69" customFormat="false" ht="18.75" hidden="false" customHeight="false" outlineLevel="0" collapsed="false">
      <c r="A69" s="110"/>
      <c r="B69" s="110"/>
      <c r="C69" s="111"/>
      <c r="D69" s="420"/>
      <c r="E69" s="421"/>
      <c r="F69" s="422"/>
      <c r="G69" s="112"/>
      <c r="H69" s="423"/>
      <c r="I69" s="380"/>
      <c r="J69" s="96"/>
      <c r="K69" s="34"/>
    </row>
    <row r="70" customFormat="false" ht="18.75" hidden="false" customHeight="false" outlineLevel="0" collapsed="false">
      <c r="A70" s="110"/>
      <c r="B70" s="110"/>
      <c r="C70" s="111" t="s">
        <v>220</v>
      </c>
      <c r="D70" s="420"/>
      <c r="E70" s="421"/>
      <c r="F70" s="422"/>
      <c r="G70" s="112"/>
      <c r="H70" s="423"/>
      <c r="I70" s="380"/>
      <c r="J70" s="96" t="n">
        <f aca="false">J7</f>
        <v>7194.9</v>
      </c>
      <c r="K70" s="34"/>
    </row>
    <row r="71" customFormat="false" ht="18.75" hidden="false" customHeight="false" outlineLevel="0" collapsed="false">
      <c r="A71" s="110"/>
      <c r="B71" s="110"/>
      <c r="C71" s="111" t="s">
        <v>221</v>
      </c>
      <c r="D71" s="420"/>
      <c r="E71" s="421"/>
      <c r="F71" s="422"/>
      <c r="G71" s="112"/>
      <c r="H71" s="423"/>
      <c r="I71" s="380"/>
      <c r="J71" s="96" t="n">
        <f aca="false">SUM(J68:J70)</f>
        <v>7194.9</v>
      </c>
      <c r="K71" s="34"/>
    </row>
    <row r="72" s="116" customFormat="true" ht="19.5" hidden="false" customHeight="false" outlineLevel="0" collapsed="false">
      <c r="A72" s="110"/>
      <c r="B72" s="110"/>
      <c r="C72" s="114" t="s">
        <v>222</v>
      </c>
      <c r="D72" s="391"/>
      <c r="E72" s="397"/>
      <c r="F72" s="393"/>
      <c r="G72" s="60"/>
      <c r="H72" s="424"/>
      <c r="I72" s="461"/>
      <c r="J72" s="26" t="n">
        <f aca="false">J71/3</f>
        <v>2398.3</v>
      </c>
    </row>
    <row r="73" s="120" customFormat="true" ht="18.75" hidden="false" customHeight="false" outlineLevel="0" collapsed="false">
      <c r="A73" s="110"/>
      <c r="B73" s="110"/>
      <c r="C73" s="117"/>
      <c r="D73" s="426"/>
      <c r="E73" s="427"/>
      <c r="F73" s="428"/>
      <c r="G73" s="80"/>
      <c r="H73" s="233"/>
      <c r="I73" s="179"/>
      <c r="J73" s="119"/>
    </row>
  </sheetData>
  <dataValidations count="3">
    <dataValidation allowBlank="true" operator="between" prompt="Liste choix" showDropDown="false" showErrorMessage="true" showInputMessage="true" sqref="D28" type="list">
      <formula1>"MOBILE2016,MOBILE Regio,REEBOU Family,REEBOUImmo,REEBOU Pack,REEBOU Pro,REEBOU Invest,LOGGIA,MEDICIS,RC,RC ENSEIGNANT,ZENITH60 Op100,ZENITH60 Op25,HORIZONT60Invest,HORIZONT60Protect,HORIZONT60Capi,HELIOS100Protect,HELIOS100Invest,FOCUS,NOVA,BSH,MOBILE CR"</formula1>
      <formula2>0</formula2>
    </dataValidation>
    <dataValidation allowBlank="true" operator="between" prompt="Liste choix" showDropDown="false" showErrorMessage="true" showInputMessage="true" sqref="D57:D66" type="list">
      <formula1>"MOBILE2016,MOBILE Regio,REEBOU Family,REEBOUImmo,REEBOU Pack,REEBOU Pro,REEBOU Invest,LOGGIA,MEDICIS,RC,RC ENSEIGNT,ZENITH60 Op100,ZENITH60 Op25,HORIZONT60Inv,HORIZONT60Prot,HORIZONT60Capi,HELIOS100Prot,HELIOS100Inv,FOCUS,NOVA,BSH,EA,TSRD"</formula1>
      <formula2>0</formula2>
    </dataValidation>
    <dataValidation allowBlank="true" operator="between" prompt="Liste choix" showDropDown="false" showErrorMessage="true" showInputMessage="true" sqref="D10:D27 D29:D56" type="list">
      <formula1>"MOBILE2016,MOBILE Regio,REEBOU Family,REEBOUImmo,REEBOU Pack,REEBOU Pro,REEBOU Invest,LOGGIA,MEDICIS,RC,RC ENSEIGNANT,ZENITH60 Op100,ZENITH60 Op25,HORIZONT60Invest,HORIZONT60Protect,HORIZONT60Capi,HELIOS100Protect,HELIOS100Invest,FOCUS,NOVA,BSH"</formula1>
      <formula2>0</formula2>
    </dataValidation>
  </dataValidations>
  <printOptions headings="false" gridLines="true" gridLinesSet="true" horizontalCentered="true" verticalCentered="true"/>
  <pageMargins left="0.236111111111111" right="0.236111111111111" top="0.158333333333333" bottom="0.196527777777778" header="0.315277777777778" footer="0.118055555555556"/>
  <pageSetup paperSize="9" scale="8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1erTRIMESTRE 2018</oddHeader>
    <oddFooter>&amp;L&amp;8&amp;Z&amp;F&amp;C&amp;7&amp;P/&amp;N&amp;RModfié le &amp;D </oddFooter>
  </headerFooter>
  <rowBreaks count="2" manualBreakCount="2">
    <brk id="23" man="true" max="16383" min="0"/>
    <brk id="43" man="true" max="16383" min="0"/>
  </rowBreaks>
</worksheet>
</file>

<file path=xl/worksheets/sheet13.xml><?xml version="1.0" encoding="utf-8"?>
<worksheet xmlns="http://schemas.openxmlformats.org/spreadsheetml/2006/main" xmlns:r="http://schemas.openxmlformats.org/officeDocument/2006/relationships">
  <sheetPr filterMode="false">
    <tabColor rgb="FFF79646"/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Q44" activeCellId="1" sqref="A2:A7 Q44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30"/>
  <sheetViews>
    <sheetView showFormulas="false" showGridLines="true" showRowColHeaders="true" showZeros="true" rightToLeft="false" tabSelected="false" showOutlineSymbols="true" defaultGridColor="true" view="normal" topLeftCell="A7" colorId="64" zoomScale="100" zoomScaleNormal="100" zoomScalePageLayoutView="100" workbookViewId="0">
      <selection pane="topLeft" activeCell="E20" activeCellId="1" sqref="A2:A7 E20"/>
    </sheetView>
  </sheetViews>
  <sheetFormatPr defaultRowHeight="15" zeroHeight="false" outlineLevelRow="0" outlineLevelCol="0"/>
  <cols>
    <col collapsed="false" customWidth="true" hidden="false" outlineLevel="0" max="1" min="1" style="429" width="20.42"/>
    <col collapsed="false" customWidth="true" hidden="false" outlineLevel="0" max="2" min="2" style="0" width="26.85"/>
    <col collapsed="false" customWidth="true" hidden="false" outlineLevel="0" max="3" min="3" style="0" width="15"/>
    <col collapsed="false" customWidth="true" hidden="false" outlineLevel="0" max="1025" min="4" style="0" width="10.67"/>
  </cols>
  <sheetData>
    <row r="1" customFormat="false" ht="15" hidden="false" customHeight="false" outlineLevel="0" collapsed="false">
      <c r="A1" s="429" t="s">
        <v>617</v>
      </c>
    </row>
    <row r="4" customFormat="false" ht="15" hidden="false" customHeight="false" outlineLevel="0" collapsed="false">
      <c r="A4" s="699" t="s">
        <v>618</v>
      </c>
      <c r="B4" s="0" t="s">
        <v>619</v>
      </c>
    </row>
    <row r="6" customFormat="false" ht="15" hidden="false" customHeight="false" outlineLevel="0" collapsed="false">
      <c r="A6" s="699" t="s">
        <v>20</v>
      </c>
    </row>
    <row r="7" customFormat="false" ht="15" hidden="false" customHeight="false" outlineLevel="0" collapsed="false">
      <c r="A7" s="439" t="s">
        <v>620</v>
      </c>
      <c r="B7" s="0" t="s">
        <v>621</v>
      </c>
    </row>
    <row r="8" customFormat="false" ht="15" hidden="false" customHeight="false" outlineLevel="0" collapsed="false">
      <c r="A8" s="439" t="s">
        <v>622</v>
      </c>
      <c r="B8" s="0" t="s">
        <v>623</v>
      </c>
    </row>
    <row r="10" customFormat="false" ht="15" hidden="false" customHeight="false" outlineLevel="0" collapsed="false">
      <c r="A10" s="699" t="s">
        <v>624</v>
      </c>
    </row>
    <row r="11" customFormat="false" ht="15" hidden="false" customHeight="false" outlineLevel="0" collapsed="false">
      <c r="A11" s="429" t="s">
        <v>625</v>
      </c>
      <c r="B11" s="700" t="n">
        <v>0.035</v>
      </c>
    </row>
    <row r="12" customFormat="false" ht="30" hidden="false" customHeight="false" outlineLevel="0" collapsed="false">
      <c r="A12" s="429" t="s">
        <v>626</v>
      </c>
    </row>
    <row r="13" customFormat="false" ht="15" hidden="false" customHeight="false" outlineLevel="0" collapsed="false">
      <c r="A13" s="429" t="s">
        <v>627</v>
      </c>
      <c r="B13" s="701" t="n">
        <v>0.05</v>
      </c>
    </row>
    <row r="14" customFormat="false" ht="15" hidden="false" customHeight="false" outlineLevel="0" collapsed="false">
      <c r="A14" s="429" t="s">
        <v>628</v>
      </c>
      <c r="B14" s="700" t="n">
        <v>0.065</v>
      </c>
    </row>
    <row r="16" customFormat="false" ht="15" hidden="false" customHeight="false" outlineLevel="0" collapsed="false">
      <c r="A16" s="699" t="s">
        <v>629</v>
      </c>
    </row>
    <row r="17" customFormat="false" ht="15" hidden="false" customHeight="false" outlineLevel="0" collapsed="false">
      <c r="A17" s="702"/>
      <c r="B17" s="703"/>
    </row>
    <row r="18" customFormat="false" ht="30" hidden="false" customHeight="false" outlineLevel="0" collapsed="false">
      <c r="A18" s="439" t="s">
        <v>630</v>
      </c>
      <c r="B18" s="701" t="n">
        <v>0.08</v>
      </c>
    </row>
    <row r="19" customFormat="false" ht="15" hidden="false" customHeight="false" outlineLevel="0" collapsed="false">
      <c r="A19" s="439"/>
      <c r="B19" s="701"/>
    </row>
    <row r="20" customFormat="false" ht="30" hidden="false" customHeight="false" outlineLevel="0" collapsed="false">
      <c r="A20" s="556" t="s">
        <v>631</v>
      </c>
      <c r="B20" s="701" t="n">
        <v>0.05</v>
      </c>
    </row>
    <row r="21" customFormat="false" ht="15" hidden="false" customHeight="false" outlineLevel="0" collapsed="false">
      <c r="A21" s="439" t="s">
        <v>632</v>
      </c>
    </row>
    <row r="22" customFormat="false" ht="15" hidden="false" customHeight="false" outlineLevel="0" collapsed="false">
      <c r="A22" s="439"/>
    </row>
    <row r="24" customFormat="false" ht="15" hidden="false" customHeight="false" outlineLevel="0" collapsed="false">
      <c r="A24" s="429" t="s">
        <v>633</v>
      </c>
      <c r="B24" s="0" t="s">
        <v>634</v>
      </c>
    </row>
    <row r="25" customFormat="false" ht="15" hidden="false" customHeight="false" outlineLevel="0" collapsed="false">
      <c r="A25" s="429" t="s">
        <v>635</v>
      </c>
      <c r="B25" s="0" t="s">
        <v>636</v>
      </c>
    </row>
    <row r="26" customFormat="false" ht="15" hidden="false" customHeight="false" outlineLevel="0" collapsed="false">
      <c r="A26" s="429" t="s">
        <v>637</v>
      </c>
      <c r="B26" s="0" t="s">
        <v>638</v>
      </c>
    </row>
    <row r="29" customFormat="false" ht="15" hidden="false" customHeight="false" outlineLevel="0" collapsed="false">
      <c r="A29" s="382"/>
      <c r="B29" s="476" t="s">
        <v>639</v>
      </c>
    </row>
    <row r="30" customFormat="false" ht="15" hidden="false" customHeight="false" outlineLevel="0" collapsed="false">
      <c r="A30" s="51" t="s">
        <v>640</v>
      </c>
    </row>
  </sheetData>
  <dataValidations count="1">
    <dataValidation allowBlank="true" operator="between" prompt="Liste choix" showDropDown="false" showErrorMessage="true" showInputMessage="true" sqref="A29" type="list">
      <formula1>"MOBILE2016,MOBILE Regio,REEBOU Family,REEBOUImmo,REEBOU Pack,REEBOU Pro,REEBOU Invest,LOGGIA,MEDICIS,RC,RC ENSEIGNT,ZENITH60 Op100,ZENITH60 Op25,HORIZONT60Inv,HORIZONT60Prot,HORIZONT60Capi,HELIOS100Prot,HELIOS100Inv,FOCUS,NOVA,BSH,EA,TSRD"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filterMode="false">
    <tabColor rgb="FFE46C0A"/>
    <pageSetUpPr fitToPage="false"/>
  </sheetPr>
  <dimension ref="A1:C3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31" activeCellId="1" sqref="A2:A7 B31"/>
    </sheetView>
  </sheetViews>
  <sheetFormatPr defaultRowHeight="15" zeroHeight="false" outlineLevelRow="0" outlineLevelCol="0"/>
  <cols>
    <col collapsed="false" customWidth="true" hidden="false" outlineLevel="0" max="1" min="1" style="0" width="18.14"/>
    <col collapsed="false" customWidth="true" hidden="false" outlineLevel="0" max="2" min="2" style="0" width="26.85"/>
    <col collapsed="false" customWidth="true" hidden="false" outlineLevel="0" max="3" min="3" style="0" width="15"/>
    <col collapsed="false" customWidth="true" hidden="false" outlineLevel="0" max="1025" min="4" style="0" width="10.67"/>
  </cols>
  <sheetData>
    <row r="1" customFormat="false" ht="15" hidden="false" customHeight="false" outlineLevel="0" collapsed="false">
      <c r="A1" s="0" t="s">
        <v>617</v>
      </c>
    </row>
    <row r="3" customFormat="false" ht="15" hidden="false" customHeight="false" outlineLevel="0" collapsed="false">
      <c r="A3" s="704" t="s">
        <v>641</v>
      </c>
      <c r="B3" s="701" t="n">
        <v>0.35</v>
      </c>
    </row>
    <row r="5" customFormat="false" ht="15" hidden="false" customHeight="false" outlineLevel="0" collapsed="false">
      <c r="A5" s="704" t="s">
        <v>618</v>
      </c>
      <c r="B5" s="0" t="s">
        <v>642</v>
      </c>
      <c r="C5" s="705" t="s">
        <v>643</v>
      </c>
    </row>
    <row r="7" customFormat="false" ht="15" hidden="false" customHeight="false" outlineLevel="0" collapsed="false">
      <c r="A7" s="704" t="s">
        <v>20</v>
      </c>
      <c r="B7" s="0" t="s">
        <v>644</v>
      </c>
      <c r="C7" s="705" t="s">
        <v>643</v>
      </c>
    </row>
    <row r="9" customFormat="false" ht="15" hidden="false" customHeight="false" outlineLevel="0" collapsed="false">
      <c r="A9" s="704" t="s">
        <v>624</v>
      </c>
    </row>
    <row r="10" customFormat="false" ht="15" hidden="false" customHeight="false" outlineLevel="0" collapsed="false">
      <c r="A10" s="0" t="s">
        <v>625</v>
      </c>
      <c r="B10" s="701" t="n">
        <v>0.04</v>
      </c>
    </row>
    <row r="11" customFormat="false" ht="15" hidden="false" customHeight="false" outlineLevel="0" collapsed="false">
      <c r="A11" s="0" t="s">
        <v>645</v>
      </c>
    </row>
    <row r="12" customFormat="false" ht="15" hidden="false" customHeight="false" outlineLevel="0" collapsed="false">
      <c r="A12" s="0" t="s">
        <v>627</v>
      </c>
      <c r="B12" s="701" t="n">
        <v>0.06</v>
      </c>
    </row>
    <row r="13" customFormat="false" ht="15" hidden="false" customHeight="false" outlineLevel="0" collapsed="false">
      <c r="A13" s="0" t="s">
        <v>646</v>
      </c>
      <c r="B13" s="701" t="n">
        <v>0.07</v>
      </c>
    </row>
    <row r="14" customFormat="false" ht="15" hidden="false" customHeight="false" outlineLevel="0" collapsed="false">
      <c r="A14" s="0" t="s">
        <v>647</v>
      </c>
      <c r="B14" s="701" t="n">
        <v>0.08</v>
      </c>
    </row>
    <row r="16" customFormat="false" ht="15" hidden="false" customHeight="false" outlineLevel="0" collapsed="false">
      <c r="A16" s="704" t="s">
        <v>629</v>
      </c>
      <c r="B16" s="701" t="n">
        <v>0.12</v>
      </c>
    </row>
    <row r="17" customFormat="false" ht="15" hidden="false" customHeight="false" outlineLevel="0" collapsed="false">
      <c r="A17" s="0" t="s">
        <v>648</v>
      </c>
      <c r="B17" s="701" t="n">
        <v>0.15</v>
      </c>
    </row>
    <row r="18" customFormat="false" ht="15" hidden="false" customHeight="false" outlineLevel="0" collapsed="false">
      <c r="A18" s="0" t="s">
        <v>649</v>
      </c>
      <c r="B18" s="701" t="n">
        <v>0.1</v>
      </c>
    </row>
    <row r="19" customFormat="false" ht="15" hidden="false" customHeight="false" outlineLevel="0" collapsed="false">
      <c r="A19" s="0" t="s">
        <v>650</v>
      </c>
      <c r="B19" s="701" t="n">
        <v>0.1</v>
      </c>
    </row>
    <row r="21" customFormat="false" ht="15" hidden="false" customHeight="false" outlineLevel="0" collapsed="false">
      <c r="A21" s="704" t="s">
        <v>651</v>
      </c>
      <c r="B21" s="701" t="n">
        <v>0.5</v>
      </c>
    </row>
    <row r="23" customFormat="false" ht="15" hidden="false" customHeight="false" outlineLevel="0" collapsed="false">
      <c r="A23" s="704" t="s">
        <v>652</v>
      </c>
      <c r="B23" s="476" t="s">
        <v>653</v>
      </c>
    </row>
    <row r="24" customFormat="false" ht="15" hidden="false" customHeight="false" outlineLevel="0" collapsed="false">
      <c r="A24" s="705" t="s">
        <v>643</v>
      </c>
      <c r="B24" s="0" t="s">
        <v>654</v>
      </c>
    </row>
    <row r="25" customFormat="false" ht="15" hidden="false" customHeight="false" outlineLevel="0" collapsed="false">
      <c r="A25" s="0" t="s">
        <v>633</v>
      </c>
      <c r="B25" s="0" t="s">
        <v>655</v>
      </c>
    </row>
    <row r="26" customFormat="false" ht="15" hidden="false" customHeight="false" outlineLevel="0" collapsed="false">
      <c r="A26" s="0" t="s">
        <v>635</v>
      </c>
      <c r="B26" s="0" t="s">
        <v>656</v>
      </c>
    </row>
    <row r="27" customFormat="false" ht="15" hidden="false" customHeight="false" outlineLevel="0" collapsed="false">
      <c r="A27" s="0" t="s">
        <v>637</v>
      </c>
      <c r="B27" s="0" t="s">
        <v>657</v>
      </c>
    </row>
    <row r="29" customFormat="false" ht="18.75" hidden="false" customHeight="false" outlineLevel="0" collapsed="false">
      <c r="A29" s="706" t="s">
        <v>658</v>
      </c>
    </row>
    <row r="31" customFormat="false" ht="15" hidden="false" customHeight="false" outlineLevel="0" collapsed="false">
      <c r="A31" s="455"/>
      <c r="B31" s="476" t="s">
        <v>639</v>
      </c>
    </row>
  </sheetData>
  <dataValidations count="1">
    <dataValidation allowBlank="true" operator="between" prompt="Liste choix" showDropDown="false" showErrorMessage="true" showInputMessage="true" sqref="A31" type="list">
      <formula1>"MOBILE2016,MOBILE2007,MOBILE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9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41" activeCellId="1" sqref="A2:A7 B41"/>
    </sheetView>
  </sheetViews>
  <sheetFormatPr defaultRowHeight="18.75" zeroHeight="false" outlineLevelRow="0" outlineLevelCol="0"/>
  <cols>
    <col collapsed="false" customWidth="false" hidden="false" outlineLevel="0" max="1" min="1" style="62" width="11.42"/>
    <col collapsed="false" customWidth="true" hidden="false" outlineLevel="0" max="2" min="2" style="62" width="17.42"/>
    <col collapsed="false" customWidth="true" hidden="false" outlineLevel="0" max="3" min="3" style="2" width="27.99"/>
    <col collapsed="false" customWidth="true" hidden="false" outlineLevel="0" max="4" min="4" style="362" width="21.71"/>
    <col collapsed="false" customWidth="true" hidden="false" outlineLevel="0" max="5" min="5" style="363" width="24.71"/>
    <col collapsed="false" customWidth="true" hidden="false" outlineLevel="0" max="6" min="6" style="181" width="3.71"/>
    <col collapsed="false" customWidth="true" hidden="false" outlineLevel="0" max="7" min="7" style="3" width="10.58"/>
    <col collapsed="false" customWidth="true" hidden="false" outlineLevel="0" max="8" min="8" style="122" width="13.29"/>
    <col collapsed="false" customWidth="true" hidden="false" outlineLevel="0" max="9" min="9" style="122" width="12.42"/>
    <col collapsed="false" customWidth="true" hidden="false" outlineLevel="0" max="10" min="10" style="5" width="12.42"/>
    <col collapsed="false" customWidth="true" hidden="true" outlineLevel="0" max="11" min="11" style="0" width="34.29"/>
    <col collapsed="false" customWidth="true" hidden="true" outlineLevel="0" max="12" min="12" style="0" width="11.57"/>
    <col collapsed="false" customWidth="true" hidden="false" outlineLevel="0" max="1025" min="13" style="0" width="10.67"/>
  </cols>
  <sheetData>
    <row r="1" customFormat="false" ht="18.75" hidden="false" customHeight="false" outlineLevel="0" collapsed="false">
      <c r="A1" s="62" t="n">
        <v>2018</v>
      </c>
      <c r="C1" s="2" t="s">
        <v>539</v>
      </c>
      <c r="H1" s="122" t="s">
        <v>540</v>
      </c>
      <c r="J1" s="464" t="n">
        <f aca="false">2398.3*3</f>
        <v>7194.9</v>
      </c>
      <c r="K1" s="12"/>
    </row>
    <row r="2" customFormat="false" ht="18.75" hidden="false" customHeight="false" outlineLevel="0" collapsed="false">
      <c r="C2" s="465" t="s">
        <v>541</v>
      </c>
      <c r="J2" s="464"/>
      <c r="K2" s="12"/>
    </row>
    <row r="3" customFormat="false" ht="18.75" hidden="false" customHeight="false" outlineLevel="0" collapsed="false">
      <c r="C3" s="2" t="s">
        <v>542</v>
      </c>
      <c r="G3" s="1" t="s">
        <v>580</v>
      </c>
      <c r="H3" s="466" t="s">
        <v>581</v>
      </c>
      <c r="J3" s="10" t="n">
        <f aca="false">20*11.51</f>
        <v>230.2</v>
      </c>
      <c r="K3" s="12"/>
    </row>
    <row r="4" customFormat="false" ht="18.75" hidden="false" customHeight="false" outlineLevel="0" collapsed="false">
      <c r="C4" s="2" t="s">
        <v>125</v>
      </c>
      <c r="G4" s="1" t="s">
        <v>580</v>
      </c>
      <c r="H4" s="466" t="s">
        <v>581</v>
      </c>
      <c r="J4" s="10" t="n">
        <f aca="false">37*11.51</f>
        <v>425.87</v>
      </c>
      <c r="K4" s="12"/>
    </row>
    <row r="5" customFormat="false" ht="18.75" hidden="false" customHeight="false" outlineLevel="0" collapsed="false">
      <c r="C5" s="2" t="s">
        <v>547</v>
      </c>
      <c r="G5" s="1" t="s">
        <v>582</v>
      </c>
      <c r="H5" s="466" t="s">
        <v>581</v>
      </c>
      <c r="J5" s="10" t="n">
        <f aca="false">8*11.51</f>
        <v>92.08</v>
      </c>
      <c r="K5" s="12"/>
    </row>
    <row r="6" customFormat="false" ht="18.75" hidden="false" customHeight="false" outlineLevel="0" collapsed="false">
      <c r="D6" s="1"/>
      <c r="H6" s="466"/>
      <c r="I6" s="125"/>
      <c r="J6" s="10"/>
      <c r="K6" s="12"/>
    </row>
    <row r="7" customFormat="false" ht="18.75" hidden="false" customHeight="false" outlineLevel="0" collapsed="false">
      <c r="C7" s="2" t="s">
        <v>131</v>
      </c>
      <c r="G7" s="1"/>
      <c r="H7" s="466"/>
      <c r="I7" s="125"/>
      <c r="J7" s="63" t="n">
        <f aca="false">SUM(J1:J6)</f>
        <v>7943.05</v>
      </c>
      <c r="K7" s="12"/>
    </row>
    <row r="8" customFormat="false" ht="19.5" hidden="false" customHeight="false" outlineLevel="0" collapsed="false">
      <c r="K8" s="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84" t="s">
        <v>15</v>
      </c>
      <c r="I9" s="128" t="s">
        <v>16</v>
      </c>
      <c r="J9" s="19" t="s">
        <v>17</v>
      </c>
    </row>
    <row r="10" customFormat="false" ht="18.75" hidden="false" customHeight="false" outlineLevel="0" collapsed="false">
      <c r="A10" s="73"/>
      <c r="B10" s="73" t="s">
        <v>424</v>
      </c>
      <c r="C10" s="375" t="s">
        <v>425</v>
      </c>
      <c r="D10" s="376" t="s">
        <v>426</v>
      </c>
      <c r="E10" s="377" t="s">
        <v>427</v>
      </c>
      <c r="F10" s="378"/>
      <c r="G10" s="24"/>
      <c r="H10" s="132" t="n">
        <v>100</v>
      </c>
      <c r="I10" s="132"/>
      <c r="J10" s="379" t="n">
        <f aca="false">I10</f>
        <v>0</v>
      </c>
    </row>
    <row r="11" customFormat="false" ht="18.75" hidden="false" customHeight="false" outlineLevel="0" collapsed="false">
      <c r="A11" s="73"/>
      <c r="B11" s="73" t="s">
        <v>424</v>
      </c>
      <c r="C11" s="375" t="s">
        <v>425</v>
      </c>
      <c r="D11" s="376" t="s">
        <v>428</v>
      </c>
      <c r="E11" s="377" t="s">
        <v>427</v>
      </c>
      <c r="F11" s="378"/>
      <c r="G11" s="24"/>
      <c r="H11" s="132" t="n">
        <v>100</v>
      </c>
      <c r="I11" s="132"/>
      <c r="J11" s="379" t="n">
        <f aca="false">I11</f>
        <v>0</v>
      </c>
    </row>
    <row r="12" customFormat="false" ht="18.75" hidden="false" customHeight="false" outlineLevel="0" collapsed="false">
      <c r="A12" s="73"/>
      <c r="B12" s="73" t="s">
        <v>424</v>
      </c>
      <c r="C12" s="375" t="s">
        <v>425</v>
      </c>
      <c r="D12" s="376" t="s">
        <v>429</v>
      </c>
      <c r="E12" s="377" t="s">
        <v>427</v>
      </c>
      <c r="F12" s="378"/>
      <c r="G12" s="24"/>
      <c r="H12" s="132" t="n">
        <v>100</v>
      </c>
      <c r="I12" s="132" t="n">
        <f aca="false">H12*0.12</f>
        <v>12</v>
      </c>
      <c r="J12" s="379" t="n">
        <f aca="false">I12</f>
        <v>12</v>
      </c>
    </row>
    <row r="13" customFormat="false" ht="18.75" hidden="false" customHeight="false" outlineLevel="0" collapsed="false">
      <c r="A13" s="73"/>
      <c r="B13" s="73" t="s">
        <v>424</v>
      </c>
      <c r="C13" s="375" t="s">
        <v>424</v>
      </c>
      <c r="D13" s="376" t="s">
        <v>430</v>
      </c>
      <c r="E13" s="377" t="s">
        <v>427</v>
      </c>
      <c r="F13" s="378"/>
      <c r="G13" s="24"/>
      <c r="H13" s="132" t="n">
        <v>100</v>
      </c>
      <c r="I13" s="132" t="n">
        <f aca="false">H13*0.15</f>
        <v>15</v>
      </c>
      <c r="J13" s="379" t="n">
        <f aca="false">I13</f>
        <v>15</v>
      </c>
    </row>
    <row r="14" customFormat="false" ht="18.75" hidden="false" customHeight="false" outlineLevel="0" collapsed="false">
      <c r="A14" s="73"/>
      <c r="B14" s="73" t="s">
        <v>424</v>
      </c>
      <c r="C14" s="375" t="s">
        <v>424</v>
      </c>
      <c r="D14" s="376" t="s">
        <v>431</v>
      </c>
      <c r="E14" s="377" t="s">
        <v>427</v>
      </c>
      <c r="F14" s="378"/>
      <c r="G14" s="24"/>
      <c r="H14" s="132" t="n">
        <v>100</v>
      </c>
      <c r="I14" s="132" t="n">
        <f aca="false">H14*0.12</f>
        <v>12</v>
      </c>
      <c r="J14" s="379" t="n">
        <f aca="false">I14</f>
        <v>12</v>
      </c>
    </row>
    <row r="15" customFormat="false" ht="18.75" hidden="false" customHeight="false" outlineLevel="0" collapsed="false">
      <c r="A15" s="73"/>
      <c r="B15" s="73" t="s">
        <v>424</v>
      </c>
      <c r="C15" s="375" t="s">
        <v>424</v>
      </c>
      <c r="D15" s="376" t="s">
        <v>432</v>
      </c>
      <c r="E15" s="377" t="s">
        <v>427</v>
      </c>
      <c r="F15" s="378"/>
      <c r="G15" s="24"/>
      <c r="H15" s="132" t="n">
        <v>100</v>
      </c>
      <c r="I15" s="132" t="n">
        <f aca="false">H15*0.12</f>
        <v>12</v>
      </c>
      <c r="J15" s="379" t="n">
        <f aca="false">I15</f>
        <v>12</v>
      </c>
    </row>
    <row r="16" customFormat="false" ht="18.75" hidden="false" customHeight="false" outlineLevel="0" collapsed="false">
      <c r="A16" s="73"/>
      <c r="B16" s="73" t="s">
        <v>424</v>
      </c>
      <c r="C16" s="375" t="s">
        <v>424</v>
      </c>
      <c r="D16" s="376" t="s">
        <v>189</v>
      </c>
      <c r="E16" s="377" t="s">
        <v>427</v>
      </c>
      <c r="F16" s="378"/>
      <c r="G16" s="24"/>
      <c r="H16" s="132" t="n">
        <v>100</v>
      </c>
      <c r="I16" s="132" t="n">
        <f aca="false">H16*0.12</f>
        <v>12</v>
      </c>
      <c r="J16" s="379" t="n">
        <f aca="false">I16</f>
        <v>12</v>
      </c>
    </row>
    <row r="17" customFormat="false" ht="18.75" hidden="false" customHeight="false" outlineLevel="0" collapsed="false">
      <c r="A17" s="73"/>
      <c r="B17" s="73" t="s">
        <v>424</v>
      </c>
      <c r="C17" s="375" t="s">
        <v>424</v>
      </c>
      <c r="D17" s="376" t="s">
        <v>296</v>
      </c>
      <c r="E17" s="377" t="s">
        <v>427</v>
      </c>
      <c r="F17" s="378"/>
      <c r="G17" s="95"/>
      <c r="H17" s="132" t="n">
        <v>100</v>
      </c>
      <c r="I17" s="380" t="n">
        <f aca="false">((H17/12)*3.5)*0.6</f>
        <v>17.5</v>
      </c>
      <c r="J17" s="379" t="n">
        <f aca="false">I17</f>
        <v>17.5</v>
      </c>
    </row>
    <row r="18" customFormat="false" ht="18.75" hidden="false" customHeight="false" outlineLevel="0" collapsed="false">
      <c r="A18" s="73"/>
      <c r="B18" s="73" t="s">
        <v>424</v>
      </c>
      <c r="C18" s="375" t="s">
        <v>424</v>
      </c>
      <c r="D18" s="376" t="s">
        <v>433</v>
      </c>
      <c r="E18" s="377" t="s">
        <v>427</v>
      </c>
      <c r="F18" s="378"/>
      <c r="G18" s="95"/>
      <c r="H18" s="132" t="n">
        <v>100</v>
      </c>
      <c r="I18" s="132" t="n">
        <f aca="false">H18*0.12</f>
        <v>12</v>
      </c>
      <c r="J18" s="379" t="n">
        <f aca="false">I18</f>
        <v>12</v>
      </c>
    </row>
    <row r="19" customFormat="false" ht="18.75" hidden="false" customHeight="false" outlineLevel="0" collapsed="false">
      <c r="A19" s="73"/>
      <c r="B19" s="73" t="s">
        <v>424</v>
      </c>
      <c r="C19" s="375" t="s">
        <v>424</v>
      </c>
      <c r="D19" s="376" t="s">
        <v>434</v>
      </c>
      <c r="E19" s="377" t="s">
        <v>427</v>
      </c>
      <c r="F19" s="378"/>
      <c r="G19" s="95"/>
      <c r="H19" s="132" t="n">
        <v>100</v>
      </c>
      <c r="I19" s="132" t="n">
        <f aca="false">H19*0.12</f>
        <v>12</v>
      </c>
      <c r="J19" s="379" t="n">
        <f aca="false">I19</f>
        <v>12</v>
      </c>
    </row>
    <row r="20" customFormat="false" ht="18.75" hidden="false" customHeight="false" outlineLevel="0" collapsed="false">
      <c r="A20" s="73"/>
      <c r="B20" s="73" t="s">
        <v>424</v>
      </c>
      <c r="C20" s="375" t="s">
        <v>424</v>
      </c>
      <c r="D20" s="376" t="s">
        <v>435</v>
      </c>
      <c r="E20" s="377" t="s">
        <v>427</v>
      </c>
      <c r="F20" s="378"/>
      <c r="G20" s="95" t="n">
        <v>2050</v>
      </c>
      <c r="H20" s="381" t="n">
        <v>1000</v>
      </c>
      <c r="I20" s="380" t="e">
        <f aca="false">(H20*#REF!*0.027)*0.6</f>
        <v>#REF!</v>
      </c>
      <c r="J20" s="379" t="e">
        <f aca="false">I20</f>
        <v>#REF!</v>
      </c>
    </row>
    <row r="21" customFormat="false" ht="18.75" hidden="false" customHeight="false" outlineLevel="0" collapsed="false">
      <c r="A21" s="73"/>
      <c r="B21" s="73" t="s">
        <v>424</v>
      </c>
      <c r="C21" s="375" t="s">
        <v>424</v>
      </c>
      <c r="D21" s="376" t="s">
        <v>436</v>
      </c>
      <c r="E21" s="377" t="s">
        <v>427</v>
      </c>
      <c r="F21" s="378"/>
      <c r="G21" s="95" t="n">
        <v>2050</v>
      </c>
      <c r="H21" s="381" t="n">
        <v>1000</v>
      </c>
      <c r="I21" s="380" t="e">
        <f aca="false">(H21*#REF!*0.018)*0.6</f>
        <v>#REF!</v>
      </c>
      <c r="J21" s="379" t="e">
        <f aca="false">I21</f>
        <v>#REF!</v>
      </c>
    </row>
    <row r="22" customFormat="false" ht="18.75" hidden="false" customHeight="false" outlineLevel="0" collapsed="false">
      <c r="A22" s="73"/>
      <c r="B22" s="73" t="s">
        <v>424</v>
      </c>
      <c r="C22" s="375" t="s">
        <v>424</v>
      </c>
      <c r="D22" s="376" t="s">
        <v>437</v>
      </c>
      <c r="E22" s="377" t="s">
        <v>427</v>
      </c>
      <c r="F22" s="378"/>
      <c r="G22" s="95" t="n">
        <v>2050</v>
      </c>
      <c r="H22" s="381" t="n">
        <v>1000</v>
      </c>
      <c r="I22" s="380" t="e">
        <f aca="false">(H22*#REF!*0.02)*0.6</f>
        <v>#REF!</v>
      </c>
      <c r="J22" s="379" t="e">
        <f aca="false">I22</f>
        <v>#REF!</v>
      </c>
    </row>
    <row r="23" customFormat="false" ht="18.75" hidden="false" customHeight="false" outlineLevel="0" collapsed="false">
      <c r="A23" s="73"/>
      <c r="B23" s="73" t="s">
        <v>424</v>
      </c>
      <c r="C23" s="375" t="s">
        <v>424</v>
      </c>
      <c r="D23" s="376" t="s">
        <v>438</v>
      </c>
      <c r="E23" s="377" t="s">
        <v>427</v>
      </c>
      <c r="F23" s="378"/>
      <c r="G23" s="95" t="n">
        <v>2050</v>
      </c>
      <c r="H23" s="381" t="n">
        <v>1000</v>
      </c>
      <c r="I23" s="380" t="e">
        <f aca="false">(H23*#REF!*0.02)*0.6</f>
        <v>#REF!</v>
      </c>
      <c r="J23" s="379" t="e">
        <f aca="false">I23</f>
        <v>#REF!</v>
      </c>
    </row>
    <row r="24" customFormat="false" ht="18.75" hidden="false" customHeight="false" outlineLevel="0" collapsed="false">
      <c r="A24" s="73"/>
      <c r="B24" s="73" t="s">
        <v>424</v>
      </c>
      <c r="C24" s="375" t="s">
        <v>424</v>
      </c>
      <c r="D24" s="376" t="s">
        <v>439</v>
      </c>
      <c r="E24" s="377" t="s">
        <v>427</v>
      </c>
      <c r="F24" s="378"/>
      <c r="G24" s="95" t="n">
        <v>2050</v>
      </c>
      <c r="H24" s="381" t="n">
        <v>1000</v>
      </c>
      <c r="I24" s="380" t="e">
        <f aca="false">(H24*#REF!*0.02)*0.6</f>
        <v>#REF!</v>
      </c>
      <c r="J24" s="379" t="e">
        <f aca="false">I24</f>
        <v>#REF!</v>
      </c>
    </row>
    <row r="25" customFormat="false" ht="18.75" hidden="false" customHeight="false" outlineLevel="0" collapsed="false">
      <c r="A25" s="73"/>
      <c r="B25" s="73" t="s">
        <v>424</v>
      </c>
      <c r="C25" s="375" t="s">
        <v>424</v>
      </c>
      <c r="D25" s="376" t="s">
        <v>440</v>
      </c>
      <c r="E25" s="377" t="s">
        <v>427</v>
      </c>
      <c r="F25" s="378"/>
      <c r="G25" s="95" t="n">
        <v>2050</v>
      </c>
      <c r="H25" s="381" t="n">
        <v>1000</v>
      </c>
      <c r="I25" s="380" t="e">
        <f aca="false">(H25*#REF!*0.027)*0.6</f>
        <v>#REF!</v>
      </c>
      <c r="J25" s="379" t="e">
        <f aca="false">I25</f>
        <v>#REF!</v>
      </c>
    </row>
    <row r="26" customFormat="false" ht="18.75" hidden="false" customHeight="false" outlineLevel="0" collapsed="false">
      <c r="A26" s="73"/>
      <c r="B26" s="73" t="s">
        <v>424</v>
      </c>
      <c r="C26" s="375" t="s">
        <v>424</v>
      </c>
      <c r="D26" s="376" t="s">
        <v>441</v>
      </c>
      <c r="E26" s="377" t="s">
        <v>427</v>
      </c>
      <c r="F26" s="378"/>
      <c r="G26" s="95" t="n">
        <v>2050</v>
      </c>
      <c r="H26" s="381" t="n">
        <v>1000</v>
      </c>
      <c r="I26" s="380" t="e">
        <f aca="false">(H26*#REF!*0.026)*0.6</f>
        <v>#REF!</v>
      </c>
      <c r="J26" s="379" t="e">
        <f aca="false">I26</f>
        <v>#REF!</v>
      </c>
    </row>
    <row r="27" customFormat="false" ht="18.75" hidden="false" customHeight="false" outlineLevel="0" collapsed="false">
      <c r="A27" s="73"/>
      <c r="B27" s="73" t="s">
        <v>424</v>
      </c>
      <c r="C27" s="375" t="s">
        <v>424</v>
      </c>
      <c r="D27" s="376" t="s">
        <v>442</v>
      </c>
      <c r="E27" s="377" t="s">
        <v>427</v>
      </c>
      <c r="F27" s="378"/>
      <c r="G27" s="95"/>
      <c r="H27" s="381" t="n">
        <v>10000</v>
      </c>
      <c r="I27" s="380" t="n">
        <f aca="false">H27*0.075*0.6</f>
        <v>450</v>
      </c>
      <c r="J27" s="379" t="n">
        <f aca="false">I27</f>
        <v>450</v>
      </c>
    </row>
    <row r="28" customFormat="false" ht="18.75" hidden="false" customHeight="false" outlineLevel="0" collapsed="false">
      <c r="A28" s="73"/>
      <c r="B28" s="73" t="s">
        <v>424</v>
      </c>
      <c r="C28" s="375" t="s">
        <v>424</v>
      </c>
      <c r="D28" s="376" t="s">
        <v>374</v>
      </c>
      <c r="E28" s="377" t="s">
        <v>427</v>
      </c>
      <c r="F28" s="378"/>
      <c r="G28" s="95" t="n">
        <v>2050</v>
      </c>
      <c r="H28" s="381" t="n">
        <v>1000</v>
      </c>
      <c r="I28" s="380" t="e">
        <f aca="false">(H28*#REF!*0.025)*0.6</f>
        <v>#REF!</v>
      </c>
      <c r="J28" s="379" t="e">
        <f aca="false">I28</f>
        <v>#REF!</v>
      </c>
    </row>
    <row r="29" customFormat="false" ht="18.75" hidden="false" customHeight="false" outlineLevel="0" collapsed="false">
      <c r="A29" s="73"/>
      <c r="B29" s="73" t="s">
        <v>424</v>
      </c>
      <c r="C29" s="375" t="s">
        <v>424</v>
      </c>
      <c r="D29" s="376" t="s">
        <v>443</v>
      </c>
      <c r="E29" s="377" t="s">
        <v>427</v>
      </c>
      <c r="F29" s="378"/>
      <c r="G29" s="95"/>
      <c r="H29" s="381" t="n">
        <v>150000</v>
      </c>
      <c r="I29" s="132" t="n">
        <f aca="false">(H29*0.007)*0.6</f>
        <v>630</v>
      </c>
      <c r="J29" s="379" t="n">
        <f aca="false">I29</f>
        <v>630</v>
      </c>
    </row>
    <row r="30" customFormat="false" ht="18.75" hidden="false" customHeight="false" outlineLevel="0" collapsed="false">
      <c r="K30" s="0" t="s">
        <v>134</v>
      </c>
    </row>
    <row r="31" customFormat="false" ht="18" hidden="false" customHeight="true" outlineLevel="0" collapsed="false">
      <c r="K31" s="0" t="s">
        <v>136</v>
      </c>
    </row>
    <row r="32" customFormat="false" ht="18" hidden="false" customHeight="true" outlineLevel="0" collapsed="false"/>
    <row r="33" customFormat="false" ht="18" hidden="false" customHeight="true" outlineLevel="0" collapsed="false"/>
    <row r="34" customFormat="false" ht="18" hidden="false" customHeight="true" outlineLevel="0" collapsed="false">
      <c r="K34" s="0" t="s">
        <v>139</v>
      </c>
    </row>
    <row r="35" customFormat="false" ht="18" hidden="false" customHeight="true" outlineLevel="0" collapsed="false"/>
    <row r="36" customFormat="false" ht="18" hidden="false" customHeight="true" outlineLevel="0" collapsed="false"/>
    <row r="37" customFormat="false" ht="18" hidden="false" customHeight="true" outlineLevel="0" collapsed="false"/>
    <row r="38" customFormat="false" ht="18" hidden="false" customHeight="true" outlineLevel="0" collapsed="false"/>
    <row r="39" customFormat="false" ht="18" hidden="false" customHeight="true" outlineLevel="0" collapsed="false"/>
    <row r="40" customFormat="false" ht="18" hidden="false" customHeight="true" outlineLevel="0" collapsed="false"/>
    <row r="41" customFormat="false" ht="18" hidden="false" customHeight="true" outlineLevel="0" collapsed="false"/>
    <row r="42" customFormat="false" ht="18" hidden="false" customHeight="true" outlineLevel="0" collapsed="false"/>
    <row r="43" customFormat="false" ht="18" hidden="false" customHeight="true" outlineLevel="0" collapsed="false">
      <c r="K43" s="0" t="s">
        <v>141</v>
      </c>
    </row>
    <row r="44" customFormat="false" ht="18" hidden="false" customHeight="true" outlineLevel="0" collapsed="false">
      <c r="A44" s="69"/>
      <c r="B44" s="432"/>
      <c r="C44" s="70"/>
      <c r="D44" s="382"/>
      <c r="E44" s="383"/>
      <c r="F44" s="282"/>
      <c r="G44" s="24"/>
      <c r="H44" s="132"/>
      <c r="I44" s="132"/>
      <c r="J44" s="26"/>
    </row>
    <row r="45" customFormat="false" ht="18" hidden="false" customHeight="true" outlineLevel="0" collapsed="false">
      <c r="A45" s="69"/>
      <c r="B45" s="69"/>
      <c r="C45" s="70"/>
      <c r="D45" s="382"/>
      <c r="E45" s="383"/>
      <c r="F45" s="282"/>
      <c r="G45" s="24"/>
      <c r="H45" s="132"/>
      <c r="I45" s="130"/>
      <c r="J45" s="26"/>
    </row>
    <row r="46" s="34" customFormat="true" ht="19.5" hidden="false" customHeight="false" outlineLevel="0" collapsed="false">
      <c r="A46" s="69"/>
      <c r="B46" s="69"/>
      <c r="C46" s="135"/>
      <c r="D46" s="391"/>
      <c r="E46" s="392"/>
      <c r="F46" s="393"/>
      <c r="G46" s="137"/>
      <c r="H46" s="467"/>
      <c r="I46" s="139"/>
      <c r="J46" s="140"/>
    </row>
    <row r="47" customFormat="false" ht="18.75" hidden="false" customHeight="false" outlineLevel="0" collapsed="false">
      <c r="A47" s="141"/>
      <c r="B47" s="443"/>
      <c r="C47" s="66"/>
      <c r="D47" s="468"/>
      <c r="E47" s="373"/>
      <c r="F47" s="374"/>
      <c r="G47" s="16"/>
      <c r="H47" s="185"/>
      <c r="I47" s="130"/>
      <c r="J47" s="130"/>
      <c r="K47" s="34"/>
    </row>
    <row r="48" customFormat="false" ht="18.75" hidden="false" customHeight="false" outlineLevel="0" collapsed="false">
      <c r="A48" s="86"/>
      <c r="B48" s="432"/>
      <c r="C48" s="70"/>
      <c r="D48" s="382"/>
      <c r="E48" s="383"/>
      <c r="F48" s="282"/>
      <c r="G48" s="24"/>
      <c r="H48" s="132"/>
      <c r="I48" s="130"/>
      <c r="J48" s="130"/>
      <c r="K48" s="34"/>
    </row>
    <row r="49" customFormat="false" ht="18.75" hidden="false" customHeight="false" outlineLevel="0" collapsed="false">
      <c r="A49" s="86"/>
      <c r="B49" s="469"/>
      <c r="C49" s="70"/>
      <c r="D49" s="382"/>
      <c r="E49" s="383"/>
      <c r="F49" s="282"/>
      <c r="G49" s="24"/>
      <c r="H49" s="132"/>
      <c r="I49" s="222"/>
      <c r="J49" s="130"/>
      <c r="K49" s="88"/>
    </row>
    <row r="50" s="51" customFormat="true" ht="18.75" hidden="false" customHeight="false" outlineLevel="0" collapsed="false">
      <c r="A50" s="86"/>
      <c r="B50" s="432"/>
      <c r="C50" s="70"/>
      <c r="D50" s="382"/>
      <c r="E50" s="383"/>
      <c r="F50" s="282"/>
      <c r="G50" s="24"/>
      <c r="H50" s="132"/>
      <c r="I50" s="222"/>
      <c r="J50" s="130"/>
    </row>
    <row r="51" s="51" customFormat="true" ht="18.75" hidden="false" customHeight="false" outlineLevel="0" collapsed="false">
      <c r="A51" s="86"/>
      <c r="B51" s="432"/>
      <c r="C51" s="70"/>
      <c r="D51" s="382"/>
      <c r="E51" s="395"/>
      <c r="F51" s="282"/>
      <c r="G51" s="29"/>
      <c r="H51" s="222"/>
      <c r="I51" s="222"/>
      <c r="J51" s="130"/>
      <c r="K51" s="88"/>
    </row>
    <row r="52" s="51" customFormat="true" ht="18.75" hidden="false" customHeight="false" outlineLevel="0" collapsed="false">
      <c r="A52" s="86"/>
      <c r="B52" s="432"/>
      <c r="C52" s="70"/>
      <c r="D52" s="382"/>
      <c r="E52" s="395"/>
      <c r="F52" s="282"/>
      <c r="G52" s="29"/>
      <c r="H52" s="222"/>
      <c r="I52" s="222"/>
      <c r="J52" s="130"/>
      <c r="K52" s="88"/>
    </row>
    <row r="53" s="51" customFormat="true" ht="18.75" hidden="false" customHeight="false" outlineLevel="0" collapsed="false">
      <c r="A53" s="86"/>
      <c r="B53" s="432"/>
      <c r="C53" s="70"/>
      <c r="D53" s="382"/>
      <c r="E53" s="395"/>
      <c r="F53" s="282"/>
      <c r="G53" s="29"/>
      <c r="H53" s="222"/>
      <c r="I53" s="222"/>
      <c r="J53" s="130"/>
    </row>
    <row r="54" s="51" customFormat="true" ht="18.75" hidden="false" customHeight="false" outlineLevel="0" collapsed="false">
      <c r="A54" s="86"/>
      <c r="B54" s="432"/>
      <c r="C54" s="70"/>
      <c r="D54" s="382"/>
      <c r="E54" s="395"/>
      <c r="F54" s="282"/>
      <c r="G54" s="29"/>
      <c r="H54" s="132"/>
      <c r="I54" s="222"/>
      <c r="J54" s="130"/>
    </row>
    <row r="55" s="51" customFormat="true" ht="18.75" hidden="false" customHeight="false" outlineLevel="0" collapsed="false">
      <c r="A55" s="86"/>
      <c r="B55" s="432"/>
      <c r="C55" s="70"/>
      <c r="D55" s="382"/>
      <c r="E55" s="383"/>
      <c r="F55" s="282"/>
      <c r="G55" s="24"/>
      <c r="H55" s="132"/>
      <c r="I55" s="222"/>
      <c r="J55" s="130"/>
    </row>
    <row r="56" s="51" customFormat="true" ht="18.75" hidden="false" customHeight="false" outlineLevel="0" collapsed="false">
      <c r="A56" s="86"/>
      <c r="B56" s="432"/>
      <c r="C56" s="70"/>
      <c r="D56" s="382"/>
      <c r="E56" s="395"/>
      <c r="F56" s="282"/>
      <c r="G56" s="29"/>
      <c r="H56" s="132"/>
      <c r="I56" s="222"/>
      <c r="J56" s="130"/>
    </row>
    <row r="57" s="51" customFormat="true" ht="18.75" hidden="false" customHeight="false" outlineLevel="0" collapsed="false">
      <c r="A57" s="86"/>
      <c r="B57" s="432"/>
      <c r="C57" s="70"/>
      <c r="D57" s="382"/>
      <c r="E57" s="395"/>
      <c r="F57" s="282"/>
      <c r="G57" s="29"/>
      <c r="H57" s="132"/>
      <c r="I57" s="222"/>
      <c r="J57" s="130"/>
    </row>
    <row r="58" s="51" customFormat="true" ht="18.75" hidden="false" customHeight="false" outlineLevel="0" collapsed="false">
      <c r="A58" s="86"/>
      <c r="B58" s="432"/>
      <c r="C58" s="70"/>
      <c r="D58" s="382"/>
      <c r="E58" s="395"/>
      <c r="F58" s="282"/>
      <c r="G58" s="29"/>
      <c r="H58" s="132"/>
      <c r="I58" s="222"/>
      <c r="J58" s="130"/>
    </row>
    <row r="59" s="51" customFormat="true" ht="18.75" hidden="false" customHeight="false" outlineLevel="0" collapsed="false">
      <c r="A59" s="86"/>
      <c r="B59" s="432"/>
      <c r="C59" s="70"/>
      <c r="D59" s="382"/>
      <c r="E59" s="395"/>
      <c r="F59" s="282"/>
      <c r="G59" s="29"/>
      <c r="H59" s="132"/>
      <c r="I59" s="130"/>
      <c r="J59" s="130"/>
    </row>
    <row r="60" s="51" customFormat="true" ht="18.75" hidden="false" customHeight="false" outlineLevel="0" collapsed="false">
      <c r="A60" s="86"/>
      <c r="B60" s="432"/>
      <c r="C60" s="70"/>
      <c r="D60" s="382"/>
      <c r="E60" s="395"/>
      <c r="F60" s="282"/>
      <c r="G60" s="29"/>
      <c r="H60" s="132"/>
      <c r="I60" s="75"/>
      <c r="J60" s="130"/>
    </row>
    <row r="61" s="51" customFormat="true" ht="18.75" hidden="false" customHeight="false" outlineLevel="0" collapsed="false">
      <c r="A61" s="86"/>
      <c r="B61" s="432"/>
      <c r="C61" s="70"/>
      <c r="D61" s="382"/>
      <c r="E61" s="395"/>
      <c r="F61" s="282"/>
      <c r="G61" s="29"/>
      <c r="H61" s="132"/>
      <c r="I61" s="222"/>
      <c r="J61" s="130"/>
    </row>
    <row r="62" s="51" customFormat="true" ht="18.75" hidden="false" customHeight="false" outlineLevel="0" collapsed="false">
      <c r="A62" s="86"/>
      <c r="B62" s="432"/>
      <c r="C62" s="70"/>
      <c r="D62" s="382"/>
      <c r="E62" s="395"/>
      <c r="F62" s="282"/>
      <c r="G62" s="29"/>
      <c r="H62" s="132"/>
      <c r="I62" s="222"/>
      <c r="J62" s="130"/>
    </row>
    <row r="63" s="51" customFormat="true" ht="18.75" hidden="false" customHeight="false" outlineLevel="0" collapsed="false">
      <c r="A63" s="86"/>
      <c r="B63" s="432"/>
      <c r="C63" s="70"/>
      <c r="D63" s="382"/>
      <c r="E63" s="395"/>
      <c r="F63" s="282"/>
      <c r="G63" s="29"/>
      <c r="H63" s="132"/>
      <c r="I63" s="130"/>
      <c r="J63" s="130"/>
    </row>
    <row r="64" s="51" customFormat="true" ht="18.75" hidden="false" customHeight="false" outlineLevel="0" collapsed="false">
      <c r="A64" s="86"/>
      <c r="B64" s="432"/>
      <c r="C64" s="70"/>
      <c r="D64" s="382"/>
      <c r="E64" s="395"/>
      <c r="F64" s="282"/>
      <c r="G64" s="29"/>
      <c r="H64" s="132"/>
      <c r="I64" s="222"/>
      <c r="J64" s="130"/>
    </row>
    <row r="65" s="51" customFormat="true" ht="18.75" hidden="false" customHeight="false" outlineLevel="0" collapsed="false">
      <c r="A65" s="69"/>
      <c r="B65" s="69"/>
      <c r="C65" s="70"/>
      <c r="D65" s="382"/>
      <c r="E65" s="395"/>
      <c r="F65" s="282"/>
      <c r="G65" s="29"/>
      <c r="H65" s="132"/>
      <c r="I65" s="222"/>
      <c r="J65" s="130"/>
    </row>
    <row r="66" customFormat="false" ht="19.5" hidden="false" customHeight="false" outlineLevel="0" collapsed="false">
      <c r="A66" s="69"/>
      <c r="B66" s="69"/>
      <c r="C66" s="135"/>
      <c r="D66" s="391"/>
      <c r="E66" s="397"/>
      <c r="F66" s="393"/>
      <c r="G66" s="60"/>
      <c r="H66" s="150"/>
      <c r="I66" s="150"/>
      <c r="J66" s="115"/>
      <c r="K66" s="34"/>
    </row>
    <row r="67" customFormat="false" ht="18.75" hidden="false" customHeight="false" outlineLevel="0" collapsed="false">
      <c r="A67" s="141"/>
      <c r="B67" s="469"/>
      <c r="C67" s="70"/>
      <c r="D67" s="468"/>
      <c r="E67" s="24"/>
      <c r="F67" s="282"/>
      <c r="G67" s="24"/>
      <c r="H67" s="132"/>
      <c r="I67" s="222"/>
      <c r="J67" s="19"/>
      <c r="K67" s="34"/>
    </row>
    <row r="68" s="51" customFormat="true" ht="18.75" hidden="false" customHeight="false" outlineLevel="0" collapsed="false">
      <c r="A68" s="86"/>
      <c r="B68" s="432"/>
      <c r="C68" s="70"/>
      <c r="D68" s="382"/>
      <c r="E68" s="383"/>
      <c r="F68" s="399"/>
      <c r="G68" s="24"/>
      <c r="H68" s="132"/>
      <c r="I68" s="222"/>
      <c r="J68" s="26"/>
      <c r="K68" s="34"/>
    </row>
    <row r="69" customFormat="false" ht="18.75" hidden="false" customHeight="false" outlineLevel="0" collapsed="false">
      <c r="A69" s="86"/>
      <c r="B69" s="432"/>
      <c r="C69" s="70"/>
      <c r="D69" s="382"/>
      <c r="E69" s="395"/>
      <c r="F69" s="282"/>
      <c r="G69" s="29"/>
      <c r="H69" s="222"/>
      <c r="I69" s="130"/>
      <c r="J69" s="45"/>
      <c r="K69" s="88"/>
    </row>
    <row r="70" customFormat="false" ht="18.75" hidden="false" customHeight="false" outlineLevel="0" collapsed="false">
      <c r="A70" s="86"/>
      <c r="B70" s="432"/>
      <c r="C70" s="70"/>
      <c r="D70" s="382"/>
      <c r="E70" s="383"/>
      <c r="F70" s="282"/>
      <c r="G70" s="24"/>
      <c r="H70" s="132"/>
      <c r="I70" s="130"/>
      <c r="J70" s="26"/>
      <c r="K70" s="88"/>
    </row>
    <row r="71" s="34" customFormat="true" ht="18.75" hidden="false" customHeight="false" outlineLevel="0" collapsed="false">
      <c r="A71" s="86"/>
      <c r="B71" s="432"/>
      <c r="C71" s="70"/>
      <c r="D71" s="382"/>
      <c r="E71" s="401"/>
      <c r="F71" s="282"/>
      <c r="G71" s="24"/>
      <c r="H71" s="132"/>
      <c r="I71" s="130"/>
      <c r="J71" s="26"/>
      <c r="K71" s="88"/>
    </row>
    <row r="72" s="34" customFormat="true" ht="18.75" hidden="false" customHeight="false" outlineLevel="0" collapsed="false">
      <c r="A72" s="86"/>
      <c r="B72" s="432"/>
      <c r="C72" s="70"/>
      <c r="D72" s="382"/>
      <c r="E72" s="401"/>
      <c r="F72" s="282"/>
      <c r="G72" s="24"/>
      <c r="H72" s="402"/>
      <c r="I72" s="222"/>
      <c r="J72" s="31"/>
    </row>
    <row r="73" customFormat="false" ht="18.75" hidden="false" customHeight="false" outlineLevel="0" collapsed="false">
      <c r="A73" s="86"/>
      <c r="B73" s="432"/>
      <c r="C73" s="70"/>
      <c r="D73" s="382"/>
      <c r="E73" s="383"/>
      <c r="F73" s="282"/>
      <c r="G73" s="24"/>
      <c r="H73" s="132"/>
      <c r="I73" s="222"/>
      <c r="J73" s="26"/>
      <c r="K73" s="34"/>
    </row>
    <row r="74" s="46" customFormat="true" ht="18.75" hidden="false" customHeight="false" outlineLevel="0" collapsed="false">
      <c r="A74" s="86"/>
      <c r="B74" s="432"/>
      <c r="C74" s="99"/>
      <c r="D74" s="382"/>
      <c r="E74" s="395"/>
      <c r="F74" s="282"/>
      <c r="G74" s="42"/>
      <c r="H74" s="222"/>
      <c r="I74" s="222"/>
      <c r="J74" s="404"/>
      <c r="K74" s="51"/>
    </row>
    <row r="75" s="46" customFormat="true" ht="18.75" hidden="false" customHeight="false" outlineLevel="0" collapsed="false">
      <c r="A75" s="86"/>
      <c r="B75" s="432"/>
      <c r="C75" s="99"/>
      <c r="D75" s="382"/>
      <c r="E75" s="395"/>
      <c r="F75" s="282"/>
      <c r="G75" s="42"/>
      <c r="H75" s="222"/>
      <c r="I75" s="222"/>
      <c r="J75" s="404"/>
      <c r="K75" s="51"/>
    </row>
    <row r="76" s="51" customFormat="true" ht="18.75" hidden="false" customHeight="false" outlineLevel="0" collapsed="false">
      <c r="A76" s="86"/>
      <c r="B76" s="432"/>
      <c r="C76" s="90"/>
      <c r="D76" s="382"/>
      <c r="E76" s="395"/>
      <c r="F76" s="282"/>
      <c r="G76" s="29"/>
      <c r="H76" s="222"/>
      <c r="I76" s="222"/>
      <c r="J76" s="45"/>
      <c r="K76" s="34"/>
      <c r="L76" s="46"/>
    </row>
    <row r="77" customFormat="false" ht="18.75" hidden="false" customHeight="false" outlineLevel="0" collapsed="false">
      <c r="A77" s="86"/>
      <c r="B77" s="432"/>
      <c r="C77" s="90"/>
      <c r="D77" s="382"/>
      <c r="E77" s="395"/>
      <c r="F77" s="282"/>
      <c r="G77" s="29"/>
      <c r="H77" s="222"/>
      <c r="I77" s="222"/>
      <c r="J77" s="45"/>
      <c r="K77" s="34"/>
    </row>
    <row r="78" customFormat="false" ht="18.75" hidden="false" customHeight="false" outlineLevel="0" collapsed="false">
      <c r="A78" s="86"/>
      <c r="B78" s="432"/>
      <c r="C78" s="99"/>
      <c r="D78" s="382"/>
      <c r="E78" s="395"/>
      <c r="F78" s="282"/>
      <c r="G78" s="29"/>
      <c r="H78" s="222"/>
      <c r="I78" s="222"/>
      <c r="J78" s="45"/>
      <c r="K78" s="34"/>
    </row>
    <row r="79" customFormat="false" ht="18.75" hidden="false" customHeight="false" outlineLevel="0" collapsed="false">
      <c r="A79" s="86"/>
      <c r="B79" s="432"/>
      <c r="C79" s="99"/>
      <c r="D79" s="382"/>
      <c r="E79" s="395"/>
      <c r="F79" s="282"/>
      <c r="G79" s="29"/>
      <c r="H79" s="222"/>
      <c r="I79" s="222"/>
      <c r="J79" s="45"/>
      <c r="K79" s="34"/>
    </row>
    <row r="80" customFormat="false" ht="18.75" hidden="false" customHeight="false" outlineLevel="0" collapsed="false">
      <c r="A80" s="69"/>
      <c r="B80" s="69"/>
      <c r="C80" s="99"/>
      <c r="D80" s="382"/>
      <c r="E80" s="395"/>
      <c r="F80" s="282"/>
      <c r="G80" s="29"/>
      <c r="H80" s="222"/>
      <c r="I80" s="222"/>
      <c r="J80" s="45"/>
      <c r="K80" s="34"/>
    </row>
    <row r="81" customFormat="false" ht="18.75" hidden="false" customHeight="false" outlineLevel="0" collapsed="false">
      <c r="A81" s="69"/>
      <c r="B81" s="69"/>
      <c r="C81" s="99"/>
      <c r="D81" s="382"/>
      <c r="E81" s="395"/>
      <c r="F81" s="282"/>
      <c r="G81" s="29"/>
      <c r="H81" s="222"/>
      <c r="I81" s="222"/>
      <c r="J81" s="45"/>
      <c r="K81" s="34"/>
    </row>
    <row r="82" customFormat="false" ht="18.75" hidden="false" customHeight="false" outlineLevel="0" collapsed="false">
      <c r="A82" s="69"/>
      <c r="B82" s="69"/>
      <c r="C82" s="99"/>
      <c r="D82" s="382"/>
      <c r="E82" s="395"/>
      <c r="F82" s="282"/>
      <c r="G82" s="29"/>
      <c r="H82" s="222"/>
      <c r="I82" s="222"/>
      <c r="J82" s="45"/>
      <c r="K82" s="34"/>
    </row>
    <row r="83" customFormat="false" ht="18.75" hidden="false" customHeight="false" outlineLevel="0" collapsed="false">
      <c r="A83" s="69"/>
      <c r="B83" s="69"/>
      <c r="C83" s="99"/>
      <c r="D83" s="382"/>
      <c r="E83" s="395"/>
      <c r="F83" s="282"/>
      <c r="G83" s="29"/>
      <c r="H83" s="222"/>
      <c r="I83" s="222"/>
      <c r="J83" s="45"/>
      <c r="K83" s="34"/>
    </row>
    <row r="84" customFormat="false" ht="18.75" hidden="false" customHeight="false" outlineLevel="0" collapsed="false">
      <c r="A84" s="69"/>
      <c r="B84" s="69"/>
      <c r="C84" s="99"/>
      <c r="D84" s="382"/>
      <c r="E84" s="395"/>
      <c r="F84" s="282"/>
      <c r="G84" s="29"/>
      <c r="H84" s="222"/>
      <c r="I84" s="222"/>
      <c r="J84" s="45"/>
      <c r="K84" s="34"/>
    </row>
    <row r="85" customFormat="false" ht="18.75" hidden="false" customHeight="false" outlineLevel="0" collapsed="false">
      <c r="A85" s="69"/>
      <c r="B85" s="69"/>
      <c r="C85" s="99"/>
      <c r="D85" s="382"/>
      <c r="E85" s="395"/>
      <c r="F85" s="282"/>
      <c r="G85" s="29"/>
      <c r="H85" s="222"/>
      <c r="I85" s="222"/>
      <c r="J85" s="45"/>
      <c r="K85" s="34"/>
    </row>
    <row r="86" customFormat="false" ht="18.75" hidden="false" customHeight="false" outlineLevel="0" collapsed="false">
      <c r="A86" s="69"/>
      <c r="B86" s="69"/>
      <c r="C86" s="99"/>
      <c r="D86" s="382"/>
      <c r="E86" s="395"/>
      <c r="F86" s="282"/>
      <c r="G86" s="29"/>
      <c r="H86" s="222"/>
      <c r="I86" s="222"/>
      <c r="J86" s="45"/>
      <c r="K86" s="34"/>
    </row>
    <row r="87" customFormat="false" ht="18.75" hidden="false" customHeight="false" outlineLevel="0" collapsed="false">
      <c r="A87" s="69"/>
      <c r="B87" s="69"/>
      <c r="C87" s="99"/>
      <c r="D87" s="382"/>
      <c r="E87" s="395"/>
      <c r="F87" s="282"/>
      <c r="G87" s="29"/>
      <c r="H87" s="222"/>
      <c r="I87" s="222"/>
      <c r="J87" s="45"/>
      <c r="K87" s="34"/>
    </row>
    <row r="88" customFormat="false" ht="18.75" hidden="false" customHeight="false" outlineLevel="0" collapsed="false">
      <c r="A88" s="69"/>
      <c r="B88" s="69"/>
      <c r="C88" s="99"/>
      <c r="D88" s="382"/>
      <c r="E88" s="395"/>
      <c r="F88" s="282"/>
      <c r="G88" s="29"/>
      <c r="H88" s="222"/>
      <c r="I88" s="222"/>
      <c r="J88" s="45"/>
      <c r="K88" s="34"/>
    </row>
    <row r="89" customFormat="false" ht="19.5" hidden="false" customHeight="false" outlineLevel="0" collapsed="false">
      <c r="A89" s="105"/>
      <c r="B89" s="148"/>
      <c r="C89" s="160"/>
      <c r="D89" s="391"/>
      <c r="E89" s="407"/>
      <c r="F89" s="393"/>
      <c r="G89" s="161"/>
      <c r="H89" s="408"/>
      <c r="I89" s="408"/>
      <c r="J89" s="164"/>
      <c r="K89" s="34"/>
    </row>
    <row r="90" customFormat="false" ht="19.5" hidden="false" customHeight="false" outlineLevel="0" collapsed="false">
      <c r="A90" s="195"/>
      <c r="B90" s="195"/>
      <c r="C90" s="470"/>
      <c r="D90" s="471"/>
      <c r="E90" s="192"/>
      <c r="F90" s="472"/>
      <c r="G90" s="473"/>
      <c r="H90" s="474"/>
      <c r="I90" s="474"/>
      <c r="J90" s="475"/>
      <c r="K90" s="34"/>
    </row>
    <row r="91" customFormat="false" ht="19.5" hidden="false" customHeight="false" outlineLevel="0" collapsed="false">
      <c r="A91" s="110"/>
      <c r="B91" s="230"/>
      <c r="C91" s="171"/>
      <c r="D91" s="415"/>
      <c r="E91" s="416"/>
      <c r="F91" s="417"/>
      <c r="G91" s="107"/>
      <c r="H91" s="418"/>
      <c r="I91" s="419"/>
      <c r="J91" s="108"/>
      <c r="K91" s="34"/>
    </row>
    <row r="92" customFormat="false" ht="18.75" hidden="false" customHeight="false" outlineLevel="0" collapsed="false">
      <c r="A92" s="110"/>
      <c r="B92" s="110"/>
      <c r="C92" s="111"/>
      <c r="D92" s="420"/>
      <c r="E92" s="421"/>
      <c r="F92" s="422"/>
      <c r="G92" s="112"/>
      <c r="H92" s="423"/>
      <c r="I92" s="380"/>
      <c r="J92" s="96"/>
      <c r="K92" s="34"/>
    </row>
    <row r="93" customFormat="false" ht="18.75" hidden="false" customHeight="false" outlineLevel="0" collapsed="false">
      <c r="A93" s="110"/>
      <c r="B93" s="110"/>
      <c r="C93" s="111"/>
      <c r="D93" s="420"/>
      <c r="E93" s="421"/>
      <c r="F93" s="422"/>
      <c r="G93" s="112"/>
      <c r="H93" s="423"/>
      <c r="I93" s="380"/>
      <c r="J93" s="96"/>
      <c r="K93" s="34"/>
    </row>
    <row r="94" customFormat="false" ht="18.75" hidden="false" customHeight="false" outlineLevel="0" collapsed="false">
      <c r="A94" s="110"/>
      <c r="B94" s="110"/>
      <c r="C94" s="111"/>
      <c r="D94" s="420"/>
      <c r="E94" s="421"/>
      <c r="F94" s="422"/>
      <c r="G94" s="112"/>
      <c r="H94" s="423"/>
      <c r="I94" s="380"/>
      <c r="J94" s="96"/>
      <c r="K94" s="34"/>
    </row>
    <row r="95" s="116" customFormat="true" ht="19.5" hidden="false" customHeight="false" outlineLevel="0" collapsed="false">
      <c r="A95" s="110"/>
      <c r="B95" s="110"/>
      <c r="C95" s="114"/>
      <c r="D95" s="391"/>
      <c r="E95" s="397"/>
      <c r="F95" s="393"/>
      <c r="G95" s="60"/>
      <c r="H95" s="424"/>
      <c r="I95" s="461"/>
      <c r="J95" s="26"/>
    </row>
    <row r="96" s="120" customFormat="true" ht="18.75" hidden="false" customHeight="false" outlineLevel="0" collapsed="false">
      <c r="A96" s="110"/>
      <c r="B96" s="110"/>
      <c r="C96" s="117"/>
      <c r="D96" s="426"/>
      <c r="E96" s="427"/>
      <c r="F96" s="428"/>
      <c r="G96" s="80"/>
      <c r="H96" s="233"/>
      <c r="I96" s="179"/>
      <c r="J96" s="119"/>
    </row>
  </sheetData>
  <dataValidations count="4">
    <dataValidation allowBlank="true" operator="between" prompt="Liste choix" showDropDown="false" showErrorMessage="true" showInputMessage="true" sqref="D44:D50 D52:D79" type="list">
      <formula1>"MOBILE2016,MOBILE Regio,REEBOU Family,REEBOUImmo,REEBOU Pack,REEBOU Pro,REEBOU Invest,LOGGIA,MEDICIS,RC,RC ENSEIGNANT,ZENITH60 Op100,ZENITH60 Op25,HORIZONT60Invest,HORIZONT60Protect,HORIZONT60Capi,HELIOS100Protect,HELIOS100Invest,FOCUS,NOVA,BSH"</formula1>
      <formula2>0</formula2>
    </dataValidation>
    <dataValidation allowBlank="true" operator="between" prompt="Liste choix" showDropDown="false" showErrorMessage="true" showInputMessage="true" sqref="D80:D89" type="list">
      <formula1>"MOBILE2016,MOBILE Regio,REEBOU Family,REEBOUImmo,REEBOU Pack,REEBOU Pro,REEBOU Invest,LOGGIA,MEDICIS,RC,RC ENSEIGNT,ZENITH60 Op100,ZENITH60 Op25,HORIZONT60Inv,HORIZONT60Prot,HORIZONT60Capi,HELIOS100Prot,HELIOS100Inv,FOCUS,NOVA,BSH,EA,TSRD"</formula1>
      <formula2>0</formula2>
    </dataValidation>
    <dataValidation allowBlank="true" operator="between" prompt="Liste choix" showDropDown="false" showErrorMessage="true" showInputMessage="true" sqref="D51" type="list">
      <formula1>"MOBILE2016,MOBILE Regio,REEBOU Family,REEBOUImmo,REEBOU Pack,REEBOU Pro,REEBOU Invest,LOGGIA,MEDICIS,RC,RC ENSEIGNANT,ZENITH60 Op100,ZENITH60 Op25,HORIZONT60Invest,HORIZONT60Protect,HORIZONT60Capi,HELIOS100Protect,HELIOS100Invest,FOCUS,NOVA,BSH,MOBILE CR"</formula1>
      <formula2>0</formula2>
    </dataValidation>
    <dataValidation allowBlank="true" operator="between" prompt="CHOIX PRODUIT" showDropDown="false" showErrorMessage="true" showInputMessage="true" sqref="D10:D29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</dataValidations>
  <printOptions headings="false" gridLines="true" gridLinesSet="true" horizontalCentered="true" verticalCentered="true"/>
  <pageMargins left="0.236111111111111" right="0.236111111111111" top="0.158333333333333" bottom="0.196527777777778" header="0.315277777777778" footer="0.118055555555556"/>
  <pageSetup paperSize="9" scale="8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1erTRIMESTRE 2018</oddHeader>
    <oddFooter>&amp;L&amp;8&amp;Z&amp;F&amp;C&amp;7&amp;P/&amp;N&amp;RModfié le &amp;D </oddFooter>
  </headerFooter>
  <rowBreaks count="2" manualBreakCount="2">
    <brk id="46" man="true" max="16383" min="0"/>
    <brk id="66" man="true" max="16383" min="0"/>
  </rowBreaks>
</worksheet>
</file>

<file path=xl/worksheets/sheet17.xml><?xml version="1.0" encoding="utf-8"?>
<worksheet xmlns="http://schemas.openxmlformats.org/spreadsheetml/2006/main" xmlns:r="http://schemas.openxmlformats.org/officeDocument/2006/relationships">
  <sheetPr filterMode="false">
    <tabColor rgb="FFFF0000"/>
    <pageSetUpPr fitToPage="false"/>
  </sheetPr>
  <dimension ref="A1:M10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36" activeCellId="1" sqref="A2:A7 J36"/>
    </sheetView>
  </sheetViews>
  <sheetFormatPr defaultRowHeight="18.75" zeroHeight="false" outlineLevelRow="0" outlineLevelCol="0"/>
  <cols>
    <col collapsed="false" customWidth="true" hidden="false" outlineLevel="0" max="1" min="1" style="62" width="12.57"/>
    <col collapsed="false" customWidth="true" hidden="false" outlineLevel="0" max="2" min="2" style="62" width="17.42"/>
    <col collapsed="false" customWidth="true" hidden="false" outlineLevel="0" max="3" min="3" style="2" width="30.43"/>
    <col collapsed="false" customWidth="true" hidden="false" outlineLevel="0" max="4" min="4" style="362" width="21.71"/>
    <col collapsed="false" customWidth="true" hidden="true" outlineLevel="0" max="5" min="5" style="363" width="24.71"/>
    <col collapsed="false" customWidth="true" hidden="true" outlineLevel="0" max="6" min="6" style="181" width="3.71"/>
    <col collapsed="false" customWidth="true" hidden="true" outlineLevel="0" max="7" min="7" style="3" width="10.14"/>
    <col collapsed="false" customWidth="true" hidden="true" outlineLevel="0" max="8" min="8" style="3" width="13.29"/>
    <col collapsed="false" customWidth="true" hidden="false" outlineLevel="0" max="9" min="9" style="121" width="13.14"/>
    <col collapsed="false" customWidth="true" hidden="false" outlineLevel="0" max="10" min="10" style="122" width="12.42"/>
    <col collapsed="false" customWidth="true" hidden="false" outlineLevel="0" max="11" min="11" style="5" width="12.14"/>
    <col collapsed="false" customWidth="true" hidden="false" outlineLevel="0" max="12" min="12" style="429" width="17.71"/>
    <col collapsed="false" customWidth="true" hidden="false" outlineLevel="0" max="14" min="13" style="0" width="9.29"/>
    <col collapsed="false" customWidth="true" hidden="false" outlineLevel="0" max="1025" min="15" style="0" width="10.67"/>
  </cols>
  <sheetData>
    <row r="1" customFormat="false" ht="30" hidden="false" customHeight="false" outlineLevel="0" collapsed="false">
      <c r="A1" s="707" t="s">
        <v>659</v>
      </c>
      <c r="C1" s="22" t="s">
        <v>125</v>
      </c>
      <c r="D1" s="382" t="n">
        <v>3</v>
      </c>
      <c r="E1" s="2"/>
      <c r="G1" s="3" t="s">
        <v>480</v>
      </c>
      <c r="H1" s="180"/>
      <c r="I1" s="3" t="s">
        <v>127</v>
      </c>
      <c r="K1" s="10" t="n">
        <v>183</v>
      </c>
    </row>
    <row r="2" customFormat="false" ht="18.75" hidden="false" customHeight="false" outlineLevel="0" collapsed="false">
      <c r="C2" s="22" t="s">
        <v>416</v>
      </c>
      <c r="D2" s="382"/>
      <c r="E2" s="363" t="s">
        <v>481</v>
      </c>
      <c r="G2" s="3" t="n">
        <f aca="false">7*8</f>
        <v>56</v>
      </c>
      <c r="H2" s="1"/>
      <c r="I2" s="363" t="s">
        <v>419</v>
      </c>
      <c r="J2" s="125"/>
      <c r="K2" s="10" t="n">
        <f aca="false">56*7.66</f>
        <v>428.96</v>
      </c>
    </row>
    <row r="3" customFormat="false" ht="18.75" hidden="false" customHeight="false" outlineLevel="0" collapsed="false">
      <c r="C3" s="22" t="s">
        <v>5</v>
      </c>
      <c r="D3" s="382" t="s">
        <v>224</v>
      </c>
      <c r="G3" s="1"/>
      <c r="H3" s="1"/>
      <c r="I3" s="125"/>
      <c r="J3" s="125"/>
      <c r="K3" s="10" t="n">
        <v>2400</v>
      </c>
    </row>
    <row r="4" customFormat="false" ht="18.75" hidden="false" customHeight="false" outlineLevel="0" collapsed="false">
      <c r="C4" s="22" t="s">
        <v>5</v>
      </c>
      <c r="D4" s="382" t="s">
        <v>225</v>
      </c>
      <c r="G4" s="1"/>
      <c r="H4" s="1"/>
      <c r="I4" s="125"/>
      <c r="J4" s="125"/>
      <c r="K4" s="10" t="n">
        <v>2400</v>
      </c>
    </row>
    <row r="5" customFormat="false" ht="18.75" hidden="false" customHeight="false" outlineLevel="0" collapsed="false">
      <c r="C5" s="22" t="s">
        <v>5</v>
      </c>
      <c r="D5" s="382" t="s">
        <v>226</v>
      </c>
      <c r="G5" s="1"/>
      <c r="H5" s="1"/>
      <c r="I5" s="125"/>
      <c r="J5" s="125"/>
      <c r="K5" s="10" t="n">
        <v>2400</v>
      </c>
    </row>
    <row r="6" customFormat="false" ht="18.75" hidden="false" customHeight="false" outlineLevel="0" collapsed="false">
      <c r="C6" s="22" t="s">
        <v>420</v>
      </c>
      <c r="D6" s="430" t="s">
        <v>482</v>
      </c>
      <c r="E6" s="2"/>
      <c r="G6" s="1"/>
      <c r="H6" s="1"/>
      <c r="I6" s="125"/>
      <c r="J6" s="125"/>
      <c r="K6" s="10"/>
    </row>
    <row r="7" customFormat="false" ht="18.75" hidden="false" customHeight="false" outlineLevel="0" collapsed="false">
      <c r="C7" s="22" t="s">
        <v>131</v>
      </c>
      <c r="D7" s="382"/>
      <c r="G7" s="1"/>
      <c r="H7" s="1"/>
      <c r="I7" s="125"/>
      <c r="J7" s="125"/>
      <c r="K7" s="63" t="n">
        <f aca="false">SUM(K1:K5)</f>
        <v>7811.96</v>
      </c>
    </row>
    <row r="8" customFormat="false" ht="19.5" hidden="false" customHeight="false" outlineLevel="0" collapsed="false">
      <c r="L8" s="43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7" t="s">
        <v>660</v>
      </c>
      <c r="I9" s="184" t="s">
        <v>15</v>
      </c>
      <c r="J9" s="128" t="s">
        <v>16</v>
      </c>
      <c r="K9" s="19" t="s">
        <v>17</v>
      </c>
      <c r="L9" s="708" t="n">
        <v>0.5</v>
      </c>
    </row>
    <row r="10" customFormat="false" ht="18.75" hidden="true" customHeight="false" outlineLevel="0" collapsed="false">
      <c r="A10" s="73"/>
      <c r="B10" s="73" t="s">
        <v>424</v>
      </c>
      <c r="C10" s="375" t="s">
        <v>425</v>
      </c>
      <c r="D10" s="376" t="s">
        <v>426</v>
      </c>
      <c r="E10" s="377" t="s">
        <v>427</v>
      </c>
      <c r="F10" s="378"/>
      <c r="G10" s="24"/>
      <c r="H10" s="24"/>
      <c r="I10" s="129" t="n">
        <v>100</v>
      </c>
      <c r="J10" s="132"/>
      <c r="K10" s="379" t="n">
        <f aca="false">J10</f>
        <v>0</v>
      </c>
    </row>
    <row r="11" customFormat="false" ht="18.75" hidden="true" customHeight="false" outlineLevel="0" collapsed="false">
      <c r="A11" s="73"/>
      <c r="B11" s="73" t="s">
        <v>424</v>
      </c>
      <c r="C11" s="375" t="s">
        <v>425</v>
      </c>
      <c r="D11" s="376" t="s">
        <v>428</v>
      </c>
      <c r="E11" s="377" t="s">
        <v>427</v>
      </c>
      <c r="F11" s="378"/>
      <c r="G11" s="24"/>
      <c r="H11" s="24"/>
      <c r="I11" s="129" t="n">
        <v>100</v>
      </c>
      <c r="J11" s="132"/>
      <c r="K11" s="379" t="n">
        <f aca="false">J11</f>
        <v>0</v>
      </c>
    </row>
    <row r="12" customFormat="false" ht="18.75" hidden="true" customHeight="false" outlineLevel="0" collapsed="false">
      <c r="A12" s="73"/>
      <c r="B12" s="73" t="s">
        <v>424</v>
      </c>
      <c r="C12" s="375" t="s">
        <v>425</v>
      </c>
      <c r="D12" s="376" t="s">
        <v>429</v>
      </c>
      <c r="E12" s="377" t="s">
        <v>427</v>
      </c>
      <c r="F12" s="378"/>
      <c r="G12" s="24"/>
      <c r="H12" s="24"/>
      <c r="I12" s="129" t="n">
        <v>100</v>
      </c>
      <c r="J12" s="132" t="n">
        <f aca="false">I12*0.12</f>
        <v>12</v>
      </c>
      <c r="K12" s="379" t="n">
        <f aca="false">J12</f>
        <v>12</v>
      </c>
    </row>
    <row r="13" customFormat="false" ht="18.75" hidden="true" customHeight="false" outlineLevel="0" collapsed="false">
      <c r="A13" s="73"/>
      <c r="B13" s="73" t="s">
        <v>424</v>
      </c>
      <c r="C13" s="375" t="s">
        <v>424</v>
      </c>
      <c r="D13" s="376" t="s">
        <v>430</v>
      </c>
      <c r="E13" s="377" t="s">
        <v>427</v>
      </c>
      <c r="F13" s="378"/>
      <c r="G13" s="24"/>
      <c r="H13" s="24"/>
      <c r="I13" s="129" t="n">
        <v>100</v>
      </c>
      <c r="J13" s="132" t="n">
        <f aca="false">I13*0.15</f>
        <v>15</v>
      </c>
      <c r="K13" s="379" t="n">
        <f aca="false">J13</f>
        <v>15</v>
      </c>
    </row>
    <row r="14" customFormat="false" ht="18.75" hidden="true" customHeight="false" outlineLevel="0" collapsed="false">
      <c r="A14" s="73"/>
      <c r="B14" s="73" t="s">
        <v>424</v>
      </c>
      <c r="C14" s="375" t="s">
        <v>424</v>
      </c>
      <c r="D14" s="376" t="s">
        <v>431</v>
      </c>
      <c r="E14" s="377" t="s">
        <v>427</v>
      </c>
      <c r="F14" s="378"/>
      <c r="G14" s="24"/>
      <c r="H14" s="24"/>
      <c r="I14" s="129" t="n">
        <v>100</v>
      </c>
      <c r="J14" s="132" t="n">
        <f aca="false">I14*0.12</f>
        <v>12</v>
      </c>
      <c r="K14" s="379" t="n">
        <f aca="false">J14</f>
        <v>12</v>
      </c>
    </row>
    <row r="15" customFormat="false" ht="18.75" hidden="true" customHeight="false" outlineLevel="0" collapsed="false">
      <c r="A15" s="73"/>
      <c r="B15" s="73" t="s">
        <v>424</v>
      </c>
      <c r="C15" s="375" t="s">
        <v>424</v>
      </c>
      <c r="D15" s="376" t="s">
        <v>432</v>
      </c>
      <c r="E15" s="377" t="s">
        <v>427</v>
      </c>
      <c r="F15" s="378"/>
      <c r="G15" s="24"/>
      <c r="H15" s="24"/>
      <c r="I15" s="129" t="n">
        <v>100</v>
      </c>
      <c r="J15" s="132" t="n">
        <f aca="false">I15*0.12</f>
        <v>12</v>
      </c>
      <c r="K15" s="379" t="n">
        <f aca="false">J15</f>
        <v>12</v>
      </c>
    </row>
    <row r="16" customFormat="false" ht="18.75" hidden="true" customHeight="false" outlineLevel="0" collapsed="false">
      <c r="A16" s="73"/>
      <c r="B16" s="73" t="s">
        <v>424</v>
      </c>
      <c r="C16" s="375" t="s">
        <v>424</v>
      </c>
      <c r="D16" s="376" t="s">
        <v>189</v>
      </c>
      <c r="E16" s="377" t="s">
        <v>427</v>
      </c>
      <c r="F16" s="378"/>
      <c r="G16" s="24"/>
      <c r="H16" s="24"/>
      <c r="I16" s="129" t="n">
        <v>100</v>
      </c>
      <c r="J16" s="132" t="n">
        <f aca="false">I16*0.12</f>
        <v>12</v>
      </c>
      <c r="K16" s="379" t="n">
        <f aca="false">J16</f>
        <v>12</v>
      </c>
    </row>
    <row r="17" customFormat="false" ht="18.75" hidden="true" customHeight="false" outlineLevel="0" collapsed="false">
      <c r="A17" s="73"/>
      <c r="B17" s="73" t="s">
        <v>424</v>
      </c>
      <c r="C17" s="375" t="s">
        <v>424</v>
      </c>
      <c r="D17" s="376" t="s">
        <v>296</v>
      </c>
      <c r="E17" s="377" t="s">
        <v>427</v>
      </c>
      <c r="F17" s="378"/>
      <c r="G17" s="95"/>
      <c r="H17" s="95"/>
      <c r="I17" s="129" t="n">
        <v>100</v>
      </c>
      <c r="J17" s="380" t="n">
        <f aca="false">((I17/12)*3.5)*0.6</f>
        <v>17.5</v>
      </c>
      <c r="K17" s="379" t="n">
        <f aca="false">J17</f>
        <v>17.5</v>
      </c>
    </row>
    <row r="18" customFormat="false" ht="18.75" hidden="true" customHeight="false" outlineLevel="0" collapsed="false">
      <c r="A18" s="73"/>
      <c r="B18" s="73" t="s">
        <v>424</v>
      </c>
      <c r="C18" s="375" t="s">
        <v>424</v>
      </c>
      <c r="D18" s="376" t="s">
        <v>433</v>
      </c>
      <c r="E18" s="377" t="s">
        <v>427</v>
      </c>
      <c r="F18" s="378"/>
      <c r="G18" s="95"/>
      <c r="H18" s="95"/>
      <c r="I18" s="129" t="n">
        <v>100</v>
      </c>
      <c r="J18" s="132" t="n">
        <f aca="false">I18*0.12</f>
        <v>12</v>
      </c>
      <c r="K18" s="379" t="n">
        <f aca="false">J18</f>
        <v>12</v>
      </c>
    </row>
    <row r="19" customFormat="false" ht="18.75" hidden="true" customHeight="false" outlineLevel="0" collapsed="false">
      <c r="A19" s="73"/>
      <c r="B19" s="73" t="s">
        <v>424</v>
      </c>
      <c r="C19" s="375" t="s">
        <v>424</v>
      </c>
      <c r="D19" s="376" t="s">
        <v>434</v>
      </c>
      <c r="E19" s="377" t="s">
        <v>427</v>
      </c>
      <c r="F19" s="378"/>
      <c r="G19" s="95"/>
      <c r="H19" s="95"/>
      <c r="I19" s="129" t="n">
        <v>100</v>
      </c>
      <c r="J19" s="132" t="n">
        <f aca="false">I19*0.12</f>
        <v>12</v>
      </c>
      <c r="K19" s="379" t="n">
        <f aca="false">J19</f>
        <v>12</v>
      </c>
    </row>
    <row r="20" customFormat="false" ht="18.75" hidden="true" customHeight="false" outlineLevel="0" collapsed="false">
      <c r="A20" s="73"/>
      <c r="B20" s="73" t="s">
        <v>424</v>
      </c>
      <c r="C20" s="375" t="s">
        <v>424</v>
      </c>
      <c r="D20" s="376" t="s">
        <v>435</v>
      </c>
      <c r="E20" s="377" t="s">
        <v>427</v>
      </c>
      <c r="F20" s="378"/>
      <c r="G20" s="95" t="n">
        <v>2050</v>
      </c>
      <c r="H20" s="95" t="e">
        <f aca="false">G20-A1</f>
        <v>#VALUE!</v>
      </c>
      <c r="I20" s="381" t="n">
        <v>1000</v>
      </c>
      <c r="J20" s="380" t="e">
        <f aca="false">(I20*H20*0.027)*0.6</f>
        <v>#VALUE!</v>
      </c>
      <c r="K20" s="379" t="e">
        <f aca="false">J20</f>
        <v>#VALUE!</v>
      </c>
    </row>
    <row r="21" customFormat="false" ht="18.75" hidden="true" customHeight="false" outlineLevel="0" collapsed="false">
      <c r="A21" s="73"/>
      <c r="B21" s="73" t="s">
        <v>424</v>
      </c>
      <c r="C21" s="375" t="s">
        <v>424</v>
      </c>
      <c r="D21" s="376" t="s">
        <v>436</v>
      </c>
      <c r="E21" s="377" t="s">
        <v>427</v>
      </c>
      <c r="F21" s="378"/>
      <c r="G21" s="95" t="n">
        <v>2050</v>
      </c>
      <c r="H21" s="95" t="e">
        <f aca="false">G21-A1</f>
        <v>#VALUE!</v>
      </c>
      <c r="I21" s="381" t="n">
        <v>1000</v>
      </c>
      <c r="J21" s="380" t="e">
        <f aca="false">(I21*H21*0.018)*0.6</f>
        <v>#VALUE!</v>
      </c>
      <c r="K21" s="379" t="e">
        <f aca="false">J21</f>
        <v>#VALUE!</v>
      </c>
    </row>
    <row r="22" customFormat="false" ht="18.75" hidden="true" customHeight="false" outlineLevel="0" collapsed="false">
      <c r="A22" s="73"/>
      <c r="B22" s="73" t="s">
        <v>424</v>
      </c>
      <c r="C22" s="375" t="s">
        <v>424</v>
      </c>
      <c r="D22" s="376" t="s">
        <v>437</v>
      </c>
      <c r="E22" s="377" t="s">
        <v>427</v>
      </c>
      <c r="F22" s="378"/>
      <c r="G22" s="95" t="n">
        <v>2050</v>
      </c>
      <c r="H22" s="95" t="e">
        <f aca="false">G22-A1</f>
        <v>#VALUE!</v>
      </c>
      <c r="I22" s="381" t="n">
        <v>1000</v>
      </c>
      <c r="J22" s="380" t="e">
        <f aca="false">(I22*H22*0.02)*0.6</f>
        <v>#VALUE!</v>
      </c>
      <c r="K22" s="379" t="e">
        <f aca="false">J22</f>
        <v>#VALUE!</v>
      </c>
    </row>
    <row r="23" customFormat="false" ht="18.75" hidden="true" customHeight="false" outlineLevel="0" collapsed="false">
      <c r="A23" s="73"/>
      <c r="B23" s="73" t="s">
        <v>424</v>
      </c>
      <c r="C23" s="375" t="s">
        <v>424</v>
      </c>
      <c r="D23" s="376" t="s">
        <v>438</v>
      </c>
      <c r="E23" s="377" t="s">
        <v>427</v>
      </c>
      <c r="F23" s="378"/>
      <c r="G23" s="95" t="n">
        <v>2050</v>
      </c>
      <c r="H23" s="95" t="e">
        <f aca="false">G23-A1</f>
        <v>#VALUE!</v>
      </c>
      <c r="I23" s="381" t="n">
        <v>1000</v>
      </c>
      <c r="J23" s="380" t="e">
        <f aca="false">(I23*H23*0.02)*0.6</f>
        <v>#VALUE!</v>
      </c>
      <c r="K23" s="379" t="e">
        <f aca="false">J23</f>
        <v>#VALUE!</v>
      </c>
    </row>
    <row r="24" customFormat="false" ht="18.75" hidden="true" customHeight="false" outlineLevel="0" collapsed="false">
      <c r="A24" s="73"/>
      <c r="B24" s="73" t="s">
        <v>424</v>
      </c>
      <c r="C24" s="375" t="s">
        <v>424</v>
      </c>
      <c r="D24" s="376" t="s">
        <v>439</v>
      </c>
      <c r="E24" s="377" t="s">
        <v>427</v>
      </c>
      <c r="F24" s="378"/>
      <c r="G24" s="95" t="n">
        <v>2050</v>
      </c>
      <c r="H24" s="95" t="e">
        <f aca="false">G24-A1</f>
        <v>#VALUE!</v>
      </c>
      <c r="I24" s="381" t="n">
        <v>1000</v>
      </c>
      <c r="J24" s="380" t="e">
        <f aca="false">(I24*H24*0.02)*0.6</f>
        <v>#VALUE!</v>
      </c>
      <c r="K24" s="379" t="e">
        <f aca="false">J24</f>
        <v>#VALUE!</v>
      </c>
    </row>
    <row r="25" customFormat="false" ht="18.75" hidden="true" customHeight="false" outlineLevel="0" collapsed="false">
      <c r="A25" s="73"/>
      <c r="B25" s="73" t="s">
        <v>424</v>
      </c>
      <c r="C25" s="375" t="s">
        <v>424</v>
      </c>
      <c r="D25" s="376" t="s">
        <v>440</v>
      </c>
      <c r="E25" s="377" t="s">
        <v>427</v>
      </c>
      <c r="F25" s="378"/>
      <c r="G25" s="95" t="n">
        <v>2050</v>
      </c>
      <c r="H25" s="95" t="e">
        <f aca="false">G25-A1</f>
        <v>#VALUE!</v>
      </c>
      <c r="I25" s="381" t="n">
        <v>1000</v>
      </c>
      <c r="J25" s="380" t="e">
        <f aca="false">(I25*H25*0.027)*0.6</f>
        <v>#VALUE!</v>
      </c>
      <c r="K25" s="379" t="e">
        <f aca="false">J25</f>
        <v>#VALUE!</v>
      </c>
    </row>
    <row r="26" customFormat="false" ht="18.75" hidden="true" customHeight="false" outlineLevel="0" collapsed="false">
      <c r="A26" s="73"/>
      <c r="B26" s="73" t="s">
        <v>424</v>
      </c>
      <c r="C26" s="375" t="s">
        <v>424</v>
      </c>
      <c r="D26" s="376" t="s">
        <v>441</v>
      </c>
      <c r="E26" s="377" t="s">
        <v>427</v>
      </c>
      <c r="F26" s="378"/>
      <c r="G26" s="95" t="n">
        <v>2050</v>
      </c>
      <c r="H26" s="95" t="e">
        <f aca="false">G26-A1</f>
        <v>#VALUE!</v>
      </c>
      <c r="I26" s="381" t="n">
        <v>1000</v>
      </c>
      <c r="J26" s="380" t="e">
        <f aca="false">(I26*H26*0.026)*0.6</f>
        <v>#VALUE!</v>
      </c>
      <c r="K26" s="379" t="e">
        <f aca="false">J26</f>
        <v>#VALUE!</v>
      </c>
    </row>
    <row r="27" customFormat="false" ht="18.75" hidden="true" customHeight="false" outlineLevel="0" collapsed="false">
      <c r="A27" s="73"/>
      <c r="B27" s="73" t="s">
        <v>424</v>
      </c>
      <c r="C27" s="375" t="s">
        <v>424</v>
      </c>
      <c r="D27" s="376" t="s">
        <v>442</v>
      </c>
      <c r="E27" s="377" t="s">
        <v>427</v>
      </c>
      <c r="F27" s="378"/>
      <c r="G27" s="95"/>
      <c r="H27" s="95"/>
      <c r="I27" s="381" t="n">
        <v>10000</v>
      </c>
      <c r="J27" s="380" t="n">
        <f aca="false">I27*0.075*0.6</f>
        <v>450</v>
      </c>
      <c r="K27" s="379" t="n">
        <f aca="false">J27</f>
        <v>450</v>
      </c>
    </row>
    <row r="28" customFormat="false" ht="18.75" hidden="true" customHeight="false" outlineLevel="0" collapsed="false">
      <c r="A28" s="73"/>
      <c r="B28" s="73" t="s">
        <v>424</v>
      </c>
      <c r="C28" s="375" t="s">
        <v>424</v>
      </c>
      <c r="D28" s="376" t="s">
        <v>374</v>
      </c>
      <c r="E28" s="377" t="s">
        <v>427</v>
      </c>
      <c r="F28" s="378"/>
      <c r="G28" s="95" t="n">
        <v>2050</v>
      </c>
      <c r="H28" s="95" t="e">
        <f aca="false">G28-A1</f>
        <v>#VALUE!</v>
      </c>
      <c r="I28" s="381" t="n">
        <v>1000</v>
      </c>
      <c r="J28" s="380" t="e">
        <f aca="false">(I28*H28*0.025)*0.6</f>
        <v>#VALUE!</v>
      </c>
      <c r="K28" s="379" t="e">
        <f aca="false">J28</f>
        <v>#VALUE!</v>
      </c>
    </row>
    <row r="29" customFormat="false" ht="18.75" hidden="true" customHeight="false" outlineLevel="0" collapsed="false">
      <c r="A29" s="73"/>
      <c r="B29" s="73" t="s">
        <v>424</v>
      </c>
      <c r="C29" s="375" t="s">
        <v>424</v>
      </c>
      <c r="D29" s="376" t="s">
        <v>443</v>
      </c>
      <c r="E29" s="377" t="s">
        <v>427</v>
      </c>
      <c r="F29" s="378"/>
      <c r="G29" s="95"/>
      <c r="H29" s="95"/>
      <c r="I29" s="381" t="n">
        <v>150000</v>
      </c>
      <c r="J29" s="132" t="n">
        <f aca="false">(I29*0.007)*0.6</f>
        <v>630</v>
      </c>
      <c r="K29" s="379" t="n">
        <f aca="false">J29</f>
        <v>630</v>
      </c>
    </row>
    <row r="30" customFormat="false" ht="18.75" hidden="false" customHeight="false" outlineLevel="0" collapsed="false">
      <c r="A30" s="432" t="s">
        <v>483</v>
      </c>
      <c r="B30" s="432" t="n">
        <v>967212</v>
      </c>
      <c r="C30" s="70" t="s">
        <v>484</v>
      </c>
      <c r="D30" s="709" t="s">
        <v>426</v>
      </c>
      <c r="E30" s="395" t="n">
        <v>20398312</v>
      </c>
      <c r="F30" s="282"/>
      <c r="G30" s="29"/>
      <c r="H30" s="29"/>
      <c r="I30" s="132" t="n">
        <v>914.95</v>
      </c>
      <c r="J30" s="222" t="n">
        <f aca="false">800*0.05+114.95*0.065</f>
        <v>47.47175</v>
      </c>
      <c r="K30" s="26" t="n">
        <f aca="false">J30</f>
        <v>47.47175</v>
      </c>
    </row>
    <row r="31" customFormat="false" ht="18" hidden="false" customHeight="true" outlineLevel="0" collapsed="false">
      <c r="A31" s="432" t="s">
        <v>483</v>
      </c>
      <c r="B31" s="432" t="n">
        <v>969675</v>
      </c>
      <c r="C31" s="70" t="s">
        <v>485</v>
      </c>
      <c r="D31" s="382" t="s">
        <v>486</v>
      </c>
      <c r="E31" s="383" t="n">
        <v>20402715</v>
      </c>
      <c r="F31" s="282"/>
      <c r="G31" s="24"/>
      <c r="H31" s="24"/>
      <c r="I31" s="710" t="n">
        <v>433.75</v>
      </c>
      <c r="J31" s="130" t="n">
        <f aca="false">I31*0.05</f>
        <v>21.6875</v>
      </c>
      <c r="K31" s="131" t="n">
        <f aca="false">J31</f>
        <v>21.6875</v>
      </c>
    </row>
    <row r="32" customFormat="false" ht="18" hidden="false" customHeight="true" outlineLevel="0" collapsed="false">
      <c r="A32" s="432" t="s">
        <v>483</v>
      </c>
      <c r="B32" s="432" t="n">
        <v>964321</v>
      </c>
      <c r="C32" s="70" t="s">
        <v>487</v>
      </c>
      <c r="D32" s="382" t="s">
        <v>296</v>
      </c>
      <c r="E32" s="383" t="n">
        <v>61023856</v>
      </c>
      <c r="F32" s="282"/>
      <c r="G32" s="24"/>
      <c r="H32" s="24"/>
      <c r="I32" s="129" t="n">
        <v>892.44</v>
      </c>
      <c r="J32" s="130" t="n">
        <f aca="false">(I32/12*3.5)*0.5</f>
        <v>130.1475</v>
      </c>
      <c r="K32" s="131" t="n">
        <f aca="false">J32</f>
        <v>130.1475</v>
      </c>
    </row>
    <row r="33" customFormat="false" ht="18" hidden="false" customHeight="true" outlineLevel="0" collapsed="false">
      <c r="A33" s="432" t="s">
        <v>483</v>
      </c>
      <c r="B33" s="432" t="n">
        <v>965877</v>
      </c>
      <c r="C33" s="70" t="s">
        <v>488</v>
      </c>
      <c r="D33" s="382" t="s">
        <v>426</v>
      </c>
      <c r="E33" s="383" t="n">
        <v>20406261</v>
      </c>
      <c r="F33" s="282"/>
      <c r="G33" s="24"/>
      <c r="H33" s="24"/>
      <c r="I33" s="710" t="n">
        <v>238.07</v>
      </c>
      <c r="J33" s="130" t="n">
        <f aca="false">I33*0.05</f>
        <v>11.9035</v>
      </c>
      <c r="K33" s="131" t="n">
        <f aca="false">J33</f>
        <v>11.9035</v>
      </c>
    </row>
    <row r="34" customFormat="false" ht="18" hidden="false" customHeight="true" outlineLevel="0" collapsed="false">
      <c r="A34" s="432" t="s">
        <v>483</v>
      </c>
      <c r="B34" s="432" t="n">
        <v>965877</v>
      </c>
      <c r="C34" s="70" t="s">
        <v>488</v>
      </c>
      <c r="D34" s="382" t="s">
        <v>426</v>
      </c>
      <c r="E34" s="383" t="n">
        <v>20406289</v>
      </c>
      <c r="F34" s="282"/>
      <c r="G34" s="24"/>
      <c r="H34" s="24"/>
      <c r="I34" s="710" t="n">
        <v>528.16</v>
      </c>
      <c r="J34" s="130" t="n">
        <f aca="false">I34*0.05</f>
        <v>26.408</v>
      </c>
      <c r="K34" s="131" t="n">
        <f aca="false">J34</f>
        <v>26.408</v>
      </c>
    </row>
    <row r="35" customFormat="false" ht="18" hidden="false" customHeight="true" outlineLevel="0" collapsed="false">
      <c r="A35" s="432" t="s">
        <v>483</v>
      </c>
      <c r="B35" s="432" t="n">
        <v>965877</v>
      </c>
      <c r="C35" s="70" t="s">
        <v>488</v>
      </c>
      <c r="D35" s="382" t="s">
        <v>429</v>
      </c>
      <c r="E35" s="383" t="n">
        <v>20406294</v>
      </c>
      <c r="F35" s="282"/>
      <c r="G35" s="24"/>
      <c r="H35" s="24"/>
      <c r="I35" s="129" t="n">
        <v>197.57</v>
      </c>
      <c r="J35" s="132" t="n">
        <f aca="false">I35*0.08</f>
        <v>15.8056</v>
      </c>
      <c r="K35" s="131" t="n">
        <f aca="false">J35</f>
        <v>15.8056</v>
      </c>
    </row>
    <row r="36" customFormat="false" ht="18" hidden="false" customHeight="true" outlineLevel="0" collapsed="false">
      <c r="A36" s="432" t="s">
        <v>483</v>
      </c>
      <c r="B36" s="432" t="n">
        <v>278619</v>
      </c>
      <c r="C36" s="70" t="s">
        <v>489</v>
      </c>
      <c r="D36" s="382" t="s">
        <v>437</v>
      </c>
      <c r="E36" s="383" t="n">
        <v>806159</v>
      </c>
      <c r="F36" s="282"/>
      <c r="G36" s="24" t="n">
        <v>2032</v>
      </c>
      <c r="H36" s="24"/>
      <c r="I36" s="129" t="n">
        <v>1500</v>
      </c>
      <c r="J36" s="222" t="n">
        <f aca="false">(I36*15*0.02)*0.5</f>
        <v>225</v>
      </c>
      <c r="K36" s="131" t="n">
        <f aca="false">J36</f>
        <v>225</v>
      </c>
    </row>
    <row r="37" customFormat="false" ht="18" hidden="false" customHeight="true" outlineLevel="0" collapsed="false">
      <c r="A37" s="432" t="s">
        <v>483</v>
      </c>
      <c r="B37" s="432" t="n">
        <v>299582</v>
      </c>
      <c r="C37" s="70" t="s">
        <v>490</v>
      </c>
      <c r="D37" s="382" t="s">
        <v>437</v>
      </c>
      <c r="E37" s="383" t="n">
        <v>806158</v>
      </c>
      <c r="F37" s="282"/>
      <c r="G37" s="24" t="n">
        <v>2043</v>
      </c>
      <c r="H37" s="24"/>
      <c r="I37" s="129" t="n">
        <v>1500</v>
      </c>
      <c r="J37" s="222" t="n">
        <f aca="false">(I37*26*0.02)*0.5</f>
        <v>390</v>
      </c>
      <c r="K37" s="131" t="n">
        <f aca="false">J37</f>
        <v>390</v>
      </c>
    </row>
    <row r="38" customFormat="false" ht="18" hidden="false" customHeight="true" outlineLevel="0" collapsed="false">
      <c r="A38" s="432" t="s">
        <v>483</v>
      </c>
      <c r="B38" s="432" t="n">
        <v>693638</v>
      </c>
      <c r="C38" s="70" t="s">
        <v>491</v>
      </c>
      <c r="D38" s="382" t="s">
        <v>429</v>
      </c>
      <c r="E38" s="383" t="n">
        <v>20404939</v>
      </c>
      <c r="F38" s="282"/>
      <c r="G38" s="24"/>
      <c r="H38" s="24"/>
      <c r="I38" s="129" t="n">
        <v>256.49</v>
      </c>
      <c r="J38" s="132" t="n">
        <f aca="false">I38*0.08</f>
        <v>20.5192</v>
      </c>
      <c r="K38" s="131" t="n">
        <f aca="false">J38</f>
        <v>20.5192</v>
      </c>
    </row>
    <row r="39" customFormat="false" ht="18" hidden="false" customHeight="true" outlineLevel="0" collapsed="false">
      <c r="A39" s="432" t="s">
        <v>483</v>
      </c>
      <c r="B39" s="432" t="n">
        <v>273601</v>
      </c>
      <c r="C39" s="70" t="s">
        <v>492</v>
      </c>
      <c r="D39" s="382" t="s">
        <v>428</v>
      </c>
      <c r="E39" s="383" t="n">
        <v>20406326</v>
      </c>
      <c r="F39" s="282"/>
      <c r="G39" s="24"/>
      <c r="H39" s="24"/>
      <c r="I39" s="710" t="n">
        <v>658.13</v>
      </c>
      <c r="J39" s="130" t="n">
        <f aca="false">I39*0.05</f>
        <v>32.9065</v>
      </c>
      <c r="K39" s="131" t="n">
        <f aca="false">J39</f>
        <v>32.9065</v>
      </c>
    </row>
    <row r="40" customFormat="false" ht="18" hidden="false" customHeight="true" outlineLevel="0" collapsed="false">
      <c r="A40" s="432" t="s">
        <v>483</v>
      </c>
      <c r="B40" s="432" t="n">
        <v>880049</v>
      </c>
      <c r="C40" s="70" t="s">
        <v>493</v>
      </c>
      <c r="D40" s="382" t="s">
        <v>443</v>
      </c>
      <c r="E40" s="433" t="s">
        <v>494</v>
      </c>
      <c r="F40" s="434"/>
      <c r="G40" s="24"/>
      <c r="H40" s="24"/>
      <c r="I40" s="129" t="n">
        <v>60000</v>
      </c>
      <c r="J40" s="132" t="n">
        <f aca="false">(I40*0.007)*0.5</f>
        <v>210</v>
      </c>
      <c r="K40" s="131" t="n">
        <f aca="false">J40</f>
        <v>210</v>
      </c>
    </row>
    <row r="41" customFormat="false" ht="18" hidden="false" customHeight="true" outlineLevel="0" collapsed="false">
      <c r="A41" s="432" t="s">
        <v>483</v>
      </c>
      <c r="B41" s="432" t="n">
        <v>880049</v>
      </c>
      <c r="C41" s="70" t="s">
        <v>493</v>
      </c>
      <c r="D41" s="382" t="s">
        <v>443</v>
      </c>
      <c r="E41" s="383" t="s">
        <v>495</v>
      </c>
      <c r="F41" s="282"/>
      <c r="G41" s="24"/>
      <c r="H41" s="24"/>
      <c r="I41" s="129" t="n">
        <v>60000</v>
      </c>
      <c r="J41" s="132" t="n">
        <f aca="false">(I41*0.007)*0.5</f>
        <v>210</v>
      </c>
      <c r="K41" s="131" t="n">
        <f aca="false">J41</f>
        <v>210</v>
      </c>
    </row>
    <row r="42" customFormat="false" ht="18" hidden="false" customHeight="true" outlineLevel="0" collapsed="false">
      <c r="A42" s="432" t="s">
        <v>483</v>
      </c>
      <c r="B42" s="432" t="n">
        <v>880049</v>
      </c>
      <c r="C42" s="70" t="s">
        <v>493</v>
      </c>
      <c r="D42" s="382" t="s">
        <v>443</v>
      </c>
      <c r="E42" s="383" t="s">
        <v>496</v>
      </c>
      <c r="F42" s="282"/>
      <c r="G42" s="24"/>
      <c r="H42" s="24"/>
      <c r="I42" s="129" t="n">
        <v>60000</v>
      </c>
      <c r="J42" s="132" t="n">
        <f aca="false">(I42*0.007)*0.5</f>
        <v>210</v>
      </c>
      <c r="K42" s="131" t="n">
        <f aca="false">J42</f>
        <v>210</v>
      </c>
    </row>
    <row r="43" customFormat="false" ht="18" hidden="false" customHeight="true" outlineLevel="0" collapsed="false">
      <c r="A43" s="432" t="s">
        <v>483</v>
      </c>
      <c r="B43" s="432" t="n">
        <v>484859</v>
      </c>
      <c r="C43" s="70" t="s">
        <v>497</v>
      </c>
      <c r="D43" s="382" t="s">
        <v>437</v>
      </c>
      <c r="E43" s="383" t="n">
        <v>807016</v>
      </c>
      <c r="F43" s="282"/>
      <c r="G43" s="24" t="n">
        <v>2035</v>
      </c>
      <c r="H43" s="24"/>
      <c r="I43" s="129" t="n">
        <v>1200</v>
      </c>
      <c r="J43" s="222" t="n">
        <f aca="false">(I43*18*0.02)*0.5</f>
        <v>216</v>
      </c>
      <c r="K43" s="133" t="n">
        <f aca="false">J43</f>
        <v>216</v>
      </c>
    </row>
    <row r="44" customFormat="false" ht="18" hidden="false" customHeight="true" outlineLevel="0" collapsed="false">
      <c r="A44" s="432" t="s">
        <v>483</v>
      </c>
      <c r="B44" s="432" t="n">
        <v>523424</v>
      </c>
      <c r="C44" s="70" t="s">
        <v>498</v>
      </c>
      <c r="D44" s="382" t="s">
        <v>437</v>
      </c>
      <c r="E44" s="383" t="n">
        <v>807015</v>
      </c>
      <c r="F44" s="282"/>
      <c r="G44" s="24" t="n">
        <v>2031</v>
      </c>
      <c r="H44" s="24"/>
      <c r="I44" s="129" t="n">
        <v>1104</v>
      </c>
      <c r="J44" s="222" t="n">
        <f aca="false">(I44*14*0.02)*0.5</f>
        <v>154.56</v>
      </c>
      <c r="K44" s="133" t="n">
        <f aca="false">J44</f>
        <v>154.56</v>
      </c>
    </row>
    <row r="45" customFormat="false" ht="18" hidden="false" customHeight="true" outlineLevel="0" collapsed="false">
      <c r="A45" s="432" t="s">
        <v>483</v>
      </c>
      <c r="B45" s="432" t="n">
        <v>837955</v>
      </c>
      <c r="C45" s="70" t="s">
        <v>499</v>
      </c>
      <c r="D45" s="382" t="s">
        <v>429</v>
      </c>
      <c r="E45" s="383" t="n">
        <v>20406981</v>
      </c>
      <c r="F45" s="282"/>
      <c r="G45" s="24"/>
      <c r="H45" s="24"/>
      <c r="I45" s="129" t="n">
        <v>308.59</v>
      </c>
      <c r="J45" s="132" t="n">
        <f aca="false">I45*0.08</f>
        <v>24.6872</v>
      </c>
      <c r="K45" s="133" t="n">
        <f aca="false">J45</f>
        <v>24.6872</v>
      </c>
    </row>
    <row r="46" customFormat="false" ht="18" hidden="false" customHeight="true" outlineLevel="0" collapsed="false">
      <c r="A46" s="432" t="s">
        <v>483</v>
      </c>
      <c r="B46" s="432" t="n">
        <v>729789</v>
      </c>
      <c r="C46" s="70" t="s">
        <v>500</v>
      </c>
      <c r="D46" s="382" t="s">
        <v>296</v>
      </c>
      <c r="E46" s="383" t="n">
        <v>61024785</v>
      </c>
      <c r="F46" s="282"/>
      <c r="G46" s="24"/>
      <c r="H46" s="24"/>
      <c r="I46" s="129" t="n">
        <v>688.32</v>
      </c>
      <c r="J46" s="130" t="n">
        <f aca="false">(I46/12*3.5)*0.5</f>
        <v>100.38</v>
      </c>
      <c r="K46" s="133" t="n">
        <f aca="false">J46</f>
        <v>100.38</v>
      </c>
    </row>
    <row r="47" customFormat="false" ht="18" hidden="false" customHeight="true" outlineLevel="0" collapsed="false">
      <c r="A47" s="432" t="s">
        <v>483</v>
      </c>
      <c r="B47" s="432" t="n">
        <v>348319</v>
      </c>
      <c r="C47" s="70" t="s">
        <v>501</v>
      </c>
      <c r="D47" s="382" t="s">
        <v>429</v>
      </c>
      <c r="E47" s="383" t="n">
        <v>20405030</v>
      </c>
      <c r="F47" s="282"/>
      <c r="G47" s="24"/>
      <c r="H47" s="24"/>
      <c r="I47" s="129" t="n">
        <v>152.77</v>
      </c>
      <c r="J47" s="132" t="n">
        <f aca="false">I47*0.08</f>
        <v>12.2216</v>
      </c>
      <c r="K47" s="133" t="n">
        <f aca="false">J47</f>
        <v>12.2216</v>
      </c>
    </row>
    <row r="48" customFormat="false" ht="18" hidden="false" customHeight="true" outlineLevel="0" collapsed="false">
      <c r="A48" s="432"/>
      <c r="B48" s="432"/>
      <c r="C48" s="70"/>
      <c r="D48" s="382"/>
      <c r="E48" s="383"/>
      <c r="F48" s="282"/>
      <c r="G48" s="24"/>
      <c r="H48" s="24"/>
      <c r="I48" s="129"/>
      <c r="J48" s="130"/>
      <c r="K48" s="131"/>
    </row>
    <row r="49" s="34" customFormat="true" ht="19.5" hidden="false" customHeight="false" outlineLevel="0" collapsed="false">
      <c r="A49" s="711" t="s">
        <v>483</v>
      </c>
      <c r="B49" s="436"/>
      <c r="C49" s="135" t="s">
        <v>454</v>
      </c>
      <c r="D49" s="391"/>
      <c r="E49" s="392"/>
      <c r="F49" s="393"/>
      <c r="G49" s="137"/>
      <c r="H49" s="137"/>
      <c r="I49" s="138"/>
      <c r="J49" s="139"/>
      <c r="K49" s="140" t="n">
        <f aca="false">SUM(K30:K47)</f>
        <v>2059.69835</v>
      </c>
      <c r="L49" s="429"/>
    </row>
    <row r="50" customFormat="false" ht="18.75" hidden="false" customHeight="false" outlineLevel="0" collapsed="false">
      <c r="A50" s="432" t="s">
        <v>502</v>
      </c>
      <c r="B50" s="69" t="n">
        <v>299582</v>
      </c>
      <c r="C50" s="70" t="s">
        <v>490</v>
      </c>
      <c r="D50" s="382" t="s">
        <v>443</v>
      </c>
      <c r="E50" s="373" t="s">
        <v>503</v>
      </c>
      <c r="F50" s="374"/>
      <c r="G50" s="16"/>
      <c r="H50" s="16"/>
      <c r="I50" s="185" t="n">
        <v>110000</v>
      </c>
      <c r="J50" s="132" t="n">
        <f aca="false">(I50*0.007)*0.5</f>
        <v>385</v>
      </c>
      <c r="K50" s="19" t="n">
        <f aca="false">J50</f>
        <v>385</v>
      </c>
      <c r="L50" s="437"/>
    </row>
    <row r="51" customFormat="false" ht="18.75" hidden="false" customHeight="false" outlineLevel="0" collapsed="false">
      <c r="A51" s="432" t="s">
        <v>502</v>
      </c>
      <c r="B51" s="69" t="n">
        <v>834437</v>
      </c>
      <c r="C51" s="70" t="s">
        <v>43</v>
      </c>
      <c r="D51" s="382" t="s">
        <v>437</v>
      </c>
      <c r="E51" s="383" t="n">
        <v>807080</v>
      </c>
      <c r="F51" s="282"/>
      <c r="G51" s="24" t="n">
        <v>2049</v>
      </c>
      <c r="H51" s="24"/>
      <c r="I51" s="132" t="n">
        <v>1704</v>
      </c>
      <c r="J51" s="222" t="n">
        <f aca="false">(I51*32*0.02)*0.5</f>
        <v>545.28</v>
      </c>
      <c r="K51" s="26" t="n">
        <f aca="false">J51</f>
        <v>545.28</v>
      </c>
      <c r="L51" s="438"/>
      <c r="M51" s="0" t="s">
        <v>504</v>
      </c>
    </row>
    <row r="52" s="51" customFormat="true" ht="18.75" hidden="false" customHeight="false" outlineLevel="0" collapsed="false">
      <c r="A52" s="432" t="s">
        <v>502</v>
      </c>
      <c r="B52" s="69" t="n">
        <v>739606</v>
      </c>
      <c r="C52" s="70" t="s">
        <v>505</v>
      </c>
      <c r="D52" s="382" t="s">
        <v>437</v>
      </c>
      <c r="E52" s="383" t="n">
        <v>8077875</v>
      </c>
      <c r="F52" s="282"/>
      <c r="G52" s="24" t="n">
        <v>2043</v>
      </c>
      <c r="H52" s="24"/>
      <c r="I52" s="132" t="n">
        <v>1704</v>
      </c>
      <c r="J52" s="222" t="n">
        <f aca="false">(I52*26*0.02)*0.5</f>
        <v>443.04</v>
      </c>
      <c r="K52" s="26" t="n">
        <f aca="false">J52</f>
        <v>443.04</v>
      </c>
      <c r="L52" s="439"/>
    </row>
    <row r="53" s="51" customFormat="true" ht="18.75" hidden="false" customHeight="false" outlineLevel="0" collapsed="false">
      <c r="A53" s="432" t="s">
        <v>502</v>
      </c>
      <c r="B53" s="69" t="n">
        <v>523259</v>
      </c>
      <c r="C53" s="70" t="s">
        <v>506</v>
      </c>
      <c r="D53" s="382" t="s">
        <v>426</v>
      </c>
      <c r="E53" s="395" t="n">
        <v>20406126</v>
      </c>
      <c r="F53" s="282"/>
      <c r="G53" s="29"/>
      <c r="H53" s="29"/>
      <c r="I53" s="222" t="n">
        <v>1687.02</v>
      </c>
      <c r="J53" s="222" t="n">
        <f aca="false">800*0.05+887.02*0.065</f>
        <v>97.6563</v>
      </c>
      <c r="K53" s="45" t="n">
        <f aca="false">J53</f>
        <v>97.6563</v>
      </c>
      <c r="L53" s="438"/>
    </row>
    <row r="54" s="51" customFormat="true" ht="18.75" hidden="false" customHeight="false" outlineLevel="0" collapsed="false">
      <c r="A54" s="432" t="s">
        <v>502</v>
      </c>
      <c r="B54" s="69" t="n">
        <v>716291</v>
      </c>
      <c r="C54" s="70" t="s">
        <v>507</v>
      </c>
      <c r="D54" s="382" t="s">
        <v>440</v>
      </c>
      <c r="E54" s="395" t="n">
        <v>827015</v>
      </c>
      <c r="F54" s="282"/>
      <c r="G54" s="29" t="n">
        <v>2027</v>
      </c>
      <c r="H54" s="29"/>
      <c r="I54" s="222" t="n">
        <v>600</v>
      </c>
      <c r="J54" s="222" t="n">
        <f aca="false">(I54*10*0.02)*0.5</f>
        <v>60</v>
      </c>
      <c r="K54" s="45" t="n">
        <f aca="false">J54</f>
        <v>60</v>
      </c>
      <c r="L54" s="438"/>
    </row>
    <row r="55" s="51" customFormat="true" ht="18.75" hidden="false" customHeight="false" outlineLevel="0" collapsed="false">
      <c r="A55" s="432" t="s">
        <v>502</v>
      </c>
      <c r="B55" s="69" t="n">
        <v>970170</v>
      </c>
      <c r="C55" s="70" t="s">
        <v>508</v>
      </c>
      <c r="D55" s="382" t="s">
        <v>429</v>
      </c>
      <c r="E55" s="440" t="n">
        <v>20409518</v>
      </c>
      <c r="F55" s="282"/>
      <c r="G55" s="29"/>
      <c r="H55" s="29"/>
      <c r="J55" s="222"/>
      <c r="K55" s="45" t="n">
        <f aca="false">J55</f>
        <v>0</v>
      </c>
      <c r="L55" s="429"/>
    </row>
    <row r="56" s="51" customFormat="true" ht="18.75" hidden="false" customHeight="false" outlineLevel="0" collapsed="false">
      <c r="A56" s="432" t="s">
        <v>502</v>
      </c>
      <c r="B56" s="69" t="n">
        <v>945980</v>
      </c>
      <c r="C56" s="70" t="s">
        <v>509</v>
      </c>
      <c r="D56" s="382" t="s">
        <v>443</v>
      </c>
      <c r="E56" s="395" t="s">
        <v>510</v>
      </c>
      <c r="F56" s="282"/>
      <c r="G56" s="29"/>
      <c r="H56" s="29"/>
      <c r="I56" s="222" t="n">
        <v>45000</v>
      </c>
      <c r="J56" s="132" t="n">
        <f aca="false">(I56*0.007)*0.5</f>
        <v>157.5</v>
      </c>
      <c r="K56" s="26" t="n">
        <f aca="false">J56</f>
        <v>157.5</v>
      </c>
      <c r="L56" s="439"/>
    </row>
    <row r="57" s="51" customFormat="true" ht="18.75" hidden="false" customHeight="false" outlineLevel="0" collapsed="false">
      <c r="A57" s="432" t="s">
        <v>502</v>
      </c>
      <c r="B57" s="69" t="n">
        <v>787557</v>
      </c>
      <c r="C57" s="70" t="s">
        <v>511</v>
      </c>
      <c r="D57" s="382" t="s">
        <v>426</v>
      </c>
      <c r="E57" s="395" t="n">
        <v>20409995</v>
      </c>
      <c r="F57" s="282"/>
      <c r="H57" s="29"/>
      <c r="I57" s="29" t="n">
        <v>1786.72</v>
      </c>
      <c r="J57" s="222" t="n">
        <f aca="false">800*0.05+986.72*0.065</f>
        <v>104.1368</v>
      </c>
      <c r="K57" s="26" t="n">
        <f aca="false">J57</f>
        <v>104.1368</v>
      </c>
      <c r="L57" s="439"/>
    </row>
    <row r="58" s="51" customFormat="true" ht="18.75" hidden="false" customHeight="false" outlineLevel="0" collapsed="false">
      <c r="A58" s="432" t="s">
        <v>502</v>
      </c>
      <c r="B58" s="69" t="n">
        <v>787557</v>
      </c>
      <c r="C58" s="70" t="s">
        <v>511</v>
      </c>
      <c r="D58" s="382" t="s">
        <v>437</v>
      </c>
      <c r="E58" s="395" t="n">
        <v>822390</v>
      </c>
      <c r="F58" s="282"/>
      <c r="G58" s="29" t="n">
        <v>2043</v>
      </c>
      <c r="H58" s="29"/>
      <c r="I58" s="132" t="n">
        <v>1200</v>
      </c>
      <c r="J58" s="222" t="n">
        <f aca="false">(I58*26*0.02)*0.5</f>
        <v>312</v>
      </c>
      <c r="K58" s="26" t="n">
        <f aca="false">J58</f>
        <v>312</v>
      </c>
      <c r="L58" s="439"/>
    </row>
    <row r="59" s="51" customFormat="true" ht="18.75" hidden="false" customHeight="false" outlineLevel="0" collapsed="false">
      <c r="A59" s="432" t="s">
        <v>502</v>
      </c>
      <c r="B59" s="69" t="n">
        <v>849012</v>
      </c>
      <c r="C59" s="70" t="s">
        <v>381</v>
      </c>
      <c r="D59" s="382" t="s">
        <v>429</v>
      </c>
      <c r="E59" s="395" t="n">
        <v>20410192</v>
      </c>
      <c r="F59" s="282"/>
      <c r="G59" s="29"/>
      <c r="H59" s="29"/>
      <c r="I59" s="132" t="n">
        <v>287.08</v>
      </c>
      <c r="J59" s="132" t="n">
        <f aca="false">I59*0.08</f>
        <v>22.9664</v>
      </c>
      <c r="K59" s="26" t="n">
        <f aca="false">J59</f>
        <v>22.9664</v>
      </c>
      <c r="L59" s="439"/>
    </row>
    <row r="60" s="51" customFormat="true" ht="18.75" hidden="false" customHeight="false" outlineLevel="0" collapsed="false">
      <c r="A60" s="432" t="s">
        <v>502</v>
      </c>
      <c r="B60" s="69" t="n">
        <v>429665</v>
      </c>
      <c r="C60" s="70" t="s">
        <v>512</v>
      </c>
      <c r="D60" s="382" t="s">
        <v>437</v>
      </c>
      <c r="E60" s="395" t="n">
        <v>821974</v>
      </c>
      <c r="F60" s="282"/>
      <c r="G60" s="29" t="n">
        <v>2036</v>
      </c>
      <c r="H60" s="29"/>
      <c r="I60" s="132" t="n">
        <v>900</v>
      </c>
      <c r="J60" s="222" t="n">
        <f aca="false">(I60*19*0.02)*0.5</f>
        <v>171</v>
      </c>
      <c r="K60" s="26" t="n">
        <f aca="false">J60</f>
        <v>171</v>
      </c>
      <c r="L60" s="439"/>
    </row>
    <row r="61" s="51" customFormat="true" ht="18.75" hidden="false" customHeight="false" outlineLevel="0" collapsed="false">
      <c r="A61" s="432" t="s">
        <v>502</v>
      </c>
      <c r="B61" s="69" t="n">
        <v>848696</v>
      </c>
      <c r="C61" s="70" t="s">
        <v>513</v>
      </c>
      <c r="D61" s="382" t="s">
        <v>296</v>
      </c>
      <c r="E61" s="395" t="n">
        <v>60016299</v>
      </c>
      <c r="F61" s="282" t="s">
        <v>181</v>
      </c>
      <c r="G61" s="29"/>
      <c r="H61" s="29"/>
      <c r="I61" s="132" t="n">
        <v>731.76</v>
      </c>
      <c r="J61" s="130"/>
      <c r="K61" s="26"/>
      <c r="L61" s="439"/>
    </row>
    <row r="62" s="51" customFormat="true" ht="18.75" hidden="false" customHeight="false" outlineLevel="0" collapsed="false">
      <c r="A62" s="432" t="s">
        <v>502</v>
      </c>
      <c r="B62" s="69" t="n">
        <v>971770</v>
      </c>
      <c r="C62" s="70" t="s">
        <v>514</v>
      </c>
      <c r="D62" s="382" t="s">
        <v>426</v>
      </c>
      <c r="E62" s="395" t="n">
        <v>20411305</v>
      </c>
      <c r="F62" s="282"/>
      <c r="G62" s="29"/>
      <c r="H62" s="29"/>
      <c r="I62" s="132" t="n">
        <v>980.08</v>
      </c>
      <c r="J62" s="222" t="n">
        <f aca="false">800*0.05+180.08*0.065</f>
        <v>51.7052</v>
      </c>
      <c r="K62" s="26" t="n">
        <f aca="false">J62</f>
        <v>51.7052</v>
      </c>
      <c r="L62" s="439"/>
    </row>
    <row r="63" s="51" customFormat="true" ht="18.75" hidden="false" customHeight="false" outlineLevel="0" collapsed="false">
      <c r="A63" s="432" t="s">
        <v>502</v>
      </c>
      <c r="B63" s="69" t="n">
        <v>411055</v>
      </c>
      <c r="C63" s="70" t="s">
        <v>233</v>
      </c>
      <c r="D63" s="382" t="s">
        <v>431</v>
      </c>
      <c r="E63" s="395" t="n">
        <v>20412802</v>
      </c>
      <c r="F63" s="282"/>
      <c r="G63" s="29"/>
      <c r="H63" s="29"/>
      <c r="I63" s="132" t="n">
        <v>514.48</v>
      </c>
      <c r="J63" s="132" t="n">
        <f aca="false">I63*0.08</f>
        <v>41.1584</v>
      </c>
      <c r="K63" s="26" t="n">
        <f aca="false">J63</f>
        <v>41.1584</v>
      </c>
      <c r="L63" s="439"/>
    </row>
    <row r="64" s="51" customFormat="true" ht="18.75" hidden="false" customHeight="false" outlineLevel="0" collapsed="false">
      <c r="A64" s="432" t="s">
        <v>502</v>
      </c>
      <c r="B64" s="69" t="n">
        <v>411056</v>
      </c>
      <c r="C64" s="70" t="s">
        <v>233</v>
      </c>
      <c r="D64" s="382" t="s">
        <v>431</v>
      </c>
      <c r="E64" s="395" t="n">
        <v>20412809</v>
      </c>
      <c r="F64" s="282"/>
      <c r="G64" s="29"/>
      <c r="H64" s="29"/>
      <c r="I64" s="132" t="n">
        <v>129.23</v>
      </c>
      <c r="J64" s="132" t="n">
        <f aca="false">I64*0.08</f>
        <v>10.3384</v>
      </c>
      <c r="K64" s="26" t="n">
        <f aca="false">J64</f>
        <v>10.3384</v>
      </c>
      <c r="L64" s="439"/>
    </row>
    <row r="65" s="51" customFormat="true" ht="18.75" hidden="false" customHeight="false" outlineLevel="0" collapsed="false">
      <c r="A65" s="432" t="s">
        <v>502</v>
      </c>
      <c r="B65" s="69" t="n">
        <v>811892</v>
      </c>
      <c r="C65" s="70" t="s">
        <v>515</v>
      </c>
      <c r="D65" s="382" t="s">
        <v>429</v>
      </c>
      <c r="E65" s="395" t="n">
        <v>20412738</v>
      </c>
      <c r="F65" s="282"/>
      <c r="G65" s="29"/>
      <c r="H65" s="29"/>
      <c r="I65" s="132" t="n">
        <v>418.98</v>
      </c>
      <c r="J65" s="132" t="n">
        <f aca="false">I65*0.08</f>
        <v>33.5184</v>
      </c>
      <c r="K65" s="26" t="n">
        <f aca="false">J65</f>
        <v>33.5184</v>
      </c>
      <c r="L65" s="439"/>
    </row>
    <row r="66" s="51" customFormat="true" ht="18.75" hidden="false" customHeight="false" outlineLevel="0" collapsed="false">
      <c r="A66" s="432" t="s">
        <v>502</v>
      </c>
      <c r="B66" s="69" t="n">
        <v>972349</v>
      </c>
      <c r="C66" s="70" t="s">
        <v>516</v>
      </c>
      <c r="D66" s="382" t="s">
        <v>426</v>
      </c>
      <c r="E66" s="395" t="n">
        <v>20412101</v>
      </c>
      <c r="F66" s="282"/>
      <c r="G66" s="29"/>
      <c r="H66" s="29"/>
      <c r="I66" s="132" t="n">
        <v>865.04</v>
      </c>
      <c r="J66" s="222" t="n">
        <f aca="false">800*0.05+65.04*0.065</f>
        <v>44.2276</v>
      </c>
      <c r="K66" s="26" t="n">
        <f aca="false">J66</f>
        <v>44.2276</v>
      </c>
      <c r="L66" s="439"/>
    </row>
    <row r="67" s="51" customFormat="true" ht="18.75" hidden="false" customHeight="false" outlineLevel="0" collapsed="false">
      <c r="A67" s="432" t="s">
        <v>502</v>
      </c>
      <c r="B67" s="69" t="n">
        <v>973005</v>
      </c>
      <c r="C67" s="70" t="s">
        <v>517</v>
      </c>
      <c r="D67" s="382" t="s">
        <v>426</v>
      </c>
      <c r="E67" s="395" t="n">
        <v>20412622</v>
      </c>
      <c r="F67" s="282"/>
      <c r="G67" s="29"/>
      <c r="H67" s="29"/>
      <c r="I67" s="132" t="n">
        <v>1118.02</v>
      </c>
      <c r="J67" s="222" t="n">
        <f aca="false">800*0.05+318.02*0.065</f>
        <v>60.6713</v>
      </c>
      <c r="K67" s="26" t="n">
        <f aca="false">J67</f>
        <v>60.6713</v>
      </c>
      <c r="L67" s="439"/>
    </row>
    <row r="68" s="51" customFormat="true" ht="18.75" hidden="false" customHeight="false" outlineLevel="0" collapsed="false">
      <c r="A68" s="432"/>
      <c r="B68" s="432"/>
      <c r="C68" s="70"/>
      <c r="D68" s="382"/>
      <c r="E68" s="395"/>
      <c r="F68" s="282"/>
      <c r="G68" s="29"/>
      <c r="H68" s="29"/>
      <c r="I68" s="132"/>
      <c r="J68" s="222"/>
      <c r="K68" s="26" t="n">
        <f aca="false">J68</f>
        <v>0</v>
      </c>
      <c r="L68" s="439"/>
    </row>
    <row r="69" s="51" customFormat="true" ht="18.75" hidden="false" customHeight="false" outlineLevel="0" collapsed="false">
      <c r="A69" s="432"/>
      <c r="B69" s="432"/>
      <c r="C69" s="70"/>
      <c r="D69" s="382"/>
      <c r="E69" s="395"/>
      <c r="F69" s="282"/>
      <c r="G69" s="29"/>
      <c r="H69" s="29"/>
      <c r="I69" s="132"/>
      <c r="J69" s="222"/>
      <c r="K69" s="26" t="n">
        <f aca="false">J69</f>
        <v>0</v>
      </c>
      <c r="L69" s="439"/>
    </row>
    <row r="70" customFormat="false" ht="19.5" hidden="false" customHeight="false" outlineLevel="0" collapsed="false">
      <c r="A70" s="712" t="s">
        <v>502</v>
      </c>
      <c r="B70" s="436"/>
      <c r="C70" s="135" t="s">
        <v>236</v>
      </c>
      <c r="D70" s="391"/>
      <c r="E70" s="397"/>
      <c r="F70" s="393"/>
      <c r="G70" s="60"/>
      <c r="H70" s="60"/>
      <c r="I70" s="150"/>
      <c r="J70" s="150"/>
      <c r="K70" s="303" t="n">
        <f aca="false">SUM(K50:K69)</f>
        <v>2540.1988</v>
      </c>
      <c r="L70" s="437"/>
    </row>
    <row r="71" customFormat="false" ht="18.75" hidden="false" customHeight="false" outlineLevel="0" collapsed="false">
      <c r="A71" s="435" t="s">
        <v>518</v>
      </c>
      <c r="B71" s="64" t="n">
        <v>121208</v>
      </c>
      <c r="C71" s="70" t="s">
        <v>519</v>
      </c>
      <c r="D71" s="394" t="s">
        <v>520</v>
      </c>
      <c r="E71" s="395" t="n">
        <v>10727836</v>
      </c>
      <c r="F71" s="282"/>
      <c r="G71" s="29"/>
      <c r="H71" s="29"/>
      <c r="I71" s="132" t="n">
        <v>176.63</v>
      </c>
      <c r="J71" s="132" t="n">
        <f aca="false">I71*0.08</f>
        <v>14.1304</v>
      </c>
      <c r="K71" s="26" t="n">
        <v>26.4945</v>
      </c>
      <c r="L71" s="437"/>
    </row>
    <row r="72" s="51" customFormat="true" ht="18.75" hidden="false" customHeight="false" outlineLevel="0" collapsed="false">
      <c r="A72" s="432" t="s">
        <v>518</v>
      </c>
      <c r="B72" s="441" t="n">
        <v>770987</v>
      </c>
      <c r="C72" s="70" t="s">
        <v>521</v>
      </c>
      <c r="D72" s="382" t="s">
        <v>437</v>
      </c>
      <c r="E72" s="383" t="n">
        <v>824583</v>
      </c>
      <c r="F72" s="399"/>
      <c r="G72" s="24" t="n">
        <v>2046</v>
      </c>
      <c r="H72" s="24"/>
      <c r="I72" s="132" t="n">
        <v>720</v>
      </c>
      <c r="J72" s="222" t="n">
        <f aca="false">(I72*29*0.02)*0.5</f>
        <v>208.8</v>
      </c>
      <c r="K72" s="26" t="n">
        <f aca="false">J72</f>
        <v>208.8</v>
      </c>
      <c r="L72" s="437"/>
    </row>
    <row r="73" customFormat="false" ht="18.75" hidden="false" customHeight="false" outlineLevel="0" collapsed="false">
      <c r="A73" s="432" t="s">
        <v>518</v>
      </c>
      <c r="B73" s="441" t="n">
        <v>845563</v>
      </c>
      <c r="C73" s="70" t="s">
        <v>522</v>
      </c>
      <c r="D73" s="382" t="s">
        <v>437</v>
      </c>
      <c r="E73" s="395" t="n">
        <v>612117</v>
      </c>
      <c r="F73" s="282"/>
      <c r="G73" s="29" t="n">
        <v>2034</v>
      </c>
      <c r="H73" s="29"/>
      <c r="I73" s="132" t="n">
        <v>1078.43</v>
      </c>
      <c r="J73" s="222" t="n">
        <f aca="false">(I73*17*0.02)*0.5</f>
        <v>183.3331</v>
      </c>
      <c r="K73" s="26"/>
      <c r="L73" s="442" t="s">
        <v>523</v>
      </c>
    </row>
    <row r="74" customFormat="false" ht="18.75" hidden="false" customHeight="false" outlineLevel="0" collapsed="false">
      <c r="A74" s="432" t="s">
        <v>518</v>
      </c>
      <c r="B74" s="441" t="n">
        <v>845563</v>
      </c>
      <c r="C74" s="70" t="s">
        <v>522</v>
      </c>
      <c r="D74" s="382" t="s">
        <v>439</v>
      </c>
      <c r="E74" s="383" t="n">
        <v>424171</v>
      </c>
      <c r="F74" s="282"/>
      <c r="G74" s="24" t="n">
        <v>2034</v>
      </c>
      <c r="H74" s="24"/>
      <c r="I74" s="132" t="n">
        <v>350</v>
      </c>
      <c r="J74" s="222" t="n">
        <f aca="false">(I74*17*0.02)*0.5</f>
        <v>59.5</v>
      </c>
      <c r="K74" s="26" t="n">
        <f aca="false">J74</f>
        <v>59.5</v>
      </c>
      <c r="L74" s="438"/>
    </row>
    <row r="75" s="34" customFormat="true" ht="18.75" hidden="false" customHeight="false" outlineLevel="0" collapsed="false">
      <c r="A75" s="432" t="s">
        <v>518</v>
      </c>
      <c r="B75" s="441" t="n">
        <v>882443</v>
      </c>
      <c r="C75" s="70" t="s">
        <v>524</v>
      </c>
      <c r="D75" s="382" t="s">
        <v>437</v>
      </c>
      <c r="E75" s="401" t="n">
        <v>612118</v>
      </c>
      <c r="F75" s="282"/>
      <c r="G75" s="24" t="n">
        <v>2030</v>
      </c>
      <c r="H75" s="24"/>
      <c r="I75" s="132" t="n">
        <v>1078.43</v>
      </c>
      <c r="J75" s="222" t="n">
        <f aca="false">(I75*13*0.02)*0.5</f>
        <v>140.1959</v>
      </c>
      <c r="K75" s="26" t="n">
        <f aca="false">J75</f>
        <v>140.1959</v>
      </c>
      <c r="L75" s="438"/>
    </row>
    <row r="76" s="34" customFormat="true" ht="18.75" hidden="false" customHeight="false" outlineLevel="0" collapsed="false">
      <c r="A76" s="432" t="s">
        <v>518</v>
      </c>
      <c r="B76" s="441" t="n">
        <v>973272</v>
      </c>
      <c r="C76" s="70" t="s">
        <v>525</v>
      </c>
      <c r="D76" s="382" t="s">
        <v>296</v>
      </c>
      <c r="E76" s="401" t="n">
        <v>61025510</v>
      </c>
      <c r="F76" s="282"/>
      <c r="G76" s="24"/>
      <c r="H76" s="24"/>
      <c r="I76" s="132" t="n">
        <v>663.96</v>
      </c>
      <c r="J76" s="130" t="n">
        <f aca="false">(I76/12*3.5)*0.5</f>
        <v>96.8275</v>
      </c>
      <c r="K76" s="26" t="n">
        <f aca="false">J76</f>
        <v>96.8275</v>
      </c>
      <c r="L76" s="438"/>
    </row>
    <row r="77" s="34" customFormat="true" ht="18.75" hidden="false" customHeight="false" outlineLevel="0" collapsed="false">
      <c r="A77" s="432" t="s">
        <v>518</v>
      </c>
      <c r="B77" s="441" t="n">
        <v>259955</v>
      </c>
      <c r="C77" s="70" t="s">
        <v>526</v>
      </c>
      <c r="D77" s="382" t="s">
        <v>296</v>
      </c>
      <c r="E77" s="401" t="n">
        <v>61026528</v>
      </c>
      <c r="F77" s="282"/>
      <c r="G77" s="24"/>
      <c r="H77" s="24"/>
      <c r="I77" s="402" t="n">
        <v>723.48</v>
      </c>
      <c r="J77" s="130" t="n">
        <f aca="false">(I77/12*3.5)*0.5</f>
        <v>105.5075</v>
      </c>
      <c r="K77" s="26" t="n">
        <f aca="false">J77</f>
        <v>105.5075</v>
      </c>
      <c r="L77" s="429"/>
    </row>
    <row r="78" s="46" customFormat="true" ht="18.75" hidden="false" customHeight="false" outlineLevel="0" collapsed="false">
      <c r="A78" s="432" t="s">
        <v>518</v>
      </c>
      <c r="B78" s="441" t="n">
        <v>952598</v>
      </c>
      <c r="C78" s="99" t="s">
        <v>19</v>
      </c>
      <c r="D78" s="382" t="s">
        <v>437</v>
      </c>
      <c r="E78" s="395" t="n">
        <v>825436</v>
      </c>
      <c r="F78" s="282"/>
      <c r="G78" s="42" t="n">
        <v>2045</v>
      </c>
      <c r="H78" s="42"/>
      <c r="I78" s="222" t="n">
        <v>1176.48</v>
      </c>
      <c r="J78" s="222" t="n">
        <f aca="false">(I78*28*0.02)*0.5</f>
        <v>329.4144</v>
      </c>
      <c r="K78" s="26" t="n">
        <f aca="false">J78</f>
        <v>329.4144</v>
      </c>
      <c r="L78" s="439"/>
    </row>
    <row r="79" s="46" customFormat="true" ht="18.75" hidden="false" customHeight="false" outlineLevel="0" collapsed="false">
      <c r="A79" s="432" t="s">
        <v>518</v>
      </c>
      <c r="B79" s="441" t="n">
        <v>492356</v>
      </c>
      <c r="C79" s="99" t="s">
        <v>209</v>
      </c>
      <c r="D79" s="382" t="s">
        <v>437</v>
      </c>
      <c r="E79" s="395" t="n">
        <v>825447</v>
      </c>
      <c r="F79" s="282"/>
      <c r="G79" s="42" t="n">
        <v>2033</v>
      </c>
      <c r="H79" s="42"/>
      <c r="I79" s="222" t="n">
        <v>823.56</v>
      </c>
      <c r="J79" s="222" t="n">
        <f aca="false">(I79*16*0.02)*0.5</f>
        <v>131.7696</v>
      </c>
      <c r="K79" s="26" t="n">
        <f aca="false">J79</f>
        <v>131.7696</v>
      </c>
      <c r="L79" s="439"/>
    </row>
    <row r="80" s="51" customFormat="true" ht="18.75" hidden="false" customHeight="false" outlineLevel="0" collapsed="false">
      <c r="A80" s="432" t="s">
        <v>518</v>
      </c>
      <c r="B80" s="441" t="n">
        <v>975116</v>
      </c>
      <c r="C80" s="90" t="s">
        <v>527</v>
      </c>
      <c r="D80" s="382" t="s">
        <v>442</v>
      </c>
      <c r="E80" s="395"/>
      <c r="F80" s="282"/>
      <c r="G80" s="29"/>
      <c r="H80" s="29"/>
      <c r="I80" s="222" t="n">
        <v>6531.79</v>
      </c>
      <c r="J80" s="75" t="n">
        <f aca="false">(I80*0.075)*0.5</f>
        <v>244.942125</v>
      </c>
      <c r="K80" s="26" t="n">
        <f aca="false">J80</f>
        <v>244.942125</v>
      </c>
      <c r="L80" s="437"/>
      <c r="M80" s="46"/>
    </row>
    <row r="81" customFormat="false" ht="18.75" hidden="false" customHeight="false" outlineLevel="0" collapsed="false">
      <c r="A81" s="432" t="s">
        <v>518</v>
      </c>
      <c r="B81" s="441" t="n">
        <v>971952</v>
      </c>
      <c r="C81" s="90" t="s">
        <v>528</v>
      </c>
      <c r="D81" s="382" t="s">
        <v>529</v>
      </c>
      <c r="E81" s="395" t="n">
        <v>20411444</v>
      </c>
      <c r="F81" s="282"/>
      <c r="G81" s="100"/>
      <c r="H81" s="100"/>
      <c r="I81" s="222" t="n">
        <v>678.92</v>
      </c>
      <c r="J81" s="132" t="n">
        <f aca="false">I81*0.08</f>
        <v>54.3136</v>
      </c>
      <c r="K81" s="26" t="n">
        <f aca="false">J81</f>
        <v>54.3136</v>
      </c>
      <c r="L81" s="437"/>
    </row>
    <row r="82" customFormat="false" ht="18.75" hidden="false" customHeight="false" outlineLevel="0" collapsed="false">
      <c r="A82" s="432" t="s">
        <v>518</v>
      </c>
      <c r="B82" s="441" t="n">
        <v>521956</v>
      </c>
      <c r="C82" s="99" t="s">
        <v>364</v>
      </c>
      <c r="D82" s="382" t="s">
        <v>426</v>
      </c>
      <c r="E82" s="395" t="n">
        <v>20411589</v>
      </c>
      <c r="F82" s="282"/>
      <c r="G82" s="29"/>
      <c r="H82" s="29"/>
      <c r="I82" s="222" t="n">
        <v>1795.47</v>
      </c>
      <c r="J82" s="222" t="n">
        <f aca="false">800*0.05+995.47*0.065</f>
        <v>104.70555</v>
      </c>
      <c r="K82" s="26" t="n">
        <f aca="false">J82</f>
        <v>104.70555</v>
      </c>
      <c r="L82" s="437"/>
    </row>
    <row r="83" customFormat="false" ht="18.75" hidden="false" customHeight="false" outlineLevel="0" collapsed="false">
      <c r="A83" s="432" t="s">
        <v>518</v>
      </c>
      <c r="B83" s="441" t="n">
        <v>962753</v>
      </c>
      <c r="C83" s="99" t="s">
        <v>530</v>
      </c>
      <c r="D83" s="382" t="s">
        <v>426</v>
      </c>
      <c r="E83" s="395" t="n">
        <v>20414927</v>
      </c>
      <c r="F83" s="282"/>
      <c r="G83" s="29"/>
      <c r="H83" s="29"/>
      <c r="I83" s="222" t="n">
        <v>1612.84</v>
      </c>
      <c r="J83" s="222" t="n">
        <f aca="false">800*0.05+812.84*0.065</f>
        <v>92.8346</v>
      </c>
      <c r="K83" s="26" t="n">
        <f aca="false">J83</f>
        <v>92.8346</v>
      </c>
      <c r="L83" s="437"/>
    </row>
    <row r="84" customFormat="false" ht="18.75" hidden="false" customHeight="false" outlineLevel="0" collapsed="false">
      <c r="A84" s="432" t="s">
        <v>518</v>
      </c>
      <c r="B84" s="441" t="n">
        <v>976480</v>
      </c>
      <c r="C84" s="99" t="s">
        <v>531</v>
      </c>
      <c r="D84" s="382" t="s">
        <v>439</v>
      </c>
      <c r="E84" s="395" t="n">
        <v>826142</v>
      </c>
      <c r="F84" s="282"/>
      <c r="G84" s="29" t="n">
        <v>2028</v>
      </c>
      <c r="H84" s="29"/>
      <c r="I84" s="222" t="n">
        <v>3199.92</v>
      </c>
      <c r="J84" s="222" t="n">
        <f aca="false">(I84*11*0.02)*0.5</f>
        <v>351.9912</v>
      </c>
      <c r="K84" s="26" t="n">
        <f aca="false">J84</f>
        <v>351.9912</v>
      </c>
      <c r="L84" s="437"/>
    </row>
    <row r="85" customFormat="false" ht="18.75" hidden="false" customHeight="false" outlineLevel="0" collapsed="false">
      <c r="A85" s="432" t="s">
        <v>518</v>
      </c>
      <c r="B85" s="441" t="n">
        <v>793853</v>
      </c>
      <c r="C85" s="99" t="s">
        <v>113</v>
      </c>
      <c r="D85" s="382" t="s">
        <v>296</v>
      </c>
      <c r="E85" s="395" t="n">
        <v>61025794</v>
      </c>
      <c r="F85" s="282"/>
      <c r="G85" s="29"/>
      <c r="H85" s="29"/>
      <c r="I85" s="222" t="n">
        <v>145.08</v>
      </c>
      <c r="J85" s="130" t="n">
        <f aca="false">(I85/12*3.5)*0.5</f>
        <v>21.1575</v>
      </c>
      <c r="K85" s="26" t="n">
        <f aca="false">J85</f>
        <v>21.1575</v>
      </c>
      <c r="L85" s="437"/>
    </row>
    <row r="86" customFormat="false" ht="18.75" hidden="false" customHeight="false" outlineLevel="0" collapsed="false">
      <c r="A86" s="432" t="s">
        <v>518</v>
      </c>
      <c r="B86" s="441" t="n">
        <v>974373</v>
      </c>
      <c r="C86" s="99" t="s">
        <v>532</v>
      </c>
      <c r="D86" s="382" t="s">
        <v>429</v>
      </c>
      <c r="E86" s="395" t="n">
        <v>20414253</v>
      </c>
      <c r="F86" s="282"/>
      <c r="G86" s="29"/>
      <c r="H86" s="29"/>
      <c r="I86" s="222" t="n">
        <v>168.5</v>
      </c>
      <c r="J86" s="132" t="n">
        <f aca="false">I86*0.08</f>
        <v>13.48</v>
      </c>
      <c r="K86" s="26" t="n">
        <f aca="false">J86</f>
        <v>13.48</v>
      </c>
      <c r="L86" s="437"/>
    </row>
    <row r="87" customFormat="false" ht="18.75" hidden="false" customHeight="false" outlineLevel="0" collapsed="false">
      <c r="A87" s="432" t="s">
        <v>518</v>
      </c>
      <c r="B87" s="441" t="n">
        <v>974377</v>
      </c>
      <c r="C87" s="99" t="s">
        <v>533</v>
      </c>
      <c r="D87" s="382" t="s">
        <v>429</v>
      </c>
      <c r="E87" s="395" t="n">
        <v>20414259</v>
      </c>
      <c r="F87" s="282"/>
      <c r="G87" s="29"/>
      <c r="H87" s="29"/>
      <c r="I87" s="222" t="n">
        <v>168.5</v>
      </c>
      <c r="J87" s="132" t="n">
        <f aca="false">I87*0.08</f>
        <v>13.48</v>
      </c>
      <c r="K87" s="26" t="n">
        <f aca="false">J87</f>
        <v>13.48</v>
      </c>
      <c r="L87" s="437"/>
    </row>
    <row r="88" customFormat="false" ht="30" hidden="false" customHeight="false" outlineLevel="0" collapsed="false">
      <c r="A88" s="432"/>
      <c r="B88" s="613" t="n">
        <v>782333</v>
      </c>
      <c r="C88" s="445" t="s">
        <v>408</v>
      </c>
      <c r="D88" s="289" t="s">
        <v>298</v>
      </c>
      <c r="E88" s="289" t="n">
        <v>806102</v>
      </c>
      <c r="F88" s="289"/>
      <c r="G88" s="289" t="n">
        <v>2033</v>
      </c>
      <c r="H88" s="24"/>
      <c r="I88" s="446" t="n">
        <v>1100</v>
      </c>
      <c r="J88" s="447" t="n">
        <v>-211.2</v>
      </c>
      <c r="K88" s="447" t="n">
        <f aca="false">J88</f>
        <v>-211.2</v>
      </c>
      <c r="L88" s="448" t="s">
        <v>534</v>
      </c>
    </row>
    <row r="89" customFormat="false" ht="15" hidden="false" customHeight="false" outlineLevel="0" collapsed="false">
      <c r="A89" s="432"/>
      <c r="B89" s="713" t="n">
        <v>524936</v>
      </c>
      <c r="C89" s="450" t="s">
        <v>398</v>
      </c>
      <c r="D89" s="245" t="s">
        <v>62</v>
      </c>
      <c r="E89" s="245" t="n">
        <v>20360252</v>
      </c>
      <c r="F89" s="289"/>
      <c r="G89" s="289"/>
      <c r="H89" s="714"/>
      <c r="I89" s="451" t="n">
        <v>1463.39</v>
      </c>
      <c r="J89" s="452" t="n">
        <f aca="false">-I89*0.12</f>
        <v>-175.6068</v>
      </c>
      <c r="K89" s="447" t="n">
        <f aca="false">J89</f>
        <v>-175.6068</v>
      </c>
      <c r="L89" s="448" t="s">
        <v>535</v>
      </c>
    </row>
    <row r="90" customFormat="false" ht="18.75" hidden="false" customHeight="false" outlineLevel="0" collapsed="false">
      <c r="A90" s="432"/>
      <c r="B90" s="715" t="n">
        <v>729789</v>
      </c>
      <c r="C90" s="454" t="s">
        <v>470</v>
      </c>
      <c r="D90" s="455" t="s">
        <v>441</v>
      </c>
      <c r="E90" s="456" t="n">
        <v>611756</v>
      </c>
      <c r="F90" s="282"/>
      <c r="G90" s="245" t="n">
        <v>2032</v>
      </c>
      <c r="H90" s="245"/>
      <c r="I90" s="457" t="n">
        <v>600</v>
      </c>
      <c r="J90" s="457" t="n">
        <f aca="false">-(I90*15*0.027)*0.6</f>
        <v>-145.8</v>
      </c>
      <c r="K90" s="458" t="n">
        <f aca="false">J90</f>
        <v>-145.8</v>
      </c>
      <c r="L90" s="448" t="s">
        <v>536</v>
      </c>
    </row>
    <row r="91" customFormat="false" ht="18.75" hidden="false" customHeight="false" outlineLevel="0" collapsed="false">
      <c r="A91" s="432"/>
      <c r="B91" s="716" t="n">
        <v>729789</v>
      </c>
      <c r="C91" s="717" t="s">
        <v>470</v>
      </c>
      <c r="D91" s="642" t="s">
        <v>441</v>
      </c>
      <c r="E91" s="718" t="n">
        <v>611756</v>
      </c>
      <c r="F91" s="719"/>
      <c r="G91" s="497" t="n">
        <v>2032</v>
      </c>
      <c r="H91" s="497"/>
      <c r="I91" s="686" t="n">
        <v>600</v>
      </c>
      <c r="J91" s="686" t="n">
        <f aca="false">(I91*15*0.03)*0.6</f>
        <v>162</v>
      </c>
      <c r="K91" s="720" t="n">
        <f aca="false">J91</f>
        <v>162</v>
      </c>
      <c r="L91" s="721" t="s">
        <v>537</v>
      </c>
    </row>
    <row r="92" customFormat="false" ht="30" hidden="false" customHeight="false" outlineLevel="0" collapsed="false">
      <c r="A92" s="432"/>
      <c r="B92" s="613" t="n">
        <v>773696</v>
      </c>
      <c r="C92" s="450" t="s">
        <v>367</v>
      </c>
      <c r="D92" s="245" t="s">
        <v>260</v>
      </c>
      <c r="E92" s="245" t="n">
        <v>441443</v>
      </c>
      <c r="F92" s="245"/>
      <c r="G92" s="245" t="n">
        <v>2026</v>
      </c>
      <c r="H92" s="722"/>
      <c r="I92" s="451" t="n">
        <v>600</v>
      </c>
      <c r="J92" s="457" t="n">
        <v>-64.8</v>
      </c>
      <c r="K92" s="458" t="n">
        <f aca="false">J92</f>
        <v>-64.8</v>
      </c>
      <c r="L92" s="448" t="s">
        <v>538</v>
      </c>
    </row>
    <row r="93" customFormat="false" ht="19.5" hidden="false" customHeight="false" outlineLevel="0" collapsed="false">
      <c r="A93" s="712" t="s">
        <v>518</v>
      </c>
      <c r="B93" s="105"/>
      <c r="C93" s="160" t="s">
        <v>236</v>
      </c>
      <c r="D93" s="391"/>
      <c r="E93" s="407"/>
      <c r="F93" s="393"/>
      <c r="G93" s="161"/>
      <c r="H93" s="161"/>
      <c r="I93" s="408"/>
      <c r="J93" s="408"/>
      <c r="K93" s="409" t="n">
        <f aca="false">SUM(K71:K92)</f>
        <v>1560.007175</v>
      </c>
      <c r="L93" s="437"/>
    </row>
    <row r="94" customFormat="false" ht="19.5" hidden="false" customHeight="false" outlineLevel="0" collapsed="false">
      <c r="A94" s="69"/>
      <c r="B94" s="69"/>
      <c r="C94" s="165"/>
      <c r="D94" s="410"/>
      <c r="E94" s="411"/>
      <c r="F94" s="412"/>
      <c r="G94" s="167"/>
      <c r="H94" s="723"/>
      <c r="I94" s="413"/>
      <c r="J94" s="414"/>
      <c r="K94" s="170"/>
      <c r="L94" s="437"/>
    </row>
    <row r="95" customFormat="false" ht="19.5" hidden="false" customHeight="false" outlineLevel="0" collapsed="false">
      <c r="A95" s="105"/>
      <c r="B95" s="105"/>
      <c r="C95" s="171" t="s">
        <v>285</v>
      </c>
      <c r="D95" s="415"/>
      <c r="E95" s="416"/>
      <c r="F95" s="417"/>
      <c r="G95" s="107"/>
      <c r="H95" s="334"/>
      <c r="I95" s="418"/>
      <c r="J95" s="419"/>
      <c r="K95" s="108" t="n">
        <f aca="false">SUM(K49,K70,K93)</f>
        <v>6159.904325</v>
      </c>
      <c r="L95" s="437"/>
    </row>
    <row r="96" customFormat="false" ht="18.75" hidden="false" customHeight="false" outlineLevel="0" collapsed="false">
      <c r="A96" s="110"/>
      <c r="B96" s="110"/>
      <c r="C96" s="111"/>
      <c r="D96" s="420"/>
      <c r="E96" s="421"/>
      <c r="F96" s="422"/>
      <c r="G96" s="112"/>
      <c r="H96" s="724"/>
      <c r="I96" s="423"/>
      <c r="J96" s="380"/>
      <c r="K96" s="96"/>
      <c r="L96" s="437"/>
    </row>
    <row r="97" customFormat="false" ht="18.75" hidden="false" customHeight="false" outlineLevel="0" collapsed="false">
      <c r="A97" s="110"/>
      <c r="B97" s="110"/>
      <c r="C97" s="111" t="s">
        <v>220</v>
      </c>
      <c r="D97" s="420"/>
      <c r="E97" s="421"/>
      <c r="F97" s="422"/>
      <c r="G97" s="112"/>
      <c r="H97" s="724"/>
      <c r="I97" s="423"/>
      <c r="J97" s="380"/>
      <c r="K97" s="96" t="n">
        <f aca="false">K7</f>
        <v>7811.96</v>
      </c>
      <c r="L97" s="437"/>
    </row>
    <row r="98" customFormat="false" ht="18.75" hidden="false" customHeight="false" outlineLevel="0" collapsed="false">
      <c r="A98" s="110"/>
      <c r="B98" s="110"/>
      <c r="C98" s="111" t="s">
        <v>221</v>
      </c>
      <c r="D98" s="420"/>
      <c r="E98" s="421"/>
      <c r="F98" s="422"/>
      <c r="G98" s="112"/>
      <c r="H98" s="724"/>
      <c r="I98" s="423"/>
      <c r="J98" s="380"/>
      <c r="K98" s="96" t="n">
        <f aca="false">SUM(K95:K97)</f>
        <v>13971.864325</v>
      </c>
      <c r="L98" s="437"/>
    </row>
    <row r="99" s="116" customFormat="true" ht="19.5" hidden="false" customHeight="false" outlineLevel="0" collapsed="false">
      <c r="A99" s="110"/>
      <c r="B99" s="110"/>
      <c r="C99" s="114" t="s">
        <v>222</v>
      </c>
      <c r="D99" s="391"/>
      <c r="E99" s="397"/>
      <c r="F99" s="393"/>
      <c r="G99" s="60"/>
      <c r="H99" s="725"/>
      <c r="I99" s="424"/>
      <c r="J99" s="461"/>
      <c r="K99" s="26" t="n">
        <f aca="false">K98/3</f>
        <v>4657.28810833333</v>
      </c>
      <c r="L99" s="462"/>
    </row>
    <row r="100" s="120" customFormat="true" ht="18.75" hidden="false" customHeight="false" outlineLevel="0" collapsed="false">
      <c r="A100" s="110"/>
      <c r="B100" s="110"/>
      <c r="C100" s="117"/>
      <c r="D100" s="426"/>
      <c r="E100" s="427"/>
      <c r="F100" s="428"/>
      <c r="G100" s="80"/>
      <c r="H100" s="80"/>
      <c r="I100" s="178"/>
      <c r="J100" s="179"/>
      <c r="K100" s="119"/>
      <c r="L100" s="463"/>
    </row>
  </sheetData>
  <dataValidations count="5">
    <dataValidation allowBlank="true" operator="between" prompt="CHOIX PRODUIT" showDropDown="false" showErrorMessage="true" showInputMessage="true" sqref="D10:D29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31:D48" type="list">
      <formula1>"MOBILE2016,MOBILE2007,MOBILE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30 D71" type="list">
      <formula1>"MOBILE2016,MOBILE Regio,REEBOUfamily,REEBOUpack,REEBOUpro,REEBOUinvest,LOGGIA,MEDICIS,RC,RC ENSEIGN,ZENITH60op100,ZENITH60op25,HORIZONT60invest,HORIZONT60protect,HORIZONT60capi,HELIOS100protect,HELIOS60invest,HELIOS100invest,FOCUS,NOVA,BSH"</formula1>
      <formula2>0</formula2>
    </dataValidation>
    <dataValidation allowBlank="true" operator="between" prompt="Liste choix" showDropDown="false" showErrorMessage="true" showInputMessage="true" sqref="D90:D91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50:D69 D72:D89 D92" type="list">
      <formula1>"MOBILE2016,MOBILE Regio,REEBOU Family,REEBOUImmo,REEBOU Pack,REEBOU Pro,REEBOU Invest,LOGGIA,MEDICIS,RC,RC ENSEIGNANT,ZENITH60 Op100,ZENITH60 Op25,HORIZONT60Invest,HORIZONT60Protect,HORIZONT60Capi,HELIOS100Protect,HELIOS100Invest,FOCUS,NOVA,SCHWABISCHHALL"</formula1>
      <formula2>0</formula2>
    </dataValidation>
  </dataValidations>
  <printOptions headings="false" gridLines="true" gridLinesSet="true" horizontalCentered="true" verticalCentered="true"/>
  <pageMargins left="0.236111111111111" right="0.236111111111111" top="0.747916666666667" bottom="0.748611111111111" header="0.315277777777778" footer="0.315277777777778"/>
  <pageSetup paperSize="9" scale="7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4èmeTRIMESTRE 2017</oddHeader>
    <oddFooter>&amp;L&amp;8&amp;Z&amp;F&amp;C&amp;7&amp;P/&amp;N&amp;RModfié le &amp;D </oddFooter>
  </headerFooter>
  <rowBreaks count="2" manualBreakCount="2">
    <brk id="49" man="true" max="16383" min="0"/>
    <brk id="70" man="true" max="16383" min="0"/>
  </rowBreaks>
</worksheet>
</file>

<file path=xl/worksheets/sheet18.xml><?xml version="1.0" encoding="utf-8"?>
<worksheet xmlns="http://schemas.openxmlformats.org/spreadsheetml/2006/main" xmlns:r="http://schemas.openxmlformats.org/officeDocument/2006/relationships">
  <sheetPr filterMode="false">
    <tabColor rgb="FFFF0000"/>
    <pageSetUpPr fitToPage="false"/>
  </sheetPr>
  <dimension ref="A1:M9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35" activeCellId="1" sqref="A2:A7 B35"/>
    </sheetView>
  </sheetViews>
  <sheetFormatPr defaultRowHeight="18.75" zeroHeight="false" outlineLevelRow="0" outlineLevelCol="0"/>
  <cols>
    <col collapsed="false" customWidth="true" hidden="false" outlineLevel="0" max="1" min="1" style="62" width="12.71"/>
    <col collapsed="false" customWidth="true" hidden="false" outlineLevel="0" max="2" min="2" style="62" width="17.42"/>
    <col collapsed="false" customWidth="true" hidden="false" outlineLevel="0" max="3" min="3" style="2" width="30.43"/>
    <col collapsed="false" customWidth="true" hidden="false" outlineLevel="0" max="4" min="4" style="362" width="21.71"/>
    <col collapsed="false" customWidth="true" hidden="true" outlineLevel="0" max="5" min="5" style="363" width="24.71"/>
    <col collapsed="false" customWidth="true" hidden="true" outlineLevel="0" max="6" min="6" style="181" width="3.71"/>
    <col collapsed="false" customWidth="true" hidden="true" outlineLevel="0" max="7" min="7" style="3" width="10.14"/>
    <col collapsed="false" customWidth="true" hidden="true" outlineLevel="0" max="8" min="8" style="3" width="13.29"/>
    <col collapsed="false" customWidth="true" hidden="false" outlineLevel="0" max="9" min="9" style="121" width="13.14"/>
    <col collapsed="false" customWidth="true" hidden="false" outlineLevel="0" max="10" min="10" style="122" width="12.42"/>
    <col collapsed="false" customWidth="true" hidden="false" outlineLevel="0" max="11" min="11" style="5" width="12.14"/>
    <col collapsed="false" customWidth="true" hidden="false" outlineLevel="0" max="12" min="12" style="429" width="17.71"/>
    <col collapsed="false" customWidth="true" hidden="false" outlineLevel="0" max="14" min="13" style="0" width="9.29"/>
    <col collapsed="false" customWidth="true" hidden="false" outlineLevel="0" max="1025" min="15" style="0" width="10.67"/>
  </cols>
  <sheetData>
    <row r="1" customFormat="false" ht="30" hidden="false" customHeight="false" outlineLevel="0" collapsed="false">
      <c r="A1" s="707" t="s">
        <v>661</v>
      </c>
      <c r="C1" s="22" t="s">
        <v>125</v>
      </c>
      <c r="D1" s="382" t="n">
        <v>3</v>
      </c>
      <c r="E1" s="2"/>
      <c r="G1" s="3" t="s">
        <v>480</v>
      </c>
      <c r="H1" s="180"/>
      <c r="I1" s="3" t="s">
        <v>127</v>
      </c>
      <c r="K1" s="10" t="n">
        <v>183</v>
      </c>
    </row>
    <row r="2" customFormat="false" ht="18.75" hidden="false" customHeight="false" outlineLevel="0" collapsed="false">
      <c r="C2" s="22" t="s">
        <v>416</v>
      </c>
      <c r="D2" s="382"/>
      <c r="E2" s="363" t="s">
        <v>481</v>
      </c>
      <c r="G2" s="3" t="n">
        <f aca="false">7*8</f>
        <v>56</v>
      </c>
      <c r="H2" s="1"/>
      <c r="I2" s="363" t="s">
        <v>419</v>
      </c>
      <c r="J2" s="125"/>
      <c r="K2" s="10" t="n">
        <f aca="false">56*7.66</f>
        <v>428.96</v>
      </c>
    </row>
    <row r="3" customFormat="false" ht="18.75" hidden="false" customHeight="false" outlineLevel="0" collapsed="false">
      <c r="C3" s="22" t="s">
        <v>5</v>
      </c>
      <c r="D3" s="382" t="s">
        <v>224</v>
      </c>
      <c r="G3" s="1"/>
      <c r="H3" s="1"/>
      <c r="I3" s="125"/>
      <c r="J3" s="125"/>
      <c r="K3" s="10" t="n">
        <v>2400</v>
      </c>
    </row>
    <row r="4" customFormat="false" ht="18.75" hidden="false" customHeight="false" outlineLevel="0" collapsed="false">
      <c r="C4" s="22" t="s">
        <v>5</v>
      </c>
      <c r="D4" s="382" t="s">
        <v>225</v>
      </c>
      <c r="G4" s="1"/>
      <c r="H4" s="1"/>
      <c r="I4" s="125"/>
      <c r="J4" s="125"/>
      <c r="K4" s="10" t="n">
        <v>2400</v>
      </c>
    </row>
    <row r="5" customFormat="false" ht="18.75" hidden="false" customHeight="false" outlineLevel="0" collapsed="false">
      <c r="C5" s="22" t="s">
        <v>5</v>
      </c>
      <c r="D5" s="382" t="s">
        <v>226</v>
      </c>
      <c r="G5" s="1"/>
      <c r="H5" s="1"/>
      <c r="I5" s="125"/>
      <c r="J5" s="125"/>
      <c r="K5" s="10" t="n">
        <v>2400</v>
      </c>
    </row>
    <row r="6" customFormat="false" ht="18.75" hidden="false" customHeight="false" outlineLevel="0" collapsed="false">
      <c r="C6" s="22" t="s">
        <v>420</v>
      </c>
      <c r="D6" s="430" t="s">
        <v>482</v>
      </c>
      <c r="E6" s="2"/>
      <c r="G6" s="1"/>
      <c r="H6" s="1"/>
      <c r="I6" s="125"/>
      <c r="J6" s="125"/>
      <c r="K6" s="10"/>
    </row>
    <row r="7" customFormat="false" ht="18.75" hidden="false" customHeight="false" outlineLevel="0" collapsed="false">
      <c r="C7" s="22" t="s">
        <v>131</v>
      </c>
      <c r="D7" s="382"/>
      <c r="G7" s="1"/>
      <c r="H7" s="1"/>
      <c r="I7" s="125"/>
      <c r="J7" s="125"/>
      <c r="K7" s="63" t="n">
        <f aca="false">SUM(K1:K5)</f>
        <v>7811.96</v>
      </c>
    </row>
    <row r="8" customFormat="false" ht="19.5" hidden="false" customHeight="false" outlineLevel="0" collapsed="false">
      <c r="L8" s="431"/>
    </row>
    <row r="9" customFormat="false" ht="30" hidden="false" customHeight="false" outlineLevel="0" collapsed="false">
      <c r="A9" s="65" t="s">
        <v>422</v>
      </c>
      <c r="B9" s="65" t="s">
        <v>132</v>
      </c>
      <c r="C9" s="371" t="s">
        <v>11</v>
      </c>
      <c r="D9" s="372" t="s">
        <v>12</v>
      </c>
      <c r="E9" s="373" t="s">
        <v>423</v>
      </c>
      <c r="F9" s="374" t="s">
        <v>9</v>
      </c>
      <c r="G9" s="16" t="s">
        <v>14</v>
      </c>
      <c r="H9" s="17" t="s">
        <v>660</v>
      </c>
      <c r="I9" s="184" t="s">
        <v>15</v>
      </c>
      <c r="J9" s="128" t="s">
        <v>16</v>
      </c>
      <c r="K9" s="19" t="s">
        <v>17</v>
      </c>
      <c r="L9" s="429" t="n">
        <v>0.45</v>
      </c>
    </row>
    <row r="10" customFormat="false" ht="18.75" hidden="true" customHeight="false" outlineLevel="0" collapsed="false">
      <c r="A10" s="73"/>
      <c r="B10" s="73" t="s">
        <v>424</v>
      </c>
      <c r="C10" s="375" t="s">
        <v>425</v>
      </c>
      <c r="D10" s="376" t="s">
        <v>426</v>
      </c>
      <c r="E10" s="377" t="s">
        <v>427</v>
      </c>
      <c r="F10" s="378"/>
      <c r="G10" s="24"/>
      <c r="H10" s="24"/>
      <c r="I10" s="129" t="n">
        <v>100</v>
      </c>
      <c r="J10" s="132"/>
      <c r="K10" s="379" t="n">
        <f aca="false">J10</f>
        <v>0</v>
      </c>
    </row>
    <row r="11" customFormat="false" ht="18.75" hidden="true" customHeight="false" outlineLevel="0" collapsed="false">
      <c r="A11" s="73"/>
      <c r="B11" s="73" t="s">
        <v>424</v>
      </c>
      <c r="C11" s="375" t="s">
        <v>425</v>
      </c>
      <c r="D11" s="376" t="s">
        <v>428</v>
      </c>
      <c r="E11" s="377" t="s">
        <v>427</v>
      </c>
      <c r="F11" s="378"/>
      <c r="G11" s="24"/>
      <c r="H11" s="24"/>
      <c r="I11" s="129" t="n">
        <v>100</v>
      </c>
      <c r="J11" s="132"/>
      <c r="K11" s="379" t="n">
        <f aca="false">J11</f>
        <v>0</v>
      </c>
    </row>
    <row r="12" customFormat="false" ht="18.75" hidden="true" customHeight="false" outlineLevel="0" collapsed="false">
      <c r="A12" s="73"/>
      <c r="B12" s="73" t="s">
        <v>424</v>
      </c>
      <c r="C12" s="375" t="s">
        <v>425</v>
      </c>
      <c r="D12" s="376" t="s">
        <v>429</v>
      </c>
      <c r="E12" s="377" t="s">
        <v>427</v>
      </c>
      <c r="F12" s="378"/>
      <c r="G12" s="24"/>
      <c r="H12" s="24"/>
      <c r="I12" s="129" t="n">
        <v>100</v>
      </c>
      <c r="J12" s="132" t="n">
        <f aca="false">I12*0.12</f>
        <v>12</v>
      </c>
      <c r="K12" s="379" t="n">
        <f aca="false">J12</f>
        <v>12</v>
      </c>
    </row>
    <row r="13" customFormat="false" ht="18.75" hidden="true" customHeight="false" outlineLevel="0" collapsed="false">
      <c r="A13" s="73"/>
      <c r="B13" s="73" t="s">
        <v>424</v>
      </c>
      <c r="C13" s="375" t="s">
        <v>424</v>
      </c>
      <c r="D13" s="376" t="s">
        <v>430</v>
      </c>
      <c r="E13" s="377" t="s">
        <v>427</v>
      </c>
      <c r="F13" s="378"/>
      <c r="G13" s="24"/>
      <c r="H13" s="24"/>
      <c r="I13" s="129" t="n">
        <v>100</v>
      </c>
      <c r="J13" s="132" t="n">
        <f aca="false">I13*0.15</f>
        <v>15</v>
      </c>
      <c r="K13" s="379" t="n">
        <f aca="false">J13</f>
        <v>15</v>
      </c>
    </row>
    <row r="14" customFormat="false" ht="18.75" hidden="true" customHeight="false" outlineLevel="0" collapsed="false">
      <c r="A14" s="73"/>
      <c r="B14" s="73" t="s">
        <v>424</v>
      </c>
      <c r="C14" s="375" t="s">
        <v>424</v>
      </c>
      <c r="D14" s="376" t="s">
        <v>431</v>
      </c>
      <c r="E14" s="377" t="s">
        <v>427</v>
      </c>
      <c r="F14" s="378"/>
      <c r="G14" s="24"/>
      <c r="H14" s="24"/>
      <c r="I14" s="129" t="n">
        <v>100</v>
      </c>
      <c r="J14" s="132" t="n">
        <f aca="false">I14*0.12</f>
        <v>12</v>
      </c>
      <c r="K14" s="379" t="n">
        <f aca="false">J14</f>
        <v>12</v>
      </c>
    </row>
    <row r="15" customFormat="false" ht="18.75" hidden="true" customHeight="false" outlineLevel="0" collapsed="false">
      <c r="A15" s="73"/>
      <c r="B15" s="73" t="s">
        <v>424</v>
      </c>
      <c r="C15" s="375" t="s">
        <v>424</v>
      </c>
      <c r="D15" s="376" t="s">
        <v>432</v>
      </c>
      <c r="E15" s="377" t="s">
        <v>427</v>
      </c>
      <c r="F15" s="378"/>
      <c r="G15" s="24"/>
      <c r="H15" s="24"/>
      <c r="I15" s="129" t="n">
        <v>100</v>
      </c>
      <c r="J15" s="132" t="n">
        <f aca="false">I15*0.12</f>
        <v>12</v>
      </c>
      <c r="K15" s="379" t="n">
        <f aca="false">J15</f>
        <v>12</v>
      </c>
    </row>
    <row r="16" customFormat="false" ht="18.75" hidden="true" customHeight="false" outlineLevel="0" collapsed="false">
      <c r="A16" s="73"/>
      <c r="B16" s="73" t="s">
        <v>424</v>
      </c>
      <c r="C16" s="375" t="s">
        <v>424</v>
      </c>
      <c r="D16" s="376" t="s">
        <v>189</v>
      </c>
      <c r="E16" s="377" t="s">
        <v>427</v>
      </c>
      <c r="F16" s="378"/>
      <c r="G16" s="24"/>
      <c r="H16" s="24"/>
      <c r="I16" s="129" t="n">
        <v>100</v>
      </c>
      <c r="J16" s="132" t="n">
        <f aca="false">I16*0.12</f>
        <v>12</v>
      </c>
      <c r="K16" s="379" t="n">
        <f aca="false">J16</f>
        <v>12</v>
      </c>
    </row>
    <row r="17" customFormat="false" ht="18.75" hidden="true" customHeight="false" outlineLevel="0" collapsed="false">
      <c r="A17" s="73"/>
      <c r="B17" s="73" t="s">
        <v>424</v>
      </c>
      <c r="C17" s="375" t="s">
        <v>424</v>
      </c>
      <c r="D17" s="376" t="s">
        <v>296</v>
      </c>
      <c r="E17" s="377" t="s">
        <v>427</v>
      </c>
      <c r="F17" s="378"/>
      <c r="G17" s="95"/>
      <c r="H17" s="95"/>
      <c r="I17" s="129" t="n">
        <v>100</v>
      </c>
      <c r="J17" s="380" t="n">
        <f aca="false">((I17/12)*3.5)*0.6</f>
        <v>17.5</v>
      </c>
      <c r="K17" s="379" t="n">
        <f aca="false">J17</f>
        <v>17.5</v>
      </c>
    </row>
    <row r="18" customFormat="false" ht="18.75" hidden="true" customHeight="false" outlineLevel="0" collapsed="false">
      <c r="A18" s="73"/>
      <c r="B18" s="73" t="s">
        <v>424</v>
      </c>
      <c r="C18" s="375" t="s">
        <v>424</v>
      </c>
      <c r="D18" s="376" t="s">
        <v>433</v>
      </c>
      <c r="E18" s="377" t="s">
        <v>427</v>
      </c>
      <c r="F18" s="378"/>
      <c r="G18" s="95"/>
      <c r="H18" s="95"/>
      <c r="I18" s="129" t="n">
        <v>100</v>
      </c>
      <c r="J18" s="132" t="n">
        <f aca="false">I18*0.12</f>
        <v>12</v>
      </c>
      <c r="K18" s="379" t="n">
        <f aca="false">J18</f>
        <v>12</v>
      </c>
    </row>
    <row r="19" customFormat="false" ht="18.75" hidden="true" customHeight="false" outlineLevel="0" collapsed="false">
      <c r="A19" s="73"/>
      <c r="B19" s="73" t="s">
        <v>424</v>
      </c>
      <c r="C19" s="375" t="s">
        <v>424</v>
      </c>
      <c r="D19" s="376" t="s">
        <v>434</v>
      </c>
      <c r="E19" s="377" t="s">
        <v>427</v>
      </c>
      <c r="F19" s="378"/>
      <c r="G19" s="95"/>
      <c r="H19" s="95"/>
      <c r="I19" s="129" t="n">
        <v>100</v>
      </c>
      <c r="J19" s="132" t="n">
        <f aca="false">I19*0.12</f>
        <v>12</v>
      </c>
      <c r="K19" s="379" t="n">
        <f aca="false">J19</f>
        <v>12</v>
      </c>
    </row>
    <row r="20" customFormat="false" ht="18.75" hidden="true" customHeight="false" outlineLevel="0" collapsed="false">
      <c r="A20" s="73"/>
      <c r="B20" s="73" t="s">
        <v>424</v>
      </c>
      <c r="C20" s="375" t="s">
        <v>424</v>
      </c>
      <c r="D20" s="376" t="s">
        <v>435</v>
      </c>
      <c r="E20" s="377" t="s">
        <v>427</v>
      </c>
      <c r="F20" s="378"/>
      <c r="G20" s="95" t="n">
        <v>2050</v>
      </c>
      <c r="H20" s="95" t="e">
        <f aca="false">G20-A1</f>
        <v>#VALUE!</v>
      </c>
      <c r="I20" s="381" t="n">
        <v>1000</v>
      </c>
      <c r="J20" s="380" t="e">
        <f aca="false">(I20*H20*0.027)*0.6</f>
        <v>#VALUE!</v>
      </c>
      <c r="K20" s="379" t="e">
        <f aca="false">J20</f>
        <v>#VALUE!</v>
      </c>
    </row>
    <row r="21" customFormat="false" ht="18.75" hidden="true" customHeight="false" outlineLevel="0" collapsed="false">
      <c r="A21" s="73"/>
      <c r="B21" s="73" t="s">
        <v>424</v>
      </c>
      <c r="C21" s="375" t="s">
        <v>424</v>
      </c>
      <c r="D21" s="376" t="s">
        <v>436</v>
      </c>
      <c r="E21" s="377" t="s">
        <v>427</v>
      </c>
      <c r="F21" s="378"/>
      <c r="G21" s="95" t="n">
        <v>2050</v>
      </c>
      <c r="H21" s="95" t="e">
        <f aca="false">G21-A1</f>
        <v>#VALUE!</v>
      </c>
      <c r="I21" s="381" t="n">
        <v>1000</v>
      </c>
      <c r="J21" s="380" t="e">
        <f aca="false">(I21*H21*0.018)*0.6</f>
        <v>#VALUE!</v>
      </c>
      <c r="K21" s="379" t="e">
        <f aca="false">J21</f>
        <v>#VALUE!</v>
      </c>
    </row>
    <row r="22" customFormat="false" ht="18.75" hidden="true" customHeight="false" outlineLevel="0" collapsed="false">
      <c r="A22" s="73"/>
      <c r="B22" s="73" t="s">
        <v>424</v>
      </c>
      <c r="C22" s="375" t="s">
        <v>424</v>
      </c>
      <c r="D22" s="376" t="s">
        <v>437</v>
      </c>
      <c r="E22" s="377" t="s">
        <v>427</v>
      </c>
      <c r="F22" s="378"/>
      <c r="G22" s="95" t="n">
        <v>2050</v>
      </c>
      <c r="H22" s="95" t="e">
        <f aca="false">G22-A1</f>
        <v>#VALUE!</v>
      </c>
      <c r="I22" s="381" t="n">
        <v>1000</v>
      </c>
      <c r="J22" s="380" t="e">
        <f aca="false">(I22*H22*0.02)*0.6</f>
        <v>#VALUE!</v>
      </c>
      <c r="K22" s="379" t="e">
        <f aca="false">J22</f>
        <v>#VALUE!</v>
      </c>
    </row>
    <row r="23" customFormat="false" ht="18.75" hidden="true" customHeight="false" outlineLevel="0" collapsed="false">
      <c r="A23" s="73"/>
      <c r="B23" s="73" t="s">
        <v>424</v>
      </c>
      <c r="C23" s="375" t="s">
        <v>424</v>
      </c>
      <c r="D23" s="376" t="s">
        <v>438</v>
      </c>
      <c r="E23" s="377" t="s">
        <v>427</v>
      </c>
      <c r="F23" s="378"/>
      <c r="G23" s="95" t="n">
        <v>2050</v>
      </c>
      <c r="H23" s="95" t="e">
        <f aca="false">G23-A1</f>
        <v>#VALUE!</v>
      </c>
      <c r="I23" s="381" t="n">
        <v>1000</v>
      </c>
      <c r="J23" s="380" t="e">
        <f aca="false">(I23*H23*0.02)*0.6</f>
        <v>#VALUE!</v>
      </c>
      <c r="K23" s="379" t="e">
        <f aca="false">J23</f>
        <v>#VALUE!</v>
      </c>
    </row>
    <row r="24" customFormat="false" ht="18.75" hidden="true" customHeight="false" outlineLevel="0" collapsed="false">
      <c r="A24" s="73"/>
      <c r="B24" s="73" t="s">
        <v>424</v>
      </c>
      <c r="C24" s="375" t="s">
        <v>424</v>
      </c>
      <c r="D24" s="376" t="s">
        <v>439</v>
      </c>
      <c r="E24" s="377" t="s">
        <v>427</v>
      </c>
      <c r="F24" s="378"/>
      <c r="G24" s="95" t="n">
        <v>2050</v>
      </c>
      <c r="H24" s="95" t="e">
        <f aca="false">G24-A1</f>
        <v>#VALUE!</v>
      </c>
      <c r="I24" s="381" t="n">
        <v>1000</v>
      </c>
      <c r="J24" s="380" t="e">
        <f aca="false">(I24*H24*0.02)*0.6</f>
        <v>#VALUE!</v>
      </c>
      <c r="K24" s="379" t="e">
        <f aca="false">J24</f>
        <v>#VALUE!</v>
      </c>
    </row>
    <row r="25" customFormat="false" ht="18.75" hidden="true" customHeight="false" outlineLevel="0" collapsed="false">
      <c r="A25" s="73"/>
      <c r="B25" s="73" t="s">
        <v>424</v>
      </c>
      <c r="C25" s="375" t="s">
        <v>424</v>
      </c>
      <c r="D25" s="376" t="s">
        <v>440</v>
      </c>
      <c r="E25" s="377" t="s">
        <v>427</v>
      </c>
      <c r="F25" s="378"/>
      <c r="G25" s="95" t="n">
        <v>2050</v>
      </c>
      <c r="H25" s="95" t="e">
        <f aca="false">G25-A1</f>
        <v>#VALUE!</v>
      </c>
      <c r="I25" s="381" t="n">
        <v>1000</v>
      </c>
      <c r="J25" s="380" t="e">
        <f aca="false">(I25*H25*0.027)*0.6</f>
        <v>#VALUE!</v>
      </c>
      <c r="K25" s="379" t="e">
        <f aca="false">J25</f>
        <v>#VALUE!</v>
      </c>
    </row>
    <row r="26" customFormat="false" ht="18.75" hidden="true" customHeight="false" outlineLevel="0" collapsed="false">
      <c r="A26" s="73"/>
      <c r="B26" s="73" t="s">
        <v>424</v>
      </c>
      <c r="C26" s="375" t="s">
        <v>424</v>
      </c>
      <c r="D26" s="376" t="s">
        <v>441</v>
      </c>
      <c r="E26" s="377" t="s">
        <v>427</v>
      </c>
      <c r="F26" s="378"/>
      <c r="G26" s="95" t="n">
        <v>2050</v>
      </c>
      <c r="H26" s="95" t="e">
        <f aca="false">G26-A1</f>
        <v>#VALUE!</v>
      </c>
      <c r="I26" s="381" t="n">
        <v>1000</v>
      </c>
      <c r="J26" s="380" t="e">
        <f aca="false">(I26*H26*0.026)*0.6</f>
        <v>#VALUE!</v>
      </c>
      <c r="K26" s="379" t="e">
        <f aca="false">J26</f>
        <v>#VALUE!</v>
      </c>
    </row>
    <row r="27" customFormat="false" ht="18.75" hidden="true" customHeight="false" outlineLevel="0" collapsed="false">
      <c r="A27" s="73"/>
      <c r="B27" s="73" t="s">
        <v>424</v>
      </c>
      <c r="C27" s="375" t="s">
        <v>424</v>
      </c>
      <c r="D27" s="376" t="s">
        <v>442</v>
      </c>
      <c r="E27" s="377" t="s">
        <v>427</v>
      </c>
      <c r="F27" s="378"/>
      <c r="G27" s="95"/>
      <c r="H27" s="95"/>
      <c r="I27" s="381" t="n">
        <v>10000</v>
      </c>
      <c r="J27" s="380" t="n">
        <f aca="false">I27*0.075*0.6</f>
        <v>450</v>
      </c>
      <c r="K27" s="379" t="n">
        <f aca="false">J27</f>
        <v>450</v>
      </c>
    </row>
    <row r="28" customFormat="false" ht="18.75" hidden="true" customHeight="false" outlineLevel="0" collapsed="false">
      <c r="A28" s="73"/>
      <c r="B28" s="73" t="s">
        <v>424</v>
      </c>
      <c r="C28" s="375" t="s">
        <v>424</v>
      </c>
      <c r="D28" s="376" t="s">
        <v>374</v>
      </c>
      <c r="E28" s="377" t="s">
        <v>427</v>
      </c>
      <c r="F28" s="378"/>
      <c r="G28" s="95" t="n">
        <v>2050</v>
      </c>
      <c r="H28" s="95" t="e">
        <f aca="false">G28-A1</f>
        <v>#VALUE!</v>
      </c>
      <c r="I28" s="381" t="n">
        <v>1000</v>
      </c>
      <c r="J28" s="380" t="e">
        <f aca="false">(I28*H28*0.025)*0.6</f>
        <v>#VALUE!</v>
      </c>
      <c r="K28" s="379" t="e">
        <f aca="false">J28</f>
        <v>#VALUE!</v>
      </c>
    </row>
    <row r="29" customFormat="false" ht="18.75" hidden="true" customHeight="false" outlineLevel="0" collapsed="false">
      <c r="A29" s="73"/>
      <c r="B29" s="73" t="s">
        <v>424</v>
      </c>
      <c r="C29" s="375" t="s">
        <v>424</v>
      </c>
      <c r="D29" s="376" t="s">
        <v>443</v>
      </c>
      <c r="E29" s="377" t="s">
        <v>427</v>
      </c>
      <c r="F29" s="378"/>
      <c r="G29" s="95"/>
      <c r="H29" s="95"/>
      <c r="I29" s="381" t="n">
        <v>150000</v>
      </c>
      <c r="J29" s="132" t="n">
        <f aca="false">(I29*0.007)*0.6</f>
        <v>630</v>
      </c>
      <c r="K29" s="379" t="n">
        <f aca="false">J29</f>
        <v>630</v>
      </c>
    </row>
    <row r="30" customFormat="false" ht="18.75" hidden="false" customHeight="false" outlineLevel="0" collapsed="false">
      <c r="A30" s="432" t="s">
        <v>483</v>
      </c>
      <c r="B30" s="432" t="n">
        <v>967212</v>
      </c>
      <c r="C30" s="70" t="s">
        <v>484</v>
      </c>
      <c r="D30" s="709" t="s">
        <v>426</v>
      </c>
      <c r="E30" s="395" t="n">
        <v>20398312</v>
      </c>
      <c r="F30" s="282"/>
      <c r="G30" s="29"/>
      <c r="H30" s="29"/>
      <c r="I30" s="132" t="n">
        <v>914.95</v>
      </c>
      <c r="J30" s="222" t="n">
        <f aca="false">800*0.05+114.95*0.065</f>
        <v>47.47175</v>
      </c>
      <c r="K30" s="26" t="n">
        <f aca="false">J30</f>
        <v>47.47175</v>
      </c>
    </row>
    <row r="31" customFormat="false" ht="18" hidden="false" customHeight="true" outlineLevel="0" collapsed="false">
      <c r="A31" s="432" t="s">
        <v>483</v>
      </c>
      <c r="B31" s="432" t="n">
        <v>969675</v>
      </c>
      <c r="C31" s="70" t="s">
        <v>485</v>
      </c>
      <c r="D31" s="382" t="s">
        <v>486</v>
      </c>
      <c r="E31" s="383" t="n">
        <v>20402715</v>
      </c>
      <c r="F31" s="282"/>
      <c r="G31" s="24"/>
      <c r="H31" s="24"/>
      <c r="I31" s="710" t="n">
        <v>433.75</v>
      </c>
      <c r="J31" s="132" t="n">
        <f aca="false">I31*0.05</f>
        <v>21.6875</v>
      </c>
      <c r="K31" s="131" t="n">
        <f aca="false">J31</f>
        <v>21.6875</v>
      </c>
    </row>
    <row r="32" customFormat="false" ht="18" hidden="false" customHeight="true" outlineLevel="0" collapsed="false">
      <c r="A32" s="432" t="s">
        <v>483</v>
      </c>
      <c r="B32" s="432" t="n">
        <v>964321</v>
      </c>
      <c r="C32" s="70" t="s">
        <v>487</v>
      </c>
      <c r="D32" s="382" t="s">
        <v>296</v>
      </c>
      <c r="E32" s="383" t="n">
        <v>61023856</v>
      </c>
      <c r="F32" s="282"/>
      <c r="G32" s="24"/>
      <c r="H32" s="24"/>
      <c r="I32" s="129" t="n">
        <v>892.44</v>
      </c>
      <c r="J32" s="130" t="n">
        <f aca="false">(I32/12*3.5)*L9</f>
        <v>117.13275</v>
      </c>
      <c r="K32" s="131" t="n">
        <f aca="false">J32</f>
        <v>117.13275</v>
      </c>
    </row>
    <row r="33" customFormat="false" ht="18" hidden="false" customHeight="true" outlineLevel="0" collapsed="false">
      <c r="A33" s="432" t="s">
        <v>483</v>
      </c>
      <c r="B33" s="432" t="n">
        <v>965877</v>
      </c>
      <c r="C33" s="70" t="s">
        <v>488</v>
      </c>
      <c r="D33" s="382" t="s">
        <v>426</v>
      </c>
      <c r="E33" s="383" t="n">
        <v>20406261</v>
      </c>
      <c r="F33" s="282"/>
      <c r="G33" s="24"/>
      <c r="H33" s="24"/>
      <c r="I33" s="710" t="n">
        <v>238.07</v>
      </c>
      <c r="J33" s="130" t="n">
        <f aca="false">I33*0.05</f>
        <v>11.9035</v>
      </c>
      <c r="K33" s="131" t="n">
        <f aca="false">J33</f>
        <v>11.9035</v>
      </c>
    </row>
    <row r="34" customFormat="false" ht="18" hidden="false" customHeight="true" outlineLevel="0" collapsed="false">
      <c r="A34" s="432" t="s">
        <v>483</v>
      </c>
      <c r="B34" s="432" t="n">
        <v>965877</v>
      </c>
      <c r="C34" s="70" t="s">
        <v>488</v>
      </c>
      <c r="D34" s="382" t="s">
        <v>426</v>
      </c>
      <c r="E34" s="383" t="n">
        <v>20406289</v>
      </c>
      <c r="F34" s="282"/>
      <c r="G34" s="24"/>
      <c r="H34" s="24"/>
      <c r="I34" s="710" t="n">
        <v>528.16</v>
      </c>
      <c r="J34" s="130" t="n">
        <f aca="false">I34*0.05</f>
        <v>26.408</v>
      </c>
      <c r="K34" s="131" t="n">
        <f aca="false">J34</f>
        <v>26.408</v>
      </c>
    </row>
    <row r="35" customFormat="false" ht="18" hidden="false" customHeight="true" outlineLevel="0" collapsed="false">
      <c r="A35" s="432" t="s">
        <v>483</v>
      </c>
      <c r="B35" s="432" t="n">
        <v>965877</v>
      </c>
      <c r="C35" s="70" t="s">
        <v>488</v>
      </c>
      <c r="D35" s="382" t="s">
        <v>429</v>
      </c>
      <c r="E35" s="383" t="n">
        <v>20406294</v>
      </c>
      <c r="F35" s="282"/>
      <c r="G35" s="24"/>
      <c r="H35" s="24"/>
      <c r="I35" s="129" t="n">
        <v>197.57</v>
      </c>
      <c r="J35" s="132" t="n">
        <f aca="false">I35*0.08</f>
        <v>15.8056</v>
      </c>
      <c r="K35" s="131" t="n">
        <f aca="false">J35</f>
        <v>15.8056</v>
      </c>
    </row>
    <row r="36" customFormat="false" ht="18" hidden="false" customHeight="true" outlineLevel="0" collapsed="false">
      <c r="A36" s="432" t="s">
        <v>483</v>
      </c>
      <c r="B36" s="432" t="n">
        <v>278619</v>
      </c>
      <c r="C36" s="70" t="s">
        <v>489</v>
      </c>
      <c r="D36" s="382" t="s">
        <v>437</v>
      </c>
      <c r="E36" s="383" t="n">
        <v>806159</v>
      </c>
      <c r="F36" s="282"/>
      <c r="G36" s="24" t="n">
        <v>2032</v>
      </c>
      <c r="H36" s="24"/>
      <c r="I36" s="129" t="n">
        <v>1500</v>
      </c>
      <c r="J36" s="222" t="n">
        <f aca="false">(I36*15*0.02)*L9</f>
        <v>202.5</v>
      </c>
      <c r="K36" s="131" t="n">
        <f aca="false">J36</f>
        <v>202.5</v>
      </c>
    </row>
    <row r="37" customFormat="false" ht="18" hidden="false" customHeight="true" outlineLevel="0" collapsed="false">
      <c r="A37" s="432" t="s">
        <v>483</v>
      </c>
      <c r="B37" s="432" t="n">
        <v>299582</v>
      </c>
      <c r="C37" s="70" t="s">
        <v>490</v>
      </c>
      <c r="D37" s="382" t="s">
        <v>437</v>
      </c>
      <c r="E37" s="383" t="n">
        <v>806158</v>
      </c>
      <c r="F37" s="282"/>
      <c r="G37" s="24" t="n">
        <v>2043</v>
      </c>
      <c r="H37" s="24"/>
      <c r="I37" s="129" t="n">
        <v>1500</v>
      </c>
      <c r="J37" s="222" t="n">
        <f aca="false">(I37*26*0.02)*L9</f>
        <v>351</v>
      </c>
      <c r="K37" s="131" t="n">
        <f aca="false">J37</f>
        <v>351</v>
      </c>
    </row>
    <row r="38" customFormat="false" ht="18" hidden="false" customHeight="true" outlineLevel="0" collapsed="false">
      <c r="A38" s="432" t="s">
        <v>483</v>
      </c>
      <c r="B38" s="432" t="n">
        <v>693638</v>
      </c>
      <c r="C38" s="70" t="s">
        <v>491</v>
      </c>
      <c r="D38" s="382" t="s">
        <v>429</v>
      </c>
      <c r="E38" s="383" t="n">
        <v>20404939</v>
      </c>
      <c r="F38" s="282"/>
      <c r="G38" s="24"/>
      <c r="H38" s="24"/>
      <c r="I38" s="129" t="n">
        <v>256.49</v>
      </c>
      <c r="J38" s="132" t="n">
        <f aca="false">I38*0.08</f>
        <v>20.5192</v>
      </c>
      <c r="K38" s="131" t="n">
        <f aca="false">J38</f>
        <v>20.5192</v>
      </c>
    </row>
    <row r="39" customFormat="false" ht="18" hidden="false" customHeight="true" outlineLevel="0" collapsed="false">
      <c r="A39" s="432" t="s">
        <v>483</v>
      </c>
      <c r="B39" s="432" t="n">
        <v>273601</v>
      </c>
      <c r="C39" s="70" t="s">
        <v>492</v>
      </c>
      <c r="D39" s="382" t="s">
        <v>428</v>
      </c>
      <c r="E39" s="383" t="n">
        <v>20406326</v>
      </c>
      <c r="F39" s="282"/>
      <c r="G39" s="24"/>
      <c r="H39" s="24"/>
      <c r="I39" s="710" t="n">
        <v>658.13</v>
      </c>
      <c r="J39" s="130" t="n">
        <f aca="false">I39*0.05</f>
        <v>32.9065</v>
      </c>
      <c r="K39" s="131" t="n">
        <f aca="false">J39</f>
        <v>32.9065</v>
      </c>
    </row>
    <row r="40" customFormat="false" ht="18" hidden="false" customHeight="true" outlineLevel="0" collapsed="false">
      <c r="A40" s="432" t="s">
        <v>483</v>
      </c>
      <c r="B40" s="432" t="n">
        <v>880049</v>
      </c>
      <c r="C40" s="70" t="s">
        <v>493</v>
      </c>
      <c r="D40" s="382" t="s">
        <v>443</v>
      </c>
      <c r="E40" s="433" t="s">
        <v>494</v>
      </c>
      <c r="F40" s="434"/>
      <c r="G40" s="24"/>
      <c r="H40" s="24"/>
      <c r="I40" s="129" t="n">
        <v>60000</v>
      </c>
      <c r="J40" s="132" t="n">
        <f aca="false">(I40*0.007)*L9</f>
        <v>189</v>
      </c>
      <c r="K40" s="131" t="n">
        <f aca="false">J40</f>
        <v>189</v>
      </c>
    </row>
    <row r="41" customFormat="false" ht="18" hidden="false" customHeight="true" outlineLevel="0" collapsed="false">
      <c r="A41" s="432" t="s">
        <v>483</v>
      </c>
      <c r="B41" s="432" t="n">
        <v>880049</v>
      </c>
      <c r="C41" s="70" t="s">
        <v>493</v>
      </c>
      <c r="D41" s="382" t="s">
        <v>443</v>
      </c>
      <c r="E41" s="383" t="s">
        <v>495</v>
      </c>
      <c r="F41" s="282"/>
      <c r="G41" s="24"/>
      <c r="H41" s="24"/>
      <c r="I41" s="129" t="n">
        <v>60000</v>
      </c>
      <c r="J41" s="132" t="n">
        <f aca="false">(I41*0.007)*L9</f>
        <v>189</v>
      </c>
      <c r="K41" s="131" t="n">
        <f aca="false">J41</f>
        <v>189</v>
      </c>
    </row>
    <row r="42" customFormat="false" ht="18" hidden="false" customHeight="true" outlineLevel="0" collapsed="false">
      <c r="A42" s="432" t="s">
        <v>483</v>
      </c>
      <c r="B42" s="432" t="n">
        <v>880049</v>
      </c>
      <c r="C42" s="70" t="s">
        <v>493</v>
      </c>
      <c r="D42" s="382" t="s">
        <v>443</v>
      </c>
      <c r="E42" s="383" t="s">
        <v>496</v>
      </c>
      <c r="F42" s="282"/>
      <c r="G42" s="24"/>
      <c r="H42" s="24"/>
      <c r="I42" s="129" t="n">
        <v>60000</v>
      </c>
      <c r="J42" s="132" t="n">
        <f aca="false">(I42*0.007)*L9</f>
        <v>189</v>
      </c>
      <c r="K42" s="131" t="n">
        <f aca="false">J42</f>
        <v>189</v>
      </c>
    </row>
    <row r="43" customFormat="false" ht="18" hidden="false" customHeight="true" outlineLevel="0" collapsed="false">
      <c r="A43" s="432" t="s">
        <v>483</v>
      </c>
      <c r="B43" s="432" t="n">
        <v>484859</v>
      </c>
      <c r="C43" s="70" t="s">
        <v>497</v>
      </c>
      <c r="D43" s="382" t="s">
        <v>437</v>
      </c>
      <c r="E43" s="383" t="n">
        <v>807016</v>
      </c>
      <c r="F43" s="282"/>
      <c r="G43" s="24" t="n">
        <v>2035</v>
      </c>
      <c r="H43" s="24"/>
      <c r="I43" s="129" t="n">
        <v>1200</v>
      </c>
      <c r="J43" s="222" t="n">
        <f aca="false">(I43*18*0.02)*L9</f>
        <v>194.4</v>
      </c>
      <c r="K43" s="133" t="n">
        <f aca="false">J43</f>
        <v>194.4</v>
      </c>
    </row>
    <row r="44" customFormat="false" ht="18" hidden="false" customHeight="true" outlineLevel="0" collapsed="false">
      <c r="A44" s="432" t="s">
        <v>483</v>
      </c>
      <c r="B44" s="432" t="n">
        <v>523424</v>
      </c>
      <c r="C44" s="70" t="s">
        <v>498</v>
      </c>
      <c r="D44" s="382" t="s">
        <v>437</v>
      </c>
      <c r="E44" s="383" t="n">
        <v>807015</v>
      </c>
      <c r="F44" s="282"/>
      <c r="G44" s="24" t="n">
        <v>2031</v>
      </c>
      <c r="H44" s="24"/>
      <c r="I44" s="129" t="n">
        <v>1104</v>
      </c>
      <c r="J44" s="222" t="n">
        <f aca="false">(I44*14*0.02)*L9</f>
        <v>139.104</v>
      </c>
      <c r="K44" s="133" t="n">
        <f aca="false">J44</f>
        <v>139.104</v>
      </c>
    </row>
    <row r="45" customFormat="false" ht="18" hidden="false" customHeight="true" outlineLevel="0" collapsed="false">
      <c r="A45" s="432" t="s">
        <v>483</v>
      </c>
      <c r="B45" s="432" t="n">
        <v>837955</v>
      </c>
      <c r="C45" s="70" t="s">
        <v>499</v>
      </c>
      <c r="D45" s="382" t="s">
        <v>429</v>
      </c>
      <c r="E45" s="383" t="n">
        <v>20406981</v>
      </c>
      <c r="F45" s="282"/>
      <c r="G45" s="24"/>
      <c r="H45" s="24"/>
      <c r="I45" s="129" t="n">
        <v>308.59</v>
      </c>
      <c r="J45" s="132" t="n">
        <f aca="false">I45*0.08</f>
        <v>24.6872</v>
      </c>
      <c r="K45" s="133" t="n">
        <f aca="false">J45</f>
        <v>24.6872</v>
      </c>
    </row>
    <row r="46" customFormat="false" ht="18" hidden="false" customHeight="true" outlineLevel="0" collapsed="false">
      <c r="A46" s="432" t="s">
        <v>483</v>
      </c>
      <c r="B46" s="432" t="n">
        <v>729789</v>
      </c>
      <c r="C46" s="70" t="s">
        <v>500</v>
      </c>
      <c r="D46" s="382" t="s">
        <v>296</v>
      </c>
      <c r="E46" s="383" t="n">
        <v>61024785</v>
      </c>
      <c r="F46" s="282"/>
      <c r="G46" s="24"/>
      <c r="H46" s="24"/>
      <c r="I46" s="129" t="n">
        <v>688.32</v>
      </c>
      <c r="J46" s="130" t="n">
        <f aca="false">(I46/12*3.5)*L9</f>
        <v>90.342</v>
      </c>
      <c r="K46" s="133" t="n">
        <f aca="false">J46</f>
        <v>90.342</v>
      </c>
    </row>
    <row r="47" customFormat="false" ht="18" hidden="false" customHeight="true" outlineLevel="0" collapsed="false">
      <c r="A47" s="432" t="s">
        <v>483</v>
      </c>
      <c r="B47" s="432" t="n">
        <v>348319</v>
      </c>
      <c r="C47" s="70" t="s">
        <v>501</v>
      </c>
      <c r="D47" s="382" t="s">
        <v>429</v>
      </c>
      <c r="E47" s="383" t="n">
        <v>20405030</v>
      </c>
      <c r="F47" s="282"/>
      <c r="G47" s="24"/>
      <c r="H47" s="24"/>
      <c r="I47" s="129" t="n">
        <v>152.77</v>
      </c>
      <c r="J47" s="132" t="n">
        <f aca="false">I47*0.08</f>
        <v>12.2216</v>
      </c>
      <c r="K47" s="133" t="n">
        <f aca="false">J47</f>
        <v>12.2216</v>
      </c>
    </row>
    <row r="48" customFormat="false" ht="18" hidden="false" customHeight="true" outlineLevel="0" collapsed="false">
      <c r="A48" s="432"/>
      <c r="B48" s="432"/>
      <c r="C48" s="70"/>
      <c r="D48" s="382"/>
      <c r="E48" s="383"/>
      <c r="F48" s="282"/>
      <c r="G48" s="24"/>
      <c r="H48" s="24"/>
      <c r="I48" s="129"/>
      <c r="J48" s="130"/>
      <c r="K48" s="131"/>
    </row>
    <row r="49" s="34" customFormat="true" ht="19.5" hidden="false" customHeight="false" outlineLevel="0" collapsed="false">
      <c r="A49" s="726" t="s">
        <v>483</v>
      </c>
      <c r="B49" s="436"/>
      <c r="C49" s="135" t="s">
        <v>454</v>
      </c>
      <c r="D49" s="391"/>
      <c r="E49" s="392"/>
      <c r="F49" s="393"/>
      <c r="G49" s="137"/>
      <c r="H49" s="137"/>
      <c r="I49" s="138"/>
      <c r="J49" s="139"/>
      <c r="K49" s="140" t="n">
        <f aca="false">SUM(K30,K31:K48)</f>
        <v>1875.0896</v>
      </c>
      <c r="L49" s="429"/>
    </row>
    <row r="50" customFormat="false" ht="18.75" hidden="false" customHeight="false" outlineLevel="0" collapsed="false">
      <c r="A50" s="441" t="s">
        <v>502</v>
      </c>
      <c r="B50" s="443" t="n">
        <v>299582</v>
      </c>
      <c r="C50" s="70" t="s">
        <v>490</v>
      </c>
      <c r="D50" s="382" t="s">
        <v>443</v>
      </c>
      <c r="E50" s="373" t="s">
        <v>503</v>
      </c>
      <c r="F50" s="374"/>
      <c r="G50" s="16"/>
      <c r="H50" s="16"/>
      <c r="I50" s="185" t="n">
        <v>110000</v>
      </c>
      <c r="J50" s="132" t="n">
        <f aca="false">(I50*0.007)*L50</f>
        <v>346.5</v>
      </c>
      <c r="K50" s="19" t="n">
        <f aca="false">J50</f>
        <v>346.5</v>
      </c>
      <c r="L50" s="429" t="n">
        <v>0.45</v>
      </c>
    </row>
    <row r="51" customFormat="false" ht="18.75" hidden="false" customHeight="false" outlineLevel="0" collapsed="false">
      <c r="A51" s="441" t="s">
        <v>502</v>
      </c>
      <c r="B51" s="432" t="n">
        <v>834437</v>
      </c>
      <c r="C51" s="70" t="s">
        <v>43</v>
      </c>
      <c r="D51" s="382" t="s">
        <v>437</v>
      </c>
      <c r="E51" s="383" t="n">
        <v>807080</v>
      </c>
      <c r="F51" s="282"/>
      <c r="G51" s="24" t="n">
        <v>2049</v>
      </c>
      <c r="H51" s="24"/>
      <c r="I51" s="132" t="n">
        <v>1704</v>
      </c>
      <c r="J51" s="222" t="n">
        <f aca="false">(I51*32*0.02)*L50</f>
        <v>490.752</v>
      </c>
      <c r="K51" s="26" t="n">
        <f aca="false">J51</f>
        <v>490.752</v>
      </c>
      <c r="L51" s="438"/>
      <c r="M51" s="0" t="s">
        <v>504</v>
      </c>
    </row>
    <row r="52" s="51" customFormat="true" ht="18.75" hidden="false" customHeight="false" outlineLevel="0" collapsed="false">
      <c r="A52" s="441" t="s">
        <v>502</v>
      </c>
      <c r="B52" s="432" t="n">
        <v>739606</v>
      </c>
      <c r="C52" s="70" t="s">
        <v>505</v>
      </c>
      <c r="D52" s="382" t="s">
        <v>437</v>
      </c>
      <c r="E52" s="383" t="n">
        <v>8077875</v>
      </c>
      <c r="F52" s="282"/>
      <c r="G52" s="24" t="n">
        <v>2043</v>
      </c>
      <c r="H52" s="24"/>
      <c r="I52" s="132" t="n">
        <v>1704</v>
      </c>
      <c r="J52" s="222" t="n">
        <f aca="false">(I52*26*0.02)*L50</f>
        <v>398.736</v>
      </c>
      <c r="K52" s="26" t="n">
        <f aca="false">J52</f>
        <v>398.736</v>
      </c>
      <c r="L52" s="439"/>
    </row>
    <row r="53" s="51" customFormat="true" ht="18.75" hidden="false" customHeight="false" outlineLevel="0" collapsed="false">
      <c r="A53" s="441" t="s">
        <v>502</v>
      </c>
      <c r="B53" s="432" t="n">
        <v>523259</v>
      </c>
      <c r="C53" s="70" t="s">
        <v>506</v>
      </c>
      <c r="D53" s="382" t="s">
        <v>426</v>
      </c>
      <c r="E53" s="395" t="n">
        <v>20406126</v>
      </c>
      <c r="F53" s="282"/>
      <c r="G53" s="29"/>
      <c r="H53" s="29"/>
      <c r="I53" s="222" t="n">
        <v>1687.02</v>
      </c>
      <c r="J53" s="222" t="n">
        <f aca="false">800*0.05+887.02*0.065</f>
        <v>97.6563</v>
      </c>
      <c r="K53" s="45" t="n">
        <f aca="false">J53</f>
        <v>97.6563</v>
      </c>
      <c r="L53" s="438"/>
    </row>
    <row r="54" s="51" customFormat="true" ht="18.75" hidden="false" customHeight="false" outlineLevel="0" collapsed="false">
      <c r="A54" s="441" t="s">
        <v>502</v>
      </c>
      <c r="B54" s="432" t="n">
        <v>716291</v>
      </c>
      <c r="C54" s="70" t="s">
        <v>507</v>
      </c>
      <c r="D54" s="382" t="s">
        <v>440</v>
      </c>
      <c r="E54" s="395" t="n">
        <v>827015</v>
      </c>
      <c r="F54" s="282"/>
      <c r="G54" s="29" t="n">
        <v>2027</v>
      </c>
      <c r="H54" s="29"/>
      <c r="I54" s="222" t="n">
        <v>600</v>
      </c>
      <c r="J54" s="222" t="n">
        <f aca="false">(I54*10*0.02)*L50</f>
        <v>54</v>
      </c>
      <c r="K54" s="45" t="n">
        <f aca="false">J54</f>
        <v>54</v>
      </c>
      <c r="L54" s="438"/>
    </row>
    <row r="55" s="51" customFormat="true" ht="18.75" hidden="false" customHeight="false" outlineLevel="0" collapsed="false">
      <c r="A55" s="441" t="s">
        <v>502</v>
      </c>
      <c r="B55" s="432" t="n">
        <v>970170</v>
      </c>
      <c r="C55" s="70" t="s">
        <v>508</v>
      </c>
      <c r="D55" s="382" t="s">
        <v>429</v>
      </c>
      <c r="E55" s="440" t="n">
        <v>20409518</v>
      </c>
      <c r="F55" s="282"/>
      <c r="G55" s="29"/>
      <c r="H55" s="29"/>
      <c r="J55" s="222"/>
      <c r="K55" s="45" t="n">
        <f aca="false">J55</f>
        <v>0</v>
      </c>
      <c r="L55" s="429"/>
    </row>
    <row r="56" s="51" customFormat="true" ht="18.75" hidden="false" customHeight="false" outlineLevel="0" collapsed="false">
      <c r="A56" s="441" t="s">
        <v>502</v>
      </c>
      <c r="B56" s="432" t="n">
        <v>945980</v>
      </c>
      <c r="C56" s="70" t="s">
        <v>509</v>
      </c>
      <c r="D56" s="382" t="s">
        <v>443</v>
      </c>
      <c r="E56" s="395" t="s">
        <v>510</v>
      </c>
      <c r="F56" s="282"/>
      <c r="G56" s="29"/>
      <c r="H56" s="29"/>
      <c r="I56" s="222" t="n">
        <v>45000</v>
      </c>
      <c r="J56" s="132" t="n">
        <f aca="false">(I56*0.007)*L50</f>
        <v>141.75</v>
      </c>
      <c r="K56" s="26" t="n">
        <f aca="false">J56</f>
        <v>141.75</v>
      </c>
      <c r="L56" s="439"/>
    </row>
    <row r="57" s="51" customFormat="true" ht="18.75" hidden="false" customHeight="false" outlineLevel="0" collapsed="false">
      <c r="A57" s="441" t="s">
        <v>502</v>
      </c>
      <c r="B57" s="432" t="n">
        <v>787557</v>
      </c>
      <c r="C57" s="70" t="s">
        <v>511</v>
      </c>
      <c r="D57" s="382" t="s">
        <v>426</v>
      </c>
      <c r="E57" s="395" t="n">
        <v>20409995</v>
      </c>
      <c r="F57" s="282"/>
      <c r="H57" s="29"/>
      <c r="I57" s="29" t="n">
        <v>1786.72</v>
      </c>
      <c r="J57" s="222" t="n">
        <f aca="false">800*0.05+986.72*0.065</f>
        <v>104.1368</v>
      </c>
      <c r="K57" s="26" t="n">
        <f aca="false">J57</f>
        <v>104.1368</v>
      </c>
      <c r="L57" s="439"/>
    </row>
    <row r="58" s="51" customFormat="true" ht="18.75" hidden="false" customHeight="false" outlineLevel="0" collapsed="false">
      <c r="A58" s="441" t="s">
        <v>502</v>
      </c>
      <c r="B58" s="432" t="n">
        <v>787557</v>
      </c>
      <c r="C58" s="70" t="s">
        <v>511</v>
      </c>
      <c r="D58" s="382" t="s">
        <v>437</v>
      </c>
      <c r="E58" s="395" t="n">
        <v>822390</v>
      </c>
      <c r="F58" s="282"/>
      <c r="G58" s="29" t="n">
        <v>2043</v>
      </c>
      <c r="H58" s="29"/>
      <c r="I58" s="132" t="n">
        <v>1200</v>
      </c>
      <c r="J58" s="222" t="n">
        <f aca="false">(I58*26*0.02)*L50</f>
        <v>280.8</v>
      </c>
      <c r="K58" s="26" t="n">
        <f aca="false">J58</f>
        <v>280.8</v>
      </c>
      <c r="L58" s="439"/>
    </row>
    <row r="59" s="51" customFormat="true" ht="18.75" hidden="false" customHeight="false" outlineLevel="0" collapsed="false">
      <c r="A59" s="441" t="s">
        <v>502</v>
      </c>
      <c r="B59" s="432" t="n">
        <v>849012</v>
      </c>
      <c r="C59" s="70" t="s">
        <v>381</v>
      </c>
      <c r="D59" s="382" t="s">
        <v>429</v>
      </c>
      <c r="E59" s="395" t="n">
        <v>20410192</v>
      </c>
      <c r="F59" s="282"/>
      <c r="G59" s="29"/>
      <c r="H59" s="29"/>
      <c r="I59" s="132" t="n">
        <v>287.08</v>
      </c>
      <c r="J59" s="132" t="n">
        <f aca="false">I59*0.08</f>
        <v>22.9664</v>
      </c>
      <c r="K59" s="26" t="n">
        <f aca="false">J59</f>
        <v>22.9664</v>
      </c>
      <c r="L59" s="439"/>
    </row>
    <row r="60" s="51" customFormat="true" ht="18.75" hidden="false" customHeight="false" outlineLevel="0" collapsed="false">
      <c r="A60" s="441" t="s">
        <v>502</v>
      </c>
      <c r="B60" s="432" t="n">
        <v>429665</v>
      </c>
      <c r="C60" s="70" t="s">
        <v>512</v>
      </c>
      <c r="D60" s="382" t="s">
        <v>437</v>
      </c>
      <c r="E60" s="395" t="n">
        <v>821974</v>
      </c>
      <c r="F60" s="282"/>
      <c r="G60" s="29" t="n">
        <v>2036</v>
      </c>
      <c r="H60" s="29"/>
      <c r="I60" s="132" t="n">
        <v>900</v>
      </c>
      <c r="J60" s="222" t="n">
        <f aca="false">(I60*19*0.02)*L50</f>
        <v>153.9</v>
      </c>
      <c r="K60" s="26" t="n">
        <f aca="false">J60</f>
        <v>153.9</v>
      </c>
      <c r="L60" s="439"/>
    </row>
    <row r="61" s="51" customFormat="true" ht="18.75" hidden="false" customHeight="false" outlineLevel="0" collapsed="false">
      <c r="A61" s="441" t="s">
        <v>502</v>
      </c>
      <c r="B61" s="432" t="n">
        <v>971770</v>
      </c>
      <c r="C61" s="70" t="s">
        <v>514</v>
      </c>
      <c r="D61" s="382" t="s">
        <v>426</v>
      </c>
      <c r="E61" s="395" t="n">
        <v>20411305</v>
      </c>
      <c r="F61" s="282"/>
      <c r="G61" s="29"/>
      <c r="H61" s="29"/>
      <c r="I61" s="132" t="n">
        <v>980.08</v>
      </c>
      <c r="J61" s="222" t="n">
        <f aca="false">800*0.05+180.08*0.065</f>
        <v>51.7052</v>
      </c>
      <c r="K61" s="26" t="n">
        <f aca="false">J61</f>
        <v>51.7052</v>
      </c>
      <c r="L61" s="439"/>
    </row>
    <row r="62" s="51" customFormat="true" ht="18.75" hidden="false" customHeight="false" outlineLevel="0" collapsed="false">
      <c r="A62" s="441" t="s">
        <v>502</v>
      </c>
      <c r="B62" s="432" t="n">
        <v>411055</v>
      </c>
      <c r="C62" s="70" t="s">
        <v>233</v>
      </c>
      <c r="D62" s="382" t="s">
        <v>431</v>
      </c>
      <c r="E62" s="395" t="n">
        <v>20412802</v>
      </c>
      <c r="F62" s="282"/>
      <c r="G62" s="29"/>
      <c r="H62" s="29"/>
      <c r="I62" s="132" t="n">
        <v>514.48</v>
      </c>
      <c r="J62" s="132" t="n">
        <f aca="false">I62*0.08</f>
        <v>41.1584</v>
      </c>
      <c r="K62" s="26" t="n">
        <f aca="false">J62</f>
        <v>41.1584</v>
      </c>
      <c r="L62" s="439"/>
    </row>
    <row r="63" s="51" customFormat="true" ht="18.75" hidden="false" customHeight="false" outlineLevel="0" collapsed="false">
      <c r="A63" s="441" t="s">
        <v>502</v>
      </c>
      <c r="B63" s="432" t="n">
        <v>411056</v>
      </c>
      <c r="C63" s="70" t="s">
        <v>233</v>
      </c>
      <c r="D63" s="382" t="s">
        <v>431</v>
      </c>
      <c r="E63" s="395" t="n">
        <v>20412809</v>
      </c>
      <c r="F63" s="282"/>
      <c r="G63" s="29"/>
      <c r="H63" s="29"/>
      <c r="I63" s="132" t="n">
        <v>129.23</v>
      </c>
      <c r="J63" s="132" t="n">
        <f aca="false">I63*0.08</f>
        <v>10.3384</v>
      </c>
      <c r="K63" s="26" t="n">
        <f aca="false">J63</f>
        <v>10.3384</v>
      </c>
      <c r="L63" s="439"/>
    </row>
    <row r="64" s="51" customFormat="true" ht="18.75" hidden="false" customHeight="false" outlineLevel="0" collapsed="false">
      <c r="A64" s="441" t="s">
        <v>502</v>
      </c>
      <c r="B64" s="432" t="n">
        <v>811892</v>
      </c>
      <c r="C64" s="70" t="s">
        <v>515</v>
      </c>
      <c r="D64" s="382" t="s">
        <v>429</v>
      </c>
      <c r="E64" s="395" t="n">
        <v>20412738</v>
      </c>
      <c r="F64" s="282"/>
      <c r="G64" s="29"/>
      <c r="H64" s="29"/>
      <c r="I64" s="132" t="n">
        <v>418.98</v>
      </c>
      <c r="J64" s="132" t="n">
        <f aca="false">I64*0.08</f>
        <v>33.5184</v>
      </c>
      <c r="K64" s="26" t="n">
        <f aca="false">J64</f>
        <v>33.5184</v>
      </c>
      <c r="L64" s="439"/>
    </row>
    <row r="65" s="51" customFormat="true" ht="18.75" hidden="false" customHeight="false" outlineLevel="0" collapsed="false">
      <c r="A65" s="441" t="s">
        <v>502</v>
      </c>
      <c r="B65" s="432" t="n">
        <v>972349</v>
      </c>
      <c r="C65" s="70" t="s">
        <v>516</v>
      </c>
      <c r="D65" s="382" t="s">
        <v>426</v>
      </c>
      <c r="E65" s="395" t="n">
        <v>20412101</v>
      </c>
      <c r="F65" s="282"/>
      <c r="G65" s="29"/>
      <c r="H65" s="29"/>
      <c r="I65" s="132" t="n">
        <v>865.04</v>
      </c>
      <c r="J65" s="222" t="n">
        <f aca="false">800*0.05+65.04*0.065</f>
        <v>44.2276</v>
      </c>
      <c r="K65" s="26" t="n">
        <f aca="false">J65</f>
        <v>44.2276</v>
      </c>
      <c r="L65" s="439"/>
    </row>
    <row r="66" s="51" customFormat="true" ht="18.75" hidden="false" customHeight="false" outlineLevel="0" collapsed="false">
      <c r="A66" s="441" t="s">
        <v>502</v>
      </c>
      <c r="B66" s="432" t="n">
        <v>973005</v>
      </c>
      <c r="C66" s="70" t="s">
        <v>517</v>
      </c>
      <c r="D66" s="382" t="s">
        <v>426</v>
      </c>
      <c r="E66" s="395" t="n">
        <v>20412622</v>
      </c>
      <c r="F66" s="282"/>
      <c r="G66" s="29"/>
      <c r="H66" s="29"/>
      <c r="I66" s="132" t="n">
        <v>1118.02</v>
      </c>
      <c r="J66" s="222" t="n">
        <f aca="false">800*0.05+318.02*0.065</f>
        <v>60.6713</v>
      </c>
      <c r="K66" s="26" t="n">
        <f aca="false">J66</f>
        <v>60.6713</v>
      </c>
      <c r="L66" s="439"/>
    </row>
    <row r="67" s="51" customFormat="true" ht="18.75" hidden="false" customHeight="false" outlineLevel="0" collapsed="false">
      <c r="A67" s="441"/>
      <c r="B67" s="432"/>
      <c r="C67" s="70"/>
      <c r="D67" s="382"/>
      <c r="E67" s="395"/>
      <c r="F67" s="282"/>
      <c r="G67" s="29"/>
      <c r="H67" s="29"/>
      <c r="I67" s="132"/>
      <c r="J67" s="222"/>
      <c r="K67" s="26" t="n">
        <f aca="false">J67</f>
        <v>0</v>
      </c>
      <c r="L67" s="439"/>
    </row>
    <row r="68" s="51" customFormat="true" ht="18.75" hidden="false" customHeight="false" outlineLevel="0" collapsed="false">
      <c r="A68" s="441"/>
      <c r="B68" s="432"/>
      <c r="C68" s="70"/>
      <c r="D68" s="382"/>
      <c r="E68" s="395"/>
      <c r="F68" s="282"/>
      <c r="G68" s="29"/>
      <c r="H68" s="29"/>
      <c r="I68" s="132"/>
      <c r="J68" s="222"/>
      <c r="K68" s="26" t="n">
        <f aca="false">J68</f>
        <v>0</v>
      </c>
      <c r="L68" s="439"/>
    </row>
    <row r="69" customFormat="false" ht="19.5" hidden="false" customHeight="false" outlineLevel="0" collapsed="false">
      <c r="A69" s="712" t="s">
        <v>502</v>
      </c>
      <c r="B69" s="436"/>
      <c r="C69" s="135" t="s">
        <v>236</v>
      </c>
      <c r="D69" s="391"/>
      <c r="E69" s="397"/>
      <c r="F69" s="393"/>
      <c r="G69" s="60"/>
      <c r="H69" s="60"/>
      <c r="I69" s="150"/>
      <c r="J69" s="150"/>
      <c r="K69" s="303" t="n">
        <f aca="false">SUM(K50:K68)</f>
        <v>2332.8168</v>
      </c>
      <c r="L69" s="437"/>
    </row>
    <row r="70" customFormat="false" ht="18.75" hidden="false" customHeight="false" outlineLevel="0" collapsed="false">
      <c r="A70" s="443" t="s">
        <v>518</v>
      </c>
      <c r="B70" s="727" t="n">
        <v>121208</v>
      </c>
      <c r="C70" s="70" t="s">
        <v>519</v>
      </c>
      <c r="D70" s="394" t="s">
        <v>520</v>
      </c>
      <c r="E70" s="395" t="n">
        <v>10727836</v>
      </c>
      <c r="F70" s="282"/>
      <c r="G70" s="29"/>
      <c r="H70" s="29"/>
      <c r="I70" s="132" t="n">
        <v>176.63</v>
      </c>
      <c r="J70" s="132" t="n">
        <f aca="false">I70*0.08</f>
        <v>14.1304</v>
      </c>
      <c r="K70" s="26" t="n">
        <v>26.4945</v>
      </c>
      <c r="L70" s="429" t="n">
        <v>0.45</v>
      </c>
    </row>
    <row r="71" s="51" customFormat="true" ht="18.75" hidden="false" customHeight="false" outlineLevel="0" collapsed="false">
      <c r="A71" s="432" t="s">
        <v>518</v>
      </c>
      <c r="B71" s="728" t="n">
        <v>770987</v>
      </c>
      <c r="C71" s="70" t="s">
        <v>521</v>
      </c>
      <c r="D71" s="382" t="s">
        <v>437</v>
      </c>
      <c r="E71" s="383" t="n">
        <v>824583</v>
      </c>
      <c r="F71" s="399"/>
      <c r="G71" s="24" t="n">
        <v>2046</v>
      </c>
      <c r="H71" s="24"/>
      <c r="I71" s="132" t="n">
        <v>720</v>
      </c>
      <c r="J71" s="222" t="n">
        <f aca="false">(I71*29*0.02)*L70</f>
        <v>187.92</v>
      </c>
      <c r="K71" s="26" t="n">
        <f aca="false">J71</f>
        <v>187.92</v>
      </c>
      <c r="L71" s="437"/>
    </row>
    <row r="72" customFormat="false" ht="18.75" hidden="false" customHeight="false" outlineLevel="0" collapsed="false">
      <c r="A72" s="432" t="s">
        <v>518</v>
      </c>
      <c r="B72" s="728" t="n">
        <v>845563</v>
      </c>
      <c r="C72" s="70" t="s">
        <v>522</v>
      </c>
      <c r="D72" s="382" t="s">
        <v>437</v>
      </c>
      <c r="E72" s="395" t="n">
        <v>612117</v>
      </c>
      <c r="F72" s="282" t="s">
        <v>662</v>
      </c>
      <c r="G72" s="29" t="n">
        <v>2034</v>
      </c>
      <c r="H72" s="29"/>
      <c r="I72" s="132" t="n">
        <v>1078.43</v>
      </c>
      <c r="J72" s="222" t="n">
        <f aca="false">(I72*17*0.02)*L70</f>
        <v>164.99979</v>
      </c>
      <c r="K72" s="26"/>
      <c r="L72" s="442"/>
    </row>
    <row r="73" customFormat="false" ht="18.75" hidden="false" customHeight="false" outlineLevel="0" collapsed="false">
      <c r="A73" s="432" t="s">
        <v>518</v>
      </c>
      <c r="B73" s="728" t="n">
        <v>845563</v>
      </c>
      <c r="C73" s="70" t="s">
        <v>522</v>
      </c>
      <c r="D73" s="382" t="s">
        <v>439</v>
      </c>
      <c r="E73" s="383" t="n">
        <v>424171</v>
      </c>
      <c r="F73" s="282"/>
      <c r="G73" s="24" t="n">
        <v>2034</v>
      </c>
      <c r="H73" s="24"/>
      <c r="I73" s="132" t="n">
        <v>350</v>
      </c>
      <c r="J73" s="222" t="n">
        <f aca="false">(I73*17*0.02)*L70</f>
        <v>53.55</v>
      </c>
      <c r="K73" s="26" t="n">
        <f aca="false">J73</f>
        <v>53.55</v>
      </c>
      <c r="L73" s="438"/>
    </row>
    <row r="74" s="34" customFormat="true" ht="18.75" hidden="false" customHeight="false" outlineLevel="0" collapsed="false">
      <c r="A74" s="432" t="s">
        <v>518</v>
      </c>
      <c r="B74" s="728" t="n">
        <v>882443</v>
      </c>
      <c r="C74" s="70" t="s">
        <v>524</v>
      </c>
      <c r="D74" s="382" t="s">
        <v>437</v>
      </c>
      <c r="E74" s="401" t="n">
        <v>612118</v>
      </c>
      <c r="F74" s="282"/>
      <c r="G74" s="24" t="n">
        <v>2030</v>
      </c>
      <c r="H74" s="24"/>
      <c r="I74" s="132" t="n">
        <v>1078.43</v>
      </c>
      <c r="J74" s="222" t="n">
        <f aca="false">(I74*13*0.02)*L70</f>
        <v>126.17631</v>
      </c>
      <c r="K74" s="26" t="n">
        <f aca="false">J74</f>
        <v>126.17631</v>
      </c>
      <c r="L74" s="438"/>
    </row>
    <row r="75" s="34" customFormat="true" ht="18.75" hidden="false" customHeight="false" outlineLevel="0" collapsed="false">
      <c r="A75" s="432" t="s">
        <v>518</v>
      </c>
      <c r="B75" s="728" t="n">
        <v>973272</v>
      </c>
      <c r="C75" s="70" t="s">
        <v>525</v>
      </c>
      <c r="D75" s="382" t="s">
        <v>296</v>
      </c>
      <c r="E75" s="401" t="n">
        <v>61025510</v>
      </c>
      <c r="F75" s="282"/>
      <c r="G75" s="24"/>
      <c r="H75" s="24"/>
      <c r="I75" s="132" t="n">
        <v>663.96</v>
      </c>
      <c r="J75" s="130" t="n">
        <f aca="false">(I75/12*3.5)*L70</f>
        <v>87.14475</v>
      </c>
      <c r="K75" s="26" t="n">
        <f aca="false">J75</f>
        <v>87.14475</v>
      </c>
      <c r="L75" s="438"/>
    </row>
    <row r="76" s="34" customFormat="true" ht="18.75" hidden="false" customHeight="false" outlineLevel="0" collapsed="false">
      <c r="A76" s="432" t="s">
        <v>518</v>
      </c>
      <c r="B76" s="728" t="n">
        <v>259955</v>
      </c>
      <c r="C76" s="70" t="s">
        <v>526</v>
      </c>
      <c r="D76" s="382" t="s">
        <v>296</v>
      </c>
      <c r="E76" s="401" t="n">
        <v>61026528</v>
      </c>
      <c r="F76" s="282"/>
      <c r="G76" s="24"/>
      <c r="H76" s="24"/>
      <c r="I76" s="402" t="n">
        <v>723.48</v>
      </c>
      <c r="J76" s="130" t="n">
        <f aca="false">(I76/12*3.5)*L70</f>
        <v>94.95675</v>
      </c>
      <c r="K76" s="26" t="n">
        <f aca="false">J76</f>
        <v>94.95675</v>
      </c>
      <c r="L76" s="429"/>
    </row>
    <row r="77" s="46" customFormat="true" ht="18.75" hidden="false" customHeight="false" outlineLevel="0" collapsed="false">
      <c r="A77" s="432" t="s">
        <v>518</v>
      </c>
      <c r="B77" s="728" t="n">
        <v>952598</v>
      </c>
      <c r="C77" s="99" t="s">
        <v>19</v>
      </c>
      <c r="D77" s="382" t="s">
        <v>437</v>
      </c>
      <c r="E77" s="395" t="n">
        <v>825436</v>
      </c>
      <c r="F77" s="282"/>
      <c r="G77" s="42" t="n">
        <v>2045</v>
      </c>
      <c r="H77" s="42"/>
      <c r="I77" s="222" t="n">
        <v>1176.48</v>
      </c>
      <c r="J77" s="222" t="n">
        <f aca="false">(I77*28*0.02)*L70</f>
        <v>296.47296</v>
      </c>
      <c r="K77" s="26" t="n">
        <f aca="false">J77</f>
        <v>296.47296</v>
      </c>
      <c r="L77" s="439"/>
    </row>
    <row r="78" s="46" customFormat="true" ht="18.75" hidden="false" customHeight="false" outlineLevel="0" collapsed="false">
      <c r="A78" s="432" t="s">
        <v>518</v>
      </c>
      <c r="B78" s="728" t="n">
        <v>492356</v>
      </c>
      <c r="C78" s="99" t="s">
        <v>209</v>
      </c>
      <c r="D78" s="382" t="s">
        <v>437</v>
      </c>
      <c r="E78" s="395" t="n">
        <v>825447</v>
      </c>
      <c r="F78" s="282"/>
      <c r="G78" s="42" t="n">
        <v>2033</v>
      </c>
      <c r="H78" s="42"/>
      <c r="I78" s="222" t="n">
        <v>823.56</v>
      </c>
      <c r="J78" s="222" t="n">
        <f aca="false">(I78*16*0.02)*L70</f>
        <v>118.59264</v>
      </c>
      <c r="K78" s="26" t="n">
        <f aca="false">J78</f>
        <v>118.59264</v>
      </c>
      <c r="L78" s="439"/>
    </row>
    <row r="79" s="51" customFormat="true" ht="18.75" hidden="false" customHeight="false" outlineLevel="0" collapsed="false">
      <c r="A79" s="432" t="s">
        <v>518</v>
      </c>
      <c r="B79" s="728" t="n">
        <v>975116</v>
      </c>
      <c r="C79" s="90" t="s">
        <v>527</v>
      </c>
      <c r="D79" s="382" t="s">
        <v>442</v>
      </c>
      <c r="E79" s="395"/>
      <c r="F79" s="282"/>
      <c r="G79" s="29"/>
      <c r="H79" s="29"/>
      <c r="I79" s="222" t="n">
        <v>6531.79</v>
      </c>
      <c r="J79" s="75" t="n">
        <f aca="false">(I79*0.075)*L70</f>
        <v>220.4479125</v>
      </c>
      <c r="K79" s="26" t="n">
        <f aca="false">J79</f>
        <v>220.4479125</v>
      </c>
      <c r="L79" s="437"/>
      <c r="M79" s="46"/>
    </row>
    <row r="80" customFormat="false" ht="18.75" hidden="false" customHeight="false" outlineLevel="0" collapsed="false">
      <c r="A80" s="432" t="s">
        <v>518</v>
      </c>
      <c r="B80" s="728" t="n">
        <v>971952</v>
      </c>
      <c r="C80" s="90" t="s">
        <v>528</v>
      </c>
      <c r="D80" s="382" t="s">
        <v>529</v>
      </c>
      <c r="E80" s="395" t="n">
        <v>20411444</v>
      </c>
      <c r="F80" s="282"/>
      <c r="G80" s="100"/>
      <c r="H80" s="100"/>
      <c r="I80" s="222" t="n">
        <v>678.92</v>
      </c>
      <c r="J80" s="132" t="n">
        <f aca="false">I80*0.08</f>
        <v>54.3136</v>
      </c>
      <c r="K80" s="26" t="n">
        <f aca="false">J80</f>
        <v>54.3136</v>
      </c>
      <c r="L80" s="437"/>
    </row>
    <row r="81" customFormat="false" ht="18.75" hidden="false" customHeight="false" outlineLevel="0" collapsed="false">
      <c r="A81" s="432" t="s">
        <v>518</v>
      </c>
      <c r="B81" s="728" t="n">
        <v>521956</v>
      </c>
      <c r="C81" s="99" t="s">
        <v>364</v>
      </c>
      <c r="D81" s="382" t="s">
        <v>426</v>
      </c>
      <c r="E81" s="395" t="n">
        <v>20411589</v>
      </c>
      <c r="F81" s="282"/>
      <c r="G81" s="29"/>
      <c r="H81" s="29"/>
      <c r="I81" s="222" t="n">
        <v>1795.47</v>
      </c>
      <c r="J81" s="222" t="n">
        <f aca="false">800*0.05+995.47*0.065</f>
        <v>104.70555</v>
      </c>
      <c r="K81" s="26" t="n">
        <f aca="false">J81</f>
        <v>104.70555</v>
      </c>
      <c r="L81" s="437"/>
    </row>
    <row r="82" customFormat="false" ht="18.75" hidden="false" customHeight="false" outlineLevel="0" collapsed="false">
      <c r="A82" s="432" t="s">
        <v>518</v>
      </c>
      <c r="B82" s="728" t="n">
        <v>962753</v>
      </c>
      <c r="C82" s="99" t="s">
        <v>530</v>
      </c>
      <c r="D82" s="382" t="s">
        <v>426</v>
      </c>
      <c r="E82" s="395" t="n">
        <v>20414927</v>
      </c>
      <c r="F82" s="282"/>
      <c r="G82" s="29"/>
      <c r="H82" s="29"/>
      <c r="I82" s="222" t="n">
        <v>1612.84</v>
      </c>
      <c r="J82" s="222" t="n">
        <f aca="false">800*0.05+812.84*0.065</f>
        <v>92.8346</v>
      </c>
      <c r="K82" s="26" t="n">
        <f aca="false">J82</f>
        <v>92.8346</v>
      </c>
      <c r="L82" s="437"/>
    </row>
    <row r="83" customFormat="false" ht="18.75" hidden="false" customHeight="false" outlineLevel="0" collapsed="false">
      <c r="A83" s="432" t="s">
        <v>518</v>
      </c>
      <c r="B83" s="728" t="n">
        <v>976480</v>
      </c>
      <c r="C83" s="99" t="s">
        <v>531</v>
      </c>
      <c r="D83" s="382" t="s">
        <v>439</v>
      </c>
      <c r="E83" s="395" t="n">
        <v>826142</v>
      </c>
      <c r="F83" s="282"/>
      <c r="G83" s="29" t="n">
        <v>2028</v>
      </c>
      <c r="H83" s="29"/>
      <c r="I83" s="222" t="n">
        <v>3199.92</v>
      </c>
      <c r="J83" s="222" t="n">
        <f aca="false">(I83*11*0.02)*L70</f>
        <v>316.79208</v>
      </c>
      <c r="K83" s="26" t="n">
        <f aca="false">J83</f>
        <v>316.79208</v>
      </c>
      <c r="L83" s="437"/>
    </row>
    <row r="84" customFormat="false" ht="18.75" hidden="false" customHeight="false" outlineLevel="0" collapsed="false">
      <c r="A84" s="432" t="s">
        <v>518</v>
      </c>
      <c r="B84" s="728" t="n">
        <v>793853</v>
      </c>
      <c r="C84" s="99" t="s">
        <v>113</v>
      </c>
      <c r="D84" s="382" t="s">
        <v>296</v>
      </c>
      <c r="E84" s="395" t="n">
        <v>61025794</v>
      </c>
      <c r="F84" s="282"/>
      <c r="G84" s="29"/>
      <c r="H84" s="29"/>
      <c r="I84" s="222" t="n">
        <v>145.08</v>
      </c>
      <c r="J84" s="130" t="n">
        <f aca="false">(I84/12*3.5)*L70</f>
        <v>19.04175</v>
      </c>
      <c r="K84" s="26" t="n">
        <f aca="false">J84</f>
        <v>19.04175</v>
      </c>
      <c r="L84" s="437"/>
    </row>
    <row r="85" customFormat="false" ht="18.75" hidden="false" customHeight="false" outlineLevel="0" collapsed="false">
      <c r="A85" s="432" t="s">
        <v>518</v>
      </c>
      <c r="B85" s="728" t="n">
        <v>974373</v>
      </c>
      <c r="C85" s="99" t="s">
        <v>532</v>
      </c>
      <c r="D85" s="382" t="s">
        <v>429</v>
      </c>
      <c r="E85" s="395" t="n">
        <v>20414253</v>
      </c>
      <c r="F85" s="282"/>
      <c r="G85" s="29"/>
      <c r="H85" s="29"/>
      <c r="I85" s="222" t="n">
        <v>168.5</v>
      </c>
      <c r="J85" s="132" t="n">
        <f aca="false">I85*0.08</f>
        <v>13.48</v>
      </c>
      <c r="K85" s="26" t="n">
        <f aca="false">J85</f>
        <v>13.48</v>
      </c>
      <c r="L85" s="437"/>
    </row>
    <row r="86" customFormat="false" ht="18.75" hidden="false" customHeight="false" outlineLevel="0" collapsed="false">
      <c r="A86" s="432" t="s">
        <v>518</v>
      </c>
      <c r="B86" s="728" t="n">
        <v>974377</v>
      </c>
      <c r="C86" s="99" t="s">
        <v>533</v>
      </c>
      <c r="D86" s="382" t="s">
        <v>429</v>
      </c>
      <c r="E86" s="395" t="n">
        <v>20414259</v>
      </c>
      <c r="F86" s="282"/>
      <c r="G86" s="29"/>
      <c r="H86" s="29"/>
      <c r="I86" s="222" t="n">
        <v>168.5</v>
      </c>
      <c r="J86" s="132" t="n">
        <f aca="false">I86*0.08</f>
        <v>13.48</v>
      </c>
      <c r="K86" s="26" t="n">
        <f aca="false">J86</f>
        <v>13.48</v>
      </c>
      <c r="L86" s="437"/>
    </row>
    <row r="87" customFormat="false" ht="30" hidden="false" customHeight="false" outlineLevel="0" collapsed="false">
      <c r="A87" s="432"/>
      <c r="B87" s="729" t="n">
        <v>782333</v>
      </c>
      <c r="C87" s="445" t="s">
        <v>408</v>
      </c>
      <c r="D87" s="289" t="s">
        <v>298</v>
      </c>
      <c r="E87" s="289" t="n">
        <v>806102</v>
      </c>
      <c r="F87" s="289"/>
      <c r="G87" s="289" t="n">
        <v>2033</v>
      </c>
      <c r="H87" s="24"/>
      <c r="I87" s="446" t="n">
        <v>1100</v>
      </c>
      <c r="J87" s="447" t="n">
        <v>-211.2</v>
      </c>
      <c r="K87" s="447" t="n">
        <f aca="false">J87</f>
        <v>-211.2</v>
      </c>
      <c r="L87" s="448" t="s">
        <v>534</v>
      </c>
    </row>
    <row r="88" customFormat="false" ht="15" hidden="false" customHeight="false" outlineLevel="0" collapsed="false">
      <c r="A88" s="432"/>
      <c r="B88" s="729" t="n">
        <v>524936</v>
      </c>
      <c r="C88" s="450" t="s">
        <v>398</v>
      </c>
      <c r="D88" s="245" t="s">
        <v>62</v>
      </c>
      <c r="E88" s="245" t="n">
        <v>20360252</v>
      </c>
      <c r="F88" s="289"/>
      <c r="G88" s="289"/>
      <c r="H88" s="714"/>
      <c r="I88" s="451" t="n">
        <v>1463.39</v>
      </c>
      <c r="J88" s="452" t="n">
        <f aca="false">-I88*0.12</f>
        <v>-175.6068</v>
      </c>
      <c r="K88" s="447" t="n">
        <f aca="false">J88</f>
        <v>-175.6068</v>
      </c>
      <c r="L88" s="448" t="s">
        <v>535</v>
      </c>
    </row>
    <row r="89" customFormat="false" ht="18.75" hidden="false" customHeight="false" outlineLevel="0" collapsed="false">
      <c r="A89" s="432"/>
      <c r="B89" s="729" t="n">
        <v>729789</v>
      </c>
      <c r="C89" s="450" t="s">
        <v>470</v>
      </c>
      <c r="D89" s="455" t="s">
        <v>441</v>
      </c>
      <c r="E89" s="456" t="n">
        <v>611756</v>
      </c>
      <c r="F89" s="282"/>
      <c r="G89" s="245" t="n">
        <v>2032</v>
      </c>
      <c r="H89" s="245"/>
      <c r="I89" s="457" t="n">
        <v>600</v>
      </c>
      <c r="J89" s="457" t="n">
        <f aca="false">-(I89*15*0.027)*0.6</f>
        <v>-145.8</v>
      </c>
      <c r="K89" s="458" t="n">
        <f aca="false">J89</f>
        <v>-145.8</v>
      </c>
      <c r="L89" s="448" t="s">
        <v>536</v>
      </c>
    </row>
    <row r="90" customFormat="false" ht="18.75" hidden="false" customHeight="false" outlineLevel="0" collapsed="false">
      <c r="A90" s="432"/>
      <c r="B90" s="729" t="n">
        <v>729789</v>
      </c>
      <c r="C90" s="450" t="s">
        <v>470</v>
      </c>
      <c r="D90" s="455" t="s">
        <v>441</v>
      </c>
      <c r="E90" s="456" t="n">
        <v>611756</v>
      </c>
      <c r="F90" s="282"/>
      <c r="G90" s="245" t="n">
        <v>2032</v>
      </c>
      <c r="H90" s="245"/>
      <c r="I90" s="457" t="n">
        <v>600</v>
      </c>
      <c r="J90" s="457" t="n">
        <f aca="false">(I90*15*0.03)*0.6</f>
        <v>162</v>
      </c>
      <c r="K90" s="459" t="n">
        <f aca="false">J90</f>
        <v>162</v>
      </c>
      <c r="L90" s="448" t="s">
        <v>537</v>
      </c>
    </row>
    <row r="91" customFormat="false" ht="30" hidden="false" customHeight="false" outlineLevel="0" collapsed="false">
      <c r="A91" s="432"/>
      <c r="B91" s="729" t="n">
        <v>773696</v>
      </c>
      <c r="C91" s="450" t="s">
        <v>367</v>
      </c>
      <c r="D91" s="245" t="s">
        <v>260</v>
      </c>
      <c r="E91" s="245" t="n">
        <v>441443</v>
      </c>
      <c r="F91" s="245"/>
      <c r="G91" s="245" t="n">
        <v>2026</v>
      </c>
      <c r="H91" s="722"/>
      <c r="I91" s="451" t="n">
        <v>600</v>
      </c>
      <c r="J91" s="457" t="n">
        <v>-64.8</v>
      </c>
      <c r="K91" s="458" t="n">
        <f aca="false">J91</f>
        <v>-64.8</v>
      </c>
      <c r="L91" s="448" t="s">
        <v>538</v>
      </c>
    </row>
    <row r="92" customFormat="false" ht="19.5" hidden="false" customHeight="false" outlineLevel="0" collapsed="false">
      <c r="A92" s="712" t="s">
        <v>518</v>
      </c>
      <c r="B92" s="730"/>
      <c r="C92" s="160" t="s">
        <v>236</v>
      </c>
      <c r="D92" s="391"/>
      <c r="E92" s="407"/>
      <c r="F92" s="393"/>
      <c r="G92" s="161"/>
      <c r="H92" s="161"/>
      <c r="I92" s="408"/>
      <c r="J92" s="408"/>
      <c r="K92" s="409" t="n">
        <f aca="false">SUM(K70:K91)</f>
        <v>1390.9966025</v>
      </c>
      <c r="L92" s="437"/>
    </row>
    <row r="93" customFormat="false" ht="19.5" hidden="false" customHeight="false" outlineLevel="0" collapsed="false">
      <c r="A93" s="110"/>
      <c r="B93" s="230"/>
      <c r="C93" s="165"/>
      <c r="D93" s="410"/>
      <c r="E93" s="411"/>
      <c r="F93" s="412"/>
      <c r="G93" s="167"/>
      <c r="H93" s="723"/>
      <c r="I93" s="413"/>
      <c r="J93" s="414"/>
      <c r="K93" s="170"/>
      <c r="L93" s="437"/>
    </row>
    <row r="94" customFormat="false" ht="19.5" hidden="false" customHeight="false" outlineLevel="0" collapsed="false">
      <c r="A94" s="110"/>
      <c r="B94" s="230"/>
      <c r="C94" s="171" t="s">
        <v>285</v>
      </c>
      <c r="D94" s="415"/>
      <c r="E94" s="416"/>
      <c r="F94" s="417"/>
      <c r="G94" s="107"/>
      <c r="H94" s="334"/>
      <c r="I94" s="418"/>
      <c r="J94" s="419"/>
      <c r="K94" s="108" t="n">
        <f aca="false">SUM(K49,K69,K92)</f>
        <v>5598.9030025</v>
      </c>
      <c r="L94" s="437"/>
    </row>
    <row r="95" customFormat="false" ht="18.75" hidden="false" customHeight="false" outlineLevel="0" collapsed="false">
      <c r="A95" s="110"/>
      <c r="B95" s="110"/>
      <c r="C95" s="111"/>
      <c r="D95" s="420"/>
      <c r="E95" s="421"/>
      <c r="F95" s="422"/>
      <c r="G95" s="112"/>
      <c r="H95" s="724"/>
      <c r="I95" s="423"/>
      <c r="J95" s="380"/>
      <c r="K95" s="96"/>
      <c r="L95" s="437"/>
    </row>
    <row r="96" customFormat="false" ht="18.75" hidden="false" customHeight="false" outlineLevel="0" collapsed="false">
      <c r="A96" s="110"/>
      <c r="B96" s="110"/>
      <c r="C96" s="111" t="s">
        <v>220</v>
      </c>
      <c r="D96" s="420"/>
      <c r="E96" s="421"/>
      <c r="F96" s="422"/>
      <c r="G96" s="112"/>
      <c r="H96" s="724"/>
      <c r="I96" s="423"/>
      <c r="J96" s="380"/>
      <c r="K96" s="96" t="n">
        <f aca="false">K7</f>
        <v>7811.96</v>
      </c>
      <c r="L96" s="437"/>
    </row>
    <row r="97" customFormat="false" ht="18.75" hidden="false" customHeight="false" outlineLevel="0" collapsed="false">
      <c r="A97" s="110"/>
      <c r="B97" s="110"/>
      <c r="C97" s="111" t="s">
        <v>221</v>
      </c>
      <c r="D97" s="420"/>
      <c r="E97" s="421"/>
      <c r="F97" s="422"/>
      <c r="G97" s="112"/>
      <c r="H97" s="724"/>
      <c r="I97" s="423"/>
      <c r="J97" s="380"/>
      <c r="K97" s="96" t="n">
        <f aca="false">SUM(K94:K96)</f>
        <v>13410.8630025</v>
      </c>
      <c r="L97" s="437"/>
    </row>
    <row r="98" s="116" customFormat="true" ht="19.5" hidden="false" customHeight="false" outlineLevel="0" collapsed="false">
      <c r="A98" s="110"/>
      <c r="B98" s="110"/>
      <c r="C98" s="114" t="s">
        <v>222</v>
      </c>
      <c r="D98" s="391"/>
      <c r="E98" s="397"/>
      <c r="F98" s="393"/>
      <c r="G98" s="60"/>
      <c r="H98" s="725"/>
      <c r="I98" s="424"/>
      <c r="J98" s="461"/>
      <c r="K98" s="26" t="n">
        <f aca="false">K97/3</f>
        <v>4470.2876675</v>
      </c>
      <c r="L98" s="462"/>
    </row>
    <row r="99" s="120" customFormat="true" ht="18.75" hidden="false" customHeight="false" outlineLevel="0" collapsed="false">
      <c r="A99" s="110"/>
      <c r="B99" s="110"/>
      <c r="C99" s="117"/>
      <c r="D99" s="426"/>
      <c r="E99" s="427"/>
      <c r="F99" s="428"/>
      <c r="G99" s="80"/>
      <c r="H99" s="80"/>
      <c r="I99" s="178"/>
      <c r="J99" s="179"/>
      <c r="K99" s="119"/>
      <c r="L99" s="463"/>
    </row>
  </sheetData>
  <dataValidations count="5">
    <dataValidation allowBlank="true" operator="between" prompt="CHOIX PRODUIT" showDropDown="false" showErrorMessage="true" showInputMessage="true" sqref="D10:D29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31:D48" type="list">
      <formula1>"MOBILE2016,MOBILE2007,MOBILE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50:D68 D71:D88 D91" type="list">
      <formula1>"MOBILE2016,MOBILE Regio,REEBOU Family,REEBOUImmo,REEBOU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Liste choix" showDropDown="false" showErrorMessage="true" showInputMessage="true" sqref="D89:D90" type="list">
      <formula1>"MOBILE2016,MOBILE Regio,REEBOU Family,REEBOU Pack,REEBOU Pro,REEBOU Invest,LOGGIA,MEDICIS,RC,RC ENSEIGNANT,ZENITH60 Op100,ZENITH60 Op25,HORIZONT60Invest,HORIZONT60Protect,HORIZONT60Capi,HELIOS100Protect,HELIOS100Invest,FOCUS,NOVA,SCHWABISCHHALL"</formula1>
      <formula2>0</formula2>
    </dataValidation>
    <dataValidation allowBlank="true" operator="between" prompt="CHOIX PRODUIT" showDropDown="false" showErrorMessage="true" showInputMessage="true" sqref="D30 D70" type="list">
      <formula1>"MOBILE2016,MOBILE Regio,REEBOUfamily,REEBOUpack,REEBOUpro,REEBOUinvest,LOGGIA,MEDICIS,RC,RC ENSEIGN,ZENITH60op100,ZENITH60op25,HORIZONT60invest,HORIZONT60protect,HORIZONT60capi,HELIOS100protect,HELIOS60invest,HELIOS100invest,FOCUS,NOVA,BSH"</formula1>
      <formula2>0</formula2>
    </dataValidation>
  </dataValidations>
  <printOptions headings="false" gridLines="true" gridLinesSet="true" horizontalCentered="true" verticalCentered="true"/>
  <pageMargins left="0.236111111111111" right="0.236111111111111" top="0.747916666666667" bottom="0.748611111111111" header="0.315277777777778" footer="0.315277777777778"/>
  <pageSetup paperSize="9" scale="7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>&amp;C&amp;14COMMISSION JEFF DERAPPE 4èmeTRIMESTRE 2017</oddHeader>
    <oddFooter>&amp;L&amp;8&amp;Z&amp;F&amp;C&amp;7&amp;P/&amp;N&amp;RModfié le &amp;D </oddFooter>
  </headerFooter>
  <rowBreaks count="2" manualBreakCount="2">
    <brk id="49" man="true" max="16383" min="0"/>
    <brk id="69" man="true" max="16383" min="0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LibreOffice/6.0.3.2$Windows_X86_64 LibreOffice_project/8f48d515416608e3a835360314dac7e47fd0b821</Application>
  <Company>Foyer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2016-06-22T13:44:03Z</dcterms:created>
  <dc:creator>Administrateur;Fabienne BARTHELEMY</dc:creator>
  <dc:description/>
  <dc:language>fr-FR</dc:language>
  <cp:lastModifiedBy/>
  <cp:lastPrinted>2018-04-24T12:10:06Z</cp:lastPrinted>
  <dcterms:modified xsi:type="dcterms:W3CDTF">2018-05-16T23:07:07Z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Foyer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