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euil2" sheetId="2" state="visible" r:id="rId3"/>
  </sheets>
  <externalReferences>
    <externalReference r:id="rId4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<sst xmlns="http://schemas.openxmlformats.org/spreadsheetml/2006/main" count="207" uniqueCount="57">
  <si>
    <t xml:space="preserve">PRIMES CHAUFFEURS</t>
  </si>
  <si>
    <t xml:space="preserve">OCT. 17</t>
  </si>
  <si>
    <t xml:space="preserve">N°</t>
  </si>
  <si>
    <t xml:space="preserve">NAVETTES</t>
  </si>
  <si>
    <t xml:space="preserve">TOTAL</t>
  </si>
  <si>
    <t xml:space="preserve">PRIMES </t>
  </si>
  <si>
    <t xml:space="preserve">EXPORT</t>
  </si>
  <si>
    <t xml:space="preserve">PRIMES</t>
  </si>
  <si>
    <t xml:space="preserve">LTTR 483 AH</t>
  </si>
  <si>
    <t xml:space="preserve">LTTR 275 AF</t>
  </si>
  <si>
    <t xml:space="preserve">LTTR 273 AF</t>
  </si>
  <si>
    <t xml:space="preserve">LTTR 797 AJ</t>
  </si>
  <si>
    <t xml:space="preserve">UNE FONCTION NB.SI ME DONNAIT LE NOMBRE DE VOYAGE / CAMION SUR UNE FACTURE EN COURS</t>
  </si>
  <si>
    <t xml:space="preserve">LTTR 798 AJ</t>
  </si>
  <si>
    <t xml:space="preserve">LTTR 175 AL</t>
  </si>
  <si>
    <t xml:space="preserve">LTTR 689 AM</t>
  </si>
  <si>
    <t xml:space="preserve">LTTR 690 AM</t>
  </si>
  <si>
    <t xml:space="preserve">LTTR 691 AM</t>
  </si>
  <si>
    <t xml:space="preserve">LTTR 917 AM</t>
  </si>
  <si>
    <t xml:space="preserve">LTTR 905 AN</t>
  </si>
  <si>
    <t xml:space="preserve">LTTR 906 AN</t>
  </si>
  <si>
    <t xml:space="preserve">LTTR 907 AN</t>
  </si>
  <si>
    <t xml:space="preserve">N° </t>
  </si>
  <si>
    <t xml:space="preserve">SALAIRE</t>
  </si>
  <si>
    <t xml:space="preserve">MOTORBOY</t>
  </si>
  <si>
    <t xml:space="preserve">&gt; 50m³</t>
  </si>
  <si>
    <r>
      <rPr>
        <b val="true"/>
        <i val="true"/>
        <sz val="12"/>
        <color rgb="FF000000"/>
        <rFont val="Arial Narrow"/>
        <family val="2"/>
        <charset val="1"/>
      </rPr>
      <t xml:space="preserve">&lt; 40m</t>
    </r>
    <r>
      <rPr>
        <b val="true"/>
        <sz val="12"/>
        <color rgb="FF000000"/>
        <rFont val="Calibri"/>
        <family val="2"/>
        <charset val="1"/>
      </rPr>
      <t xml:space="preserve">³</t>
    </r>
  </si>
  <si>
    <t xml:space="preserve">Prime Spéciale</t>
  </si>
  <si>
    <t xml:space="preserve">Primes nettes</t>
  </si>
  <si>
    <t xml:space="preserve">PRIME SUPLEMENTAIRE</t>
  </si>
  <si>
    <t xml:space="preserve"> </t>
  </si>
  <si>
    <t xml:space="preserve">Total</t>
  </si>
  <si>
    <t xml:space="preserve">MRS BERTOUA</t>
  </si>
  <si>
    <t xml:space="preserve">Gasoil Navettes</t>
  </si>
  <si>
    <t xml:space="preserve">Total Nvettes</t>
  </si>
  <si>
    <t xml:space="preserve">Export</t>
  </si>
  <si>
    <t xml:space="preserve">Total Chiffre d'Affaires</t>
  </si>
  <si>
    <t xml:space="preserve">CHIFFRE DAFFAIRE AVEC UNE FONCTION SOMME.SI</t>
  </si>
  <si>
    <t xml:space="preserve">NOV. 17</t>
  </si>
  <si>
    <t xml:space="preserve">RECAP SALAIRES  NETS NOV. 17</t>
  </si>
  <si>
    <t xml:space="preserve">Prévisions Gasoil Navettes + MRS Bertoua  NOV. 17</t>
  </si>
  <si>
    <t xml:space="preserve">NOMBRE DE NAVETTES</t>
  </si>
  <si>
    <t xml:space="preserve">CHIFFRE D'AFFAIRES CLOBAL NOV. 17</t>
  </si>
  <si>
    <t xml:space="preserve">CALCUL DES SALAIRES, PRIMES, CONSOS GASOIL ET CHIFFRE D'AFFAIRES MOIS DE DECEMBRE 18</t>
  </si>
  <si>
    <t xml:space="preserve">Décembre</t>
  </si>
  <si>
    <t xml:space="preserve">CAMIONS</t>
  </si>
  <si>
    <t xml:space="preserve">UFA10008</t>
  </si>
  <si>
    <t xml:space="preserve">UFA10009</t>
  </si>
  <si>
    <t xml:space="preserve">UFA10010</t>
  </si>
  <si>
    <t xml:space="preserve">UFA10012</t>
  </si>
  <si>
    <t xml:space="preserve">UFA10064</t>
  </si>
  <si>
    <t xml:space="preserve">EXPORTS</t>
  </si>
  <si>
    <t xml:space="preserve">CA NAVETTES</t>
  </si>
  <si>
    <t xml:space="preserve">CA EXPORTS</t>
  </si>
  <si>
    <t xml:space="preserve">CA TOTAL</t>
  </si>
  <si>
    <t xml:space="preserve">PRIME SPC</t>
  </si>
  <si>
    <t xml:space="preserve">TTAL SAL+PRIMES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</si>
</sst>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_-* #,##0.00\ _€_-;\-* #,##0.00\ _€_-;_-* \-??\ _€_-;_-@_-"/>
    <numFmt numFmtId="166" formatCode="_(* #,##0_);_(* \(#,##0\);_(* \-??_);_(@_)"/>
    <numFmt numFmtId="167" formatCode="0"/>
    <numFmt numFmtId="168" formatCode="#,##0_ ;[RED]\-#,##0\ "/>
    <numFmt numFmtId="169" formatCode="_-* #,##0\ _€_-;\-* #,##0\ _€_-;_-* \-??\ _€_-;_-@_-"/>
  </numFmts>
  <fonts count="2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22"/>
      <color rgb="FF000000"/>
      <name val="Baskerville Old Face"/>
      <family val="1"/>
      <charset val="1"/>
    </font>
    <font>
      <b val="true"/>
      <sz val="12"/>
      <color rgb="FF000000"/>
      <name val="Calibri"/>
      <family val="2"/>
      <charset val="1"/>
    </font>
    <font>
      <sz val="12"/>
      <color rgb="FF000000"/>
      <name val="Perpetua"/>
      <family val="1"/>
      <charset val="1"/>
    </font>
    <font>
      <b val="true"/>
      <i val="true"/>
      <sz val="12"/>
      <color rgb="FF000000"/>
      <name val="Perpetua"/>
      <family val="1"/>
      <charset val="1"/>
    </font>
    <font>
      <b val="true"/>
      <i val="true"/>
      <sz val="12"/>
      <color rgb="FF000000"/>
      <name val="Arial Narrow"/>
      <family val="2"/>
      <charset val="1"/>
    </font>
    <font>
      <b val="true"/>
      <i val="true"/>
      <sz val="11"/>
      <color rgb="FF000000"/>
      <name val="Arial Narrow"/>
      <family val="2"/>
      <charset val="1"/>
    </font>
    <font>
      <b val="true"/>
      <sz val="12"/>
      <color rgb="FFFF0000"/>
      <name val="Calibri"/>
      <family val="2"/>
      <charset val="1"/>
    </font>
    <font>
      <b val="true"/>
      <sz val="12"/>
      <color rgb="FF000000"/>
      <name val="Baskerville Old Face"/>
      <family val="1"/>
      <charset val="1"/>
    </font>
    <font>
      <b val="true"/>
      <u val="single"/>
      <sz val="12"/>
      <color rgb="FF000000"/>
      <name val="Calibri"/>
      <family val="2"/>
      <charset val="1"/>
    </font>
    <font>
      <sz val="11"/>
      <color rgb="FFFFFFFF"/>
      <name val="Calibri"/>
      <family val="0"/>
    </font>
    <font>
      <b val="true"/>
      <sz val="14"/>
      <color rgb="FF000000"/>
      <name val="Perpetua"/>
      <family val="1"/>
      <charset val="1"/>
    </font>
    <font>
      <sz val="11"/>
      <color rgb="FFFFFFFF"/>
      <name val="Perpetua"/>
      <family val="1"/>
      <charset val="1"/>
    </font>
    <font>
      <sz val="11"/>
      <color rgb="FF000000"/>
      <name val="Perpetua"/>
      <family val="1"/>
      <charset val="1"/>
    </font>
    <font>
      <b val="true"/>
      <sz val="11"/>
      <color rgb="FF000000"/>
      <name val="Perpetua"/>
      <family val="1"/>
      <charset val="1"/>
    </font>
    <font>
      <sz val="11"/>
      <color rgb="FF000000"/>
      <name val="Perpetua"/>
      <family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dashed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 style="thin"/>
      <top style="dashed"/>
      <bottom style="medium"/>
      <diagonal/>
    </border>
    <border diagonalUp="false" diagonalDown="false">
      <left style="thin"/>
      <right style="thin"/>
      <top style="dashed"/>
      <bottom style="medium"/>
      <diagonal/>
    </border>
    <border diagonalUp="false" diagonalDown="false">
      <left style="medium"/>
      <right style="thin"/>
      <top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 style="thin"/>
      <right style="thin"/>
      <top style="medium"/>
      <bottom style="hair"/>
      <diagonal/>
    </border>
    <border diagonalUp="false" diagonalDown="false">
      <left style="thin"/>
      <right style="medium"/>
      <top style="medium"/>
      <bottom style="hair"/>
      <diagonal/>
    </border>
    <border diagonalUp="false" diagonalDown="false">
      <left style="medium"/>
      <right style="thin"/>
      <top style="hair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medium"/>
      <right style="thin"/>
      <top style="medium"/>
      <bottom style="hair"/>
      <diagonal/>
    </border>
    <border diagonalUp="false" diagonalDown="false">
      <left style="thin"/>
      <right/>
      <top style="hair"/>
      <bottom/>
      <diagonal/>
    </border>
    <border diagonalUp="false" diagonalDown="false">
      <left style="medium"/>
      <right style="medium"/>
      <top style="medium"/>
      <bottom style="dashed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2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2" borderId="1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1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2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2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7" fillId="2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1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9" fillId="2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1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2" borderId="1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2" fillId="2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2" borderId="1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2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2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2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2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2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7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2" borderId="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2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2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2" borderId="2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2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2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5" fillId="2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5" fillId="2" borderId="2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3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3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5" fillId="2" borderId="9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2" borderId="9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2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2" borderId="1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3" borderId="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5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1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3" borderId="1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3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3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3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3" borderId="1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3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3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1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0" borderId="1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2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0" borderId="1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0" borderId="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5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1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3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3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3" borderId="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3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2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5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5" fillId="0" borderId="2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7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4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5" fillId="0" borderId="9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4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1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7" fillId="4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8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9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857160</xdr:colOff>
      <xdr:row>8</xdr:row>
      <xdr:rowOff>123480</xdr:rowOff>
    </xdr:from>
    <xdr:to>
      <xdr:col>12</xdr:col>
      <xdr:colOff>1387440</xdr:colOff>
      <xdr:row>9</xdr:row>
      <xdr:rowOff>172800</xdr:rowOff>
    </xdr:to>
    <xdr:sp>
      <xdr:nvSpPr>
        <xdr:cNvPr id="0" name="CustomShape 1"/>
        <xdr:cNvSpPr/>
      </xdr:nvSpPr>
      <xdr:spPr>
        <a:xfrm flipV="1">
          <a:off x="4565880" y="1866240"/>
          <a:ext cx="10862640" cy="24012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solidFill>
            <a:srgbClr val="4a7ebb"/>
          </a:solidFill>
          <a:round/>
          <a:tailEnd len="med" type="arrow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5</xdr:col>
      <xdr:colOff>639360</xdr:colOff>
      <xdr:row>28</xdr:row>
      <xdr:rowOff>139320</xdr:rowOff>
    </xdr:from>
    <xdr:to>
      <xdr:col>12</xdr:col>
      <xdr:colOff>448560</xdr:colOff>
      <xdr:row>29</xdr:row>
      <xdr:rowOff>121320</xdr:rowOff>
    </xdr:to>
    <xdr:sp>
      <xdr:nvSpPr>
        <xdr:cNvPr id="1" name="CustomShape 1"/>
        <xdr:cNvSpPr/>
      </xdr:nvSpPr>
      <xdr:spPr>
        <a:xfrm flipV="1">
          <a:off x="5860080" y="5778000"/>
          <a:ext cx="8629560" cy="1724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solidFill>
            <a:srgbClr val="4a7ebb"/>
          </a:solidFill>
          <a:round/>
          <a:tailEnd len="med" type="arrow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7</xdr:col>
      <xdr:colOff>1061280</xdr:colOff>
      <xdr:row>66</xdr:row>
      <xdr:rowOff>162000</xdr:rowOff>
    </xdr:from>
    <xdr:to>
      <xdr:col>12</xdr:col>
      <xdr:colOff>1346760</xdr:colOff>
      <xdr:row>67</xdr:row>
      <xdr:rowOff>107280</xdr:rowOff>
    </xdr:to>
    <xdr:sp>
      <xdr:nvSpPr>
        <xdr:cNvPr id="2" name="CustomShape 1"/>
        <xdr:cNvSpPr/>
      </xdr:nvSpPr>
      <xdr:spPr>
        <a:xfrm flipV="1">
          <a:off x="8137080" y="13411080"/>
          <a:ext cx="7250760" cy="1454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solidFill>
            <a:srgbClr val="4a7ebb"/>
          </a:solidFill>
          <a:round/>
          <a:tailEnd len="med" type="arrow" w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12</xdr:col>
      <xdr:colOff>596160</xdr:colOff>
      <xdr:row>0</xdr:row>
      <xdr:rowOff>157320</xdr:rowOff>
    </xdr:from>
    <xdr:to>
      <xdr:col>16</xdr:col>
      <xdr:colOff>451080</xdr:colOff>
      <xdr:row>3</xdr:row>
      <xdr:rowOff>166680</xdr:rowOff>
    </xdr:to>
    <xdr:sp>
      <xdr:nvSpPr>
        <xdr:cNvPr id="3" name="CustomShape 1"/>
        <xdr:cNvSpPr/>
      </xdr:nvSpPr>
      <xdr:spPr>
        <a:xfrm>
          <a:off x="14637240" y="157320"/>
          <a:ext cx="5902560" cy="771120"/>
        </a:xfrm>
        <a:prstGeom prst="rect">
          <a:avLst/>
        </a:prstGeom>
        <a:ln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/>
        <a:p>
          <a:pPr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Calibri"/>
            </a:rPr>
            <a:t>c2TAIT D4ABORD MANUELLEMENT QUE J'EXTRAYAIS LES DONNES COMME CECI </a:t>
          </a:r>
          <a:br/>
          <a:br/>
          <a:r>
            <a:rPr b="0" lang="fr-FR" sz="1100" spc="-1" strike="noStrike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Calibri"/>
            </a:rPr>
            <a:t>MAINTANT JE VOULAIS QUUN MOIS SOIT SUR UN TABLEAU ET CALCULE A LA SAISIE COMME SUR LA FEUILLE 2</a:t>
          </a:r>
          <a:endParaRPr b="0" lang="fr-FR" sz="1100" spc="-1" strike="noStrike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Martial/Documents/GMS%20Camion/Gestion%20Camion/Camions%202017/FACTURES%202017/Liste%20iFactures%202017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ACT N°24SBDC17"/>
      <sheetName val="FACT N°153SFDC17"/>
      <sheetName val="FACT N°23SBDC17"/>
      <sheetName val="FACT N°22SBDC17"/>
      <sheetName val="FACT N°152SFDC17"/>
      <sheetName val="FACT N°151SFDC17"/>
      <sheetName val="FACT N°150SFDC17"/>
      <sheetName val="FACT N°21SBDC17"/>
      <sheetName val="FACT N°149SFNV17"/>
      <sheetName val="FACT N°148SFNV17"/>
      <sheetName val="FACT N°147SFNV17"/>
      <sheetName val="FACT N°146SFNV17"/>
      <sheetName val="FACT N°145SFNV17"/>
      <sheetName val="FACT N°20SBNV17"/>
      <sheetName val="FACT N°144SFNV17"/>
      <sheetName val="FACT N°143SFNV17"/>
      <sheetName val="FACT N°142SFNV17"/>
      <sheetName val="FACT N°141SFNV17"/>
      <sheetName val="FACT N°140SFNV17"/>
      <sheetName val="FACT N°139SFNV17"/>
      <sheetName val="FACT N°138SFNV17"/>
      <sheetName val="FACT N°137SFNV17"/>
      <sheetName val="FACT N°19SBNV17"/>
      <sheetName val="FACT N°136SFNV17"/>
      <sheetName val="FACT N°135SFNV17"/>
      <sheetName val="FACT N°134SFNV17"/>
      <sheetName val="FACT N°133SFNV17"/>
      <sheetName val="FACT N°132SFNV17"/>
      <sheetName val="FACT N°131SFOT17"/>
      <sheetName val="FACT N°130SFOT17"/>
      <sheetName val="FACT N°129SFOT17"/>
      <sheetName val="FACT N°18SBOT17"/>
      <sheetName val="FACT N°17SBOT17"/>
      <sheetName val="FACT N°128SFOT17"/>
      <sheetName val="FACT N°16SBOT17"/>
      <sheetName val="FACT N°127SFOT17"/>
      <sheetName val="FACT N°126SFOT17"/>
      <sheetName val="FACT N°125SFOT17"/>
      <sheetName val="FACT N°124SFSP17"/>
      <sheetName val="FACT N°123SFSP17"/>
      <sheetName val="FACT N°122SFSP17"/>
      <sheetName val="FACT N°121SFSP17"/>
      <sheetName val="FACT N°120SFSP17"/>
      <sheetName val="FACT N°119SFSP17"/>
      <sheetName val="FACT N°15SBSP17"/>
      <sheetName val="FACT N°118SFSP17"/>
      <sheetName val="FACT N°117SFSP17"/>
      <sheetName val="FACT N°14SBSP17"/>
      <sheetName val="FACT N°116SFSP17"/>
      <sheetName val="FACT N°115SFSP17"/>
      <sheetName val="FACT N°12SBSP17"/>
      <sheetName val="FACT N°13FBSP17"/>
      <sheetName val="FACT N°114SFSP17"/>
      <sheetName val="FACT N°13SBSP17"/>
      <sheetName val="FACT N°113SFSP17"/>
      <sheetName val="FACT N°112SFSP17"/>
      <sheetName val="FACT N°111SFSP17"/>
      <sheetName val="FACT N°110SFSP17"/>
      <sheetName val="FACT N°11SBSP17"/>
      <sheetName val="FACT N°109SFSP17"/>
      <sheetName val="FACT N°108SFSP17"/>
      <sheetName val="FACT N°12FBAT17"/>
      <sheetName val="FACT N°107SFAT17"/>
      <sheetName val="FACT N°11FBAT17"/>
      <sheetName val="FACT N°106SFAT17"/>
      <sheetName val="FACT N°105SFAT17"/>
      <sheetName val="FACT N°104SFAT17"/>
      <sheetName val="FACT N°103SFAT17"/>
      <sheetName val="FACT N°102SFAT17"/>
      <sheetName val="FACT N°10SBAT17"/>
      <sheetName val="FACT N°101SFAT17"/>
      <sheetName val="FACT N°100SFAT17"/>
      <sheetName val="FACT N°99SFAT17"/>
      <sheetName val="FACT N°09SBAT17"/>
      <sheetName val="FACT N°98SFAT17"/>
      <sheetName val="FACT N°97SFAT17"/>
      <sheetName val="FACT N°96SFAT17"/>
      <sheetName val="FACT N°95SFJL17"/>
      <sheetName val="FACT N°08SBJL17"/>
      <sheetName val="FACT N°94SFJL17"/>
      <sheetName val="FACT N°93SFJL17"/>
      <sheetName val="FACT N°92SFJL17"/>
      <sheetName val="FACT N°91SFJL17"/>
      <sheetName val="FACT N°90SFJL17"/>
      <sheetName val="AVOIR-FACT N°89SFJL17"/>
      <sheetName val="FACT N°89SFJL17"/>
      <sheetName val="FACT N°07SBJL17"/>
      <sheetName val="FACT N°06SBJL17"/>
      <sheetName val="FACT N°88SFJL17"/>
      <sheetName val="FACT N°87SFJL17"/>
      <sheetName val="FACT N°05SBJL17"/>
      <sheetName val="FACT N°86SFJL17"/>
      <sheetName val="FACT N°85SFJL17"/>
      <sheetName val="FACT N°84SFJL17"/>
      <sheetName val="FACT N°83SFJL17"/>
      <sheetName val="FACT N°10FBJN17"/>
      <sheetName val="FACT N°82SFJN17"/>
      <sheetName val="FACT N°81SFJN17"/>
      <sheetName val="FACT N°80SFJN17"/>
      <sheetName val="FACT N°76SFJN17"/>
      <sheetName val="FACT N°79SFJN17"/>
      <sheetName val="FACT N°78SFJN17"/>
      <sheetName val="FACT N°04SBJN17"/>
      <sheetName val="FACT N°03SBJN17"/>
      <sheetName val="FACT N°77SFJN17"/>
      <sheetName val="FACT N°02SBJN17"/>
      <sheetName val="FACT N°75SFJN17"/>
      <sheetName val="FACT N°74SFJN17"/>
      <sheetName val="FACT N°73SFJN17"/>
      <sheetName val="FACT N°72SFJN17"/>
      <sheetName val="FACT N°01SBMA17"/>
      <sheetName val="FACT N°71SFMA17"/>
      <sheetName val="FACT N°70SFMA17"/>
      <sheetName val="FACT N°69SFMA17"/>
      <sheetName val="FACT N°68SFMA17"/>
      <sheetName val="FACT N°09FBMA17"/>
      <sheetName val="FACT N°67SFMA17"/>
      <sheetName val="FACT N°66SFMA17"/>
      <sheetName val="FACT N°65SFMA17"/>
      <sheetName val="FACT N°64SFMA17"/>
      <sheetName val="FACT N°08FBMA17"/>
      <sheetName val="FACT N°63SFMA17"/>
      <sheetName val="FACT N°62SFMA17"/>
      <sheetName val="FACT N°61SFAV17"/>
      <sheetName val="FACT N°60SFAV17"/>
      <sheetName val="FACT N°59SFAV17"/>
      <sheetName val="FACT N°07FBAV17"/>
      <sheetName val="FACT N°58SFAV17"/>
      <sheetName val="FACT N°57SFAV17"/>
      <sheetName val="FACT N°56SFAV17"/>
      <sheetName val="FACT N°55SFAV17"/>
      <sheetName val="FACT N°54SFAV17"/>
      <sheetName val="FACT N°53SFAV17"/>
      <sheetName val="FACT N°06FBAV17"/>
      <sheetName val="FACT N°52SFAV17"/>
      <sheetName val="FACT N°51SFAV17"/>
      <sheetName val="FACT N°50SFAV17"/>
      <sheetName val="FACT N°49SFAV17"/>
      <sheetName val="FACT N°48SFAV17"/>
      <sheetName val="FACT N°47SFAV17"/>
      <sheetName val="FACT N°05FBAV17"/>
      <sheetName val="FACT N°46SFAV17"/>
      <sheetName val="FACT N°45SFAV17"/>
      <sheetName val="FACT N°44SFMS17"/>
      <sheetName val="FACT N°43SFMS17"/>
      <sheetName val="FACT N°04FBMS17"/>
      <sheetName val="FACT N°42SFMS17"/>
      <sheetName val="FACT N°41SFMS17"/>
      <sheetName val="FACT N°40SFMS17"/>
      <sheetName val="FACT N°03FBMS17"/>
      <sheetName val="FACT N°39SFMS17"/>
      <sheetName val="FACT N°38SFMS17"/>
      <sheetName val="FACT N°37SFMS17"/>
      <sheetName val="FACT N°36SFMS17"/>
      <sheetName val="FACT N°35SFMS17"/>
      <sheetName val="FACT N°34SFFV17"/>
      <sheetName val="FACT N°33SFFV17"/>
      <sheetName val="FACT N°32SFFV17"/>
      <sheetName val="FACT N°31SFFV17"/>
      <sheetName val="FACT N°30SFFV17"/>
      <sheetName val="FACT N°29SFFV17"/>
      <sheetName val="FACT N°02FBFV17"/>
      <sheetName val="FACT N°28SFFV17"/>
      <sheetName val="FACT N°27SFFV17"/>
      <sheetName val="FACT N°26SFFV17"/>
      <sheetName val="FACT N°25SFFV17"/>
      <sheetName val="FACT N°24SFFV17"/>
      <sheetName val="FACT N°23SFFV17"/>
      <sheetName val="FACT N°22SFFV17"/>
      <sheetName val="FACT N°21SFFV17"/>
      <sheetName val="FACT N°20SFFV17"/>
      <sheetName val="FACT N°19SFFV17"/>
      <sheetName val="FACT N°18SFFV17"/>
      <sheetName val="FACT N°17SFFV17"/>
      <sheetName val="FACT N°16SFFV17"/>
      <sheetName val="FACT N°15SFFV17"/>
      <sheetName val="FACT N°14SFFÉV17"/>
      <sheetName val="FACT N°13SFJAN17"/>
      <sheetName val="FACT N°12SFJAN17"/>
      <sheetName val="FACT N°11SFJAN17"/>
      <sheetName val="FACT N°10SFJAN17"/>
      <sheetName val="FACT N°09SFJAN17"/>
      <sheetName val="FACT N°08SFJAN17"/>
      <sheetName val="FACT N°07SFJAN17"/>
      <sheetName val="FACT N°06SFJAN17"/>
      <sheetName val="FACT N°05SFJAN17"/>
      <sheetName val="FACT N°01FBJAN17"/>
      <sheetName val="FACT N°04SFJAN17"/>
      <sheetName val="FACT N°03SFJAN17"/>
      <sheetName val="FACT N°02SFJAN17"/>
      <sheetName val="FACT N°01SFJAN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1">
          <cell r="E21" t="str">
            <v>LTTR 917 AM</v>
          </cell>
        </row>
        <row r="21">
          <cell r="I21">
            <v>250401.16</v>
          </cell>
        </row>
        <row r="22">
          <cell r="E22" t="str">
            <v>LTTR 689 AM</v>
          </cell>
        </row>
        <row r="22">
          <cell r="I22">
            <v>250701.72</v>
          </cell>
        </row>
        <row r="23">
          <cell r="E23" t="str">
            <v>LTTR 690 AM</v>
          </cell>
        </row>
        <row r="23">
          <cell r="I23">
            <v>256660.9</v>
          </cell>
        </row>
        <row r="24">
          <cell r="E24" t="str">
            <v>LTTR 917 AM</v>
          </cell>
        </row>
        <row r="24">
          <cell r="I24">
            <v>223038.64</v>
          </cell>
        </row>
        <row r="24">
          <cell r="L24" t="str">
            <v>N</v>
          </cell>
        </row>
        <row r="25">
          <cell r="E25" t="str">
            <v>LTTR 690 AM</v>
          </cell>
        </row>
        <row r="25">
          <cell r="I25">
            <v>212149.12</v>
          </cell>
        </row>
        <row r="25">
          <cell r="L25" t="str">
            <v>N</v>
          </cell>
        </row>
        <row r="26">
          <cell r="E26" t="str">
            <v>LTTR 689 AM</v>
          </cell>
        </row>
        <row r="26">
          <cell r="I26">
            <v>206374.9</v>
          </cell>
        </row>
        <row r="26">
          <cell r="L26" t="str">
            <v>N</v>
          </cell>
        </row>
        <row r="27">
          <cell r="E27" t="str">
            <v>LTTR 917 AM</v>
          </cell>
        </row>
        <row r="27">
          <cell r="I27">
            <v>200363.7</v>
          </cell>
        </row>
        <row r="27">
          <cell r="L27" t="str">
            <v>N</v>
          </cell>
        </row>
        <row r="28">
          <cell r="E28" t="str">
            <v>LTTR 689 AM</v>
          </cell>
        </row>
        <row r="28">
          <cell r="I28">
            <v>205929.84</v>
          </cell>
        </row>
        <row r="28">
          <cell r="L28" t="str">
            <v>N</v>
          </cell>
        </row>
        <row r="29">
          <cell r="E29" t="str">
            <v>LTTR 798 AJ</v>
          </cell>
        </row>
        <row r="29">
          <cell r="I29">
            <v>268434.76</v>
          </cell>
        </row>
        <row r="30">
          <cell r="E30" t="str">
            <v>LTTR 917 AM</v>
          </cell>
        </row>
        <row r="30">
          <cell r="I30">
            <v>273174.36</v>
          </cell>
        </row>
        <row r="31">
          <cell r="E31" t="str">
            <v>LTTR 690 AM</v>
          </cell>
        </row>
        <row r="31">
          <cell r="I31">
            <v>220807.56</v>
          </cell>
        </row>
        <row r="31">
          <cell r="L31" t="str">
            <v>N</v>
          </cell>
        </row>
        <row r="32">
          <cell r="E32" t="str">
            <v>LTTR 689 AM</v>
          </cell>
        </row>
        <row r="32">
          <cell r="I32">
            <v>228333.12</v>
          </cell>
        </row>
        <row r="32">
          <cell r="L32" t="str">
            <v>N</v>
          </cell>
        </row>
        <row r="33">
          <cell r="E33" t="str">
            <v>LTTR 917 AM</v>
          </cell>
        </row>
        <row r="33">
          <cell r="I33">
            <v>209380.5</v>
          </cell>
        </row>
        <row r="33">
          <cell r="L33" t="str">
            <v>N</v>
          </cell>
        </row>
        <row r="34">
          <cell r="E34" t="str">
            <v>LTTR 689 AM</v>
          </cell>
        </row>
        <row r="34">
          <cell r="I34">
            <v>219223.84</v>
          </cell>
        </row>
        <row r="34">
          <cell r="L34" t="str">
            <v>N</v>
          </cell>
        </row>
        <row r="35">
          <cell r="E35" t="str">
            <v>LTTR 798 AJ</v>
          </cell>
        </row>
        <row r="35">
          <cell r="I35">
            <v>197271.4</v>
          </cell>
        </row>
        <row r="35">
          <cell r="L35" t="str">
            <v>N</v>
          </cell>
        </row>
        <row r="36">
          <cell r="E36" t="str">
            <v>LTTR 690 AM</v>
          </cell>
        </row>
        <row r="36">
          <cell r="I36">
            <v>208559.74</v>
          </cell>
        </row>
        <row r="36">
          <cell r="L36" t="str">
            <v>N</v>
          </cell>
        </row>
        <row r="37">
          <cell r="E37" t="str">
            <v>LTTR 917 AM</v>
          </cell>
        </row>
        <row r="37">
          <cell r="I37">
            <v>243014.32</v>
          </cell>
        </row>
        <row r="38">
          <cell r="E38" t="str">
            <v>LTTR 691 AM</v>
          </cell>
        </row>
        <row r="38">
          <cell r="I38">
            <v>236413.56</v>
          </cell>
        </row>
        <row r="39">
          <cell r="E39" t="str">
            <v>LTTR 798 AJ</v>
          </cell>
        </row>
        <row r="39">
          <cell r="I39">
            <v>216148.88</v>
          </cell>
        </row>
        <row r="39">
          <cell r="L39" t="str">
            <v>N</v>
          </cell>
        </row>
        <row r="40">
          <cell r="E40" t="str">
            <v>LTTR 689 AM</v>
          </cell>
        </row>
        <row r="40">
          <cell r="I40">
            <v>239159.06</v>
          </cell>
        </row>
        <row r="41">
          <cell r="E41" t="str">
            <v>LTTR 690 AM</v>
          </cell>
        </row>
        <row r="41">
          <cell r="I41">
            <v>184382</v>
          </cell>
        </row>
        <row r="41">
          <cell r="L41" t="str">
            <v>N</v>
          </cell>
        </row>
        <row r="42">
          <cell r="E42" t="str">
            <v>LTTR 691 AM</v>
          </cell>
        </row>
        <row r="42">
          <cell r="I42">
            <v>238309.4</v>
          </cell>
        </row>
        <row r="43">
          <cell r="E43" t="str">
            <v>LTTR 689 AM</v>
          </cell>
        </row>
        <row r="43">
          <cell r="I43">
            <v>238430.78</v>
          </cell>
        </row>
      </sheetData>
      <sheetData sheetId="30">
        <row r="21">
          <cell r="E21" t="str">
            <v>LTTR 906 AN</v>
          </cell>
        </row>
        <row r="21">
          <cell r="I21">
            <v>289539.75</v>
          </cell>
        </row>
      </sheetData>
      <sheetData sheetId="31">
        <row r="21">
          <cell r="E21" t="str">
            <v>LTTR 691 AM</v>
          </cell>
        </row>
        <row r="21">
          <cell r="I21">
            <v>263823</v>
          </cell>
        </row>
        <row r="22">
          <cell r="E22" t="str">
            <v>LTTR 906 AN</v>
          </cell>
        </row>
        <row r="22">
          <cell r="I22">
            <v>282221.25</v>
          </cell>
        </row>
        <row r="23">
          <cell r="E23" t="str">
            <v>LTTR 691 AM</v>
          </cell>
        </row>
        <row r="23">
          <cell r="I23">
            <v>242632.5</v>
          </cell>
        </row>
        <row r="23">
          <cell r="L23" t="str">
            <v>N</v>
          </cell>
        </row>
        <row r="24">
          <cell r="E24" t="str">
            <v>LTTR 906 AN</v>
          </cell>
        </row>
        <row r="24">
          <cell r="I24">
            <v>287595.375</v>
          </cell>
        </row>
        <row r="25">
          <cell r="E25" t="str">
            <v>LTTR 798 AJ</v>
          </cell>
        </row>
        <row r="25">
          <cell r="I25">
            <v>292185.375</v>
          </cell>
        </row>
        <row r="26">
          <cell r="E26" t="str">
            <v>LTTR 691 AM</v>
          </cell>
        </row>
        <row r="26">
          <cell r="I26">
            <v>227970</v>
          </cell>
        </row>
        <row r="26">
          <cell r="L26" t="str">
            <v>N</v>
          </cell>
        </row>
      </sheetData>
      <sheetData sheetId="32">
        <row r="21">
          <cell r="E21" t="str">
            <v>LTTR 175 AL</v>
          </cell>
        </row>
        <row r="21">
          <cell r="H21">
            <v>2150000</v>
          </cell>
        </row>
      </sheetData>
      <sheetData sheetId="33">
        <row r="21">
          <cell r="E21" t="str">
            <v>LTTR 906 AN</v>
          </cell>
        </row>
        <row r="21">
          <cell r="H21">
            <v>2150000</v>
          </cell>
        </row>
      </sheetData>
      <sheetData sheetId="34">
        <row r="21">
          <cell r="E21" t="str">
            <v>LTTR 689 AM</v>
          </cell>
        </row>
        <row r="21">
          <cell r="I21">
            <v>290976.76</v>
          </cell>
        </row>
        <row r="21">
          <cell r="L21" t="str">
            <v>S</v>
          </cell>
        </row>
        <row r="22">
          <cell r="E22" t="str">
            <v>LTTR 690 AM</v>
          </cell>
        </row>
        <row r="22">
          <cell r="I22">
            <v>260967</v>
          </cell>
        </row>
      </sheetData>
      <sheetData sheetId="35">
        <row r="21">
          <cell r="E21" t="str">
            <v>LTTR 907 AN</v>
          </cell>
        </row>
        <row r="21">
          <cell r="H21">
            <v>2150000</v>
          </cell>
        </row>
        <row r="22">
          <cell r="E22" t="str">
            <v>LTTR 905 AN</v>
          </cell>
        </row>
        <row r="22">
          <cell r="H22">
            <v>2150000</v>
          </cell>
        </row>
      </sheetData>
      <sheetData sheetId="36">
        <row r="21">
          <cell r="E21" t="str">
            <v>LTTR 273 AF</v>
          </cell>
        </row>
        <row r="21">
          <cell r="H21">
            <v>2150000</v>
          </cell>
        </row>
      </sheetData>
      <sheetData sheetId="37">
        <row r="21">
          <cell r="E21" t="str">
            <v>LTTR 691 AM</v>
          </cell>
        </row>
        <row r="21">
          <cell r="I21">
            <v>270204.375</v>
          </cell>
        </row>
        <row r="22">
          <cell r="E22" t="str">
            <v>LTTR 907 AN</v>
          </cell>
        </row>
        <row r="22">
          <cell r="I22">
            <v>274322.625</v>
          </cell>
        </row>
        <row r="23">
          <cell r="E23" t="str">
            <v>LTTR 798 AJ</v>
          </cell>
        </row>
        <row r="23">
          <cell r="I23">
            <v>202049.25</v>
          </cell>
        </row>
        <row r="23">
          <cell r="L23" t="str">
            <v>N</v>
          </cell>
        </row>
        <row r="24">
          <cell r="E24" t="str">
            <v>LTTR 906 AN</v>
          </cell>
        </row>
        <row r="24">
          <cell r="I24">
            <v>256549.125</v>
          </cell>
        </row>
        <row r="25">
          <cell r="E25" t="str">
            <v>LTTR 905 AN</v>
          </cell>
        </row>
        <row r="25">
          <cell r="I25">
            <v>224871.75</v>
          </cell>
        </row>
        <row r="25">
          <cell r="L25" t="str">
            <v>N</v>
          </cell>
        </row>
        <row r="26">
          <cell r="E26" t="str">
            <v>LTTR 905 AN</v>
          </cell>
        </row>
        <row r="26">
          <cell r="I26">
            <v>297017.625</v>
          </cell>
        </row>
        <row r="27">
          <cell r="E27" t="str">
            <v>LTTR 907 AN</v>
          </cell>
        </row>
        <row r="27">
          <cell r="I27">
            <v>300326.25</v>
          </cell>
        </row>
        <row r="28">
          <cell r="E28" t="str">
            <v>LTTR 175 AL</v>
          </cell>
        </row>
        <row r="28">
          <cell r="I28">
            <v>235065.375</v>
          </cell>
        </row>
        <row r="28">
          <cell r="L28" t="str">
            <v>N</v>
          </cell>
        </row>
        <row r="29">
          <cell r="E29" t="str">
            <v>LTTR 689 AM</v>
          </cell>
        </row>
        <row r="29">
          <cell r="I29">
            <v>254796</v>
          </cell>
        </row>
        <row r="29">
          <cell r="L29" t="str">
            <v>N</v>
          </cell>
        </row>
        <row r="30">
          <cell r="E30" t="str">
            <v>LTTR 690 AM</v>
          </cell>
        </row>
        <row r="30">
          <cell r="I30">
            <v>303201.375</v>
          </cell>
        </row>
        <row r="31">
          <cell r="E31" t="str">
            <v>LTTR 798 AJ</v>
          </cell>
        </row>
        <row r="31">
          <cell r="I31">
            <v>287773.875</v>
          </cell>
        </row>
        <row r="32">
          <cell r="E32" t="str">
            <v>LTTR 917 AM</v>
          </cell>
        </row>
        <row r="32">
          <cell r="I32">
            <v>255847.875</v>
          </cell>
        </row>
        <row r="33">
          <cell r="E33" t="str">
            <v>LTTR 907 AN</v>
          </cell>
        </row>
        <row r="33">
          <cell r="I33">
            <v>228505.5</v>
          </cell>
        </row>
        <row r="33">
          <cell r="L33" t="str">
            <v>N</v>
          </cell>
        </row>
        <row r="34">
          <cell r="E34" t="str">
            <v>LTTR 905 AN</v>
          </cell>
        </row>
        <row r="34">
          <cell r="I34">
            <v>326125.875</v>
          </cell>
        </row>
        <row r="34">
          <cell r="L34" t="str">
            <v>S</v>
          </cell>
        </row>
        <row r="35">
          <cell r="E35" t="str">
            <v>LTTR 175 AL</v>
          </cell>
        </row>
        <row r="35">
          <cell r="I35">
            <v>221990.25</v>
          </cell>
        </row>
        <row r="35">
          <cell r="L35" t="str">
            <v>N</v>
          </cell>
        </row>
        <row r="36">
          <cell r="E36" t="str">
            <v>LTTR 917 AM</v>
          </cell>
        </row>
        <row r="36">
          <cell r="I36">
            <v>259335</v>
          </cell>
        </row>
        <row r="37">
          <cell r="E37" t="str">
            <v>LTTR 689 AM</v>
          </cell>
        </row>
        <row r="37">
          <cell r="I37">
            <v>222940.125</v>
          </cell>
        </row>
        <row r="37">
          <cell r="L37" t="str">
            <v>N</v>
          </cell>
        </row>
        <row r="38">
          <cell r="E38" t="str">
            <v>LTTR 689 AM</v>
          </cell>
        </row>
        <row r="38">
          <cell r="I38">
            <v>231234</v>
          </cell>
        </row>
        <row r="38">
          <cell r="L38" t="str">
            <v>N</v>
          </cell>
        </row>
        <row r="39">
          <cell r="E39" t="str">
            <v>LTTR 917 AM</v>
          </cell>
        </row>
        <row r="39">
          <cell r="I39">
            <v>251704.125</v>
          </cell>
        </row>
        <row r="39">
          <cell r="L39" t="str">
            <v>N</v>
          </cell>
        </row>
      </sheetData>
      <sheetData sheetId="38">
        <row r="21">
          <cell r="E21" t="str">
            <v>LTTR 175 AL</v>
          </cell>
        </row>
        <row r="21">
          <cell r="I21">
            <v>281201.25</v>
          </cell>
        </row>
        <row r="22">
          <cell r="E22" t="str">
            <v>LTTR 691 AM</v>
          </cell>
        </row>
        <row r="22">
          <cell r="I22">
            <v>226969.125</v>
          </cell>
        </row>
        <row r="22">
          <cell r="L22" t="str">
            <v>N</v>
          </cell>
        </row>
        <row r="23">
          <cell r="E23" t="str">
            <v>LTTR 798 AJ</v>
          </cell>
        </row>
        <row r="23">
          <cell r="I23">
            <v>266863.875</v>
          </cell>
        </row>
        <row r="24">
          <cell r="E24" t="str">
            <v>LTTR 905 AN</v>
          </cell>
        </row>
        <row r="24">
          <cell r="I24">
            <v>230972.625</v>
          </cell>
        </row>
        <row r="24">
          <cell r="L24" t="str">
            <v>N</v>
          </cell>
        </row>
        <row r="25">
          <cell r="E25" t="str">
            <v>LTTR 691 AM</v>
          </cell>
        </row>
        <row r="25">
          <cell r="I25">
            <v>294773.625</v>
          </cell>
        </row>
        <row r="26">
          <cell r="E26" t="str">
            <v>LTTR 907 AN</v>
          </cell>
        </row>
        <row r="26">
          <cell r="I26">
            <v>295047.75</v>
          </cell>
        </row>
        <row r="27">
          <cell r="E27" t="str">
            <v>LTTR 690 AM</v>
          </cell>
        </row>
        <row r="27">
          <cell r="I27">
            <v>236946</v>
          </cell>
        </row>
        <row r="27">
          <cell r="L27" t="str">
            <v>N</v>
          </cell>
        </row>
        <row r="28">
          <cell r="E28" t="str">
            <v>LTTR 175 AL</v>
          </cell>
        </row>
        <row r="28">
          <cell r="I28">
            <v>273870</v>
          </cell>
        </row>
        <row r="29">
          <cell r="E29" t="str">
            <v>LTTR 798 AJ</v>
          </cell>
        </row>
        <row r="29">
          <cell r="I29">
            <v>275419.125</v>
          </cell>
        </row>
        <row r="30">
          <cell r="E30" t="str">
            <v>LTTR 905 AN</v>
          </cell>
        </row>
        <row r="30">
          <cell r="I30">
            <v>287059.875</v>
          </cell>
        </row>
        <row r="31">
          <cell r="E31" t="str">
            <v>LTTR 907 AN</v>
          </cell>
        </row>
        <row r="31">
          <cell r="I31">
            <v>246253.5</v>
          </cell>
        </row>
        <row r="31">
          <cell r="L31" t="str">
            <v>N</v>
          </cell>
        </row>
        <row r="32">
          <cell r="E32" t="str">
            <v>LTTR 690 AM</v>
          </cell>
        </row>
        <row r="32">
          <cell r="I32">
            <v>224980.125</v>
          </cell>
        </row>
        <row r="32">
          <cell r="L32" t="str">
            <v>N</v>
          </cell>
        </row>
        <row r="33">
          <cell r="E33" t="str">
            <v>LTTR 175 AL</v>
          </cell>
        </row>
        <row r="33">
          <cell r="I33">
            <v>255165.75</v>
          </cell>
        </row>
        <row r="34">
          <cell r="E34" t="str">
            <v>LTTR 691 AM</v>
          </cell>
        </row>
        <row r="34">
          <cell r="I34">
            <v>298560.375</v>
          </cell>
        </row>
        <row r="35">
          <cell r="E35" t="str">
            <v>LTTR 798 AJ</v>
          </cell>
        </row>
        <row r="35">
          <cell r="I35">
            <v>245813.625</v>
          </cell>
        </row>
        <row r="35">
          <cell r="L35" t="str">
            <v>N</v>
          </cell>
        </row>
        <row r="36">
          <cell r="E36" t="str">
            <v>LTTR 905 AN</v>
          </cell>
        </row>
        <row r="36">
          <cell r="I36">
            <v>226408.125</v>
          </cell>
        </row>
        <row r="36">
          <cell r="L36" t="str">
            <v>N</v>
          </cell>
        </row>
        <row r="37">
          <cell r="E37" t="str">
            <v>LTTR 905 AN</v>
          </cell>
        </row>
        <row r="37">
          <cell r="I37">
            <v>203598.375</v>
          </cell>
        </row>
        <row r="37">
          <cell r="L37" t="str">
            <v>N</v>
          </cell>
        </row>
        <row r="38">
          <cell r="E38" t="str">
            <v>LTTR 175 AL</v>
          </cell>
        </row>
        <row r="38">
          <cell r="I38">
            <v>183816.75</v>
          </cell>
        </row>
        <row r="38">
          <cell r="L38" t="str">
            <v>N</v>
          </cell>
        </row>
        <row r="39">
          <cell r="E39" t="str">
            <v>LTTR 691 AM</v>
          </cell>
        </row>
        <row r="39">
          <cell r="I39">
            <v>217036.875</v>
          </cell>
        </row>
        <row r="39">
          <cell r="L39" t="str">
            <v>N</v>
          </cell>
        </row>
        <row r="40">
          <cell r="E40" t="str">
            <v>LTTR 907 AN</v>
          </cell>
        </row>
        <row r="40">
          <cell r="I40">
            <v>283451.625</v>
          </cell>
        </row>
        <row r="41">
          <cell r="E41" t="str">
            <v>LTTR 906 AN</v>
          </cell>
        </row>
        <row r="41">
          <cell r="I41">
            <v>315288.375</v>
          </cell>
        </row>
        <row r="42">
          <cell r="E42" t="str">
            <v>LTTR 690 AM</v>
          </cell>
        </row>
        <row r="42">
          <cell r="I42">
            <v>191454</v>
          </cell>
        </row>
        <row r="42">
          <cell r="L42" t="str">
            <v>N</v>
          </cell>
        </row>
        <row r="43">
          <cell r="E43" t="str">
            <v>LTTR 905 AN</v>
          </cell>
        </row>
        <row r="43">
          <cell r="I43">
            <v>386784</v>
          </cell>
        </row>
        <row r="43">
          <cell r="L43" t="str">
            <v>S</v>
          </cell>
        </row>
        <row r="44">
          <cell r="E44" t="str">
            <v>LTTR 175 AL</v>
          </cell>
        </row>
        <row r="44">
          <cell r="I44">
            <v>234644.625</v>
          </cell>
        </row>
        <row r="44">
          <cell r="L44" t="str">
            <v>N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50"/>
  <sheetViews>
    <sheetView showFormulas="false" showGridLines="true" showRowColHeaders="true" showZeros="true" rightToLeft="false" tabSelected="false" showOutlineSymbols="true" defaultGridColor="true" view="normal" topLeftCell="A61" colorId="64" zoomScale="70" zoomScaleNormal="70" zoomScalePageLayoutView="100" workbookViewId="0">
      <selection pane="topLeft" activeCell="H67" activeCellId="0" sqref="H67"/>
    </sheetView>
  </sheetViews>
  <sheetFormatPr defaultRowHeight="15" zeroHeight="false" outlineLevelRow="0" outlineLevelCol="0"/>
  <cols>
    <col collapsed="false" customWidth="true" hidden="false" outlineLevel="0" max="1" min="1" style="0" width="2.71"/>
    <col collapsed="false" customWidth="true" hidden="false" outlineLevel="0" max="2" min="2" style="0" width="16.57"/>
    <col collapsed="false" customWidth="true" hidden="false" outlineLevel="0" max="3" min="3" style="0" width="11.86"/>
    <col collapsed="false" customWidth="true" hidden="false" outlineLevel="0" max="5" min="4" style="0" width="21.43"/>
    <col collapsed="false" customWidth="true" hidden="false" outlineLevel="0" max="6" min="6" style="0" width="10.58"/>
    <col collapsed="false" customWidth="true" hidden="false" outlineLevel="0" max="7" min="7" style="0" width="15.71"/>
    <col collapsed="false" customWidth="true" hidden="false" outlineLevel="0" max="8" min="8" style="0" width="18.14"/>
    <col collapsed="false" customWidth="true" hidden="false" outlineLevel="0" max="9" min="9" style="0" width="16.29"/>
    <col collapsed="false" customWidth="true" hidden="false" outlineLevel="0" max="1025" min="10" style="0" width="21.43"/>
  </cols>
  <sheetData>
    <row r="1" customFormat="false" ht="15" hidden="false" customHeight="false" outlineLevel="0" collapsed="false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</row>
    <row r="2" customFormat="false" ht="28.5" hidden="false" customHeight="false" outlineLevel="0" collapsed="false">
      <c r="A2" s="3"/>
      <c r="B2" s="3"/>
      <c r="C2" s="4" t="s">
        <v>0</v>
      </c>
      <c r="D2" s="4"/>
      <c r="E2" s="4"/>
      <c r="F2" s="4"/>
      <c r="G2" s="5" t="s">
        <v>1</v>
      </c>
      <c r="H2" s="3"/>
      <c r="I2" s="6"/>
      <c r="J2" s="7"/>
      <c r="K2" s="3"/>
      <c r="L2" s="3"/>
    </row>
    <row r="3" customFormat="false" ht="16.5" hidden="false" customHeight="false" outlineLevel="0" collapsed="false">
      <c r="A3" s="3"/>
      <c r="B3" s="3"/>
      <c r="C3" s="8"/>
      <c r="D3" s="8"/>
      <c r="E3" s="9"/>
      <c r="F3" s="8"/>
      <c r="G3" s="8"/>
      <c r="H3" s="3"/>
      <c r="I3" s="6"/>
      <c r="J3" s="7"/>
      <c r="K3" s="3"/>
      <c r="L3" s="3"/>
    </row>
    <row r="4" customFormat="false" ht="15.75" hidden="false" customHeight="false" outlineLevel="0" collapsed="false">
      <c r="A4" s="3"/>
      <c r="B4" s="10" t="s">
        <v>2</v>
      </c>
      <c r="C4" s="11" t="s">
        <v>3</v>
      </c>
      <c r="D4" s="11"/>
      <c r="E4" s="11"/>
      <c r="F4" s="11"/>
      <c r="G4" s="11"/>
      <c r="H4" s="12" t="s">
        <v>4</v>
      </c>
      <c r="I4" s="13" t="s">
        <v>5</v>
      </c>
      <c r="J4" s="14" t="s">
        <v>6</v>
      </c>
      <c r="K4" s="15" t="s">
        <v>7</v>
      </c>
      <c r="L4" s="10" t="s">
        <v>4</v>
      </c>
    </row>
    <row r="5" customFormat="false" ht="16.5" hidden="false" customHeight="false" outlineLevel="0" collapsed="false">
      <c r="A5" s="3"/>
      <c r="B5" s="10"/>
      <c r="C5" s="16" t="n">
        <v>10064</v>
      </c>
      <c r="D5" s="16" t="n">
        <v>10012</v>
      </c>
      <c r="E5" s="16" t="n">
        <v>10009</v>
      </c>
      <c r="F5" s="16" t="n">
        <v>10008</v>
      </c>
      <c r="G5" s="17" t="n">
        <v>10010</v>
      </c>
      <c r="H5" s="12"/>
      <c r="I5" s="13"/>
      <c r="J5" s="14"/>
      <c r="K5" s="15"/>
      <c r="L5" s="10"/>
    </row>
    <row r="6" customFormat="false" ht="15" hidden="false" customHeight="false" outlineLevel="0" collapsed="false">
      <c r="A6" s="3"/>
      <c r="B6" s="18" t="s">
        <v>8</v>
      </c>
      <c r="C6" s="19" t="n">
        <v>0</v>
      </c>
      <c r="D6" s="20" t="n">
        <v>0</v>
      </c>
      <c r="E6" s="21" t="n">
        <f aca="false">COUNTIF('[1]FACT N°128SFOT17'!$E$21:$E$22,B6)+COUNTIF('[1]FACT N°131SFOT17'!$E$21:$E$43,B6)</f>
        <v>0</v>
      </c>
      <c r="F6" s="20" t="n">
        <v>0</v>
      </c>
      <c r="G6" s="20" t="n">
        <f aca="false">COUNTIF('[1]FACT N°126SFOT17'!$E$21:$E$39,B6)+COUNTIF('[1]FACT N°125SFOT17'!$E$21:$E$44,B6)+COUNTIF('[1]FACT N°130SFOT17'!$E$21,B6)+COUNTIF('[1]FACT N°129SFOT17'!$E$21:$E$26,B6)</f>
        <v>0</v>
      </c>
      <c r="H6" s="22" t="n">
        <f aca="false">SUM(C6:G6)</f>
        <v>0</v>
      </c>
      <c r="I6" s="23" t="n">
        <f aca="false">(C6*10000)+(D6*2500)+(E6*5000)+(G6*5000)+(F6*5000)</f>
        <v>0</v>
      </c>
      <c r="J6" s="24" t="n">
        <f aca="false">COUNTIF('[1]FACT N°17SBOT17'!$E$21,B6)+COUNTIF('[1]FACT N°16SBOT17'!$E$21:$E$22,B6)+COUNTIF('[1]FACT N°127SFOT17'!$E$21,B6)+COUNTIF('[1]FACT N°18SBOT17'!$E$21,B6)</f>
        <v>0</v>
      </c>
      <c r="K6" s="23" t="n">
        <f aca="false">IF(B6="LTTR 273 AF",J6*30000,J6*25000)</f>
        <v>0</v>
      </c>
      <c r="L6" s="25" t="n">
        <f aca="false">K6+I6</f>
        <v>0</v>
      </c>
    </row>
    <row r="7" customFormat="false" ht="15" hidden="false" customHeight="false" outlineLevel="0" collapsed="false">
      <c r="A7" s="3"/>
      <c r="B7" s="26" t="s">
        <v>9</v>
      </c>
      <c r="C7" s="19" t="n">
        <v>0</v>
      </c>
      <c r="D7" s="20" t="n">
        <v>0</v>
      </c>
      <c r="E7" s="21" t="n">
        <f aca="false">COUNTIF('[1]FACT N°128SFOT17'!$E$21:$E$22,B7)+COUNTIF('[1]FACT N°131SFOT17'!$E$21:$E$43,B7)</f>
        <v>0</v>
      </c>
      <c r="F7" s="20" t="n">
        <v>0</v>
      </c>
      <c r="G7" s="20" t="n">
        <f aca="false">COUNTIF('[1]FACT N°126SFOT17'!$E$21:$E$39,B7)+COUNTIF('[1]FACT N°125SFOT17'!$E$21:$E$44,B7)+COUNTIF('[1]FACT N°130SFOT17'!$E$21,B7)+COUNTIF('[1]FACT N°129SFOT17'!$E$21:$E$26,B7)</f>
        <v>0</v>
      </c>
      <c r="H7" s="19" t="n">
        <f aca="false">SUM(C7:G7)</f>
        <v>0</v>
      </c>
      <c r="I7" s="27" t="n">
        <f aca="false">(C7*10000)+(D7*2500)+(E7*5000)+(G7*5000)+(F7*5000)</f>
        <v>0</v>
      </c>
      <c r="J7" s="24" t="n">
        <f aca="false">COUNTIF('[1]FACT N°17SBOT17'!$E$21,B7)+COUNTIF('[1]FACT N°16SBOT17'!$E$21:$E$22,B7)+COUNTIF('[1]FACT N°127SFOT17'!$E$21,B7)+COUNTIF('[1]FACT N°18SBOT17'!$E$21,B7)</f>
        <v>0</v>
      </c>
      <c r="K7" s="27" t="n">
        <f aca="false">IF(B7="LTTR 273 AF",J7*30000,J7*25000)</f>
        <v>0</v>
      </c>
      <c r="L7" s="28" t="n">
        <f aca="false">K7+I7</f>
        <v>0</v>
      </c>
    </row>
    <row r="8" customFormat="false" ht="15" hidden="false" customHeight="false" outlineLevel="0" collapsed="false">
      <c r="A8" s="3"/>
      <c r="B8" s="26" t="s">
        <v>10</v>
      </c>
      <c r="C8" s="19" t="n">
        <v>0</v>
      </c>
      <c r="D8" s="20" t="n">
        <v>0</v>
      </c>
      <c r="E8" s="21" t="n">
        <f aca="false">COUNTIF('[1]FACT N°128SFOT17'!$E$21:$E$22,B8)+COUNTIF('[1]FACT N°131SFOT17'!$E$21:$E$43,B8)</f>
        <v>0</v>
      </c>
      <c r="F8" s="20" t="n">
        <v>0</v>
      </c>
      <c r="G8" s="20" t="n">
        <f aca="false">COUNTIF('[1]FACT N°126SFOT17'!$E$21:$E$39,B8)+COUNTIF('[1]FACT N°125SFOT17'!$E$21:$E$44,B8)+COUNTIF('[1]FACT N°130SFOT17'!$E$21,B8)+COUNTIF('[1]FACT N°129SFOT17'!$E$21:$E$26,B8)</f>
        <v>0</v>
      </c>
      <c r="H8" s="19" t="n">
        <f aca="false">SUM(C8:G8)</f>
        <v>0</v>
      </c>
      <c r="I8" s="27" t="n">
        <f aca="false">(C8*10000)+(D8*2500)+(E8*5000)+(G8*5000)+(F8*5000)</f>
        <v>0</v>
      </c>
      <c r="J8" s="24" t="n">
        <f aca="false">COUNTIF('[1]FACT N°17SBOT17'!$E$21,B8)+COUNTIF('[1]FACT N°16SBOT17'!$E$21:$E$22,B8)+COUNTIF('[1]FACT N°127SFOT17'!$E$21,B8)+COUNTIF('[1]FACT N°18SBOT17'!$E$21,B8)</f>
        <v>1</v>
      </c>
      <c r="K8" s="27" t="n">
        <f aca="false">IF(B8="LTTR 273 AF",J8*30000,J8*25000)</f>
        <v>30000</v>
      </c>
      <c r="L8" s="28" t="n">
        <f aca="false">K8+I8</f>
        <v>30000</v>
      </c>
    </row>
    <row r="9" customFormat="false" ht="15" hidden="false" customHeight="false" outlineLevel="0" collapsed="false">
      <c r="A9" s="3"/>
      <c r="B9" s="26" t="s">
        <v>11</v>
      </c>
      <c r="C9" s="19" t="n">
        <v>0</v>
      </c>
      <c r="D9" s="20" t="n">
        <v>0</v>
      </c>
      <c r="E9" s="21" t="n">
        <f aca="false">COUNTIF('[1]FACT N°128SFOT17'!$E$21:$E$22,B9)+COUNTIF('[1]FACT N°131SFOT17'!$E$21:$E$43,B9)</f>
        <v>0</v>
      </c>
      <c r="F9" s="20" t="n">
        <v>0</v>
      </c>
      <c r="G9" s="20" t="n">
        <f aca="false">COUNTIF('[1]FACT N°126SFOT17'!$E$21:$E$39,B9)+COUNTIF('[1]FACT N°125SFOT17'!$E$21:$E$44,B9)+COUNTIF('[1]FACT N°130SFOT17'!$E$21,B9)+COUNTIF('[1]FACT N°129SFOT17'!$E$21:$E$26,B9)</f>
        <v>0</v>
      </c>
      <c r="H9" s="19" t="n">
        <f aca="false">SUM(C9:G9)</f>
        <v>0</v>
      </c>
      <c r="I9" s="27" t="n">
        <f aca="false">(C9*10000)+(D9*2500)+(E9*5000)+(G9*5000)+(F9*5000)</f>
        <v>0</v>
      </c>
      <c r="J9" s="24" t="n">
        <f aca="false">COUNTIF('[1]FACT N°17SBOT17'!$E$21,B9)+COUNTIF('[1]FACT N°16SBOT17'!$E$21:$E$22,B9)+COUNTIF('[1]FACT N°127SFOT17'!$E$21,B9)+COUNTIF('[1]FACT N°18SBOT17'!$E$21,B9)</f>
        <v>0</v>
      </c>
      <c r="K9" s="27" t="n">
        <f aca="false">IF(B9="LTTR 273 AF",J9*30000,J9*25000)</f>
        <v>0</v>
      </c>
      <c r="L9" s="28" t="n">
        <f aca="false">K9+I9</f>
        <v>0</v>
      </c>
      <c r="N9" s="0" t="s">
        <v>12</v>
      </c>
    </row>
    <row r="10" customFormat="false" ht="15" hidden="false" customHeight="false" outlineLevel="0" collapsed="false">
      <c r="A10" s="3"/>
      <c r="B10" s="26" t="s">
        <v>13</v>
      </c>
      <c r="C10" s="19" t="n">
        <v>0</v>
      </c>
      <c r="D10" s="20" t="n">
        <v>0</v>
      </c>
      <c r="E10" s="21" t="n">
        <f aca="false">COUNTIF('[1]FACT N°128SFOT17'!$E$21:$E$22,B10)+COUNTIF('[1]FACT N°131SFOT17'!$E$21:$E$43,B10)</f>
        <v>3</v>
      </c>
      <c r="F10" s="20" t="n">
        <v>0</v>
      </c>
      <c r="G10" s="20" t="n">
        <f aca="false">COUNTIF('[1]FACT N°126SFOT17'!$E$21:$E$39,B10)+COUNTIF('[1]FACT N°125SFOT17'!$E$21:$E$44,B10)+COUNTIF('[1]FACT N°130SFOT17'!$E$21,B10)+COUNTIF('[1]FACT N°129SFOT17'!$E$21:$E$26,B10)</f>
        <v>6</v>
      </c>
      <c r="H10" s="19" t="n">
        <f aca="false">SUM(C10:G10)</f>
        <v>9</v>
      </c>
      <c r="I10" s="27" t="n">
        <f aca="false">(C10*10000)+(D10*2500)+(E10*5000)+(G10*5000)+(F10*5000)</f>
        <v>45000</v>
      </c>
      <c r="J10" s="24" t="n">
        <f aca="false">COUNTIF('[1]FACT N°17SBOT17'!$E$21,B10)+COUNTIF('[1]FACT N°16SBOT17'!$E$21:$E$22,B10)+COUNTIF('[1]FACT N°127SFOT17'!$E$21,B10)+COUNTIF('[1]FACT N°18SBOT17'!$E$21,B10)</f>
        <v>0</v>
      </c>
      <c r="K10" s="27" t="n">
        <f aca="false">IF(B10="LTTR 273 AF",J10*30000,J10*25000)</f>
        <v>0</v>
      </c>
      <c r="L10" s="28" t="n">
        <f aca="false">K10+I10</f>
        <v>45000</v>
      </c>
    </row>
    <row r="11" customFormat="false" ht="15" hidden="false" customHeight="false" outlineLevel="0" collapsed="false">
      <c r="A11" s="3"/>
      <c r="B11" s="26" t="s">
        <v>14</v>
      </c>
      <c r="C11" s="19" t="n">
        <v>0</v>
      </c>
      <c r="D11" s="20" t="n">
        <v>0</v>
      </c>
      <c r="E11" s="21" t="n">
        <f aca="false">COUNTIF('[1]FACT N°128SFOT17'!$E$21:$E$22,B11)+COUNTIF('[1]FACT N°131SFOT17'!$E$21:$E$43,B11)</f>
        <v>0</v>
      </c>
      <c r="F11" s="20" t="n">
        <v>0</v>
      </c>
      <c r="G11" s="20" t="n">
        <f aca="false">COUNTIF('[1]FACT N°126SFOT17'!$E$21:$E$39,B11)+COUNTIF('[1]FACT N°125SFOT17'!$E$21:$E$44,B11)+COUNTIF('[1]FACT N°130SFOT17'!$E$21,B11)+COUNTIF('[1]FACT N°129SFOT17'!$E$21:$E$26,B11)</f>
        <v>7</v>
      </c>
      <c r="H11" s="19" t="n">
        <f aca="false">SUM(C11:G11)</f>
        <v>7</v>
      </c>
      <c r="I11" s="27" t="n">
        <f aca="false">(C11*10000)+(D11*2500)+(E11*5000)+(G11*5000)+(F11*5000)</f>
        <v>35000</v>
      </c>
      <c r="J11" s="24" t="n">
        <f aca="false">COUNTIF('[1]FACT N°17SBOT17'!$E$21,B11)+COUNTIF('[1]FACT N°16SBOT17'!$E$21:$E$22,B11)+COUNTIF('[1]FACT N°127SFOT17'!$E$21,B11)+COUNTIF('[1]FACT N°18SBOT17'!$E$21,B11)</f>
        <v>1</v>
      </c>
      <c r="K11" s="27" t="n">
        <f aca="false">IF(B11="LTTR 273 AF",J11*30000,J11*25000)</f>
        <v>25000</v>
      </c>
      <c r="L11" s="28" t="n">
        <f aca="false">K11+I11</f>
        <v>60000</v>
      </c>
      <c r="M11" s="29"/>
    </row>
    <row r="12" customFormat="false" ht="15" hidden="false" customHeight="false" outlineLevel="0" collapsed="false">
      <c r="A12" s="3"/>
      <c r="B12" s="26" t="s">
        <v>15</v>
      </c>
      <c r="C12" s="19" t="n">
        <v>0</v>
      </c>
      <c r="D12" s="20" t="n">
        <v>0</v>
      </c>
      <c r="E12" s="21" t="n">
        <f aca="false">COUNTIF('[1]FACT N°128SFOT17'!$E$21:$E$22,B12)+COUNTIF('[1]FACT N°131SFOT17'!$E$21:$E$43,B12)</f>
        <v>8</v>
      </c>
      <c r="F12" s="20" t="n">
        <v>0</v>
      </c>
      <c r="G12" s="20" t="n">
        <f aca="false">COUNTIF('[1]FACT N°126SFOT17'!$E$21:$E$39,B12)+COUNTIF('[1]FACT N°125SFOT17'!$E$21:$E$44,B12)+COUNTIF('[1]FACT N°130SFOT17'!$E$21,B12)+COUNTIF('[1]FACT N°129SFOT17'!$E$21:$E$26,B12)</f>
        <v>3</v>
      </c>
      <c r="H12" s="19" t="n">
        <f aca="false">SUM(C12:G12)</f>
        <v>11</v>
      </c>
      <c r="I12" s="27" t="n">
        <f aca="false">(C12*10000)+(D12*2500)+(E12*5000)+(G12*5000)+(F12*5000)</f>
        <v>55000</v>
      </c>
      <c r="J12" s="24" t="n">
        <f aca="false">COUNTIF('[1]FACT N°17SBOT17'!$E$21,B12)+COUNTIF('[1]FACT N°16SBOT17'!$E$21:$E$22,B12)+COUNTIF('[1]FACT N°127SFOT17'!$E$21,B12)+COUNTIF('[1]FACT N°18SBOT17'!$E$21,B12)</f>
        <v>0</v>
      </c>
      <c r="K12" s="27" t="n">
        <f aca="false">IF(B12="LTTR 273 AF",J12*30000,J12*25000)</f>
        <v>0</v>
      </c>
      <c r="L12" s="28" t="n">
        <f aca="false">K12+I12</f>
        <v>55000</v>
      </c>
    </row>
    <row r="13" customFormat="false" ht="15" hidden="false" customHeight="false" outlineLevel="0" collapsed="false">
      <c r="A13" s="3"/>
      <c r="B13" s="26" t="s">
        <v>16</v>
      </c>
      <c r="C13" s="19" t="n">
        <v>0</v>
      </c>
      <c r="D13" s="20" t="n">
        <v>0</v>
      </c>
      <c r="E13" s="21" t="n">
        <f aca="false">COUNTIF('[1]FACT N°128SFOT17'!$E$21:$E$22,B13)+COUNTIF('[1]FACT N°131SFOT17'!$E$21:$E$43,B13)</f>
        <v>6</v>
      </c>
      <c r="F13" s="20" t="n">
        <v>0</v>
      </c>
      <c r="G13" s="20" t="n">
        <f aca="false">COUNTIF('[1]FACT N°126SFOT17'!$E$21:$E$39,B13)+COUNTIF('[1]FACT N°125SFOT17'!$E$21:$E$44,B13)+COUNTIF('[1]FACT N°130SFOT17'!$E$21,B13)+COUNTIF('[1]FACT N°129SFOT17'!$E$21:$E$26,B13)</f>
        <v>4</v>
      </c>
      <c r="H13" s="19" t="n">
        <f aca="false">SUM(C13:G13)</f>
        <v>10</v>
      </c>
      <c r="I13" s="27" t="n">
        <f aca="false">(C13*10000)+(D13*2500)+(E13*5000)+(G13*5000)+(F13*5000)</f>
        <v>50000</v>
      </c>
      <c r="J13" s="24" t="n">
        <f aca="false">COUNTIF('[1]FACT N°17SBOT17'!$E$21,B13)+COUNTIF('[1]FACT N°16SBOT17'!$E$21:$E$22,B13)+COUNTIF('[1]FACT N°127SFOT17'!$E$21,B13)+COUNTIF('[1]FACT N°18SBOT17'!$E$21,B13)</f>
        <v>0</v>
      </c>
      <c r="K13" s="27" t="n">
        <f aca="false">IF(B13="LTTR 273 AF",J13*30000,J13*25000)</f>
        <v>0</v>
      </c>
      <c r="L13" s="28" t="n">
        <f aca="false">K13+I13</f>
        <v>50000</v>
      </c>
    </row>
    <row r="14" customFormat="false" ht="15" hidden="false" customHeight="false" outlineLevel="0" collapsed="false">
      <c r="A14" s="3"/>
      <c r="B14" s="26" t="s">
        <v>17</v>
      </c>
      <c r="C14" s="19" t="n">
        <v>0</v>
      </c>
      <c r="D14" s="20" t="n">
        <v>0</v>
      </c>
      <c r="E14" s="21" t="n">
        <f aca="false">COUNTIF('[1]FACT N°128SFOT17'!$E$21:$E$22,B14)+COUNTIF('[1]FACT N°131SFOT17'!$E$21:$E$43,B14)</f>
        <v>2</v>
      </c>
      <c r="F14" s="20" t="n">
        <v>0</v>
      </c>
      <c r="G14" s="20" t="n">
        <f aca="false">COUNTIF('[1]FACT N°126SFOT17'!$E$21:$E$39,B14)+COUNTIF('[1]FACT N°125SFOT17'!$E$21:$E$44,B14)+COUNTIF('[1]FACT N°130SFOT17'!$E$21,B14)+COUNTIF('[1]FACT N°129SFOT17'!$E$21:$E$26,B14)</f>
        <v>8</v>
      </c>
      <c r="H14" s="19" t="n">
        <f aca="false">SUM(C14:G14)</f>
        <v>10</v>
      </c>
      <c r="I14" s="27" t="n">
        <f aca="false">(C14*10000)+(D14*2500)+(E14*5000)+(G14*5000)+(F14*5000)</f>
        <v>50000</v>
      </c>
      <c r="J14" s="24" t="n">
        <f aca="false">COUNTIF('[1]FACT N°17SBOT17'!$E$21,B14)+COUNTIF('[1]FACT N°16SBOT17'!$E$21:$E$22,B14)+COUNTIF('[1]FACT N°127SFOT17'!$E$21,B14)+COUNTIF('[1]FACT N°18SBOT17'!$E$21,B14)</f>
        <v>0</v>
      </c>
      <c r="K14" s="27" t="n">
        <f aca="false">IF(B14="LTTR 273 AF",J14*30000,J14*25000)</f>
        <v>0</v>
      </c>
      <c r="L14" s="28" t="n">
        <f aca="false">K14+I14</f>
        <v>50000</v>
      </c>
      <c r="M14" s="29"/>
    </row>
    <row r="15" customFormat="false" ht="15" hidden="false" customHeight="false" outlineLevel="0" collapsed="false">
      <c r="A15" s="3"/>
      <c r="B15" s="26" t="s">
        <v>18</v>
      </c>
      <c r="C15" s="19" t="n">
        <v>0</v>
      </c>
      <c r="D15" s="20" t="n">
        <v>0</v>
      </c>
      <c r="E15" s="21" t="n">
        <f aca="false">COUNTIF('[1]FACT N°128SFOT17'!$E$21:$E$22,B15)+COUNTIF('[1]FACT N°131SFOT17'!$E$21:$E$43,B15)</f>
        <v>6</v>
      </c>
      <c r="F15" s="20" t="n">
        <v>0</v>
      </c>
      <c r="G15" s="20" t="n">
        <f aca="false">COUNTIF('[1]FACT N°126SFOT17'!$E$21:$E$39,B15)+COUNTIF('[1]FACT N°125SFOT17'!$E$21:$E$44,B15)+COUNTIF('[1]FACT N°130SFOT17'!$E$21,B15)+COUNTIF('[1]FACT N°129SFOT17'!$E$21:$E$26,B15)</f>
        <v>3</v>
      </c>
      <c r="H15" s="19" t="n">
        <f aca="false">SUM(C15:G15)</f>
        <v>9</v>
      </c>
      <c r="I15" s="27" t="n">
        <f aca="false">(C15*10000)+(D15*2500)+(E15*5000)+(G15*5000)+(F15*5000)</f>
        <v>45000</v>
      </c>
      <c r="J15" s="24" t="n">
        <f aca="false">COUNTIF('[1]FACT N°17SBOT17'!$E$21,B15)+COUNTIF('[1]FACT N°16SBOT17'!$E$21:$E$22,B15)+COUNTIF('[1]FACT N°127SFOT17'!$E$21,B15)+COUNTIF('[1]FACT N°18SBOT17'!$E$21,B15)</f>
        <v>0</v>
      </c>
      <c r="K15" s="27" t="n">
        <f aca="false">IF(B15="LTTR 273 AF",J15*30000,J15*25000)</f>
        <v>0</v>
      </c>
      <c r="L15" s="28" t="n">
        <f aca="false">K15+I15</f>
        <v>45000</v>
      </c>
    </row>
    <row r="16" customFormat="false" ht="15" hidden="false" customHeight="false" outlineLevel="0" collapsed="false">
      <c r="A16" s="3"/>
      <c r="B16" s="26" t="s">
        <v>19</v>
      </c>
      <c r="C16" s="19" t="n">
        <v>0</v>
      </c>
      <c r="D16" s="20" t="n">
        <v>0</v>
      </c>
      <c r="E16" s="21" t="n">
        <f aca="false">COUNTIF('[1]FACT N°128SFOT17'!$E$21:$E$22,B16)+COUNTIF('[1]FACT N°131SFOT17'!$E$21:$E$43,B16)</f>
        <v>0</v>
      </c>
      <c r="F16" s="20" t="n">
        <v>0</v>
      </c>
      <c r="G16" s="20" t="n">
        <f aca="false">COUNTIF('[1]FACT N°126SFOT17'!$E$21:$E$39,B16)+COUNTIF('[1]FACT N°125SFOT17'!$E$21:$E$44,B16)+COUNTIF('[1]FACT N°130SFOT17'!$E$21,B16)+COUNTIF('[1]FACT N°129SFOT17'!$E$21:$E$26,B16)</f>
        <v>8</v>
      </c>
      <c r="H16" s="19" t="n">
        <f aca="false">SUM(C16:G16)</f>
        <v>8</v>
      </c>
      <c r="I16" s="27" t="n">
        <f aca="false">(C16*10000)+(D16*2500)+(E16*5000)+(G16*5000)+(F16*5000)</f>
        <v>40000</v>
      </c>
      <c r="J16" s="24" t="n">
        <f aca="false">COUNTIF('[1]FACT N°17SBOT17'!$E$21,B16)+COUNTIF('[1]FACT N°16SBOT17'!$E$21:$E$22,B16)+COUNTIF('[1]FACT N°127SFOT17'!$E$21,B16)+COUNTIF('[1]FACT N°18SBOT17'!$E$21,B16)</f>
        <v>1</v>
      </c>
      <c r="K16" s="27" t="n">
        <f aca="false">IF(B16="LTTR 273 AF",J16*30000,J16*25000)</f>
        <v>25000</v>
      </c>
      <c r="L16" s="28" t="n">
        <f aca="false">K16+I16</f>
        <v>65000</v>
      </c>
    </row>
    <row r="17" customFormat="false" ht="15" hidden="false" customHeight="false" outlineLevel="0" collapsed="false">
      <c r="A17" s="3"/>
      <c r="B17" s="26" t="s">
        <v>20</v>
      </c>
      <c r="C17" s="19" t="n">
        <v>0</v>
      </c>
      <c r="D17" s="20" t="n">
        <v>0</v>
      </c>
      <c r="E17" s="21" t="n">
        <f aca="false">COUNTIF('[1]FACT N°128SFOT17'!$E$21:$E$22,B17)+COUNTIF('[1]FACT N°131SFOT17'!$E$21:$E$43,B17)</f>
        <v>0</v>
      </c>
      <c r="F17" s="20" t="n">
        <v>0</v>
      </c>
      <c r="G17" s="20" t="n">
        <f aca="false">COUNTIF('[1]FACT N°126SFOT17'!$E$21:$E$39,B17)+COUNTIF('[1]FACT N°125SFOT17'!$E$21:$E$44,B17)+COUNTIF('[1]FACT N°130SFOT17'!$E$21,B17)+COUNTIF('[1]FACT N°129SFOT17'!$E$21:$E$26,B17)</f>
        <v>5</v>
      </c>
      <c r="H17" s="19" t="n">
        <f aca="false">SUM(C17:G17)</f>
        <v>5</v>
      </c>
      <c r="I17" s="27" t="n">
        <f aca="false">(C17*10000)+(D17*2500)+(E17*5000)+(G17*5000)+(F17*5000)</f>
        <v>25000</v>
      </c>
      <c r="J17" s="24" t="n">
        <f aca="false">COUNTIF('[1]FACT N°17SBOT17'!$E$21,B17)+COUNTIF('[1]FACT N°16SBOT17'!$E$21:$E$22,B17)+COUNTIF('[1]FACT N°127SFOT17'!$E$21,B17)+COUNTIF('[1]FACT N°18SBOT17'!$E$21,B17)</f>
        <v>1</v>
      </c>
      <c r="K17" s="27" t="n">
        <f aca="false">IF(B17="LTTR 273 AF",J17*30000,J17*25000)</f>
        <v>25000</v>
      </c>
      <c r="L17" s="28" t="n">
        <f aca="false">K17+I17</f>
        <v>50000</v>
      </c>
    </row>
    <row r="18" customFormat="false" ht="15" hidden="false" customHeight="false" outlineLevel="0" collapsed="false">
      <c r="A18" s="3"/>
      <c r="B18" s="26" t="s">
        <v>21</v>
      </c>
      <c r="C18" s="19" t="n">
        <v>0</v>
      </c>
      <c r="D18" s="20" t="n">
        <v>0</v>
      </c>
      <c r="E18" s="21" t="n">
        <f aca="false">COUNTIF('[1]FACT N°128SFOT17'!$E$21:$E$22,B18)+COUNTIF('[1]FACT N°131SFOT17'!$E$21:$E$43,B18)</f>
        <v>0</v>
      </c>
      <c r="F18" s="20" t="n">
        <v>0</v>
      </c>
      <c r="G18" s="20" t="n">
        <f aca="false">COUNTIF('[1]FACT N°126SFOT17'!$E$21:$E$39,B18)+COUNTIF('[1]FACT N°125SFOT17'!$E$21:$E$44,B18)+COUNTIF('[1]FACT N°130SFOT17'!$E$21,B18)+COUNTIF('[1]FACT N°129SFOT17'!$E$21:$E$26,B18)</f>
        <v>6</v>
      </c>
      <c r="H18" s="19" t="n">
        <f aca="false">SUM(C18:G18)</f>
        <v>6</v>
      </c>
      <c r="I18" s="27" t="n">
        <f aca="false">(C18*10000)+(D18*2500)+(E18*5000)+(G18*5000)+(F18*5000)</f>
        <v>30000</v>
      </c>
      <c r="J18" s="24" t="n">
        <f aca="false">COUNTIF('[1]FACT N°17SBOT17'!$E$21,B18)+COUNTIF('[1]FACT N°16SBOT17'!$E$21:$E$22,B18)+COUNTIF('[1]FACT N°127SFOT17'!$E$21,B18)+COUNTIF('[1]FACT N°18SBOT17'!$E$21,B18)</f>
        <v>1</v>
      </c>
      <c r="K18" s="27" t="n">
        <f aca="false">IF(B18="LTTR 273 AF",J18*30000,J18*25000)</f>
        <v>25000</v>
      </c>
      <c r="L18" s="28" t="n">
        <f aca="false">K18+I18</f>
        <v>55000</v>
      </c>
    </row>
    <row r="19" customFormat="false" ht="16.5" hidden="false" customHeight="false" outlineLevel="0" collapsed="false">
      <c r="A19" s="3"/>
      <c r="B19" s="10" t="s">
        <v>4</v>
      </c>
      <c r="C19" s="30" t="n">
        <f aca="false">SUBTOTAL(9,C6:C18)</f>
        <v>0</v>
      </c>
      <c r="D19" s="30" t="n">
        <f aca="false">SUBTOTAL(9,D6:D18)</f>
        <v>0</v>
      </c>
      <c r="E19" s="30" t="n">
        <f aca="false">SUBTOTAL(9,E6:E18)</f>
        <v>25</v>
      </c>
      <c r="F19" s="30" t="n">
        <f aca="false">SUBTOTAL(9,F6:F18)</f>
        <v>0</v>
      </c>
      <c r="G19" s="30" t="n">
        <f aca="false">SUBTOTAL(9,G6:G18)</f>
        <v>50</v>
      </c>
      <c r="H19" s="30" t="n">
        <f aca="false">SUBTOTAL(9,H6:H18)</f>
        <v>75</v>
      </c>
      <c r="I19" s="31" t="n">
        <f aca="false">SUBTOTAL(9,I6:I18)</f>
        <v>375000</v>
      </c>
      <c r="J19" s="31" t="n">
        <f aca="false">SUBTOTAL(9,J6:J18)</f>
        <v>5</v>
      </c>
      <c r="K19" s="32" t="n">
        <f aca="false">SUBTOTAL(9,K6:K18)</f>
        <v>130000</v>
      </c>
      <c r="L19" s="33" t="n">
        <f aca="false">SUBTOTAL(9,L6:L18)</f>
        <v>505000</v>
      </c>
    </row>
    <row r="20" customFormat="false" ht="15.75" hidden="false" customHeight="false" outlineLevel="0" collapsed="false">
      <c r="A20" s="3"/>
      <c r="B20" s="3"/>
      <c r="C20" s="8"/>
      <c r="D20" s="8"/>
      <c r="E20" s="9"/>
      <c r="F20" s="8"/>
      <c r="G20" s="8"/>
      <c r="H20" s="3"/>
      <c r="I20" s="6"/>
      <c r="J20" s="7"/>
      <c r="K20" s="3"/>
      <c r="L20" s="3"/>
    </row>
    <row r="21" customFormat="false" ht="17.25" hidden="false" customHeight="false" outlineLevel="0" collapsed="false">
      <c r="A21" s="3"/>
      <c r="B21" s="34"/>
      <c r="C21" s="35" t="str">
        <f aca="false">"RECAP SALAIRES  NETS "&amp;G2</f>
        <v>RECAP SALAIRES  NETS OCT. 17</v>
      </c>
      <c r="D21" s="35"/>
      <c r="E21" s="35"/>
      <c r="F21" s="35"/>
      <c r="G21" s="35"/>
      <c r="H21" s="34"/>
      <c r="I21" s="36"/>
      <c r="J21" s="7"/>
      <c r="K21" s="3"/>
      <c r="L21" s="3"/>
    </row>
    <row r="22" customFormat="false" ht="17.25" hidden="false" customHeight="false" outlineLevel="0" collapsed="false">
      <c r="A22" s="3"/>
      <c r="B22" s="37" t="s">
        <v>22</v>
      </c>
      <c r="C22" s="38" t="s">
        <v>23</v>
      </c>
      <c r="D22" s="39" t="s">
        <v>7</v>
      </c>
      <c r="E22" s="40" t="s">
        <v>24</v>
      </c>
      <c r="F22" s="39" t="s">
        <v>25</v>
      </c>
      <c r="G22" s="39" t="s">
        <v>26</v>
      </c>
      <c r="H22" s="39" t="s">
        <v>27</v>
      </c>
      <c r="I22" s="41" t="s">
        <v>28</v>
      </c>
      <c r="J22" s="37" t="s">
        <v>4</v>
      </c>
      <c r="K22" s="42"/>
      <c r="L22" s="3"/>
    </row>
    <row r="23" customFormat="false" ht="15" hidden="false" customHeight="false" outlineLevel="0" collapsed="false">
      <c r="A23" s="3"/>
      <c r="B23" s="18" t="s">
        <v>8</v>
      </c>
      <c r="C23" s="43" t="n">
        <v>200000</v>
      </c>
      <c r="D23" s="43" t="n">
        <f aca="false">L6</f>
        <v>0</v>
      </c>
      <c r="E23" s="44" t="n">
        <v>50000</v>
      </c>
      <c r="F23" s="27" t="e">
        <f aca="false">(COUNTIFS('[1]FACT N°128SFOT17'!$E$21:$E$22,B6,'[1]FACT N°128SFOT17'!$L$21:$L$22,"=S")+COUNTIFS('[1]FACT N°126SFOT17'!$E$21:$E$39,B6,'[1]FACT N°126SFOT17'!$L$21:$L$39,"=S")+COUNTIFS('[1]FACT N°125SFOT17'!$E$21:$E$44,B6,'[1]FACT N°125SFOT17'!$L$21:$L$44,"=S")+COUNTIFS('[1]FACT N°131SFOT17'!$E$21:$E$43,B6,'[1]FACT N°131SFOT17'!$L$21:$L$43,"=S")+COUNTIFS('[1]FACT N°130SFOT17'!$E$21,B6,'[1]FACT N°130SFOT17'!$L$21,"=S")+COUNTIFS('[1]FACT N°129SFOT17'!$E$21:$E$26,B6,'[1]FACT N°129SFOT17'!$L$21:$L$26,"=S"))*2500</f>
        <v>#VALUE!</v>
      </c>
      <c r="G23" s="45" t="e">
        <f aca="false">(COUNTIFS('[1]FACT N°128SFOT17'!$E$21:$E$22,B6,'[1]FACT N°128SFOT17'!$L$21:$L$22,"=N")+COUNTIFS('[1]FACT N°126SFOT17'!$E$21:$E$39,B6,'[1]FACT N°126SFOT17'!$L$21:$L$39,"=N")+COUNTIFS('[1]FACT N°125SFOT17'!$E$21:$E$44,B6,'[1]FACT N°125SFOT17'!$L$21:$L$44,"=N")+COUNTIFS('[1]FACT N°131SFOT17'!$E$21:$E$43,B6,'[1]FACT N°131SFOT17'!$L$21:$L$43,"=N")+COUNTIFS('[1]FACT N°130SFOT17'!$E$21,B6,'[1]FACT N°130SFOT17'!$L$21,"=N")+COUNTIFS('[1]FACT N°129SFOT17'!$E$21:$E$26,B6,'[1]FACT N°129SFOT17'!$L$21:$L$26,"=N"))*2500</f>
        <v>#VALUE!</v>
      </c>
      <c r="H23" s="46" t="n">
        <f aca="false">IF(J61&lt;7000000,0,IF(AND(J61&gt;=7000000,J61&lt;9000000),25000,IF(AND(J61&gt;=9000000,J61&lt;12000000),50000,IF(J61&gt;=12000000,100000))))</f>
        <v>0</v>
      </c>
      <c r="I23" s="46" t="e">
        <f aca="false">D23+F23-G23+H23</f>
        <v>#VALUE!</v>
      </c>
      <c r="J23" s="25" t="e">
        <f aca="false">C23+E23+I23</f>
        <v>#VALUE!</v>
      </c>
      <c r="K23" s="42"/>
      <c r="L23" s="3"/>
    </row>
    <row r="24" customFormat="false" ht="15" hidden="false" customHeight="false" outlineLevel="0" collapsed="false">
      <c r="A24" s="3"/>
      <c r="B24" s="26" t="s">
        <v>9</v>
      </c>
      <c r="C24" s="47" t="n">
        <v>150000</v>
      </c>
      <c r="D24" s="43" t="n">
        <f aca="false">L7</f>
        <v>0</v>
      </c>
      <c r="E24" s="48" t="n">
        <v>50000</v>
      </c>
      <c r="F24" s="27" t="e">
        <f aca="false">(COUNTIFS('[1]FACT N°128SFOT17'!$E$21:$E$22,B7,'[1]FACT N°128SFOT17'!$L$21:$L$22,"=S")+COUNTIFS('[1]FACT N°126SFOT17'!$E$21:$E$39,B7,'[1]FACT N°126SFOT17'!$L$21:$L$39,"=S")+COUNTIFS('[1]FACT N°125SFOT17'!$E$21:$E$44,B7,'[1]FACT N°125SFOT17'!$L$21:$L$44,"=S")+COUNTIFS('[1]FACT N°131SFOT17'!$E$21:$E$43,B7,'[1]FACT N°131SFOT17'!$L$21:$L$43,"=S")+COUNTIFS('[1]FACT N°130SFOT17'!$E$21,B7,'[1]FACT N°130SFOT17'!$L$21,"=S")+COUNTIFS('[1]FACT N°129SFOT17'!$E$21:$E$26,B7,'[1]FACT N°129SFOT17'!$L$21:$L$26,"=S"))*2500</f>
        <v>#VALUE!</v>
      </c>
      <c r="G24" s="45" t="e">
        <f aca="false">(COUNTIFS('[1]FACT N°128SFOT17'!$E$21:$E$22,B7,'[1]FACT N°128SFOT17'!$L$21:$L$22,"=N")+COUNTIFS('[1]FACT N°126SFOT17'!$E$21:$E$39,B7,'[1]FACT N°126SFOT17'!$L$21:$L$39,"=N")+COUNTIFS('[1]FACT N°125SFOT17'!$E$21:$E$44,B7,'[1]FACT N°125SFOT17'!$L$21:$L$44,"=N")+COUNTIFS('[1]FACT N°131SFOT17'!$E$21:$E$43,B7,'[1]FACT N°131SFOT17'!$L$21:$L$43,"=N")+COUNTIFS('[1]FACT N°130SFOT17'!$E$21,B7,'[1]FACT N°130SFOT17'!$L$21,"=N")+COUNTIFS('[1]FACT N°129SFOT17'!$E$21:$E$26,B7,'[1]FACT N°129SFOT17'!$L$21:$L$26,"=N"))*2500</f>
        <v>#VALUE!</v>
      </c>
      <c r="H24" s="46" t="n">
        <f aca="false">IF(J62&lt;7000000,0,IF(AND(J62&gt;=7000000,J62&lt;9000000),25000,IF(AND(J62&gt;=9000000,J62&lt;12000000),50000,IF(J62&gt;=12000000,100000))))</f>
        <v>0</v>
      </c>
      <c r="I24" s="46" t="e">
        <f aca="false">D24+F24-G24+H24</f>
        <v>#VALUE!</v>
      </c>
      <c r="J24" s="28" t="e">
        <f aca="false">C24+E24+I24</f>
        <v>#VALUE!</v>
      </c>
      <c r="K24" s="42"/>
      <c r="L24" s="3"/>
    </row>
    <row r="25" customFormat="false" ht="15" hidden="false" customHeight="false" outlineLevel="0" collapsed="false">
      <c r="A25" s="3"/>
      <c r="B25" s="26" t="s">
        <v>10</v>
      </c>
      <c r="C25" s="47" t="n">
        <v>150000</v>
      </c>
      <c r="D25" s="43" t="n">
        <f aca="false">L8</f>
        <v>30000</v>
      </c>
      <c r="E25" s="48" t="n">
        <v>50000</v>
      </c>
      <c r="F25" s="27" t="e">
        <f aca="false">(COUNTIFS('[1]FACT N°128SFOT17'!$E$21:$E$22,B8,'[1]FACT N°128SFOT17'!$L$21:$L$22,"=S")+COUNTIFS('[1]FACT N°126SFOT17'!$E$21:$E$39,B8,'[1]FACT N°126SFOT17'!$L$21:$L$39,"=S")+COUNTIFS('[1]FACT N°125SFOT17'!$E$21:$E$44,B8,'[1]FACT N°125SFOT17'!$L$21:$L$44,"=S")+COUNTIFS('[1]FACT N°131SFOT17'!$E$21:$E$43,B8,'[1]FACT N°131SFOT17'!$L$21:$L$43,"=S")+COUNTIFS('[1]FACT N°130SFOT17'!$E$21,B8,'[1]FACT N°130SFOT17'!$L$21,"=S")+COUNTIFS('[1]FACT N°129SFOT17'!$E$21:$E$26,B8,'[1]FACT N°129SFOT17'!$L$21:$L$26,"=S"))*2500</f>
        <v>#VALUE!</v>
      </c>
      <c r="G25" s="45" t="e">
        <f aca="false">(COUNTIFS('[1]FACT N°128SFOT17'!$E$21:$E$22,B8,'[1]FACT N°128SFOT17'!$L$21:$L$22,"=N")+COUNTIFS('[1]FACT N°126SFOT17'!$E$21:$E$39,B8,'[1]FACT N°126SFOT17'!$L$21:$L$39,"=N")+COUNTIFS('[1]FACT N°125SFOT17'!$E$21:$E$44,B8,'[1]FACT N°125SFOT17'!$L$21:$L$44,"=N")+COUNTIFS('[1]FACT N°131SFOT17'!$E$21:$E$43,B8,'[1]FACT N°131SFOT17'!$L$21:$L$43,"=N")+COUNTIFS('[1]FACT N°130SFOT17'!$E$21,B8,'[1]FACT N°130SFOT17'!$L$21,"=N")+COUNTIFS('[1]FACT N°129SFOT17'!$E$21:$E$26,B8,'[1]FACT N°129SFOT17'!$L$21:$L$26,"=N"))*2500</f>
        <v>#VALUE!</v>
      </c>
      <c r="H25" s="46" t="n">
        <f aca="false">IF(J63&lt;7000000,0,IF(AND(J63&gt;=7000000,J63&lt;9000000),25000,IF(AND(J63&gt;=9000000,J63&lt;12000000),50000,IF(J63&gt;=12000000,100000))))</f>
        <v>0</v>
      </c>
      <c r="I25" s="46" t="e">
        <f aca="false">D25+F25-G25+H25</f>
        <v>#VALUE!</v>
      </c>
      <c r="J25" s="28" t="e">
        <f aca="false">C25+E25+I25</f>
        <v>#VALUE!</v>
      </c>
      <c r="K25" s="42"/>
      <c r="L25" s="3"/>
    </row>
    <row r="26" customFormat="false" ht="15" hidden="false" customHeight="false" outlineLevel="0" collapsed="false">
      <c r="A26" s="3"/>
      <c r="B26" s="26" t="s">
        <v>11</v>
      </c>
      <c r="C26" s="47" t="n">
        <v>150000</v>
      </c>
      <c r="D26" s="43" t="n">
        <f aca="false">L9</f>
        <v>0</v>
      </c>
      <c r="E26" s="48" t="n">
        <v>50000</v>
      </c>
      <c r="F26" s="27" t="e">
        <f aca="false">(COUNTIFS('[1]FACT N°128SFOT17'!$E$21:$E$22,B9,'[1]FACT N°128SFOT17'!$L$21:$L$22,"=S")+COUNTIFS('[1]FACT N°126SFOT17'!$E$21:$E$39,B9,'[1]FACT N°126SFOT17'!$L$21:$L$39,"=S")+COUNTIFS('[1]FACT N°125SFOT17'!$E$21:$E$44,B9,'[1]FACT N°125SFOT17'!$L$21:$L$44,"=S")+COUNTIFS('[1]FACT N°131SFOT17'!$E$21:$E$43,B9,'[1]FACT N°131SFOT17'!$L$21:$L$43,"=S")+COUNTIFS('[1]FACT N°130SFOT17'!$E$21,B9,'[1]FACT N°130SFOT17'!$L$21,"=S")+COUNTIFS('[1]FACT N°129SFOT17'!$E$21:$E$26,B9,'[1]FACT N°129SFOT17'!$L$21:$L$26,"=S"))*2500</f>
        <v>#VALUE!</v>
      </c>
      <c r="G26" s="45" t="e">
        <f aca="false">(COUNTIFS('[1]FACT N°128SFOT17'!$E$21:$E$22,B9,'[1]FACT N°128SFOT17'!$L$21:$L$22,"=N")+COUNTIFS('[1]FACT N°126SFOT17'!$E$21:$E$39,B9,'[1]FACT N°126SFOT17'!$L$21:$L$39,"=N")+COUNTIFS('[1]FACT N°125SFOT17'!$E$21:$E$44,B9,'[1]FACT N°125SFOT17'!$L$21:$L$44,"=N")+COUNTIFS('[1]FACT N°131SFOT17'!$E$21:$E$43,B9,'[1]FACT N°131SFOT17'!$L$21:$L$43,"=N")+COUNTIFS('[1]FACT N°130SFOT17'!$E$21,B9,'[1]FACT N°130SFOT17'!$L$21,"=N")+COUNTIFS('[1]FACT N°129SFOT17'!$E$21:$E$26,B9,'[1]FACT N°129SFOT17'!$L$21:$L$26,"=N"))*2500</f>
        <v>#VALUE!</v>
      </c>
      <c r="H26" s="46" t="n">
        <f aca="false">IF(J64&lt;7000000,0,IF(AND(J64&gt;=7000000,J64&lt;9000000),25000,IF(AND(J64&gt;=9000000,J64&lt;12000000),50000,IF(J64&gt;=12000000,100000))))</f>
        <v>0</v>
      </c>
      <c r="I26" s="46" t="e">
        <f aca="false">D26+F26-G26+H26</f>
        <v>#VALUE!</v>
      </c>
      <c r="J26" s="28" t="e">
        <f aca="false">C26+E26+I26</f>
        <v>#VALUE!</v>
      </c>
      <c r="K26" s="42"/>
      <c r="L26" s="3"/>
    </row>
    <row r="27" customFormat="false" ht="15" hidden="false" customHeight="false" outlineLevel="0" collapsed="false">
      <c r="A27" s="3"/>
      <c r="B27" s="26" t="s">
        <v>13</v>
      </c>
      <c r="C27" s="47" t="n">
        <v>150000</v>
      </c>
      <c r="D27" s="43" t="n">
        <f aca="false">L10</f>
        <v>45000</v>
      </c>
      <c r="E27" s="48" t="n">
        <v>50000</v>
      </c>
      <c r="F27" s="27" t="e">
        <f aca="false">(COUNTIFS('[1]FACT N°128SFOT17'!$E$21:$E$22,B10,'[1]FACT N°128SFOT17'!$L$21:$L$22,"=S")+COUNTIFS('[1]FACT N°126SFOT17'!$E$21:$E$39,B10,'[1]FACT N°126SFOT17'!$L$21:$L$39,"=S")+COUNTIFS('[1]FACT N°125SFOT17'!$E$21:$E$44,B10,'[1]FACT N°125SFOT17'!$L$21:$L$44,"=S")+COUNTIFS('[1]FACT N°131SFOT17'!$E$21:$E$43,B10,'[1]FACT N°131SFOT17'!$L$21:$L$43,"=S")+COUNTIFS('[1]FACT N°130SFOT17'!$E$21,B10,'[1]FACT N°130SFOT17'!$L$21,"=S")+COUNTIFS('[1]FACT N°129SFOT17'!$E$21:$E$26,B10,'[1]FACT N°129SFOT17'!$L$21:$L$26,"=S"))*2500</f>
        <v>#VALUE!</v>
      </c>
      <c r="G27" s="45" t="e">
        <f aca="false">(COUNTIFS('[1]FACT N°128SFOT17'!$E$21:$E$22,B10,'[1]FACT N°128SFOT17'!$L$21:$L$22,"=N")+COUNTIFS('[1]FACT N°126SFOT17'!$E$21:$E$39,B10,'[1]FACT N°126SFOT17'!$L$21:$L$39,"=N")+COUNTIFS('[1]FACT N°125SFOT17'!$E$21:$E$44,B10,'[1]FACT N°125SFOT17'!$L$21:$L$44,"=N")+COUNTIFS('[1]FACT N°131SFOT17'!$E$21:$E$43,B10,'[1]FACT N°131SFOT17'!$L$21:$L$43,"=N")+COUNTIFS('[1]FACT N°130SFOT17'!$E$21,B10,'[1]FACT N°130SFOT17'!$L$21,"=N")+COUNTIFS('[1]FACT N°129SFOT17'!$E$21:$E$26,B10,'[1]FACT N°129SFOT17'!$L$21:$L$26,"=N"))*2500</f>
        <v>#VALUE!</v>
      </c>
      <c r="H27" s="46" t="n">
        <f aca="false">IF(J65&lt;7000000,0,IF(AND(J65&gt;=7000000,J65&lt;9000000),25000,IF(AND(J65&gt;=9000000,J65&lt;12000000),50000,IF(J65&gt;=12000000,100000))))</f>
        <v>0</v>
      </c>
      <c r="I27" s="46" t="e">
        <f aca="false">D27+F27-G27+H27</f>
        <v>#VALUE!</v>
      </c>
      <c r="J27" s="28" t="e">
        <f aca="false">C27+E27+I27</f>
        <v>#VALUE!</v>
      </c>
      <c r="K27" s="42"/>
      <c r="L27" s="42"/>
    </row>
    <row r="28" customFormat="false" ht="15" hidden="false" customHeight="false" outlineLevel="0" collapsed="false">
      <c r="A28" s="3"/>
      <c r="B28" s="26" t="s">
        <v>14</v>
      </c>
      <c r="C28" s="47" t="n">
        <v>150000</v>
      </c>
      <c r="D28" s="43" t="n">
        <f aca="false">L11</f>
        <v>60000</v>
      </c>
      <c r="E28" s="48" t="n">
        <v>50000</v>
      </c>
      <c r="F28" s="27" t="e">
        <f aca="false">(COUNTIFS('[1]FACT N°128SFOT17'!$E$21:$E$22,B11,'[1]FACT N°128SFOT17'!$L$21:$L$22,"=S")+COUNTIFS('[1]FACT N°126SFOT17'!$E$21:$E$39,B11,'[1]FACT N°126SFOT17'!$L$21:$L$39,"=S")+COUNTIFS('[1]FACT N°125SFOT17'!$E$21:$E$44,B11,'[1]FACT N°125SFOT17'!$L$21:$L$44,"=S")+COUNTIFS('[1]FACT N°131SFOT17'!$E$21:$E$43,B11,'[1]FACT N°131SFOT17'!$L$21:$L$43,"=S")+COUNTIFS('[1]FACT N°130SFOT17'!$E$21,B11,'[1]FACT N°130SFOT17'!$L$21,"=S")+COUNTIFS('[1]FACT N°129SFOT17'!$E$21:$E$26,B11,'[1]FACT N°129SFOT17'!$L$21:$L$26,"=S"))*2500</f>
        <v>#VALUE!</v>
      </c>
      <c r="G28" s="45" t="e">
        <f aca="false">(COUNTIFS('[1]FACT N°128SFOT17'!$E$21:$E$22,B11,'[1]FACT N°128SFOT17'!$L$21:$L$22,"=N")+COUNTIFS('[1]FACT N°126SFOT17'!$E$21:$E$39,B11,'[1]FACT N°126SFOT17'!$L$21:$L$39,"=N")+COUNTIFS('[1]FACT N°125SFOT17'!$E$21:$E$44,B11,'[1]FACT N°125SFOT17'!$L$21:$L$44,"=N")+COUNTIFS('[1]FACT N°131SFOT17'!$E$21:$E$43,B11,'[1]FACT N°131SFOT17'!$L$21:$L$43,"=N")+COUNTIFS('[1]FACT N°130SFOT17'!$E$21,B11,'[1]FACT N°130SFOT17'!$L$21,"=N")+COUNTIFS('[1]FACT N°129SFOT17'!$E$21:$E$26,B11,'[1]FACT N°129SFOT17'!$L$21:$L$26,"=N"))*2500</f>
        <v>#VALUE!</v>
      </c>
      <c r="H28" s="46" t="n">
        <f aca="false">IF(J66&lt;7000000,0,IF(AND(J66&gt;=7000000,J66&lt;9000000),25000,IF(AND(J66&gt;=9000000,J66&lt;12000000),50000,IF(J66&gt;=12000000,100000))))</f>
        <v>0</v>
      </c>
      <c r="I28" s="46" t="e">
        <f aca="false">D28+F28-G28+H28</f>
        <v>#VALUE!</v>
      </c>
      <c r="J28" s="28" t="e">
        <f aca="false">C28+E28+I28</f>
        <v>#VALUE!</v>
      </c>
      <c r="K28" s="42"/>
      <c r="L28" s="42"/>
      <c r="N28" s="0" t="s">
        <v>29</v>
      </c>
    </row>
    <row r="29" customFormat="false" ht="15" hidden="false" customHeight="false" outlineLevel="0" collapsed="false">
      <c r="A29" s="3"/>
      <c r="B29" s="26" t="s">
        <v>15</v>
      </c>
      <c r="C29" s="47" t="n">
        <v>150000</v>
      </c>
      <c r="D29" s="43" t="n">
        <f aca="false">L12</f>
        <v>55000</v>
      </c>
      <c r="E29" s="48" t="n">
        <v>50000</v>
      </c>
      <c r="F29" s="27" t="e">
        <f aca="false">(COUNTIFS('[1]FACT N°128SFOT17'!$E$21:$E$22,B12,'[1]FACT N°128SFOT17'!$L$21:$L$22,"=S")+COUNTIFS('[1]FACT N°126SFOT17'!$E$21:$E$39,B12,'[1]FACT N°126SFOT17'!$L$21:$L$39,"=S")+COUNTIFS('[1]FACT N°125SFOT17'!$E$21:$E$44,B12,'[1]FACT N°125SFOT17'!$L$21:$L$44,"=S")+COUNTIFS('[1]FACT N°131SFOT17'!$E$21:$E$43,B12,'[1]FACT N°131SFOT17'!$L$21:$L$43,"=S")+COUNTIFS('[1]FACT N°130SFOT17'!$E$21,B12,'[1]FACT N°130SFOT17'!$L$21,"=S")+COUNTIFS('[1]FACT N°129SFOT17'!$E$21:$E$26,B12,'[1]FACT N°129SFOT17'!$L$21:$L$26,"=S"))*2500</f>
        <v>#VALUE!</v>
      </c>
      <c r="G29" s="45" t="e">
        <f aca="false">(COUNTIFS('[1]FACT N°128SFOT17'!$E$21:$E$22,B12,'[1]FACT N°128SFOT17'!$L$21:$L$22,"=N")+COUNTIFS('[1]FACT N°126SFOT17'!$E$21:$E$39,B12,'[1]FACT N°126SFOT17'!$L$21:$L$39,"=N")+COUNTIFS('[1]FACT N°125SFOT17'!$E$21:$E$44,B12,'[1]FACT N°125SFOT17'!$L$21:$L$44,"=N")+COUNTIFS('[1]FACT N°131SFOT17'!$E$21:$E$43,B12,'[1]FACT N°131SFOT17'!$L$21:$L$43,"=N")+COUNTIFS('[1]FACT N°130SFOT17'!$E$21,B12,'[1]FACT N°130SFOT17'!$L$21,"=N")+COUNTIFS('[1]FACT N°129SFOT17'!$E$21:$E$26,B12,'[1]FACT N°129SFOT17'!$L$21:$L$26,"=N"))*2500</f>
        <v>#VALUE!</v>
      </c>
      <c r="H29" s="46" t="n">
        <f aca="false">IF(J67&lt;7000000,0,IF(AND(J67&gt;=7000000,J67&lt;9000000),25000,IF(AND(J67&gt;=9000000,J67&lt;12000000),50000,IF(J67&gt;=12000000,100000))))</f>
        <v>0</v>
      </c>
      <c r="I29" s="46" t="e">
        <f aca="false">D29+F29-G29+H29</f>
        <v>#VALUE!</v>
      </c>
      <c r="J29" s="28" t="e">
        <f aca="false">C29+E29+I29</f>
        <v>#VALUE!</v>
      </c>
      <c r="K29" s="42"/>
      <c r="L29" s="42"/>
    </row>
    <row r="30" customFormat="false" ht="15" hidden="false" customHeight="false" outlineLevel="0" collapsed="false">
      <c r="A30" s="3" t="s">
        <v>30</v>
      </c>
      <c r="B30" s="26" t="s">
        <v>16</v>
      </c>
      <c r="C30" s="47" t="n">
        <v>150000</v>
      </c>
      <c r="D30" s="43" t="n">
        <f aca="false">L13</f>
        <v>50000</v>
      </c>
      <c r="E30" s="48" t="n">
        <v>50000</v>
      </c>
      <c r="F30" s="27" t="e">
        <f aca="false">(COUNTIFS('[1]FACT N°128SFOT17'!$E$21:$E$22,B13,'[1]FACT N°128SFOT17'!$L$21:$L$22,"=S")+COUNTIFS('[1]FACT N°126SFOT17'!$E$21:$E$39,B13,'[1]FACT N°126SFOT17'!$L$21:$L$39,"=S")+COUNTIFS('[1]FACT N°125SFOT17'!$E$21:$E$44,B13,'[1]FACT N°125SFOT17'!$L$21:$L$44,"=S")+COUNTIFS('[1]FACT N°131SFOT17'!$E$21:$E$43,B13,'[1]FACT N°131SFOT17'!$L$21:$L$43,"=S")+COUNTIFS('[1]FACT N°130SFOT17'!$E$21,B13,'[1]FACT N°130SFOT17'!$L$21,"=S")+COUNTIFS('[1]FACT N°129SFOT17'!$E$21:$E$26,B13,'[1]FACT N°129SFOT17'!$L$21:$L$26,"=S"))*2500</f>
        <v>#VALUE!</v>
      </c>
      <c r="G30" s="45" t="e">
        <f aca="false">(COUNTIFS('[1]FACT N°128SFOT17'!$E$21:$E$22,B13,'[1]FACT N°128SFOT17'!$L$21:$L$22,"=N")+COUNTIFS('[1]FACT N°126SFOT17'!$E$21:$E$39,B13,'[1]FACT N°126SFOT17'!$L$21:$L$39,"=N")+COUNTIFS('[1]FACT N°125SFOT17'!$E$21:$E$44,B13,'[1]FACT N°125SFOT17'!$L$21:$L$44,"=N")+COUNTIFS('[1]FACT N°131SFOT17'!$E$21:$E$43,B13,'[1]FACT N°131SFOT17'!$L$21:$L$43,"=N")+COUNTIFS('[1]FACT N°130SFOT17'!$E$21,B13,'[1]FACT N°130SFOT17'!$L$21,"=N")+COUNTIFS('[1]FACT N°129SFOT17'!$E$21:$E$26,B13,'[1]FACT N°129SFOT17'!$L$21:$L$26,"=N"))*2500</f>
        <v>#VALUE!</v>
      </c>
      <c r="H30" s="46" t="n">
        <f aca="false">IF(J68&lt;7000000,0,IF(AND(J68&gt;=7000000,J68&lt;9000000),25000,IF(AND(J68&gt;=9000000,J68&lt;12000000),50000,IF(J68&gt;=12000000,100000))))</f>
        <v>0</v>
      </c>
      <c r="I30" s="46" t="e">
        <f aca="false">D30+F30-G30+H30</f>
        <v>#VALUE!</v>
      </c>
      <c r="J30" s="28" t="e">
        <f aca="false">C30+E30+I30</f>
        <v>#VALUE!</v>
      </c>
      <c r="K30" s="42"/>
      <c r="L30" s="42"/>
    </row>
    <row r="31" customFormat="false" ht="15" hidden="false" customHeight="false" outlineLevel="0" collapsed="false">
      <c r="A31" s="3"/>
      <c r="B31" s="26" t="s">
        <v>17</v>
      </c>
      <c r="C31" s="47" t="n">
        <v>150000</v>
      </c>
      <c r="D31" s="43" t="n">
        <f aca="false">L14</f>
        <v>50000</v>
      </c>
      <c r="E31" s="48" t="n">
        <v>50000</v>
      </c>
      <c r="F31" s="27" t="e">
        <f aca="false">(COUNTIFS('[1]FACT N°128SFOT17'!$E$21:$E$22,B14,'[1]FACT N°128SFOT17'!$L$21:$L$22,"=S")+COUNTIFS('[1]FACT N°126SFOT17'!$E$21:$E$39,B14,'[1]FACT N°126SFOT17'!$L$21:$L$39,"=S")+COUNTIFS('[1]FACT N°125SFOT17'!$E$21:$E$44,B14,'[1]FACT N°125SFOT17'!$L$21:$L$44,"=S")+COUNTIFS('[1]FACT N°131SFOT17'!$E$21:$E$43,B14,'[1]FACT N°131SFOT17'!$L$21:$L$43,"=S")+COUNTIFS('[1]FACT N°130SFOT17'!$E$21,B14,'[1]FACT N°130SFOT17'!$L$21,"=S")+COUNTIFS('[1]FACT N°129SFOT17'!$E$21:$E$26,B14,'[1]FACT N°129SFOT17'!$L$21:$L$26,"=S"))*2500</f>
        <v>#VALUE!</v>
      </c>
      <c r="G31" s="45" t="e">
        <f aca="false">(COUNTIFS('[1]FACT N°128SFOT17'!$E$21:$E$22,B14,'[1]FACT N°128SFOT17'!$L$21:$L$22,"=N")+COUNTIFS('[1]FACT N°126SFOT17'!$E$21:$E$39,B14,'[1]FACT N°126SFOT17'!$L$21:$L$39,"=N")+COUNTIFS('[1]FACT N°125SFOT17'!$E$21:$E$44,B14,'[1]FACT N°125SFOT17'!$L$21:$L$44,"=N")+COUNTIFS('[1]FACT N°131SFOT17'!$E$21:$E$43,B14,'[1]FACT N°131SFOT17'!$L$21:$L$43,"=N")+COUNTIFS('[1]FACT N°130SFOT17'!$E$21,B14,'[1]FACT N°130SFOT17'!$L$21,"=N")+COUNTIFS('[1]FACT N°129SFOT17'!$E$21:$E$26,B14,'[1]FACT N°129SFOT17'!$L$21:$L$26,"=N"))*2500</f>
        <v>#VALUE!</v>
      </c>
      <c r="H31" s="46" t="n">
        <f aca="false">IF(J69&lt;7000000,0,IF(AND(J69&gt;=7000000,J69&lt;9000000),25000,IF(AND(J69&gt;=9000000,J69&lt;12000000),50000,IF(J69&gt;=12000000,100000))))</f>
        <v>0</v>
      </c>
      <c r="I31" s="46" t="e">
        <f aca="false">D31+F31-G31+H31</f>
        <v>#VALUE!</v>
      </c>
      <c r="J31" s="28" t="e">
        <f aca="false">C31+E31+I31</f>
        <v>#VALUE!</v>
      </c>
      <c r="K31" s="42"/>
      <c r="L31" s="42"/>
    </row>
    <row r="32" customFormat="false" ht="15" hidden="false" customHeight="false" outlineLevel="0" collapsed="false">
      <c r="A32" s="3"/>
      <c r="B32" s="26" t="s">
        <v>18</v>
      </c>
      <c r="C32" s="47" t="n">
        <v>150000</v>
      </c>
      <c r="D32" s="43" t="n">
        <f aca="false">L15</f>
        <v>45000</v>
      </c>
      <c r="E32" s="48" t="n">
        <v>50000</v>
      </c>
      <c r="F32" s="27" t="e">
        <f aca="false">(COUNTIFS('[1]FACT N°128SFOT17'!$E$21:$E$22,B15,'[1]FACT N°128SFOT17'!$L$21:$L$22,"=S")+COUNTIFS('[1]FACT N°126SFOT17'!$E$21:$E$39,B15,'[1]FACT N°126SFOT17'!$L$21:$L$39,"=S")+COUNTIFS('[1]FACT N°125SFOT17'!$E$21:$E$44,B15,'[1]FACT N°125SFOT17'!$L$21:$L$44,"=S")+COUNTIFS('[1]FACT N°131SFOT17'!$E$21:$E$43,B15,'[1]FACT N°131SFOT17'!$L$21:$L$43,"=S")+COUNTIFS('[1]FACT N°130SFOT17'!$E$21,B15,'[1]FACT N°130SFOT17'!$L$21,"=S")+COUNTIFS('[1]FACT N°129SFOT17'!$E$21:$E$26,B15,'[1]FACT N°129SFOT17'!$L$21:$L$26,"=S"))*2500</f>
        <v>#VALUE!</v>
      </c>
      <c r="G32" s="45" t="e">
        <f aca="false">(COUNTIFS('[1]FACT N°128SFOT17'!$E$21:$E$22,B15,'[1]FACT N°128SFOT17'!$L$21:$L$22,"=N")+COUNTIFS('[1]FACT N°126SFOT17'!$E$21:$E$39,B15,'[1]FACT N°126SFOT17'!$L$21:$L$39,"=N")+COUNTIFS('[1]FACT N°125SFOT17'!$E$21:$E$44,B15,'[1]FACT N°125SFOT17'!$L$21:$L$44,"=N")+COUNTIFS('[1]FACT N°131SFOT17'!$E$21:$E$43,B15,'[1]FACT N°131SFOT17'!$L$21:$L$43,"=N")+COUNTIFS('[1]FACT N°130SFOT17'!$E$21,B15,'[1]FACT N°130SFOT17'!$L$21,"=N")+COUNTIFS('[1]FACT N°129SFOT17'!$E$21:$E$26,B15,'[1]FACT N°129SFOT17'!$L$21:$L$26,"=N"))*2500</f>
        <v>#VALUE!</v>
      </c>
      <c r="H32" s="46" t="n">
        <f aca="false">IF(J70&lt;7000000,0,IF(AND(J70&gt;=7000000,J70&lt;9000000),25000,IF(AND(J70&gt;=9000000,J70&lt;12000000),50000,IF(J70&gt;=12000000,100000))))</f>
        <v>0</v>
      </c>
      <c r="I32" s="46" t="e">
        <f aca="false">D32+F32-G32+H32</f>
        <v>#VALUE!</v>
      </c>
      <c r="J32" s="28" t="e">
        <f aca="false">C32+E32+I32</f>
        <v>#VALUE!</v>
      </c>
      <c r="K32" s="42"/>
      <c r="L32" s="42"/>
    </row>
    <row r="33" customFormat="false" ht="15" hidden="false" customHeight="false" outlineLevel="0" collapsed="false">
      <c r="A33" s="3"/>
      <c r="B33" s="26" t="s">
        <v>19</v>
      </c>
      <c r="C33" s="47" t="n">
        <v>150000</v>
      </c>
      <c r="D33" s="43" t="n">
        <f aca="false">L16</f>
        <v>65000</v>
      </c>
      <c r="E33" s="48" t="n">
        <v>50000</v>
      </c>
      <c r="F33" s="27" t="e">
        <f aca="false">(COUNTIFS('[1]FACT N°128SFOT17'!$E$21:$E$22,B16,'[1]FACT N°128SFOT17'!$L$21:$L$22,"=S")+COUNTIFS('[1]FACT N°126SFOT17'!$E$21:$E$39,B16,'[1]FACT N°126SFOT17'!$L$21:$L$39,"=S")+COUNTIFS('[1]FACT N°125SFOT17'!$E$21:$E$44,B16,'[1]FACT N°125SFOT17'!$L$21:$L$44,"=S")+COUNTIFS('[1]FACT N°131SFOT17'!$E$21:$E$43,B16,'[1]FACT N°131SFOT17'!$L$21:$L$43,"=S")+COUNTIFS('[1]FACT N°130SFOT17'!$E$21,B16,'[1]FACT N°130SFOT17'!$L$21,"=S")+COUNTIFS('[1]FACT N°129SFOT17'!$E$21:$E$26,B16,'[1]FACT N°129SFOT17'!$L$21:$L$26,"=S"))*2500</f>
        <v>#VALUE!</v>
      </c>
      <c r="G33" s="45" t="e">
        <f aca="false">(COUNTIFS('[1]FACT N°128SFOT17'!$E$21:$E$22,B16,'[1]FACT N°128SFOT17'!$L$21:$L$22,"=N")+COUNTIFS('[1]FACT N°126SFOT17'!$E$21:$E$39,B16,'[1]FACT N°126SFOT17'!$L$21:$L$39,"=N")+COUNTIFS('[1]FACT N°125SFOT17'!$E$21:$E$44,B16,'[1]FACT N°125SFOT17'!$L$21:$L$44,"=N")+COUNTIFS('[1]FACT N°131SFOT17'!$E$21:$E$43,B16,'[1]FACT N°131SFOT17'!$L$21:$L$43,"=N")+COUNTIFS('[1]FACT N°130SFOT17'!$E$21,B16,'[1]FACT N°130SFOT17'!$L$21,"=N")+COUNTIFS('[1]FACT N°129SFOT17'!$E$21:$E$26,B16,'[1]FACT N°129SFOT17'!$L$21:$L$26,"=N"))*2500</f>
        <v>#VALUE!</v>
      </c>
      <c r="H33" s="46" t="n">
        <f aca="false">IF(J71&lt;7000000,0,IF(AND(J71&gt;=7000000,J71&lt;9000000),25000,IF(AND(J71&gt;=9000000,J71&lt;12000000),50000,IF(J71&gt;=12000000,100000))))</f>
        <v>0</v>
      </c>
      <c r="I33" s="46" t="e">
        <f aca="false">D33+F33-G33+H33</f>
        <v>#VALUE!</v>
      </c>
      <c r="J33" s="28" t="e">
        <f aca="false">C33+E33+I33</f>
        <v>#VALUE!</v>
      </c>
      <c r="K33" s="42"/>
      <c r="L33" s="42"/>
    </row>
    <row r="34" customFormat="false" ht="15" hidden="false" customHeight="false" outlineLevel="0" collapsed="false">
      <c r="A34" s="3"/>
      <c r="B34" s="26" t="s">
        <v>20</v>
      </c>
      <c r="C34" s="47" t="n">
        <v>150000</v>
      </c>
      <c r="D34" s="43" t="n">
        <f aca="false">L17</f>
        <v>50000</v>
      </c>
      <c r="E34" s="48" t="n">
        <v>50000</v>
      </c>
      <c r="F34" s="27" t="e">
        <f aca="false">(COUNTIFS('[1]FACT N°128SFOT17'!$E$21:$E$22,B17,'[1]FACT N°128SFOT17'!$L$21:$L$22,"=S")+COUNTIFS('[1]FACT N°126SFOT17'!$E$21:$E$39,B17,'[1]FACT N°126SFOT17'!$L$21:$L$39,"=S")+COUNTIFS('[1]FACT N°125SFOT17'!$E$21:$E$44,B17,'[1]FACT N°125SFOT17'!$L$21:$L$44,"=S")+COUNTIFS('[1]FACT N°131SFOT17'!$E$21:$E$43,B17,'[1]FACT N°131SFOT17'!$L$21:$L$43,"=S")+COUNTIFS('[1]FACT N°130SFOT17'!$E$21,B17,'[1]FACT N°130SFOT17'!$L$21,"=S")+COUNTIFS('[1]FACT N°129SFOT17'!$E$21:$E$26,B17,'[1]FACT N°129SFOT17'!$L$21:$L$26,"=S"))*2500</f>
        <v>#VALUE!</v>
      </c>
      <c r="G34" s="45" t="e">
        <f aca="false">(COUNTIFS('[1]FACT N°128SFOT17'!$E$21:$E$22,B17,'[1]FACT N°128SFOT17'!$L$21:$L$22,"=N")+COUNTIFS('[1]FACT N°126SFOT17'!$E$21:$E$39,B17,'[1]FACT N°126SFOT17'!$L$21:$L$39,"=N")+COUNTIFS('[1]FACT N°125SFOT17'!$E$21:$E$44,B17,'[1]FACT N°125SFOT17'!$L$21:$L$44,"=N")+COUNTIFS('[1]FACT N°131SFOT17'!$E$21:$E$43,B17,'[1]FACT N°131SFOT17'!$L$21:$L$43,"=N")+COUNTIFS('[1]FACT N°130SFOT17'!$E$21,B17,'[1]FACT N°130SFOT17'!$L$21,"=N")+COUNTIFS('[1]FACT N°129SFOT17'!$E$21:$E$26,B17,'[1]FACT N°129SFOT17'!$L$21:$L$26,"=N"))*2500</f>
        <v>#VALUE!</v>
      </c>
      <c r="H34" s="46" t="n">
        <f aca="false">IF(J72&lt;7000000,0,IF(AND(J72&gt;=7000000,J72&lt;9000000),25000,IF(AND(J72&gt;=9000000,J72&lt;12000000),50000,IF(J72&gt;=12000000,100000))))</f>
        <v>0</v>
      </c>
      <c r="I34" s="46" t="e">
        <f aca="false">D34+F34-G34+H34</f>
        <v>#VALUE!</v>
      </c>
      <c r="J34" s="28" t="e">
        <f aca="false">C34+E34+I34</f>
        <v>#VALUE!</v>
      </c>
      <c r="K34" s="42"/>
      <c r="L34" s="42"/>
    </row>
    <row r="35" customFormat="false" ht="15" hidden="false" customHeight="false" outlineLevel="0" collapsed="false">
      <c r="A35" s="3"/>
      <c r="B35" s="26" t="s">
        <v>21</v>
      </c>
      <c r="C35" s="47" t="n">
        <v>150000</v>
      </c>
      <c r="D35" s="43" t="n">
        <f aca="false">L18</f>
        <v>55000</v>
      </c>
      <c r="E35" s="48" t="n">
        <v>50000</v>
      </c>
      <c r="F35" s="27" t="e">
        <f aca="false">(COUNTIFS('[1]FACT N°128SFOT17'!$E$21:$E$22,B18,'[1]FACT N°128SFOT17'!$L$21:$L$22,"=S")+COUNTIFS('[1]FACT N°126SFOT17'!$E$21:$E$39,B18,'[1]FACT N°126SFOT17'!$L$21:$L$39,"=S")+COUNTIFS('[1]FACT N°125SFOT17'!$E$21:$E$44,B18,'[1]FACT N°125SFOT17'!$L$21:$L$44,"=S")+COUNTIFS('[1]FACT N°131SFOT17'!$E$21:$E$43,B18,'[1]FACT N°131SFOT17'!$L$21:$L$43,"=S")+COUNTIFS('[1]FACT N°130SFOT17'!$E$21,B18,'[1]FACT N°130SFOT17'!$L$21,"=S")+COUNTIFS('[1]FACT N°129SFOT17'!$E$21:$E$26,B18,'[1]FACT N°129SFOT17'!$L$21:$L$26,"=S"))*2500</f>
        <v>#VALUE!</v>
      </c>
      <c r="G35" s="45" t="e">
        <f aca="false">(COUNTIFS('[1]FACT N°128SFOT17'!$E$21:$E$22,B18,'[1]FACT N°128SFOT17'!$L$21:$L$22,"=N")+COUNTIFS('[1]FACT N°126SFOT17'!$E$21:$E$39,B18,'[1]FACT N°126SFOT17'!$L$21:$L$39,"=N")+COUNTIFS('[1]FACT N°125SFOT17'!$E$21:$E$44,B18,'[1]FACT N°125SFOT17'!$L$21:$L$44,"=N")+COUNTIFS('[1]FACT N°131SFOT17'!$E$21:$E$43,B18,'[1]FACT N°131SFOT17'!$L$21:$L$43,"=N")+COUNTIFS('[1]FACT N°130SFOT17'!$E$21,B18,'[1]FACT N°130SFOT17'!$L$21,"=N")+COUNTIFS('[1]FACT N°129SFOT17'!$E$21:$E$26,B18,'[1]FACT N°129SFOT17'!$L$21:$L$26,"=N"))*2500</f>
        <v>#VALUE!</v>
      </c>
      <c r="H35" s="46" t="n">
        <f aca="false">IF(J73&lt;7000000,0,IF(AND(J73&gt;=7000000,J73&lt;9000000),25000,IF(AND(J73&gt;=9000000,J73&lt;12000000),50000,IF(J73&gt;=12000000,100000))))</f>
        <v>0</v>
      </c>
      <c r="I35" s="46" t="e">
        <f aca="false">D35+F35-G35+H35</f>
        <v>#VALUE!</v>
      </c>
      <c r="J35" s="28" t="e">
        <f aca="false">C35+E35+I35</f>
        <v>#VALUE!</v>
      </c>
      <c r="K35" s="42"/>
      <c r="L35" s="42"/>
    </row>
    <row r="36" customFormat="false" ht="16.5" hidden="false" customHeight="false" outlineLevel="0" collapsed="false">
      <c r="A36" s="3"/>
      <c r="B36" s="49" t="s">
        <v>31</v>
      </c>
      <c r="C36" s="50" t="n">
        <f aca="false">SUM(C23:C35)</f>
        <v>2000000</v>
      </c>
      <c r="D36" s="50" t="n">
        <f aca="false">SUM(D23:D35)</f>
        <v>505000</v>
      </c>
      <c r="E36" s="50" t="n">
        <f aca="false">SUM(E23:E35)</f>
        <v>650000</v>
      </c>
      <c r="F36" s="50" t="e">
        <f aca="false">SUM(F23:F35)</f>
        <v>#VALUE!</v>
      </c>
      <c r="G36" s="51" t="e">
        <f aca="false">-SUM(G23:G35)</f>
        <v>#VALUE!</v>
      </c>
      <c r="H36" s="50" t="n">
        <f aca="false">SUM(H23:H35)</f>
        <v>0</v>
      </c>
      <c r="I36" s="50" t="e">
        <f aca="false">SUM(I23:I35)</f>
        <v>#VALUE!</v>
      </c>
      <c r="J36" s="50" t="e">
        <f aca="false">SUM(J23:J35)</f>
        <v>#VALUE!</v>
      </c>
      <c r="K36" s="42"/>
      <c r="L36" s="42"/>
    </row>
    <row r="37" customFormat="false" ht="15.75" hidden="false" customHeight="false" outlineLevel="0" collapsed="false">
      <c r="A37" s="3"/>
      <c r="B37" s="3"/>
      <c r="C37" s="8"/>
      <c r="D37" s="8"/>
      <c r="E37" s="9"/>
      <c r="F37" s="8"/>
      <c r="G37" s="8"/>
      <c r="H37" s="3"/>
      <c r="I37" s="6"/>
      <c r="J37" s="7"/>
      <c r="K37" s="3"/>
      <c r="L37" s="3"/>
    </row>
    <row r="38" customFormat="false" ht="16.5" hidden="false" customHeight="false" outlineLevel="0" collapsed="false">
      <c r="A38" s="3" t="s">
        <v>30</v>
      </c>
      <c r="B38" s="3"/>
      <c r="C38" s="8"/>
      <c r="D38" s="8"/>
      <c r="E38" s="52" t="str">
        <f aca="false">"Prévisions Gasoil Navettes + MRS Bertoua  "&amp;G2</f>
        <v>Prévisions Gasoil Navettes + MRS Bertoua  OCT. 17</v>
      </c>
      <c r="F38" s="52"/>
      <c r="G38" s="52"/>
      <c r="H38" s="52"/>
      <c r="I38" s="52"/>
      <c r="J38" s="7"/>
      <c r="K38" s="3"/>
      <c r="L38" s="3"/>
    </row>
    <row r="39" customFormat="false" ht="17.25" hidden="false" customHeight="false" outlineLevel="0" collapsed="false">
      <c r="A39" s="3"/>
      <c r="B39" s="53"/>
      <c r="C39" s="34"/>
      <c r="D39" s="34"/>
      <c r="E39" s="9"/>
      <c r="F39" s="3"/>
      <c r="G39" s="3"/>
      <c r="H39" s="3"/>
      <c r="I39" s="54"/>
      <c r="J39" s="7"/>
      <c r="K39" s="3"/>
      <c r="L39" s="3"/>
    </row>
    <row r="40" customFormat="false" ht="15.75" hidden="false" customHeight="true" outlineLevel="0" collapsed="false">
      <c r="A40" s="3"/>
      <c r="B40" s="10" t="s">
        <v>2</v>
      </c>
      <c r="C40" s="11" t="str">
        <f aca="false">"NOMBRE DE "&amp;C4</f>
        <v>NOMBRE DE NAVETTES</v>
      </c>
      <c r="D40" s="11"/>
      <c r="E40" s="11"/>
      <c r="F40" s="11"/>
      <c r="G40" s="11"/>
      <c r="H40" s="55" t="s">
        <v>32</v>
      </c>
      <c r="I40" s="56" t="s">
        <v>33</v>
      </c>
      <c r="J40" s="57" t="str">
        <f aca="false">+L4</f>
        <v>TOTAL</v>
      </c>
      <c r="K40" s="3"/>
      <c r="L40" s="3"/>
    </row>
    <row r="41" customFormat="false" ht="16.5" hidden="false" customHeight="false" outlineLevel="0" collapsed="false">
      <c r="A41" s="3"/>
      <c r="B41" s="10"/>
      <c r="C41" s="16" t="n">
        <f aca="false">C5</f>
        <v>10064</v>
      </c>
      <c r="D41" s="16" t="n">
        <f aca="false">D5</f>
        <v>10012</v>
      </c>
      <c r="E41" s="16" t="n">
        <f aca="false">E5</f>
        <v>10009</v>
      </c>
      <c r="F41" s="16" t="n">
        <f aca="false">F5</f>
        <v>10008</v>
      </c>
      <c r="G41" s="16" t="n">
        <f aca="false">G5</f>
        <v>10010</v>
      </c>
      <c r="H41" s="55"/>
      <c r="I41" s="56"/>
      <c r="J41" s="57"/>
      <c r="K41" s="3"/>
      <c r="L41" s="3"/>
    </row>
    <row r="42" customFormat="false" ht="15.75" hidden="false" customHeight="false" outlineLevel="0" collapsed="false">
      <c r="A42" s="3"/>
      <c r="B42" s="58" t="s">
        <v>8</v>
      </c>
      <c r="C42" s="59" t="n">
        <f aca="false">C6</f>
        <v>0</v>
      </c>
      <c r="D42" s="60" t="n">
        <f aca="false">D6</f>
        <v>0</v>
      </c>
      <c r="E42" s="61" t="n">
        <f aca="false">E6</f>
        <v>0</v>
      </c>
      <c r="F42" s="60" t="n">
        <f aca="false">F6</f>
        <v>0</v>
      </c>
      <c r="G42" s="60" t="n">
        <f aca="false">G6</f>
        <v>0</v>
      </c>
      <c r="H42" s="62" t="n">
        <v>0</v>
      </c>
      <c r="I42" s="62" t="n">
        <f aca="false">J42-H42</f>
        <v>0</v>
      </c>
      <c r="J42" s="28" t="n">
        <f aca="false">(C42*330*677.76)+(D42*42*677.76)+(E42*98*677.76)+(F42*145*677.76)+(G42*95*677.76)+H42</f>
        <v>0</v>
      </c>
      <c r="K42" s="3"/>
      <c r="L42" s="3"/>
    </row>
    <row r="43" customFormat="false" ht="15.75" hidden="false" customHeight="false" outlineLevel="0" collapsed="false">
      <c r="A43" s="3"/>
      <c r="B43" s="26" t="s">
        <v>9</v>
      </c>
      <c r="C43" s="63" t="n">
        <f aca="false">C7</f>
        <v>0</v>
      </c>
      <c r="D43" s="60" t="n">
        <f aca="false">D7</f>
        <v>0</v>
      </c>
      <c r="E43" s="61" t="n">
        <f aca="false">E7</f>
        <v>0</v>
      </c>
      <c r="F43" s="60" t="n">
        <f aca="false">F7</f>
        <v>0</v>
      </c>
      <c r="G43" s="60" t="n">
        <f aca="false">G7</f>
        <v>0</v>
      </c>
      <c r="H43" s="62" t="n">
        <v>0</v>
      </c>
      <c r="I43" s="62" t="n">
        <f aca="false">J43-H43</f>
        <v>0</v>
      </c>
      <c r="J43" s="28" t="n">
        <f aca="false">(C43*330*677.76)+(D43*42*677.76)+(E43*98*677.76)+(F43*145*677.76)+(G43*95*677.76)+H43</f>
        <v>0</v>
      </c>
      <c r="K43" s="3"/>
      <c r="L43" s="3"/>
    </row>
    <row r="44" customFormat="false" ht="15.75" hidden="false" customHeight="false" outlineLevel="0" collapsed="false">
      <c r="A44" s="3"/>
      <c r="B44" s="26" t="s">
        <v>10</v>
      </c>
      <c r="C44" s="63" t="n">
        <f aca="false">C8</f>
        <v>0</v>
      </c>
      <c r="D44" s="60" t="n">
        <f aca="false">D8</f>
        <v>0</v>
      </c>
      <c r="E44" s="61" t="n">
        <f aca="false">E8</f>
        <v>0</v>
      </c>
      <c r="F44" s="60" t="n">
        <f aca="false">F8</f>
        <v>0</v>
      </c>
      <c r="G44" s="60" t="n">
        <f aca="false">G8</f>
        <v>0</v>
      </c>
      <c r="H44" s="62" t="n">
        <f aca="false">1168000+17520</f>
        <v>1185520</v>
      </c>
      <c r="I44" s="62" t="n">
        <f aca="false">J44-H44</f>
        <v>0</v>
      </c>
      <c r="J44" s="28" t="n">
        <f aca="false">(C44*330*677.76)+(D44*42*677.76)+(E44*98*677.76)+(F44*145*677.76)+(G44*95*677.76)+H44</f>
        <v>1185520</v>
      </c>
      <c r="K44" s="3"/>
      <c r="L44" s="3"/>
    </row>
    <row r="45" customFormat="false" ht="15.75" hidden="false" customHeight="false" outlineLevel="0" collapsed="false">
      <c r="A45" s="3"/>
      <c r="B45" s="26" t="s">
        <v>11</v>
      </c>
      <c r="C45" s="63" t="n">
        <f aca="false">C9</f>
        <v>0</v>
      </c>
      <c r="D45" s="60" t="n">
        <f aca="false">D9</f>
        <v>0</v>
      </c>
      <c r="E45" s="61" t="n">
        <f aca="false">E9</f>
        <v>0</v>
      </c>
      <c r="F45" s="60" t="n">
        <f aca="false">F9</f>
        <v>0</v>
      </c>
      <c r="G45" s="60" t="n">
        <f aca="false">G9</f>
        <v>0</v>
      </c>
      <c r="H45" s="62" t="n">
        <v>584000</v>
      </c>
      <c r="I45" s="62" t="n">
        <f aca="false">J45-H45</f>
        <v>0</v>
      </c>
      <c r="J45" s="28" t="n">
        <f aca="false">(C45*330*677.76)+(D45*42*677.76)+(E45*98*677.76)+(F45*145*677.76)+(G45*95*677.76)+H45</f>
        <v>584000</v>
      </c>
      <c r="K45" s="3"/>
      <c r="L45" s="3"/>
    </row>
    <row r="46" customFormat="false" ht="15.75" hidden="false" customHeight="false" outlineLevel="0" collapsed="false">
      <c r="A46" s="3"/>
      <c r="B46" s="26" t="s">
        <v>13</v>
      </c>
      <c r="C46" s="63" t="n">
        <f aca="false">C10</f>
        <v>0</v>
      </c>
      <c r="D46" s="60" t="n">
        <f aca="false">D10</f>
        <v>0</v>
      </c>
      <c r="E46" s="61" t="n">
        <f aca="false">E10</f>
        <v>3</v>
      </c>
      <c r="F46" s="60" t="n">
        <f aca="false">F10</f>
        <v>0</v>
      </c>
      <c r="G46" s="60" t="n">
        <f aca="false">G10</f>
        <v>6</v>
      </c>
      <c r="H46" s="62" t="n">
        <v>0</v>
      </c>
      <c r="I46" s="62" t="n">
        <f aca="false">J46-H46</f>
        <v>585584.64</v>
      </c>
      <c r="J46" s="28" t="n">
        <f aca="false">(C46*330*677.76)+(D46*42*677.76)+(E46*98*677.76)+(F46*145*677.76)+(G46*95*677.76)+H46</f>
        <v>585584.64</v>
      </c>
      <c r="K46" s="3"/>
      <c r="L46" s="3"/>
    </row>
    <row r="47" customFormat="false" ht="15.75" hidden="false" customHeight="false" outlineLevel="0" collapsed="false">
      <c r="A47" s="3"/>
      <c r="B47" s="26" t="s">
        <v>14</v>
      </c>
      <c r="C47" s="63" t="n">
        <f aca="false">C11</f>
        <v>0</v>
      </c>
      <c r="D47" s="60" t="n">
        <f aca="false">D11</f>
        <v>0</v>
      </c>
      <c r="E47" s="61" t="n">
        <f aca="false">E11</f>
        <v>0</v>
      </c>
      <c r="F47" s="60" t="n">
        <f aca="false">F11</f>
        <v>0</v>
      </c>
      <c r="G47" s="60" t="n">
        <f aca="false">G11</f>
        <v>7</v>
      </c>
      <c r="H47" s="62" t="n">
        <v>0</v>
      </c>
      <c r="I47" s="62" t="n">
        <f aca="false">J47-H47</f>
        <v>450710.4</v>
      </c>
      <c r="J47" s="28" t="n">
        <f aca="false">(C47*330*677.76)+(D47*42*677.76)+(E47*98*677.76)+(F47*145*677.76)+(G47*95*677.76)+H47</f>
        <v>450710.4</v>
      </c>
      <c r="K47" s="3"/>
      <c r="L47" s="3"/>
    </row>
    <row r="48" customFormat="false" ht="15.75" hidden="false" customHeight="false" outlineLevel="0" collapsed="false">
      <c r="A48" s="3"/>
      <c r="B48" s="26" t="s">
        <v>15</v>
      </c>
      <c r="C48" s="63" t="n">
        <f aca="false">C12</f>
        <v>0</v>
      </c>
      <c r="D48" s="60" t="n">
        <f aca="false">D12</f>
        <v>0</v>
      </c>
      <c r="E48" s="61" t="n">
        <f aca="false">E12</f>
        <v>8</v>
      </c>
      <c r="F48" s="60" t="n">
        <f aca="false">F12</f>
        <v>0</v>
      </c>
      <c r="G48" s="60" t="n">
        <f aca="false">G12</f>
        <v>3</v>
      </c>
      <c r="H48" s="62" t="n">
        <v>0</v>
      </c>
      <c r="I48" s="62" t="n">
        <f aca="false">J48-H48</f>
        <v>724525.44</v>
      </c>
      <c r="J48" s="28" t="n">
        <f aca="false">(C48*330*677.76)+(D48*42*677.76)+(E48*98*677.76)+(F48*145*677.76)+(G48*95*677.76)+H48</f>
        <v>724525.44</v>
      </c>
      <c r="K48" s="3"/>
      <c r="L48" s="3"/>
    </row>
    <row r="49" customFormat="false" ht="15.75" hidden="false" customHeight="false" outlineLevel="0" collapsed="false">
      <c r="A49" s="64"/>
      <c r="B49" s="65" t="s">
        <v>16</v>
      </c>
      <c r="C49" s="66" t="n">
        <f aca="false">C13</f>
        <v>0</v>
      </c>
      <c r="D49" s="67" t="n">
        <f aca="false">D13</f>
        <v>0</v>
      </c>
      <c r="E49" s="68" t="n">
        <f aca="false">E13</f>
        <v>6</v>
      </c>
      <c r="F49" s="67" t="n">
        <f aca="false">F13</f>
        <v>0</v>
      </c>
      <c r="G49" s="67" t="n">
        <f aca="false">G13</f>
        <v>4</v>
      </c>
      <c r="H49" s="69" t="n">
        <v>0</v>
      </c>
      <c r="I49" s="69" t="n">
        <f aca="false">J49-H49</f>
        <v>656071.68</v>
      </c>
      <c r="J49" s="28" t="n">
        <f aca="false">(C49*330*677.76)+(D49*42*677.76)+(E49*98*677.76)+(F49*145*677.76)+(G49*95*677.76)+H49</f>
        <v>656071.68</v>
      </c>
      <c r="K49" s="3"/>
      <c r="L49" s="3"/>
    </row>
    <row r="50" customFormat="false" ht="15.75" hidden="false" customHeight="false" outlineLevel="0" collapsed="false">
      <c r="A50" s="3"/>
      <c r="B50" s="26" t="s">
        <v>17</v>
      </c>
      <c r="C50" s="63" t="n">
        <f aca="false">C14</f>
        <v>0</v>
      </c>
      <c r="D50" s="60" t="n">
        <f aca="false">D14</f>
        <v>0</v>
      </c>
      <c r="E50" s="61" t="n">
        <f aca="false">E14</f>
        <v>2</v>
      </c>
      <c r="F50" s="60" t="n">
        <f aca="false">F14</f>
        <v>0</v>
      </c>
      <c r="G50" s="60" t="n">
        <f aca="false">G14</f>
        <v>8</v>
      </c>
      <c r="H50" s="62" t="n">
        <v>0</v>
      </c>
      <c r="I50" s="62" t="n">
        <f aca="false">J50-H50</f>
        <v>647938.56</v>
      </c>
      <c r="J50" s="28" t="n">
        <f aca="false">(C50*330*677.76)+(D50*42*677.76)+(E50*98*677.76)+(F50*145*677.76)+(G50*95*677.76)+H50</f>
        <v>647938.56</v>
      </c>
      <c r="K50" s="3"/>
      <c r="L50" s="3"/>
    </row>
    <row r="51" customFormat="false" ht="15.75" hidden="false" customHeight="false" outlineLevel="0" collapsed="false">
      <c r="A51" s="3"/>
      <c r="B51" s="26" t="s">
        <v>18</v>
      </c>
      <c r="C51" s="63" t="n">
        <f aca="false">C15</f>
        <v>0</v>
      </c>
      <c r="D51" s="60" t="n">
        <f aca="false">D15</f>
        <v>0</v>
      </c>
      <c r="E51" s="61" t="n">
        <f aca="false">E15</f>
        <v>6</v>
      </c>
      <c r="F51" s="60" t="n">
        <f aca="false">F15</f>
        <v>0</v>
      </c>
      <c r="G51" s="60" t="n">
        <f aca="false">G15</f>
        <v>3</v>
      </c>
      <c r="H51" s="62" t="n">
        <v>0</v>
      </c>
      <c r="I51" s="62" t="n">
        <f aca="false">J51-H51</f>
        <v>591684.48</v>
      </c>
      <c r="J51" s="28" t="n">
        <f aca="false">(C51*330*677.76)+(D51*42*677.76)+(E51*98*677.76)+(F51*145*677.76)+(G51*95*677.76)+H51</f>
        <v>591684.48</v>
      </c>
      <c r="K51" s="3"/>
      <c r="L51" s="3"/>
    </row>
    <row r="52" customFormat="false" ht="15.75" hidden="false" customHeight="false" outlineLevel="0" collapsed="false">
      <c r="A52" s="3"/>
      <c r="B52" s="26" t="s">
        <v>19</v>
      </c>
      <c r="C52" s="63" t="n">
        <f aca="false">C16</f>
        <v>0</v>
      </c>
      <c r="D52" s="60" t="n">
        <f aca="false">D16</f>
        <v>0</v>
      </c>
      <c r="E52" s="61" t="n">
        <f aca="false">E16</f>
        <v>0</v>
      </c>
      <c r="F52" s="60" t="n">
        <f aca="false">F16</f>
        <v>0</v>
      </c>
      <c r="G52" s="60" t="n">
        <f aca="false">G16</f>
        <v>8</v>
      </c>
      <c r="H52" s="62" t="n">
        <f aca="false">58400+584000</f>
        <v>642400</v>
      </c>
      <c r="I52" s="62" t="n">
        <f aca="false">J52-H52</f>
        <v>515097.6</v>
      </c>
      <c r="J52" s="28" t="n">
        <f aca="false">(C52*330*677.76)+(D52*42*677.76)+(E52*98*677.76)+(F52*145*677.76)+(G52*95*677.76)+H52</f>
        <v>1157497.6</v>
      </c>
      <c r="K52" s="3"/>
      <c r="L52" s="3"/>
    </row>
    <row r="53" customFormat="false" ht="15.75" hidden="false" customHeight="false" outlineLevel="0" collapsed="false">
      <c r="A53" s="3"/>
      <c r="B53" s="26" t="s">
        <v>20</v>
      </c>
      <c r="C53" s="63" t="n">
        <f aca="false">C17</f>
        <v>0</v>
      </c>
      <c r="D53" s="60" t="n">
        <f aca="false">D17</f>
        <v>0</v>
      </c>
      <c r="E53" s="61" t="n">
        <f aca="false">E17</f>
        <v>0</v>
      </c>
      <c r="F53" s="60" t="n">
        <f aca="false">F17</f>
        <v>0</v>
      </c>
      <c r="G53" s="60" t="n">
        <f aca="false">G17</f>
        <v>5</v>
      </c>
      <c r="H53" s="62" t="n">
        <v>642400</v>
      </c>
      <c r="I53" s="62" t="n">
        <f aca="false">J53-H53</f>
        <v>321936</v>
      </c>
      <c r="J53" s="28" t="n">
        <f aca="false">(C53*330*677.76)+(D53*42*677.76)+(E53*98*677.76)+(F53*145*677.76)+(G53*95*677.76)+H53</f>
        <v>964336</v>
      </c>
      <c r="K53" s="3"/>
      <c r="L53" s="3"/>
    </row>
    <row r="54" customFormat="false" ht="16.5" hidden="false" customHeight="false" outlineLevel="0" collapsed="false">
      <c r="A54" s="3"/>
      <c r="B54" s="26" t="s">
        <v>21</v>
      </c>
      <c r="C54" s="63" t="n">
        <f aca="false">C18</f>
        <v>0</v>
      </c>
      <c r="D54" s="60" t="n">
        <f aca="false">D18</f>
        <v>0</v>
      </c>
      <c r="E54" s="61" t="n">
        <f aca="false">E18</f>
        <v>0</v>
      </c>
      <c r="F54" s="60" t="n">
        <f aca="false">F18</f>
        <v>0</v>
      </c>
      <c r="G54" s="60" t="n">
        <f aca="false">G18</f>
        <v>6</v>
      </c>
      <c r="H54" s="62" t="n">
        <v>642400</v>
      </c>
      <c r="I54" s="62" t="n">
        <f aca="false">J54-H54</f>
        <v>386323.2</v>
      </c>
      <c r="J54" s="28" t="n">
        <f aca="false">(C54*330*677.76)+(D54*42*677.76)+(E54*98*677.76)+(F54*145*677.76)+(G54*95*677.76)+H54</f>
        <v>1028723.2</v>
      </c>
      <c r="K54" s="3"/>
      <c r="L54" s="3"/>
    </row>
    <row r="55" customFormat="false" ht="16.5" hidden="false" customHeight="false" outlineLevel="0" collapsed="false">
      <c r="A55" s="3"/>
      <c r="B55" s="10" t="s">
        <v>4</v>
      </c>
      <c r="C55" s="49" t="n">
        <f aca="false">SUM(C42:C54)</f>
        <v>0</v>
      </c>
      <c r="D55" s="49" t="n">
        <f aca="false">SUM(D42:D54)</f>
        <v>0</v>
      </c>
      <c r="E55" s="49" t="n">
        <f aca="false">SUM(E42:E54)</f>
        <v>25</v>
      </c>
      <c r="F55" s="49" t="n">
        <f aca="false">SUM(F42:F54)</f>
        <v>0</v>
      </c>
      <c r="G55" s="49" t="n">
        <f aca="false">SUM(G42:G54)</f>
        <v>50</v>
      </c>
      <c r="H55" s="49" t="n">
        <f aca="false">SUM(H42:H54)</f>
        <v>3696720</v>
      </c>
      <c r="I55" s="49" t="n">
        <f aca="false">SUM(I42:I54)</f>
        <v>4879872</v>
      </c>
      <c r="J55" s="49" t="n">
        <f aca="false">SUM(J42:J54)</f>
        <v>8576592</v>
      </c>
      <c r="K55" s="42"/>
      <c r="L55" s="3"/>
    </row>
    <row r="56" customFormat="false" ht="15.75" hidden="false" customHeight="false" outlineLevel="0" collapsed="false">
      <c r="A56" s="3"/>
      <c r="B56" s="3"/>
      <c r="C56" s="8"/>
      <c r="D56" s="8"/>
      <c r="E56" s="9"/>
      <c r="F56" s="8"/>
      <c r="G56" s="8"/>
      <c r="H56" s="3"/>
      <c r="I56" s="6"/>
      <c r="J56" s="7"/>
      <c r="K56" s="3"/>
      <c r="L56" s="3"/>
    </row>
    <row r="57" customFormat="false" ht="15.75" hidden="false" customHeight="false" outlineLevel="0" collapsed="false">
      <c r="A57" s="3"/>
      <c r="B57" s="3"/>
      <c r="C57" s="70" t="str">
        <f aca="false">"CHIFFRE D'AFFAIRES CLOBAL "&amp;G2</f>
        <v>CHIFFRE D'AFFAIRES CLOBAL OCT. 17</v>
      </c>
      <c r="D57" s="70"/>
      <c r="E57" s="71"/>
      <c r="F57" s="70"/>
      <c r="G57" s="8"/>
      <c r="H57" s="3"/>
      <c r="I57" s="6"/>
      <c r="J57" s="7"/>
      <c r="K57" s="3"/>
      <c r="L57" s="3"/>
      <c r="M57" s="29"/>
    </row>
    <row r="58" customFormat="false" ht="15.75" hidden="false" customHeight="true" outlineLevel="0" collapsed="false">
      <c r="A58" s="3"/>
      <c r="B58" s="3"/>
      <c r="C58" s="8"/>
      <c r="D58" s="8"/>
      <c r="E58" s="9"/>
      <c r="F58" s="8"/>
      <c r="G58" s="8"/>
      <c r="H58" s="3"/>
      <c r="I58" s="6"/>
      <c r="J58" s="7"/>
      <c r="K58" s="3"/>
      <c r="L58" s="3"/>
    </row>
    <row r="59" customFormat="false" ht="15.75" hidden="false" customHeight="true" outlineLevel="0" collapsed="false">
      <c r="A59" s="3"/>
      <c r="B59" s="10" t="s">
        <v>2</v>
      </c>
      <c r="C59" s="72" t="s">
        <v>3</v>
      </c>
      <c r="D59" s="72"/>
      <c r="E59" s="72"/>
      <c r="F59" s="72"/>
      <c r="G59" s="72"/>
      <c r="H59" s="73" t="s">
        <v>34</v>
      </c>
      <c r="I59" s="73" t="s">
        <v>35</v>
      </c>
      <c r="J59" s="73" t="s">
        <v>36</v>
      </c>
      <c r="K59" s="7"/>
      <c r="L59" s="3"/>
    </row>
    <row r="60" customFormat="false" ht="16.5" hidden="false" customHeight="false" outlineLevel="0" collapsed="false">
      <c r="A60" s="3"/>
      <c r="B60" s="10"/>
      <c r="C60" s="16" t="n">
        <v>10064</v>
      </c>
      <c r="D60" s="16" t="n">
        <v>10012</v>
      </c>
      <c r="E60" s="16" t="n">
        <v>10009</v>
      </c>
      <c r="F60" s="16" t="n">
        <v>10008</v>
      </c>
      <c r="G60" s="16" t="n">
        <v>10010</v>
      </c>
      <c r="H60" s="73"/>
      <c r="I60" s="73"/>
      <c r="J60" s="73"/>
      <c r="K60" s="7"/>
      <c r="L60" s="74"/>
    </row>
    <row r="61" customFormat="false" ht="15.75" hidden="false" customHeight="false" outlineLevel="0" collapsed="false">
      <c r="A61" s="3"/>
      <c r="B61" s="18" t="s">
        <v>8</v>
      </c>
      <c r="C61" s="75" t="n">
        <v>0</v>
      </c>
      <c r="D61" s="75" t="n">
        <v>0</v>
      </c>
      <c r="E61" s="61" t="n">
        <f aca="false">SUMIF('[1]FACT N°128SFOT17'!$E$21:$E$22,B6,'[1]FACT N°128SFOT17'!$I$21:$I$22)+SUMIF('[1]FACT N°131SFOT17'!$E$21:$E$43,B6,'[1]FACT N°131SFOT17'!$I$21:$I$43)</f>
        <v>0</v>
      </c>
      <c r="F61" s="75" t="n">
        <v>0</v>
      </c>
      <c r="G61" s="75" t="n">
        <f aca="false">SUMIF('[1]FACT N°126SFOT17'!$E$21:$E$39,B6,'[1]FACT N°126SFOT17'!$I$21:$I$39)+SUMIF('[1]FACT N°125SFOT17'!$E$21:$E$44,B6,'[1]FACT N°125SFOT17'!$I$21:$I$44)+SUMIF('[1]FACT N°130SFOT17'!$E$21,B6,'[1]FACT N°130SFOT17'!$I$21)+SUMIF('[1]FACT N°129SFOT17'!$E$21:$E$26,B6,'[1]FACT N°129SFOT17'!$I$21:$I$26)</f>
        <v>0</v>
      </c>
      <c r="H61" s="76" t="n">
        <f aca="false">SUM(C61:G61)</f>
        <v>0</v>
      </c>
      <c r="I61" s="62" t="n">
        <f aca="false">SUMIF('[1]FACT N°17SBOT17'!$E$21,B6,'[1]FACT N°17SBOT17'!$H$21)+SUMIF('[1]FACT N°16SBOT17'!$E$21:$E$22,B6,'[1]FACT N°16SBOT17'!$H$21:$H$22)+SUMIF('[1]FACT N°127SFOT17'!$E$21,B6,'[1]FACT N°127SFOT17'!$H$21)+SUMIF('[1]FACT N°18SBOT17'!$E$21,B6,'[1]FACT N°18SBOT17'!$H$21)</f>
        <v>0</v>
      </c>
      <c r="J61" s="25" t="n">
        <f aca="false">SUM(H61+I61)</f>
        <v>0</v>
      </c>
      <c r="K61" s="7"/>
      <c r="L61" s="74"/>
    </row>
    <row r="62" customFormat="false" ht="15.75" hidden="false" customHeight="false" outlineLevel="0" collapsed="false">
      <c r="A62" s="3"/>
      <c r="B62" s="26" t="s">
        <v>9</v>
      </c>
      <c r="C62" s="75" t="n">
        <v>0</v>
      </c>
      <c r="D62" s="75" t="n">
        <v>0</v>
      </c>
      <c r="E62" s="61" t="n">
        <f aca="false">SUMIF('[1]FACT N°128SFOT17'!$E$21:$E$22,B7,'[1]FACT N°128SFOT17'!$I$21:$I$22)+SUMIF('[1]FACT N°131SFOT17'!$E$21:$E$43,B7,'[1]FACT N°131SFOT17'!$I$21:$I$43)</f>
        <v>0</v>
      </c>
      <c r="F62" s="75" t="n">
        <v>0</v>
      </c>
      <c r="G62" s="75" t="n">
        <f aca="false">SUMIF('[1]FACT N°126SFOT17'!$E$21:$E$39,B7,'[1]FACT N°126SFOT17'!$I$21:$I$39)+SUMIF('[1]FACT N°125SFOT17'!$E$21:$E$44,B7,'[1]FACT N°125SFOT17'!$I$21:$I$44)+SUMIF('[1]FACT N°130SFOT17'!$E$21,B7,'[1]FACT N°130SFOT17'!$I$21)+SUMIF('[1]FACT N°129SFOT17'!$E$21:$E$26,B7,'[1]FACT N°129SFOT17'!$I$21:$I$26)</f>
        <v>0</v>
      </c>
      <c r="H62" s="76" t="n">
        <f aca="false">SUM(C62:G62)</f>
        <v>0</v>
      </c>
      <c r="I62" s="62" t="n">
        <f aca="false">SUMIF('[1]FACT N°17SBOT17'!$E$21,B7,'[1]FACT N°17SBOT17'!$H$21)+SUMIF('[1]FACT N°16SBOT17'!$E$21:$E$22,B7,'[1]FACT N°16SBOT17'!$H$21:$H$22)+SUMIF('[1]FACT N°127SFOT17'!$E$21,B7,'[1]FACT N°127SFOT17'!$H$21)+SUMIF('[1]FACT N°18SBOT17'!$E$21,B7,'[1]FACT N°18SBOT17'!$H$21)</f>
        <v>0</v>
      </c>
      <c r="J62" s="28" t="n">
        <f aca="false">I62+H62</f>
        <v>0</v>
      </c>
      <c r="K62" s="7"/>
      <c r="L62" s="74"/>
    </row>
    <row r="63" customFormat="false" ht="15.75" hidden="false" customHeight="false" outlineLevel="0" collapsed="false">
      <c r="A63" s="3"/>
      <c r="B63" s="26" t="s">
        <v>10</v>
      </c>
      <c r="C63" s="75" t="n">
        <v>0</v>
      </c>
      <c r="D63" s="75" t="n">
        <v>0</v>
      </c>
      <c r="E63" s="61" t="n">
        <f aca="false">SUMIF('[1]FACT N°128SFOT17'!$E$21:$E$22,B8,'[1]FACT N°128SFOT17'!$I$21:$I$22)+SUMIF('[1]FACT N°131SFOT17'!$E$21:$E$43,B8,'[1]FACT N°131SFOT17'!$I$21:$I$43)</f>
        <v>0</v>
      </c>
      <c r="F63" s="75" t="n">
        <v>0</v>
      </c>
      <c r="G63" s="75" t="n">
        <f aca="false">SUMIF('[1]FACT N°126SFOT17'!$E$21:$E$39,B8,'[1]FACT N°126SFOT17'!$I$21:$I$39)+SUMIF('[1]FACT N°125SFOT17'!$E$21:$E$44,B8,'[1]FACT N°125SFOT17'!$I$21:$I$44)+SUMIF('[1]FACT N°130SFOT17'!$E$21,B8,'[1]FACT N°130SFOT17'!$I$21)+SUMIF('[1]FACT N°129SFOT17'!$E$21:$E$26,B8,'[1]FACT N°129SFOT17'!$I$21:$I$26)</f>
        <v>0</v>
      </c>
      <c r="H63" s="76" t="n">
        <f aca="false">SUM(C63:G63)</f>
        <v>0</v>
      </c>
      <c r="I63" s="62" t="n">
        <f aca="false">SUMIF('[1]FACT N°17SBOT17'!$E$21,B8,'[1]FACT N°17SBOT17'!$H$21)+SUMIF('[1]FACT N°16SBOT17'!$E$21:$E$22,B8,'[1]FACT N°16SBOT17'!$H$21:$H$22)+SUMIF('[1]FACT N°127SFOT17'!$E$21,B8,'[1]FACT N°127SFOT17'!$H$21)+SUMIF('[1]FACT N°18SBOT17'!$E$21,B8,'[1]FACT N°18SBOT17'!$H$21)+500000</f>
        <v>2650000</v>
      </c>
      <c r="J63" s="28" t="n">
        <f aca="false">I63+H63</f>
        <v>2650000</v>
      </c>
      <c r="K63" s="7"/>
      <c r="L63" s="6"/>
    </row>
    <row r="64" customFormat="false" ht="15.75" hidden="false" customHeight="false" outlineLevel="0" collapsed="false">
      <c r="A64" s="3"/>
      <c r="B64" s="26" t="s">
        <v>11</v>
      </c>
      <c r="C64" s="75" t="n">
        <v>0</v>
      </c>
      <c r="D64" s="75" t="n">
        <v>0</v>
      </c>
      <c r="E64" s="61" t="n">
        <f aca="false">SUMIF('[1]FACT N°128SFOT17'!$E$21:$E$22,B9,'[1]FACT N°128SFOT17'!$I$21:$I$22)+SUMIF('[1]FACT N°131SFOT17'!$E$21:$E$43,B9,'[1]FACT N°131SFOT17'!$I$21:$I$43)</f>
        <v>0</v>
      </c>
      <c r="F64" s="75" t="n">
        <v>0</v>
      </c>
      <c r="G64" s="75" t="n">
        <f aca="false">SUMIF('[1]FACT N°126SFOT17'!$E$21:$E$39,B9,'[1]FACT N°126SFOT17'!$I$21:$I$39)+SUMIF('[1]FACT N°125SFOT17'!$E$21:$E$44,B9,'[1]FACT N°125SFOT17'!$I$21:$I$44)+SUMIF('[1]FACT N°130SFOT17'!$E$21,B9,'[1]FACT N°130SFOT17'!$I$21)+SUMIF('[1]FACT N°129SFOT17'!$E$21:$E$26,B9,'[1]FACT N°129SFOT17'!$I$21:$I$26)</f>
        <v>0</v>
      </c>
      <c r="H64" s="76" t="n">
        <f aca="false">SUM(C64:G64)</f>
        <v>0</v>
      </c>
      <c r="I64" s="62" t="n">
        <f aca="false">SUMIF('[1]FACT N°17SBOT17'!$E$21,B9,'[1]FACT N°17SBOT17'!$H$21)+SUMIF('[1]FACT N°16SBOT17'!$E$21:$E$22,B9,'[1]FACT N°16SBOT17'!$H$21:$H$22)+SUMIF('[1]FACT N°127SFOT17'!$E$21,B9,'[1]FACT N°127SFOT17'!$H$21)+SUMIF('[1]FACT N°18SBOT17'!$E$21,B9,'[1]FACT N°18SBOT17'!$H$21)</f>
        <v>0</v>
      </c>
      <c r="J64" s="28" t="n">
        <f aca="false">I64+H64</f>
        <v>0</v>
      </c>
      <c r="K64" s="7"/>
      <c r="L64" s="3"/>
    </row>
    <row r="65" customFormat="false" ht="15.75" hidden="false" customHeight="false" outlineLevel="0" collapsed="false">
      <c r="A65" s="3"/>
      <c r="B65" s="26" t="s">
        <v>13</v>
      </c>
      <c r="C65" s="75" t="n">
        <v>0</v>
      </c>
      <c r="D65" s="75" t="n">
        <v>0</v>
      </c>
      <c r="E65" s="61" t="n">
        <f aca="false">SUMIF('[1]FACT N°128SFOT17'!$E$21:$E$22,B10,'[1]FACT N°128SFOT17'!$I$21:$I$22)+SUMIF('[1]FACT N°131SFOT17'!$E$21:$E$43,B10,'[1]FACT N°131SFOT17'!$I$21:$I$43)</f>
        <v>681855.04</v>
      </c>
      <c r="F65" s="75" t="n">
        <v>0</v>
      </c>
      <c r="G65" s="75" t="n">
        <f aca="false">SUMIF('[1]FACT N°126SFOT17'!$E$21:$E$39,B10,'[1]FACT N°126SFOT17'!$I$21:$I$39)+SUMIF('[1]FACT N°125SFOT17'!$E$21:$E$44,B10,'[1]FACT N°125SFOT17'!$I$21:$I$44)+SUMIF('[1]FACT N°130SFOT17'!$E$21,B10,'[1]FACT N°130SFOT17'!$I$21)+SUMIF('[1]FACT N°129SFOT17'!$E$21:$E$26,B10,'[1]FACT N°129SFOT17'!$I$21:$I$26)</f>
        <v>1570105.125</v>
      </c>
      <c r="H65" s="76" t="n">
        <f aca="false">SUM(C65:G65)</f>
        <v>2251960.165</v>
      </c>
      <c r="I65" s="62" t="n">
        <f aca="false">SUMIF('[1]FACT N°17SBOT17'!$E$21,B10,'[1]FACT N°17SBOT17'!$H$21)+SUMIF('[1]FACT N°16SBOT17'!$E$21:$E$22,B10,'[1]FACT N°16SBOT17'!$H$21:$H$22)+SUMIF('[1]FACT N°127SFOT17'!$E$21,B10,'[1]FACT N°127SFOT17'!$H$21)+SUMIF('[1]FACT N°18SBOT17'!$E$21,B10,'[1]FACT N°18SBOT17'!$H$21)</f>
        <v>0</v>
      </c>
      <c r="J65" s="28" t="n">
        <f aca="false">I65+H65</f>
        <v>2251960.165</v>
      </c>
      <c r="K65" s="7"/>
      <c r="L65" s="3"/>
    </row>
    <row r="66" customFormat="false" ht="15.75" hidden="false" customHeight="false" outlineLevel="0" collapsed="false">
      <c r="A66" s="3"/>
      <c r="B66" s="26" t="s">
        <v>14</v>
      </c>
      <c r="C66" s="75" t="n">
        <v>0</v>
      </c>
      <c r="D66" s="75" t="n">
        <v>0</v>
      </c>
      <c r="E66" s="61" t="n">
        <f aca="false">SUMIF('[1]FACT N°128SFOT17'!$E$21:$E$22,B11,'[1]FACT N°128SFOT17'!$I$21:$I$22)+SUMIF('[1]FACT N°131SFOT17'!$E$21:$E$43,B11,'[1]FACT N°131SFOT17'!$I$21:$I$43)</f>
        <v>0</v>
      </c>
      <c r="F66" s="75" t="n">
        <v>0</v>
      </c>
      <c r="G66" s="75" t="n">
        <f aca="false">SUMIF('[1]FACT N°126SFOT17'!$E$21:$E$39,B11,'[1]FACT N°126SFOT17'!$I$21:$I$39)+SUMIF('[1]FACT N°125SFOT17'!$E$21:$E$44,B11,'[1]FACT N°125SFOT17'!$I$21:$I$44)+SUMIF('[1]FACT N°130SFOT17'!$E$21,B11,'[1]FACT N°130SFOT17'!$I$21)+SUMIF('[1]FACT N°129SFOT17'!$E$21:$E$26,B11,'[1]FACT N°129SFOT17'!$I$21:$I$26)</f>
        <v>1685754</v>
      </c>
      <c r="H66" s="76" t="n">
        <f aca="false">SUM(C66:G66)</f>
        <v>1685754</v>
      </c>
      <c r="I66" s="62" t="n">
        <f aca="false">SUMIF('[1]FACT N°17SBOT17'!$E$21,B11,'[1]FACT N°17SBOT17'!$H$21)+SUMIF('[1]FACT N°16SBOT17'!$E$21:$E$22,B11,'[1]FACT N°16SBOT17'!$H$21:$H$22)+SUMIF('[1]FACT N°127SFOT17'!$E$21,B11,'[1]FACT N°127SFOT17'!$H$21)+SUMIF('[1]FACT N°18SBOT17'!$E$21,B11,'[1]FACT N°18SBOT17'!$H$21)</f>
        <v>2150000</v>
      </c>
      <c r="J66" s="28" t="n">
        <f aca="false">I66+H66</f>
        <v>3835754</v>
      </c>
      <c r="K66" s="7"/>
      <c r="L66" s="3"/>
      <c r="N66" s="0" t="s">
        <v>37</v>
      </c>
    </row>
    <row r="67" customFormat="false" ht="15.75" hidden="false" customHeight="false" outlineLevel="0" collapsed="false">
      <c r="A67" s="3"/>
      <c r="B67" s="26" t="s">
        <v>15</v>
      </c>
      <c r="C67" s="75" t="n">
        <v>0</v>
      </c>
      <c r="D67" s="75" t="n">
        <v>0</v>
      </c>
      <c r="E67" s="61" t="n">
        <f aca="false">SUMIF('[1]FACT N°128SFOT17'!$E$21:$E$22,B12,'[1]FACT N°128SFOT17'!$I$21:$I$22)+SUMIF('[1]FACT N°131SFOT17'!$E$21:$E$43,B12,'[1]FACT N°131SFOT17'!$I$21:$I$43)</f>
        <v>1879130.02</v>
      </c>
      <c r="F67" s="75" t="n">
        <v>0</v>
      </c>
      <c r="G67" s="75" t="n">
        <f aca="false">SUMIF('[1]FACT N°126SFOT17'!$E$21:$E$39,B12,'[1]FACT N°126SFOT17'!$I$21:$I$39)+SUMIF('[1]FACT N°125SFOT17'!$E$21:$E$44,B12,'[1]FACT N°125SFOT17'!$I$21:$I$44)+SUMIF('[1]FACT N°130SFOT17'!$E$21,B12,'[1]FACT N°130SFOT17'!$I$21)+SUMIF('[1]FACT N°129SFOT17'!$E$21:$E$26,B12,'[1]FACT N°129SFOT17'!$I$21:$I$26)</f>
        <v>708970.125</v>
      </c>
      <c r="H67" s="76" t="n">
        <f aca="false">SUM(C67:G67)</f>
        <v>2588100.145</v>
      </c>
      <c r="I67" s="62" t="n">
        <f aca="false">SUMIF('[1]FACT N°17SBOT17'!$E$21,B12,'[1]FACT N°17SBOT17'!$H$21)+SUMIF('[1]FACT N°16SBOT17'!$E$21:$E$22,B12,'[1]FACT N°16SBOT17'!$H$21:$H$22)+SUMIF('[1]FACT N°127SFOT17'!$E$21,B12,'[1]FACT N°127SFOT17'!$H$21)+SUMIF('[1]FACT N°18SBOT17'!$E$21,B12,'[1]FACT N°18SBOT17'!$H$21)</f>
        <v>0</v>
      </c>
      <c r="J67" s="28" t="n">
        <f aca="false">I67+H67</f>
        <v>2588100.145</v>
      </c>
      <c r="K67" s="7"/>
      <c r="L67" s="3"/>
    </row>
    <row r="68" customFormat="false" ht="15.75" hidden="false" customHeight="false" outlineLevel="0" collapsed="false">
      <c r="A68" s="3"/>
      <c r="B68" s="26" t="s">
        <v>16</v>
      </c>
      <c r="C68" s="75" t="n">
        <v>0</v>
      </c>
      <c r="D68" s="75" t="n">
        <v>0</v>
      </c>
      <c r="E68" s="61" t="n">
        <f aca="false">SUMIF('[1]FACT N°128SFOT17'!$E$21:$E$22,B13,'[1]FACT N°128SFOT17'!$I$21:$I$22)+SUMIF('[1]FACT N°131SFOT17'!$E$21:$E$43,B13,'[1]FACT N°131SFOT17'!$I$21:$I$43)</f>
        <v>1343526.32</v>
      </c>
      <c r="F68" s="75" t="n">
        <v>0</v>
      </c>
      <c r="G68" s="75" t="n">
        <f aca="false">SUMIF('[1]FACT N°126SFOT17'!$E$21:$E$39,B13,'[1]FACT N°126SFOT17'!$I$21:$I$39)+SUMIF('[1]FACT N°125SFOT17'!$E$21:$E$44,B13,'[1]FACT N°125SFOT17'!$I$21:$I$44)+SUMIF('[1]FACT N°130SFOT17'!$E$21,B13,'[1]FACT N°130SFOT17'!$I$21)+SUMIF('[1]FACT N°129SFOT17'!$E$21:$E$26,B13,'[1]FACT N°129SFOT17'!$I$21:$I$26)</f>
        <v>956581.5</v>
      </c>
      <c r="H68" s="76" t="n">
        <f aca="false">SUM(C68:G68)</f>
        <v>2300107.82</v>
      </c>
      <c r="I68" s="62" t="n">
        <f aca="false">SUMIF('[1]FACT N°17SBOT17'!$E$21,B13,'[1]FACT N°17SBOT17'!$H$21)+SUMIF('[1]FACT N°16SBOT17'!$E$21:$E$22,B13,'[1]FACT N°16SBOT17'!$H$21:$H$22)+SUMIF('[1]FACT N°127SFOT17'!$E$21,B13,'[1]FACT N°127SFOT17'!$H$21)+SUMIF('[1]FACT N°18SBOT17'!$E$21,B13,'[1]FACT N°18SBOT17'!$H$21)</f>
        <v>0</v>
      </c>
      <c r="J68" s="28" t="n">
        <f aca="false">I68+H68</f>
        <v>2300107.82</v>
      </c>
      <c r="K68" s="7"/>
      <c r="L68" s="3"/>
    </row>
    <row r="69" customFormat="false" ht="15.75" hidden="false" customHeight="false" outlineLevel="0" collapsed="false">
      <c r="A69" s="3"/>
      <c r="B69" s="26" t="s">
        <v>17</v>
      </c>
      <c r="C69" s="75" t="n">
        <v>0</v>
      </c>
      <c r="D69" s="75" t="n">
        <v>0</v>
      </c>
      <c r="E69" s="61" t="n">
        <f aca="false">SUMIF('[1]FACT N°128SFOT17'!$E$21:$E$22,B14,'[1]FACT N°128SFOT17'!$I$21:$I$22)+SUMIF('[1]FACT N°131SFOT17'!$E$21:$E$43,B14,'[1]FACT N°131SFOT17'!$I$21:$I$43)</f>
        <v>474722.96</v>
      </c>
      <c r="F69" s="75" t="n">
        <v>0</v>
      </c>
      <c r="G69" s="75" t="n">
        <f aca="false">SUMIF('[1]FACT N°126SFOT17'!$E$21:$E$39,B14,'[1]FACT N°126SFOT17'!$I$21:$I$39)+SUMIF('[1]FACT N°125SFOT17'!$E$21:$E$44,B14,'[1]FACT N°125SFOT17'!$I$21:$I$44)+SUMIF('[1]FACT N°130SFOT17'!$E$21,B14,'[1]FACT N°130SFOT17'!$I$21)+SUMIF('[1]FACT N°129SFOT17'!$E$21:$E$26,B14,'[1]FACT N°129SFOT17'!$I$21:$I$26)</f>
        <v>2041969.875</v>
      </c>
      <c r="H69" s="76" t="n">
        <f aca="false">SUM(C69:G69)</f>
        <v>2516692.835</v>
      </c>
      <c r="I69" s="62" t="n">
        <f aca="false">SUMIF('[1]FACT N°17SBOT17'!$E$21,B14,'[1]FACT N°17SBOT17'!$H$21)+SUMIF('[1]FACT N°16SBOT17'!$E$21:$E$22,B14,'[1]FACT N°16SBOT17'!$H$21:$H$22)+SUMIF('[1]FACT N°127SFOT17'!$E$21,B14,'[1]FACT N°127SFOT17'!$H$21)+SUMIF('[1]FACT N°18SBOT17'!$E$21,B14,'[1]FACT N°18SBOT17'!$H$21)</f>
        <v>0</v>
      </c>
      <c r="J69" s="28" t="n">
        <f aca="false">I69+H69</f>
        <v>2516692.835</v>
      </c>
      <c r="K69" s="7"/>
      <c r="L69" s="3"/>
    </row>
    <row r="70" customFormat="false" ht="15.75" hidden="false" customHeight="false" outlineLevel="0" collapsed="false">
      <c r="A70" s="3"/>
      <c r="B70" s="26" t="s">
        <v>18</v>
      </c>
      <c r="C70" s="75" t="n">
        <v>0</v>
      </c>
      <c r="D70" s="75" t="n">
        <v>0</v>
      </c>
      <c r="E70" s="61" t="n">
        <f aca="false">SUMIF('[1]FACT N°128SFOT17'!$E$21:$E$22,B15,'[1]FACT N°128SFOT17'!$I$21:$I$22)+SUMIF('[1]FACT N°131SFOT17'!$E$21:$E$43,B15,'[1]FACT N°131SFOT17'!$I$21:$I$43)</f>
        <v>1399372.68</v>
      </c>
      <c r="F70" s="75" t="n">
        <v>0</v>
      </c>
      <c r="G70" s="75" t="n">
        <f aca="false">SUMIF('[1]FACT N°126SFOT17'!$E$21:$E$39,B15,'[1]FACT N°126SFOT17'!$I$21:$I$39)+SUMIF('[1]FACT N°125SFOT17'!$E$21:$E$44,B15,'[1]FACT N°125SFOT17'!$I$21:$I$44)+SUMIF('[1]FACT N°130SFOT17'!$E$21,B15,'[1]FACT N°130SFOT17'!$I$21)+SUMIF('[1]FACT N°129SFOT17'!$E$21:$E$26,B15,'[1]FACT N°129SFOT17'!$I$21:$I$26)</f>
        <v>766887</v>
      </c>
      <c r="H70" s="76" t="n">
        <f aca="false">SUM(C70:G70)</f>
        <v>2166259.68</v>
      </c>
      <c r="I70" s="62" t="n">
        <f aca="false">SUMIF('[1]FACT N°17SBOT17'!$E$21,B15,'[1]FACT N°17SBOT17'!$H$21)+SUMIF('[1]FACT N°16SBOT17'!$E$21:$E$22,B15,'[1]FACT N°16SBOT17'!$H$21:$H$22)+SUMIF('[1]FACT N°127SFOT17'!$E$21,B15,'[1]FACT N°127SFOT17'!$H$21)+SUMIF('[1]FACT N°18SBOT17'!$E$21,B15,'[1]FACT N°18SBOT17'!$H$21)</f>
        <v>0</v>
      </c>
      <c r="J70" s="28" t="n">
        <f aca="false">I70+H70</f>
        <v>2166259.68</v>
      </c>
      <c r="K70" s="7"/>
      <c r="L70" s="3"/>
    </row>
    <row r="71" customFormat="false" ht="15.75" hidden="false" customHeight="false" outlineLevel="0" collapsed="false">
      <c r="A71" s="3"/>
      <c r="B71" s="26" t="s">
        <v>19</v>
      </c>
      <c r="C71" s="75" t="n">
        <v>0</v>
      </c>
      <c r="D71" s="75" t="n">
        <v>0</v>
      </c>
      <c r="E71" s="61" t="n">
        <f aca="false">SUMIF('[1]FACT N°128SFOT17'!$E$21:$E$22,B16,'[1]FACT N°128SFOT17'!$I$21:$I$22)+SUMIF('[1]FACT N°131SFOT17'!$E$21:$E$43,B16,'[1]FACT N°131SFOT17'!$I$21:$I$43)</f>
        <v>0</v>
      </c>
      <c r="F71" s="75" t="n">
        <v>0</v>
      </c>
      <c r="G71" s="75" t="n">
        <f aca="false">SUMIF('[1]FACT N°126SFOT17'!$E$21:$E$39,B16,'[1]FACT N°126SFOT17'!$I$21:$I$39)+SUMIF('[1]FACT N°125SFOT17'!$E$21:$E$44,B16,'[1]FACT N°125SFOT17'!$I$21:$I$44)+SUMIF('[1]FACT N°130SFOT17'!$E$21,B16,'[1]FACT N°130SFOT17'!$I$21)+SUMIF('[1]FACT N°129SFOT17'!$E$21:$E$26,B16,'[1]FACT N°129SFOT17'!$I$21:$I$26)</f>
        <v>2182838.25</v>
      </c>
      <c r="H71" s="76" t="n">
        <f aca="false">SUM(C71:G71)</f>
        <v>2182838.25</v>
      </c>
      <c r="I71" s="62" t="n">
        <f aca="false">SUMIF('[1]FACT N°17SBOT17'!$E$21,B16,'[1]FACT N°17SBOT17'!$H$21)+SUMIF('[1]FACT N°16SBOT17'!$E$21:$E$22,B16,'[1]FACT N°16SBOT17'!$H$21:$H$22)+SUMIF('[1]FACT N°127SFOT17'!$E$21,B16,'[1]FACT N°127SFOT17'!$H$21)+SUMIF('[1]FACT N°18SBOT17'!$E$21,B16,'[1]FACT N°18SBOT17'!$H$21)</f>
        <v>2150000</v>
      </c>
      <c r="J71" s="28" t="n">
        <f aca="false">I71+H71</f>
        <v>4332838.25</v>
      </c>
      <c r="K71" s="7"/>
      <c r="L71" s="3"/>
    </row>
    <row r="72" customFormat="false" ht="15.75" hidden="false" customHeight="false" outlineLevel="0" collapsed="false">
      <c r="A72" s="3"/>
      <c r="B72" s="26" t="s">
        <v>20</v>
      </c>
      <c r="C72" s="75" t="n">
        <v>0</v>
      </c>
      <c r="D72" s="75" t="n">
        <v>0</v>
      </c>
      <c r="E72" s="61" t="n">
        <f aca="false">SUMIF('[1]FACT N°128SFOT17'!$E$21:$E$22,B17,'[1]FACT N°128SFOT17'!$I$21:$I$22)+SUMIF('[1]FACT N°131SFOT17'!$E$21:$E$43,B17,'[1]FACT N°131SFOT17'!$I$21:$I$43)</f>
        <v>0</v>
      </c>
      <c r="F72" s="75" t="n">
        <v>0</v>
      </c>
      <c r="G72" s="75" t="n">
        <f aca="false">SUMIF('[1]FACT N°126SFOT17'!$E$21:$E$39,B17,'[1]FACT N°126SFOT17'!$I$21:$I$39)+SUMIF('[1]FACT N°125SFOT17'!$E$21:$E$44,B17,'[1]FACT N°125SFOT17'!$I$21:$I$44)+SUMIF('[1]FACT N°130SFOT17'!$E$21,B17,'[1]FACT N°130SFOT17'!$I$21)+SUMIF('[1]FACT N°129SFOT17'!$E$21:$E$26,B17,'[1]FACT N°129SFOT17'!$I$21:$I$26)</f>
        <v>1431193.875</v>
      </c>
      <c r="H72" s="76" t="n">
        <f aca="false">SUM(C72:G72)</f>
        <v>1431193.875</v>
      </c>
      <c r="I72" s="62" t="n">
        <f aca="false">SUMIF('[1]FACT N°17SBOT17'!$E$21,B17,'[1]FACT N°17SBOT17'!$H$21)+SUMIF('[1]FACT N°16SBOT17'!$E$21:$E$22,B17,'[1]FACT N°16SBOT17'!$H$21:$H$22)+SUMIF('[1]FACT N°127SFOT17'!$E$21,B17,'[1]FACT N°127SFOT17'!$H$21)+SUMIF('[1]FACT N°18SBOT17'!$E$21,B17,'[1]FACT N°18SBOT17'!$H$21)</f>
        <v>2150000</v>
      </c>
      <c r="J72" s="28" t="n">
        <f aca="false">I72+H72</f>
        <v>3581193.875</v>
      </c>
      <c r="K72" s="7"/>
      <c r="L72" s="3"/>
    </row>
    <row r="73" customFormat="false" ht="16.5" hidden="false" customHeight="false" outlineLevel="0" collapsed="false">
      <c r="A73" s="3"/>
      <c r="B73" s="26" t="s">
        <v>21</v>
      </c>
      <c r="C73" s="75" t="n">
        <v>0</v>
      </c>
      <c r="D73" s="75" t="n">
        <v>0</v>
      </c>
      <c r="E73" s="61" t="n">
        <f aca="false">SUMIF('[1]FACT N°128SFOT17'!$E$21:$E$22,B18,'[1]FACT N°128SFOT17'!$I$21:$I$22)+SUMIF('[1]FACT N°131SFOT17'!$E$21:$E$43,B18,'[1]FACT N°131SFOT17'!$I$21:$I$43)</f>
        <v>0</v>
      </c>
      <c r="F73" s="75" t="n">
        <v>0</v>
      </c>
      <c r="G73" s="75" t="n">
        <f aca="false">SUMIF('[1]FACT N°126SFOT17'!$E$21:$E$39,B18,'[1]FACT N°126SFOT17'!$I$21:$I$39)+SUMIF('[1]FACT N°125SFOT17'!$E$21:$E$44,B18,'[1]FACT N°125SFOT17'!$I$21:$I$44)+SUMIF('[1]FACT N°130SFOT17'!$E$21,B18,'[1]FACT N°130SFOT17'!$I$21)+SUMIF('[1]FACT N°129SFOT17'!$E$21:$E$26,B18,'[1]FACT N°129SFOT17'!$I$21:$I$26)</f>
        <v>1627907.25</v>
      </c>
      <c r="H73" s="76" t="n">
        <f aca="false">SUM(C73:G73)</f>
        <v>1627907.25</v>
      </c>
      <c r="I73" s="62" t="n">
        <f aca="false">SUMIF('[1]FACT N°17SBOT17'!$E$21,B18,'[1]FACT N°17SBOT17'!$H$21)+SUMIF('[1]FACT N°16SBOT17'!$E$21:$E$22,B18,'[1]FACT N°16SBOT17'!$H$21:$H$22)+SUMIF('[1]FACT N°127SFOT17'!$E$21,B18,'[1]FACT N°127SFOT17'!$H$21)+SUMIF('[1]FACT N°18SBOT17'!$E$21,B18,'[1]FACT N°18SBOT17'!$H$21)</f>
        <v>2150000</v>
      </c>
      <c r="J73" s="28" t="n">
        <f aca="false">I73+H73</f>
        <v>3777907.25</v>
      </c>
      <c r="K73" s="77"/>
      <c r="L73" s="77"/>
    </row>
    <row r="74" customFormat="false" ht="16.5" hidden="false" customHeight="false" outlineLevel="0" collapsed="false">
      <c r="A74" s="3"/>
      <c r="B74" s="10" t="s">
        <v>4</v>
      </c>
      <c r="C74" s="78" t="n">
        <f aca="false">SUM(C61:C73)</f>
        <v>0</v>
      </c>
      <c r="D74" s="78" t="n">
        <f aca="false">SUM(D61:D73)</f>
        <v>0</v>
      </c>
      <c r="E74" s="78" t="n">
        <f aca="false">SUM(E61:E73)</f>
        <v>5778607.02</v>
      </c>
      <c r="F74" s="78" t="n">
        <f aca="false">SUM(F61:F73)</f>
        <v>0</v>
      </c>
      <c r="G74" s="78" t="n">
        <f aca="false">SUM(G61:G73)</f>
        <v>12972207</v>
      </c>
      <c r="H74" s="78" t="n">
        <f aca="false">SUM(H61:H73)</f>
        <v>18750814.02</v>
      </c>
      <c r="I74" s="79" t="n">
        <f aca="false">SUM(I61:I73)</f>
        <v>11250000</v>
      </c>
      <c r="J74" s="57" t="n">
        <f aca="false">SUM(J61:J73)</f>
        <v>30000814.02</v>
      </c>
      <c r="K74" s="7"/>
      <c r="L74" s="42"/>
    </row>
    <row r="75" customFormat="false" ht="15" hidden="false" customHeight="false" outlineLevel="0" collapsed="false">
      <c r="A75" s="1"/>
      <c r="B75" s="1"/>
      <c r="C75" s="80"/>
      <c r="D75" s="80"/>
      <c r="E75" s="81"/>
      <c r="F75" s="80"/>
      <c r="G75" s="82"/>
      <c r="H75" s="1"/>
      <c r="I75" s="83"/>
      <c r="J75" s="84"/>
      <c r="K75" s="1"/>
      <c r="L75" s="1"/>
    </row>
    <row r="76" customFormat="false" ht="15" hidden="false" customHeight="false" outlineLevel="0" collapsed="false">
      <c r="A76" s="1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</row>
    <row r="77" customFormat="false" ht="15" hidden="false" customHeight="false" outlineLevel="0" collapsed="false">
      <c r="D77" s="85"/>
    </row>
    <row r="78" customFormat="false" ht="28.5" hidden="false" customHeight="false" outlineLevel="0" collapsed="false">
      <c r="A78" s="86"/>
      <c r="B78" s="87"/>
      <c r="C78" s="88" t="s">
        <v>0</v>
      </c>
      <c r="D78" s="88"/>
      <c r="E78" s="88"/>
      <c r="F78" s="88"/>
      <c r="G78" s="89" t="s">
        <v>38</v>
      </c>
      <c r="H78" s="87"/>
      <c r="I78" s="90"/>
      <c r="J78" s="91"/>
      <c r="K78" s="87"/>
      <c r="L78" s="87"/>
    </row>
    <row r="79" customFormat="false" ht="16.5" hidden="false" customHeight="false" outlineLevel="0" collapsed="false">
      <c r="A79" s="86"/>
      <c r="B79" s="87"/>
      <c r="C79" s="92"/>
      <c r="D79" s="92"/>
      <c r="E79" s="93"/>
      <c r="F79" s="92"/>
      <c r="G79" s="92"/>
      <c r="H79" s="87"/>
      <c r="I79" s="90"/>
      <c r="J79" s="91"/>
      <c r="K79" s="87"/>
      <c r="L79" s="87"/>
    </row>
    <row r="80" customFormat="false" ht="15.75" hidden="false" customHeight="false" outlineLevel="0" collapsed="false">
      <c r="A80" s="86"/>
      <c r="B80" s="94" t="s">
        <v>2</v>
      </c>
      <c r="C80" s="95" t="s">
        <v>3</v>
      </c>
      <c r="D80" s="95"/>
      <c r="E80" s="95"/>
      <c r="F80" s="95"/>
      <c r="G80" s="95"/>
      <c r="H80" s="96" t="s">
        <v>4</v>
      </c>
      <c r="I80" s="97" t="s">
        <v>5</v>
      </c>
      <c r="J80" s="98" t="s">
        <v>6</v>
      </c>
      <c r="K80" s="99" t="s">
        <v>7</v>
      </c>
      <c r="L80" s="94" t="s">
        <v>4</v>
      </c>
    </row>
    <row r="81" customFormat="false" ht="16.5" hidden="false" customHeight="false" outlineLevel="0" collapsed="false">
      <c r="A81" s="86"/>
      <c r="B81" s="94"/>
      <c r="C81" s="100" t="n">
        <v>10064</v>
      </c>
      <c r="D81" s="100" t="n">
        <v>10012</v>
      </c>
      <c r="E81" s="100" t="n">
        <v>10009</v>
      </c>
      <c r="F81" s="100" t="n">
        <v>10008</v>
      </c>
      <c r="G81" s="101" t="n">
        <v>10010</v>
      </c>
      <c r="H81" s="96"/>
      <c r="I81" s="97"/>
      <c r="J81" s="98"/>
      <c r="K81" s="99"/>
      <c r="L81" s="94"/>
    </row>
    <row r="82" customFormat="false" ht="15.75" hidden="false" customHeight="false" outlineLevel="0" collapsed="false">
      <c r="A82" s="86"/>
      <c r="B82" s="102" t="s">
        <v>8</v>
      </c>
      <c r="C82" s="103" t="n">
        <v>0</v>
      </c>
      <c r="D82" s="104" t="n">
        <v>0</v>
      </c>
      <c r="E82" s="105" t="n">
        <v>0</v>
      </c>
      <c r="F82" s="104" t="n">
        <v>0</v>
      </c>
      <c r="G82" s="104" t="n">
        <v>0</v>
      </c>
      <c r="H82" s="106" t="n">
        <v>0</v>
      </c>
      <c r="I82" s="107" t="n">
        <v>0</v>
      </c>
      <c r="J82" s="108" t="n">
        <v>2</v>
      </c>
      <c r="K82" s="107" t="n">
        <v>50000</v>
      </c>
      <c r="L82" s="109" t="n">
        <v>50000</v>
      </c>
    </row>
    <row r="83" customFormat="false" ht="15.75" hidden="false" customHeight="false" outlineLevel="0" collapsed="false">
      <c r="A83" s="86"/>
      <c r="B83" s="110" t="s">
        <v>9</v>
      </c>
      <c r="C83" s="103" t="n">
        <v>0</v>
      </c>
      <c r="D83" s="104" t="n">
        <v>0</v>
      </c>
      <c r="E83" s="105" t="n">
        <v>0</v>
      </c>
      <c r="F83" s="104" t="n">
        <v>0</v>
      </c>
      <c r="G83" s="104" t="n">
        <v>0</v>
      </c>
      <c r="H83" s="103" t="n">
        <v>0</v>
      </c>
      <c r="I83" s="111" t="n">
        <v>0</v>
      </c>
      <c r="J83" s="108" t="n">
        <v>1</v>
      </c>
      <c r="K83" s="111" t="n">
        <v>25000</v>
      </c>
      <c r="L83" s="112" t="n">
        <v>25000</v>
      </c>
    </row>
    <row r="84" customFormat="false" ht="15.75" hidden="false" customHeight="false" outlineLevel="0" collapsed="false">
      <c r="A84" s="86"/>
      <c r="B84" s="110" t="s">
        <v>10</v>
      </c>
      <c r="C84" s="103" t="n">
        <v>0</v>
      </c>
      <c r="D84" s="104" t="n">
        <v>0</v>
      </c>
      <c r="E84" s="105" t="n">
        <v>0</v>
      </c>
      <c r="F84" s="104" t="n">
        <v>0</v>
      </c>
      <c r="G84" s="104" t="n">
        <v>0</v>
      </c>
      <c r="H84" s="103" t="n">
        <v>0</v>
      </c>
      <c r="I84" s="111" t="n">
        <v>0</v>
      </c>
      <c r="J84" s="108" t="n">
        <v>2</v>
      </c>
      <c r="K84" s="111" t="n">
        <v>60000</v>
      </c>
      <c r="L84" s="112" t="n">
        <v>60000</v>
      </c>
    </row>
    <row r="85" customFormat="false" ht="15.75" hidden="false" customHeight="false" outlineLevel="0" collapsed="false">
      <c r="A85" s="86"/>
      <c r="B85" s="110" t="s">
        <v>11</v>
      </c>
      <c r="C85" s="103" t="n">
        <v>0</v>
      </c>
      <c r="D85" s="104" t="n">
        <v>0</v>
      </c>
      <c r="E85" s="105" t="n">
        <v>4</v>
      </c>
      <c r="F85" s="104" t="n">
        <v>0</v>
      </c>
      <c r="G85" s="104" t="n">
        <v>3</v>
      </c>
      <c r="H85" s="103" t="n">
        <v>7</v>
      </c>
      <c r="I85" s="111" t="n">
        <v>35000</v>
      </c>
      <c r="J85" s="108" t="n">
        <v>0</v>
      </c>
      <c r="K85" s="111" t="n">
        <v>0</v>
      </c>
      <c r="L85" s="112" t="n">
        <v>35000</v>
      </c>
    </row>
    <row r="86" customFormat="false" ht="15.75" hidden="false" customHeight="false" outlineLevel="0" collapsed="false">
      <c r="A86" s="86"/>
      <c r="B86" s="110" t="s">
        <v>13</v>
      </c>
      <c r="C86" s="103" t="n">
        <v>0</v>
      </c>
      <c r="D86" s="104" t="n">
        <v>0</v>
      </c>
      <c r="E86" s="105" t="n">
        <v>3</v>
      </c>
      <c r="F86" s="104" t="n">
        <v>0</v>
      </c>
      <c r="G86" s="104" t="n">
        <v>0</v>
      </c>
      <c r="H86" s="103" t="n">
        <v>3</v>
      </c>
      <c r="I86" s="111" t="n">
        <v>15000</v>
      </c>
      <c r="J86" s="108" t="n">
        <v>1</v>
      </c>
      <c r="K86" s="111" t="n">
        <v>25000</v>
      </c>
      <c r="L86" s="112" t="n">
        <v>40000</v>
      </c>
    </row>
    <row r="87" customFormat="false" ht="15.75" hidden="false" customHeight="false" outlineLevel="0" collapsed="false">
      <c r="A87" s="86"/>
      <c r="B87" s="110" t="s">
        <v>14</v>
      </c>
      <c r="C87" s="103" t="n">
        <v>0</v>
      </c>
      <c r="D87" s="104" t="n">
        <v>0</v>
      </c>
      <c r="E87" s="105" t="n">
        <v>2</v>
      </c>
      <c r="F87" s="104" t="n">
        <v>0</v>
      </c>
      <c r="G87" s="104" t="n">
        <v>2</v>
      </c>
      <c r="H87" s="103" t="n">
        <v>4</v>
      </c>
      <c r="I87" s="111" t="n">
        <v>20000</v>
      </c>
      <c r="J87" s="108" t="n">
        <v>0</v>
      </c>
      <c r="K87" s="111" t="n">
        <v>0</v>
      </c>
      <c r="L87" s="112" t="n">
        <v>20000</v>
      </c>
    </row>
    <row r="88" customFormat="false" ht="15.75" hidden="false" customHeight="false" outlineLevel="0" collapsed="false">
      <c r="A88" s="86"/>
      <c r="B88" s="110" t="s">
        <v>15</v>
      </c>
      <c r="C88" s="103" t="n">
        <v>0</v>
      </c>
      <c r="D88" s="104" t="n">
        <v>0</v>
      </c>
      <c r="E88" s="105" t="n">
        <v>4</v>
      </c>
      <c r="F88" s="104" t="n">
        <v>0</v>
      </c>
      <c r="G88" s="104" t="n">
        <v>5</v>
      </c>
      <c r="H88" s="103" t="n">
        <v>9</v>
      </c>
      <c r="I88" s="111" t="n">
        <v>45000</v>
      </c>
      <c r="J88" s="108" t="n">
        <v>0</v>
      </c>
      <c r="K88" s="111" t="n">
        <v>0</v>
      </c>
      <c r="L88" s="112" t="n">
        <v>45000</v>
      </c>
    </row>
    <row r="89" customFormat="false" ht="15.75" hidden="false" customHeight="false" outlineLevel="0" collapsed="false">
      <c r="A89" s="86"/>
      <c r="B89" s="110" t="s">
        <v>16</v>
      </c>
      <c r="C89" s="103" t="n">
        <v>0</v>
      </c>
      <c r="D89" s="104" t="n">
        <v>0</v>
      </c>
      <c r="E89" s="105" t="n">
        <v>7</v>
      </c>
      <c r="F89" s="104" t="n">
        <v>0</v>
      </c>
      <c r="G89" s="104" t="n">
        <v>2</v>
      </c>
      <c r="H89" s="103" t="n">
        <v>9</v>
      </c>
      <c r="I89" s="111" t="n">
        <v>45000</v>
      </c>
      <c r="J89" s="108" t="n">
        <v>0</v>
      </c>
      <c r="K89" s="111" t="n">
        <v>0</v>
      </c>
      <c r="L89" s="112" t="n">
        <v>45000</v>
      </c>
    </row>
    <row r="90" customFormat="false" ht="15.75" hidden="false" customHeight="false" outlineLevel="0" collapsed="false">
      <c r="A90" s="86"/>
      <c r="B90" s="110" t="s">
        <v>17</v>
      </c>
      <c r="C90" s="103" t="n">
        <v>0</v>
      </c>
      <c r="D90" s="104" t="n">
        <v>0</v>
      </c>
      <c r="E90" s="105" t="n">
        <v>4</v>
      </c>
      <c r="F90" s="104" t="n">
        <v>0</v>
      </c>
      <c r="G90" s="104" t="n">
        <v>4</v>
      </c>
      <c r="H90" s="103" t="n">
        <v>8</v>
      </c>
      <c r="I90" s="111" t="n">
        <v>40000</v>
      </c>
      <c r="J90" s="108" t="n">
        <v>0</v>
      </c>
      <c r="K90" s="111" t="n">
        <v>0</v>
      </c>
      <c r="L90" s="112" t="n">
        <v>40000</v>
      </c>
    </row>
    <row r="91" customFormat="false" ht="15.75" hidden="false" customHeight="false" outlineLevel="0" collapsed="false">
      <c r="A91" s="86"/>
      <c r="B91" s="110" t="s">
        <v>18</v>
      </c>
      <c r="C91" s="103" t="n">
        <v>0</v>
      </c>
      <c r="D91" s="104" t="n">
        <v>0</v>
      </c>
      <c r="E91" s="105" t="n">
        <v>9</v>
      </c>
      <c r="F91" s="104" t="n">
        <v>0</v>
      </c>
      <c r="G91" s="104" t="n">
        <v>2</v>
      </c>
      <c r="H91" s="103" t="n">
        <v>11</v>
      </c>
      <c r="I91" s="111" t="n">
        <v>55000</v>
      </c>
      <c r="J91" s="108" t="n">
        <v>0</v>
      </c>
      <c r="K91" s="111" t="n">
        <v>0</v>
      </c>
      <c r="L91" s="112" t="n">
        <v>55000</v>
      </c>
    </row>
    <row r="92" customFormat="false" ht="15.75" hidden="false" customHeight="false" outlineLevel="0" collapsed="false">
      <c r="A92" s="86"/>
      <c r="B92" s="110" t="s">
        <v>19</v>
      </c>
      <c r="C92" s="103" t="n">
        <v>0</v>
      </c>
      <c r="D92" s="104" t="n">
        <v>0</v>
      </c>
      <c r="E92" s="105" t="n">
        <v>2</v>
      </c>
      <c r="F92" s="104" t="n">
        <v>0</v>
      </c>
      <c r="G92" s="104" t="n">
        <v>4</v>
      </c>
      <c r="H92" s="103" t="n">
        <v>6</v>
      </c>
      <c r="I92" s="111" t="n">
        <v>30000</v>
      </c>
      <c r="J92" s="108" t="n">
        <v>0</v>
      </c>
      <c r="K92" s="111" t="n">
        <v>0</v>
      </c>
      <c r="L92" s="112" t="n">
        <v>30000</v>
      </c>
    </row>
    <row r="93" customFormat="false" ht="15.75" hidden="false" customHeight="false" outlineLevel="0" collapsed="false">
      <c r="A93" s="86"/>
      <c r="B93" s="110" t="s">
        <v>20</v>
      </c>
      <c r="C93" s="103" t="n">
        <v>0</v>
      </c>
      <c r="D93" s="104" t="n">
        <v>0</v>
      </c>
      <c r="E93" s="105" t="n">
        <v>0</v>
      </c>
      <c r="F93" s="104" t="n">
        <v>0</v>
      </c>
      <c r="G93" s="104" t="n">
        <v>3</v>
      </c>
      <c r="H93" s="103" t="n">
        <v>3</v>
      </c>
      <c r="I93" s="111" t="n">
        <v>15000</v>
      </c>
      <c r="J93" s="108" t="n">
        <v>1</v>
      </c>
      <c r="K93" s="111" t="n">
        <v>25000</v>
      </c>
      <c r="L93" s="112" t="n">
        <v>40000</v>
      </c>
    </row>
    <row r="94" customFormat="false" ht="16.5" hidden="false" customHeight="false" outlineLevel="0" collapsed="false">
      <c r="A94" s="86"/>
      <c r="B94" s="110" t="s">
        <v>21</v>
      </c>
      <c r="C94" s="103" t="n">
        <v>0</v>
      </c>
      <c r="D94" s="104" t="n">
        <v>0</v>
      </c>
      <c r="E94" s="105" t="n">
        <v>3</v>
      </c>
      <c r="F94" s="104" t="n">
        <v>0</v>
      </c>
      <c r="G94" s="104" t="n">
        <v>3</v>
      </c>
      <c r="H94" s="103" t="n">
        <v>6</v>
      </c>
      <c r="I94" s="111" t="n">
        <v>30000</v>
      </c>
      <c r="J94" s="108" t="n">
        <v>0</v>
      </c>
      <c r="K94" s="111" t="n">
        <v>0</v>
      </c>
      <c r="L94" s="112" t="n">
        <v>30000</v>
      </c>
    </row>
    <row r="95" customFormat="false" ht="16.5" hidden="false" customHeight="false" outlineLevel="0" collapsed="false">
      <c r="A95" s="86"/>
      <c r="B95" s="94" t="s">
        <v>4</v>
      </c>
      <c r="C95" s="113" t="n">
        <v>0</v>
      </c>
      <c r="D95" s="113" t="n">
        <v>0</v>
      </c>
      <c r="E95" s="113" t="n">
        <v>38</v>
      </c>
      <c r="F95" s="113" t="n">
        <v>0</v>
      </c>
      <c r="G95" s="113" t="n">
        <v>28</v>
      </c>
      <c r="H95" s="113" t="n">
        <v>66</v>
      </c>
      <c r="I95" s="114" t="n">
        <v>330000</v>
      </c>
      <c r="J95" s="114" t="n">
        <v>7</v>
      </c>
      <c r="K95" s="115" t="n">
        <v>185000</v>
      </c>
      <c r="L95" s="116" t="n">
        <v>515000</v>
      </c>
    </row>
    <row r="96" customFormat="false" ht="15.75" hidden="false" customHeight="false" outlineLevel="0" collapsed="false">
      <c r="A96" s="86"/>
      <c r="B96" s="87"/>
      <c r="C96" s="92"/>
      <c r="D96" s="92"/>
      <c r="E96" s="93"/>
      <c r="F96" s="92"/>
      <c r="G96" s="92"/>
      <c r="H96" s="87"/>
      <c r="I96" s="90"/>
      <c r="J96" s="91"/>
      <c r="K96" s="87"/>
      <c r="L96" s="87"/>
    </row>
    <row r="97" customFormat="false" ht="17.25" hidden="false" customHeight="false" outlineLevel="0" collapsed="false">
      <c r="A97" s="86"/>
      <c r="B97" s="117"/>
      <c r="C97" s="118" t="s">
        <v>39</v>
      </c>
      <c r="D97" s="118"/>
      <c r="E97" s="118"/>
      <c r="F97" s="118"/>
      <c r="G97" s="118"/>
      <c r="H97" s="117"/>
      <c r="I97" s="119"/>
      <c r="J97" s="91"/>
      <c r="K97" s="87"/>
      <c r="L97" s="87"/>
    </row>
    <row r="98" customFormat="false" ht="17.25" hidden="false" customHeight="false" outlineLevel="0" collapsed="false">
      <c r="A98" s="86"/>
      <c r="B98" s="120" t="s">
        <v>22</v>
      </c>
      <c r="C98" s="121" t="s">
        <v>23</v>
      </c>
      <c r="D98" s="122" t="s">
        <v>7</v>
      </c>
      <c r="E98" s="123" t="s">
        <v>24</v>
      </c>
      <c r="F98" s="122" t="s">
        <v>25</v>
      </c>
      <c r="G98" s="122" t="s">
        <v>26</v>
      </c>
      <c r="H98" s="122" t="s">
        <v>27</v>
      </c>
      <c r="I98" s="124" t="s">
        <v>28</v>
      </c>
      <c r="J98" s="120" t="s">
        <v>4</v>
      </c>
      <c r="K98" s="125"/>
      <c r="L98" s="126"/>
    </row>
    <row r="99" customFormat="false" ht="15.75" hidden="false" customHeight="false" outlineLevel="0" collapsed="false">
      <c r="A99" s="86"/>
      <c r="B99" s="102" t="s">
        <v>8</v>
      </c>
      <c r="C99" s="127" t="n">
        <v>200000</v>
      </c>
      <c r="D99" s="127" t="n">
        <v>50000</v>
      </c>
      <c r="E99" s="128" t="n">
        <v>50000</v>
      </c>
      <c r="F99" s="111" t="n">
        <v>0</v>
      </c>
      <c r="G99" s="129" t="n">
        <v>0</v>
      </c>
      <c r="H99" s="130" t="n">
        <v>0</v>
      </c>
      <c r="I99" s="130" t="n">
        <v>50000</v>
      </c>
      <c r="J99" s="109" t="n">
        <v>300000</v>
      </c>
      <c r="K99" s="125"/>
      <c r="L99" s="87"/>
    </row>
    <row r="100" customFormat="false" ht="15.75" hidden="false" customHeight="false" outlineLevel="0" collapsed="false">
      <c r="A100" s="86"/>
      <c r="B100" s="110" t="s">
        <v>9</v>
      </c>
      <c r="C100" s="131" t="n">
        <v>150000</v>
      </c>
      <c r="D100" s="127" t="n">
        <v>25000</v>
      </c>
      <c r="E100" s="132" t="n">
        <v>50000</v>
      </c>
      <c r="F100" s="111" t="n">
        <v>0</v>
      </c>
      <c r="G100" s="129" t="n">
        <v>0</v>
      </c>
      <c r="H100" s="130" t="n">
        <v>0</v>
      </c>
      <c r="I100" s="130" t="n">
        <v>25000</v>
      </c>
      <c r="J100" s="112" t="n">
        <v>225000</v>
      </c>
      <c r="K100" s="125"/>
      <c r="L100" s="87"/>
    </row>
    <row r="101" customFormat="false" ht="15.75" hidden="false" customHeight="false" outlineLevel="0" collapsed="false">
      <c r="A101" s="86"/>
      <c r="B101" s="110" t="s">
        <v>10</v>
      </c>
      <c r="C101" s="131" t="n">
        <v>150000</v>
      </c>
      <c r="D101" s="127" t="n">
        <v>60000</v>
      </c>
      <c r="E101" s="132" t="n">
        <v>50000</v>
      </c>
      <c r="F101" s="111" t="n">
        <v>0</v>
      </c>
      <c r="G101" s="129" t="n">
        <v>0</v>
      </c>
      <c r="H101" s="130" t="n">
        <v>0</v>
      </c>
      <c r="I101" s="130" t="n">
        <v>60000</v>
      </c>
      <c r="J101" s="112" t="n">
        <v>260000</v>
      </c>
      <c r="K101" s="125"/>
      <c r="L101" s="87"/>
    </row>
    <row r="102" customFormat="false" ht="15.75" hidden="false" customHeight="false" outlineLevel="0" collapsed="false">
      <c r="A102" s="86"/>
      <c r="B102" s="110" t="s">
        <v>11</v>
      </c>
      <c r="C102" s="131" t="n">
        <v>150000</v>
      </c>
      <c r="D102" s="127" t="n">
        <v>35000</v>
      </c>
      <c r="E102" s="132" t="n">
        <v>50000</v>
      </c>
      <c r="F102" s="111" t="n">
        <v>0</v>
      </c>
      <c r="G102" s="129" t="n">
        <v>12500</v>
      </c>
      <c r="H102" s="130" t="n">
        <v>0</v>
      </c>
      <c r="I102" s="130" t="n">
        <v>22500</v>
      </c>
      <c r="J102" s="112" t="n">
        <v>222500</v>
      </c>
      <c r="K102" s="125"/>
      <c r="L102" s="87"/>
    </row>
    <row r="103" customFormat="false" ht="15.75" hidden="false" customHeight="false" outlineLevel="0" collapsed="false">
      <c r="A103" s="86"/>
      <c r="B103" s="110" t="s">
        <v>13</v>
      </c>
      <c r="C103" s="131" t="n">
        <v>150000</v>
      </c>
      <c r="D103" s="127" t="n">
        <v>40000</v>
      </c>
      <c r="E103" s="132" t="n">
        <v>50000</v>
      </c>
      <c r="F103" s="111" t="n">
        <v>0</v>
      </c>
      <c r="G103" s="129" t="n">
        <v>7500</v>
      </c>
      <c r="H103" s="130" t="n">
        <v>0</v>
      </c>
      <c r="I103" s="130" t="n">
        <v>32500</v>
      </c>
      <c r="J103" s="112" t="n">
        <v>232500</v>
      </c>
      <c r="K103" s="125"/>
      <c r="L103" s="125"/>
    </row>
    <row r="104" customFormat="false" ht="15.75" hidden="false" customHeight="false" outlineLevel="0" collapsed="false">
      <c r="A104" s="86"/>
      <c r="B104" s="110" t="s">
        <v>14</v>
      </c>
      <c r="C104" s="131" t="n">
        <v>150000</v>
      </c>
      <c r="D104" s="127" t="n">
        <v>20000</v>
      </c>
      <c r="E104" s="132" t="n">
        <v>50000</v>
      </c>
      <c r="F104" s="111" t="n">
        <v>0</v>
      </c>
      <c r="G104" s="129" t="n">
        <v>5000</v>
      </c>
      <c r="H104" s="130" t="n">
        <v>0</v>
      </c>
      <c r="I104" s="130" t="n">
        <v>15000</v>
      </c>
      <c r="J104" s="112" t="n">
        <v>215000</v>
      </c>
      <c r="K104" s="125"/>
      <c r="L104" s="125"/>
    </row>
    <row r="105" customFormat="false" ht="15.75" hidden="false" customHeight="false" outlineLevel="0" collapsed="false">
      <c r="A105" s="86"/>
      <c r="B105" s="110" t="s">
        <v>15</v>
      </c>
      <c r="C105" s="131" t="n">
        <v>150000</v>
      </c>
      <c r="D105" s="127" t="n">
        <v>45000</v>
      </c>
      <c r="E105" s="132" t="n">
        <v>50000</v>
      </c>
      <c r="F105" s="111" t="n">
        <v>0</v>
      </c>
      <c r="G105" s="129" t="n">
        <v>5000</v>
      </c>
      <c r="H105" s="130" t="n">
        <v>0</v>
      </c>
      <c r="I105" s="130" t="n">
        <v>40000</v>
      </c>
      <c r="J105" s="112" t="n">
        <v>240000</v>
      </c>
      <c r="K105" s="125"/>
      <c r="L105" s="125"/>
    </row>
    <row r="106" customFormat="false" ht="15.75" hidden="false" customHeight="false" outlineLevel="0" collapsed="false">
      <c r="A106" s="86" t="s">
        <v>30</v>
      </c>
      <c r="B106" s="110" t="s">
        <v>16</v>
      </c>
      <c r="C106" s="131" t="n">
        <v>150000</v>
      </c>
      <c r="D106" s="127" t="n">
        <v>45000</v>
      </c>
      <c r="E106" s="132" t="n">
        <v>50000</v>
      </c>
      <c r="F106" s="111" t="n">
        <v>0</v>
      </c>
      <c r="G106" s="129" t="n">
        <v>7500</v>
      </c>
      <c r="H106" s="130" t="n">
        <v>0</v>
      </c>
      <c r="I106" s="130" t="n">
        <v>37500</v>
      </c>
      <c r="J106" s="112" t="n">
        <v>237500</v>
      </c>
      <c r="K106" s="125"/>
      <c r="L106" s="125"/>
    </row>
    <row r="107" customFormat="false" ht="15.75" hidden="false" customHeight="false" outlineLevel="0" collapsed="false">
      <c r="A107" s="86"/>
      <c r="B107" s="110" t="s">
        <v>17</v>
      </c>
      <c r="C107" s="131" t="n">
        <v>150000</v>
      </c>
      <c r="D107" s="127" t="n">
        <v>40000</v>
      </c>
      <c r="E107" s="132" t="n">
        <v>50000</v>
      </c>
      <c r="F107" s="111" t="n">
        <v>2500</v>
      </c>
      <c r="G107" s="129" t="n">
        <v>12500</v>
      </c>
      <c r="H107" s="130" t="n">
        <v>0</v>
      </c>
      <c r="I107" s="130" t="n">
        <v>30000</v>
      </c>
      <c r="J107" s="112" t="n">
        <v>230000</v>
      </c>
      <c r="K107" s="125"/>
      <c r="L107" s="125"/>
    </row>
    <row r="108" customFormat="false" ht="15.75" hidden="false" customHeight="false" outlineLevel="0" collapsed="false">
      <c r="A108" s="86"/>
      <c r="B108" s="110" t="s">
        <v>18</v>
      </c>
      <c r="C108" s="131" t="n">
        <v>150000</v>
      </c>
      <c r="D108" s="127" t="n">
        <v>55000</v>
      </c>
      <c r="E108" s="132" t="n">
        <v>50000</v>
      </c>
      <c r="F108" s="111" t="n">
        <v>2500</v>
      </c>
      <c r="G108" s="129" t="n">
        <v>12500</v>
      </c>
      <c r="H108" s="130" t="n">
        <v>0</v>
      </c>
      <c r="I108" s="130" t="n">
        <v>45000</v>
      </c>
      <c r="J108" s="112" t="n">
        <v>245000</v>
      </c>
      <c r="K108" s="125"/>
      <c r="L108" s="125"/>
    </row>
    <row r="109" customFormat="false" ht="15.75" hidden="false" customHeight="false" outlineLevel="0" collapsed="false">
      <c r="A109" s="86"/>
      <c r="B109" s="133" t="s">
        <v>19</v>
      </c>
      <c r="C109" s="134" t="n">
        <v>150000</v>
      </c>
      <c r="D109" s="135" t="n">
        <v>30000</v>
      </c>
      <c r="E109" s="136" t="n">
        <v>50000</v>
      </c>
      <c r="F109" s="111" t="n">
        <v>2500</v>
      </c>
      <c r="G109" s="129" t="n">
        <v>2500</v>
      </c>
      <c r="H109" s="137" t="n">
        <v>0</v>
      </c>
      <c r="I109" s="137" t="n">
        <v>30000</v>
      </c>
      <c r="J109" s="138" t="n">
        <v>230000</v>
      </c>
      <c r="K109" s="125"/>
      <c r="L109" s="125"/>
    </row>
    <row r="110" customFormat="false" ht="15.75" hidden="false" customHeight="false" outlineLevel="0" collapsed="false">
      <c r="A110" s="86"/>
      <c r="B110" s="110" t="s">
        <v>20</v>
      </c>
      <c r="C110" s="131" t="n">
        <v>150000</v>
      </c>
      <c r="D110" s="127" t="n">
        <v>40000</v>
      </c>
      <c r="E110" s="132" t="n">
        <v>50000</v>
      </c>
      <c r="F110" s="111" t="n">
        <v>0</v>
      </c>
      <c r="G110" s="129" t="n">
        <v>2500</v>
      </c>
      <c r="H110" s="130" t="n">
        <v>0</v>
      </c>
      <c r="I110" s="130" t="n">
        <v>37500</v>
      </c>
      <c r="J110" s="112" t="n">
        <v>237500</v>
      </c>
      <c r="K110" s="125"/>
      <c r="L110" s="125"/>
    </row>
    <row r="111" customFormat="false" ht="16.5" hidden="false" customHeight="false" outlineLevel="0" collapsed="false">
      <c r="A111" s="86"/>
      <c r="B111" s="110" t="s">
        <v>21</v>
      </c>
      <c r="C111" s="131" t="n">
        <v>150000</v>
      </c>
      <c r="D111" s="127" t="n">
        <v>30000</v>
      </c>
      <c r="E111" s="132" t="n">
        <v>50000</v>
      </c>
      <c r="F111" s="111" t="n">
        <v>2500</v>
      </c>
      <c r="G111" s="129" t="n">
        <v>2500</v>
      </c>
      <c r="H111" s="130" t="n">
        <v>0</v>
      </c>
      <c r="I111" s="130" t="n">
        <v>30000</v>
      </c>
      <c r="J111" s="112" t="n">
        <v>230000</v>
      </c>
      <c r="K111" s="125"/>
      <c r="L111" s="125"/>
    </row>
    <row r="112" customFormat="false" ht="16.5" hidden="false" customHeight="false" outlineLevel="0" collapsed="false">
      <c r="A112" s="86"/>
      <c r="B112" s="139" t="s">
        <v>31</v>
      </c>
      <c r="C112" s="140" t="n">
        <v>2000000</v>
      </c>
      <c r="D112" s="140" t="n">
        <v>515000</v>
      </c>
      <c r="E112" s="140" t="n">
        <v>650000</v>
      </c>
      <c r="F112" s="140" t="n">
        <v>10000</v>
      </c>
      <c r="G112" s="141" t="n">
        <v>70000</v>
      </c>
      <c r="H112" s="140" t="n">
        <v>0</v>
      </c>
      <c r="I112" s="140" t="n">
        <v>455000</v>
      </c>
      <c r="J112" s="140" t="n">
        <v>3105000</v>
      </c>
      <c r="K112" s="125"/>
      <c r="L112" s="125"/>
    </row>
    <row r="113" customFormat="false" ht="15.75" hidden="false" customHeight="false" outlineLevel="0" collapsed="false">
      <c r="A113" s="86"/>
      <c r="B113" s="87"/>
      <c r="C113" s="92"/>
      <c r="D113" s="92"/>
      <c r="E113" s="93"/>
      <c r="F113" s="92"/>
      <c r="G113" s="92"/>
      <c r="H113" s="87"/>
      <c r="I113" s="90"/>
      <c r="J113" s="91"/>
      <c r="K113" s="87"/>
      <c r="L113" s="87"/>
    </row>
    <row r="114" customFormat="false" ht="16.5" hidden="false" customHeight="false" outlineLevel="0" collapsed="false">
      <c r="A114" s="86" t="s">
        <v>30</v>
      </c>
      <c r="B114" s="87"/>
      <c r="C114" s="92"/>
      <c r="D114" s="92"/>
      <c r="E114" s="142" t="s">
        <v>40</v>
      </c>
      <c r="F114" s="142"/>
      <c r="G114" s="142"/>
      <c r="H114" s="142"/>
      <c r="I114" s="142"/>
      <c r="J114" s="91"/>
      <c r="K114" s="87"/>
      <c r="L114" s="87"/>
    </row>
    <row r="115" customFormat="false" ht="17.25" hidden="false" customHeight="false" outlineLevel="0" collapsed="false">
      <c r="A115" s="86"/>
      <c r="B115" s="143"/>
      <c r="C115" s="117"/>
      <c r="D115" s="117"/>
      <c r="E115" s="93"/>
      <c r="F115" s="87"/>
      <c r="G115" s="87"/>
      <c r="H115" s="87"/>
      <c r="I115" s="144"/>
      <c r="J115" s="91"/>
      <c r="K115" s="87"/>
      <c r="L115" s="87"/>
    </row>
    <row r="116" customFormat="false" ht="15.75" hidden="false" customHeight="true" outlineLevel="0" collapsed="false">
      <c r="A116" s="86"/>
      <c r="B116" s="94" t="s">
        <v>2</v>
      </c>
      <c r="C116" s="95" t="s">
        <v>41</v>
      </c>
      <c r="D116" s="95"/>
      <c r="E116" s="95"/>
      <c r="F116" s="95"/>
      <c r="G116" s="95"/>
      <c r="H116" s="145" t="s">
        <v>32</v>
      </c>
      <c r="I116" s="146" t="s">
        <v>33</v>
      </c>
      <c r="J116" s="147" t="s">
        <v>4</v>
      </c>
      <c r="K116" s="87"/>
      <c r="L116" s="87"/>
    </row>
    <row r="117" customFormat="false" ht="16.5" hidden="false" customHeight="false" outlineLevel="0" collapsed="false">
      <c r="A117" s="86"/>
      <c r="B117" s="94"/>
      <c r="C117" s="100" t="n">
        <v>10064</v>
      </c>
      <c r="D117" s="100" t="n">
        <v>10012</v>
      </c>
      <c r="E117" s="100" t="n">
        <v>10009</v>
      </c>
      <c r="F117" s="100" t="n">
        <v>10008</v>
      </c>
      <c r="G117" s="100" t="n">
        <v>10010</v>
      </c>
      <c r="H117" s="145"/>
      <c r="I117" s="146"/>
      <c r="J117" s="147"/>
      <c r="K117" s="87"/>
      <c r="L117" s="87"/>
    </row>
    <row r="118" customFormat="false" ht="15.75" hidden="false" customHeight="false" outlineLevel="0" collapsed="false">
      <c r="A118" s="86"/>
      <c r="B118" s="148" t="s">
        <v>8</v>
      </c>
      <c r="C118" s="149" t="n">
        <v>0</v>
      </c>
      <c r="D118" s="150" t="n">
        <v>0</v>
      </c>
      <c r="E118" s="151" t="n">
        <v>0</v>
      </c>
      <c r="F118" s="150" t="n">
        <v>0</v>
      </c>
      <c r="G118" s="150" t="n">
        <v>0</v>
      </c>
      <c r="H118" s="152" t="n">
        <v>654080</v>
      </c>
      <c r="I118" s="152" t="n">
        <v>0</v>
      </c>
      <c r="J118" s="112" t="n">
        <v>654080</v>
      </c>
      <c r="K118" s="87"/>
      <c r="L118" s="87"/>
    </row>
    <row r="119" customFormat="false" ht="15.75" hidden="false" customHeight="false" outlineLevel="0" collapsed="false">
      <c r="A119" s="86"/>
      <c r="B119" s="110" t="s">
        <v>9</v>
      </c>
      <c r="C119" s="153" t="n">
        <v>0</v>
      </c>
      <c r="D119" s="150" t="n">
        <v>0</v>
      </c>
      <c r="E119" s="151" t="n">
        <v>0</v>
      </c>
      <c r="F119" s="150" t="n">
        <v>0</v>
      </c>
      <c r="G119" s="150" t="n">
        <v>0</v>
      </c>
      <c r="H119" s="152" t="n">
        <v>584000</v>
      </c>
      <c r="I119" s="152" t="n">
        <v>0</v>
      </c>
      <c r="J119" s="112" t="n">
        <v>584000</v>
      </c>
      <c r="K119" s="87"/>
      <c r="L119" s="87"/>
    </row>
    <row r="120" customFormat="false" ht="15.75" hidden="false" customHeight="false" outlineLevel="0" collapsed="false">
      <c r="A120" s="86"/>
      <c r="B120" s="110" t="s">
        <v>10</v>
      </c>
      <c r="C120" s="153" t="n">
        <v>0</v>
      </c>
      <c r="D120" s="150" t="n">
        <v>0</v>
      </c>
      <c r="E120" s="151" t="n">
        <v>0</v>
      </c>
      <c r="F120" s="150" t="n">
        <v>0</v>
      </c>
      <c r="G120" s="150" t="n">
        <v>0</v>
      </c>
      <c r="H120" s="152" t="n">
        <v>770880</v>
      </c>
      <c r="I120" s="152" t="n">
        <v>0</v>
      </c>
      <c r="J120" s="112" t="n">
        <v>770880</v>
      </c>
      <c r="K120" s="87"/>
      <c r="L120" s="87"/>
    </row>
    <row r="121" customFormat="false" ht="15.75" hidden="false" customHeight="false" outlineLevel="0" collapsed="false">
      <c r="A121" s="86"/>
      <c r="B121" s="110" t="s">
        <v>11</v>
      </c>
      <c r="C121" s="153" t="n">
        <v>0</v>
      </c>
      <c r="D121" s="150" t="n">
        <v>0</v>
      </c>
      <c r="E121" s="151" t="n">
        <v>4</v>
      </c>
      <c r="F121" s="150" t="n">
        <v>0</v>
      </c>
      <c r="G121" s="150" t="n">
        <v>3</v>
      </c>
      <c r="H121" s="152"/>
      <c r="I121" s="152" t="n">
        <v>481548.48</v>
      </c>
      <c r="J121" s="112" t="n">
        <v>481548.48</v>
      </c>
      <c r="K121" s="87"/>
      <c r="L121" s="87"/>
    </row>
    <row r="122" customFormat="false" ht="15.75" hidden="false" customHeight="false" outlineLevel="0" collapsed="false">
      <c r="A122" s="86"/>
      <c r="B122" s="110" t="s">
        <v>13</v>
      </c>
      <c r="C122" s="153" t="n">
        <v>0</v>
      </c>
      <c r="D122" s="150" t="n">
        <v>0</v>
      </c>
      <c r="E122" s="151" t="n">
        <v>3</v>
      </c>
      <c r="F122" s="150" t="n">
        <v>0</v>
      </c>
      <c r="G122" s="150" t="n">
        <v>0</v>
      </c>
      <c r="H122" s="152" t="n">
        <v>116800</v>
      </c>
      <c r="I122" s="152" t="n">
        <v>206377.92</v>
      </c>
      <c r="J122" s="112" t="n">
        <v>323177.92</v>
      </c>
      <c r="K122" s="87"/>
      <c r="L122" s="87"/>
    </row>
    <row r="123" customFormat="false" ht="15.75" hidden="false" customHeight="false" outlineLevel="0" collapsed="false">
      <c r="A123" s="86"/>
      <c r="B123" s="110" t="s">
        <v>14</v>
      </c>
      <c r="C123" s="153" t="n">
        <v>0</v>
      </c>
      <c r="D123" s="150" t="n">
        <v>0</v>
      </c>
      <c r="E123" s="151" t="n">
        <v>2</v>
      </c>
      <c r="F123" s="150" t="n">
        <v>0</v>
      </c>
      <c r="G123" s="150" t="n">
        <v>2</v>
      </c>
      <c r="H123" s="152" t="n">
        <v>642400</v>
      </c>
      <c r="I123" s="152" t="n">
        <v>275170.56</v>
      </c>
      <c r="J123" s="112" t="n">
        <v>917570.56</v>
      </c>
      <c r="K123" s="87"/>
      <c r="L123" s="87"/>
    </row>
    <row r="124" customFormat="false" ht="15.75" hidden="false" customHeight="false" outlineLevel="0" collapsed="false">
      <c r="A124" s="86"/>
      <c r="B124" s="110" t="s">
        <v>15</v>
      </c>
      <c r="C124" s="153" t="n">
        <v>0</v>
      </c>
      <c r="D124" s="150" t="n">
        <v>0</v>
      </c>
      <c r="E124" s="151" t="n">
        <v>4</v>
      </c>
      <c r="F124" s="150" t="n">
        <v>0</v>
      </c>
      <c r="G124" s="150" t="n">
        <v>5</v>
      </c>
      <c r="H124" s="152"/>
      <c r="I124" s="152" t="n">
        <v>619133.76</v>
      </c>
      <c r="J124" s="112" t="n">
        <v>619133.76</v>
      </c>
      <c r="K124" s="87"/>
      <c r="L124" s="87"/>
    </row>
    <row r="125" customFormat="false" ht="15.75" hidden="false" customHeight="false" outlineLevel="0" collapsed="false">
      <c r="A125" s="154"/>
      <c r="B125" s="133" t="s">
        <v>16</v>
      </c>
      <c r="C125" s="155" t="n">
        <v>0</v>
      </c>
      <c r="D125" s="156" t="n">
        <v>0</v>
      </c>
      <c r="E125" s="157" t="n">
        <v>7</v>
      </c>
      <c r="F125" s="156" t="n">
        <v>0</v>
      </c>
      <c r="G125" s="156" t="n">
        <v>2</v>
      </c>
      <c r="H125" s="158"/>
      <c r="I125" s="158" t="n">
        <v>619133.76</v>
      </c>
      <c r="J125" s="112" t="n">
        <v>619133.76</v>
      </c>
      <c r="K125" s="87"/>
      <c r="L125" s="87"/>
    </row>
    <row r="126" customFormat="false" ht="15.75" hidden="false" customHeight="false" outlineLevel="0" collapsed="false">
      <c r="A126" s="86"/>
      <c r="B126" s="110" t="s">
        <v>17</v>
      </c>
      <c r="C126" s="153" t="n">
        <v>0</v>
      </c>
      <c r="D126" s="150" t="n">
        <v>0</v>
      </c>
      <c r="E126" s="151" t="n">
        <v>4</v>
      </c>
      <c r="F126" s="150" t="n">
        <v>0</v>
      </c>
      <c r="G126" s="150" t="n">
        <v>4</v>
      </c>
      <c r="H126" s="152"/>
      <c r="I126" s="152" t="n">
        <v>550341.12</v>
      </c>
      <c r="J126" s="112" t="n">
        <v>550341.12</v>
      </c>
      <c r="K126" s="87"/>
      <c r="L126" s="87"/>
    </row>
    <row r="127" customFormat="false" ht="15.75" hidden="false" customHeight="false" outlineLevel="0" collapsed="false">
      <c r="A127" s="86"/>
      <c r="B127" s="110" t="s">
        <v>18</v>
      </c>
      <c r="C127" s="153" t="n">
        <v>0</v>
      </c>
      <c r="D127" s="150" t="n">
        <v>0</v>
      </c>
      <c r="E127" s="151" t="n">
        <v>9</v>
      </c>
      <c r="F127" s="150" t="n">
        <v>0</v>
      </c>
      <c r="G127" s="150" t="n">
        <v>2</v>
      </c>
      <c r="H127" s="152"/>
      <c r="I127" s="152" t="n">
        <v>756719.04</v>
      </c>
      <c r="J127" s="112" t="n">
        <v>756719.04</v>
      </c>
      <c r="K127" s="87"/>
      <c r="L127" s="87"/>
    </row>
    <row r="128" customFormat="false" ht="15.75" hidden="false" customHeight="false" outlineLevel="0" collapsed="false">
      <c r="A128" s="86"/>
      <c r="B128" s="110" t="s">
        <v>19</v>
      </c>
      <c r="C128" s="153" t="n">
        <v>0</v>
      </c>
      <c r="D128" s="150" t="n">
        <v>0</v>
      </c>
      <c r="E128" s="151" t="n">
        <v>2</v>
      </c>
      <c r="F128" s="150" t="n">
        <v>0</v>
      </c>
      <c r="G128" s="150" t="n">
        <v>4</v>
      </c>
      <c r="H128" s="152"/>
      <c r="I128" s="152" t="n">
        <v>412755.84</v>
      </c>
      <c r="J128" s="112" t="n">
        <v>412755.84</v>
      </c>
      <c r="K128" s="87"/>
      <c r="L128" s="87"/>
    </row>
    <row r="129" customFormat="false" ht="15.75" hidden="false" customHeight="false" outlineLevel="0" collapsed="false">
      <c r="A129" s="86"/>
      <c r="B129" s="110" t="s">
        <v>20</v>
      </c>
      <c r="C129" s="153" t="n">
        <v>0</v>
      </c>
      <c r="D129" s="150" t="n">
        <v>0</v>
      </c>
      <c r="E129" s="151" t="n">
        <v>0</v>
      </c>
      <c r="F129" s="150" t="n">
        <v>0</v>
      </c>
      <c r="G129" s="150" t="n">
        <v>3</v>
      </c>
      <c r="H129" s="152" t="n">
        <v>584000</v>
      </c>
      <c r="I129" s="152" t="n">
        <v>206377.92</v>
      </c>
      <c r="J129" s="112" t="n">
        <v>790377.92</v>
      </c>
      <c r="K129" s="87"/>
      <c r="L129" s="87"/>
    </row>
    <row r="130" customFormat="false" ht="16.5" hidden="false" customHeight="false" outlineLevel="0" collapsed="false">
      <c r="A130" s="86"/>
      <c r="B130" s="110" t="s">
        <v>21</v>
      </c>
      <c r="C130" s="153" t="n">
        <v>0</v>
      </c>
      <c r="D130" s="150" t="n">
        <v>0</v>
      </c>
      <c r="E130" s="151" t="n">
        <v>3</v>
      </c>
      <c r="F130" s="150" t="n">
        <v>0</v>
      </c>
      <c r="G130" s="150" t="n">
        <v>3</v>
      </c>
      <c r="H130" s="152"/>
      <c r="I130" s="152" t="n">
        <v>412755.84</v>
      </c>
      <c r="J130" s="112" t="n">
        <v>412755.84</v>
      </c>
      <c r="K130" s="87"/>
      <c r="L130" s="87"/>
    </row>
    <row r="131" customFormat="false" ht="16.5" hidden="false" customHeight="false" outlineLevel="0" collapsed="false">
      <c r="A131" s="86"/>
      <c r="B131" s="94" t="s">
        <v>4</v>
      </c>
      <c r="C131" s="159" t="n">
        <v>0</v>
      </c>
      <c r="D131" s="159" t="n">
        <v>0</v>
      </c>
      <c r="E131" s="159" t="n">
        <v>38</v>
      </c>
      <c r="F131" s="159" t="n">
        <v>0</v>
      </c>
      <c r="G131" s="159" t="n">
        <v>28</v>
      </c>
      <c r="H131" s="159" t="n">
        <v>3352160</v>
      </c>
      <c r="I131" s="159" t="n">
        <v>4540314.24</v>
      </c>
      <c r="J131" s="159" t="n">
        <v>7892474.24</v>
      </c>
      <c r="K131" s="125"/>
      <c r="L131" s="87"/>
    </row>
    <row r="132" customFormat="false" ht="15.75" hidden="false" customHeight="false" outlineLevel="0" collapsed="false">
      <c r="A132" s="86"/>
      <c r="B132" s="87"/>
      <c r="C132" s="92"/>
      <c r="D132" s="92"/>
      <c r="E132" s="93"/>
      <c r="F132" s="92"/>
      <c r="G132" s="92"/>
      <c r="H132" s="87"/>
      <c r="I132" s="90"/>
      <c r="J132" s="91"/>
      <c r="K132" s="87"/>
      <c r="L132" s="87"/>
    </row>
    <row r="133" customFormat="false" ht="15.75" hidden="false" customHeight="false" outlineLevel="0" collapsed="false">
      <c r="A133" s="86"/>
      <c r="B133" s="87"/>
      <c r="C133" s="160" t="s">
        <v>42</v>
      </c>
      <c r="D133" s="160"/>
      <c r="E133" s="161"/>
      <c r="F133" s="160"/>
      <c r="G133" s="92"/>
      <c r="H133" s="87"/>
      <c r="I133" s="90"/>
      <c r="J133" s="91"/>
      <c r="K133" s="87"/>
      <c r="L133" s="87"/>
    </row>
    <row r="134" customFormat="false" ht="16.5" hidden="false" customHeight="false" outlineLevel="0" collapsed="false">
      <c r="A134" s="86"/>
      <c r="B134" s="87"/>
      <c r="C134" s="92"/>
      <c r="D134" s="92"/>
      <c r="E134" s="93"/>
      <c r="F134" s="92"/>
      <c r="G134" s="92"/>
      <c r="H134" s="87"/>
      <c r="I134" s="90"/>
      <c r="J134" s="91"/>
      <c r="K134" s="87"/>
      <c r="L134" s="87"/>
    </row>
    <row r="135" customFormat="false" ht="15.75" hidden="false" customHeight="true" outlineLevel="0" collapsed="false">
      <c r="A135" s="86"/>
      <c r="B135" s="162" t="s">
        <v>2</v>
      </c>
      <c r="C135" s="163" t="s">
        <v>3</v>
      </c>
      <c r="D135" s="163"/>
      <c r="E135" s="163"/>
      <c r="F135" s="163"/>
      <c r="G135" s="163"/>
      <c r="H135" s="164" t="s">
        <v>34</v>
      </c>
      <c r="I135" s="164" t="s">
        <v>35</v>
      </c>
      <c r="J135" s="164" t="s">
        <v>36</v>
      </c>
      <c r="K135" s="91"/>
      <c r="L135" s="87"/>
    </row>
    <row r="136" customFormat="false" ht="16.5" hidden="false" customHeight="false" outlineLevel="0" collapsed="false">
      <c r="A136" s="86"/>
      <c r="B136" s="162"/>
      <c r="C136" s="165" t="n">
        <v>10064</v>
      </c>
      <c r="D136" s="165" t="n">
        <v>10012</v>
      </c>
      <c r="E136" s="165" t="n">
        <v>10009</v>
      </c>
      <c r="F136" s="165" t="n">
        <v>10008</v>
      </c>
      <c r="G136" s="165" t="n">
        <v>10010</v>
      </c>
      <c r="H136" s="164"/>
      <c r="I136" s="164"/>
      <c r="J136" s="164"/>
      <c r="K136" s="91"/>
      <c r="L136" s="166"/>
    </row>
    <row r="137" customFormat="false" ht="15.75" hidden="false" customHeight="false" outlineLevel="0" collapsed="false">
      <c r="A137" s="86"/>
      <c r="B137" s="102" t="s">
        <v>8</v>
      </c>
      <c r="C137" s="167" t="n">
        <v>0</v>
      </c>
      <c r="D137" s="167" t="n">
        <v>0</v>
      </c>
      <c r="E137" s="151" t="n">
        <v>0</v>
      </c>
      <c r="F137" s="167" t="n">
        <v>0</v>
      </c>
      <c r="G137" s="167" t="n">
        <v>0</v>
      </c>
      <c r="H137" s="76" t="n">
        <v>0</v>
      </c>
      <c r="I137" s="152" t="n">
        <v>4300000</v>
      </c>
      <c r="J137" s="109" t="n">
        <v>4300000</v>
      </c>
      <c r="K137" s="91"/>
      <c r="L137" s="166"/>
    </row>
    <row r="138" customFormat="false" ht="15.75" hidden="false" customHeight="false" outlineLevel="0" collapsed="false">
      <c r="A138" s="86"/>
      <c r="B138" s="110" t="s">
        <v>9</v>
      </c>
      <c r="C138" s="167" t="n">
        <v>0</v>
      </c>
      <c r="D138" s="167" t="n">
        <v>0</v>
      </c>
      <c r="E138" s="151" t="n">
        <v>0</v>
      </c>
      <c r="F138" s="167" t="n">
        <v>0</v>
      </c>
      <c r="G138" s="167" t="n">
        <v>0</v>
      </c>
      <c r="H138" s="76" t="n">
        <v>0</v>
      </c>
      <c r="I138" s="152" t="n">
        <v>2150000</v>
      </c>
      <c r="J138" s="112" t="n">
        <v>2150000</v>
      </c>
      <c r="K138" s="91"/>
      <c r="L138" s="166"/>
    </row>
    <row r="139" customFormat="false" ht="15.75" hidden="false" customHeight="false" outlineLevel="0" collapsed="false">
      <c r="A139" s="86"/>
      <c r="B139" s="110" t="s">
        <v>10</v>
      </c>
      <c r="C139" s="167" t="n">
        <v>0</v>
      </c>
      <c r="D139" s="167" t="n">
        <v>0</v>
      </c>
      <c r="E139" s="151" t="n">
        <v>0</v>
      </c>
      <c r="F139" s="167" t="n">
        <v>0</v>
      </c>
      <c r="G139" s="167" t="n">
        <v>0</v>
      </c>
      <c r="H139" s="76" t="n">
        <v>0</v>
      </c>
      <c r="I139" s="152" t="n">
        <v>4800000</v>
      </c>
      <c r="J139" s="112" t="n">
        <v>4800000</v>
      </c>
      <c r="K139" s="91"/>
      <c r="L139" s="90"/>
    </row>
    <row r="140" customFormat="false" ht="15.75" hidden="false" customHeight="false" outlineLevel="0" collapsed="false">
      <c r="A140" s="86"/>
      <c r="B140" s="110" t="s">
        <v>11</v>
      </c>
      <c r="C140" s="167" t="n">
        <v>0</v>
      </c>
      <c r="D140" s="167" t="n">
        <v>0</v>
      </c>
      <c r="E140" s="151" t="n">
        <v>766248.82</v>
      </c>
      <c r="F140" s="167" t="n">
        <v>0</v>
      </c>
      <c r="G140" s="167" t="n">
        <v>769054.5</v>
      </c>
      <c r="H140" s="76" t="n">
        <v>1535303.32</v>
      </c>
      <c r="I140" s="152" t="n">
        <v>0</v>
      </c>
      <c r="J140" s="112" t="n">
        <v>1535303.32</v>
      </c>
      <c r="K140" s="91"/>
      <c r="L140" s="87"/>
    </row>
    <row r="141" customFormat="false" ht="15.75" hidden="false" customHeight="false" outlineLevel="0" collapsed="false">
      <c r="A141" s="86"/>
      <c r="B141" s="110" t="s">
        <v>13</v>
      </c>
      <c r="C141" s="167" t="n">
        <v>0</v>
      </c>
      <c r="D141" s="167" t="n">
        <v>0</v>
      </c>
      <c r="E141" s="151" t="n">
        <v>574133.18</v>
      </c>
      <c r="F141" s="167" t="n">
        <v>0</v>
      </c>
      <c r="G141" s="167" t="n">
        <v>0</v>
      </c>
      <c r="H141" s="76" t="n">
        <v>574133.18</v>
      </c>
      <c r="I141" s="152" t="n">
        <v>2150000</v>
      </c>
      <c r="J141" s="112" t="n">
        <v>2724133.18</v>
      </c>
      <c r="K141" s="91"/>
      <c r="L141" s="87"/>
    </row>
    <row r="142" customFormat="false" ht="15.75" hidden="false" customHeight="false" outlineLevel="0" collapsed="false">
      <c r="A142" s="86"/>
      <c r="B142" s="110" t="s">
        <v>14</v>
      </c>
      <c r="C142" s="167" t="n">
        <v>0</v>
      </c>
      <c r="D142" s="167" t="n">
        <v>0</v>
      </c>
      <c r="E142" s="151" t="n">
        <v>511599.36</v>
      </c>
      <c r="F142" s="167" t="n">
        <v>0</v>
      </c>
      <c r="G142" s="167" t="n">
        <v>562459.875</v>
      </c>
      <c r="H142" s="76" t="n">
        <v>1074059.235</v>
      </c>
      <c r="I142" s="152" t="n">
        <v>0</v>
      </c>
      <c r="J142" s="112" t="n">
        <v>1074059.235</v>
      </c>
      <c r="K142" s="91"/>
      <c r="L142" s="87"/>
    </row>
    <row r="143" customFormat="false" ht="15.75" hidden="false" customHeight="false" outlineLevel="0" collapsed="false">
      <c r="A143" s="86"/>
      <c r="B143" s="110" t="s">
        <v>15</v>
      </c>
      <c r="C143" s="167" t="n">
        <v>0</v>
      </c>
      <c r="D143" s="167" t="n">
        <v>0</v>
      </c>
      <c r="E143" s="151" t="n">
        <v>1030614.46</v>
      </c>
      <c r="F143" s="167" t="n">
        <v>0</v>
      </c>
      <c r="G143" s="167" t="n">
        <v>1462654.5</v>
      </c>
      <c r="H143" s="76" t="n">
        <v>2493268.96</v>
      </c>
      <c r="I143" s="152" t="n">
        <v>0</v>
      </c>
      <c r="J143" s="112" t="n">
        <v>2493268.96</v>
      </c>
      <c r="K143" s="91"/>
      <c r="L143" s="87"/>
    </row>
    <row r="144" customFormat="false" ht="15.75" hidden="false" customHeight="false" outlineLevel="0" collapsed="false">
      <c r="A144" s="86"/>
      <c r="B144" s="110" t="s">
        <v>16</v>
      </c>
      <c r="C144" s="167" t="n">
        <v>0</v>
      </c>
      <c r="D144" s="167" t="n">
        <v>0</v>
      </c>
      <c r="E144" s="151" t="n">
        <v>1564466.82</v>
      </c>
      <c r="F144" s="167" t="n">
        <v>0</v>
      </c>
      <c r="G144" s="167" t="n">
        <v>562058.25</v>
      </c>
      <c r="H144" s="76" t="n">
        <v>2126525.07</v>
      </c>
      <c r="I144" s="152" t="n">
        <v>0</v>
      </c>
      <c r="J144" s="112" t="n">
        <v>2126525.07</v>
      </c>
      <c r="K144" s="91"/>
      <c r="L144" s="87"/>
    </row>
    <row r="145" customFormat="false" ht="15.75" hidden="false" customHeight="false" outlineLevel="0" collapsed="false">
      <c r="A145" s="87"/>
      <c r="B145" s="110" t="s">
        <v>17</v>
      </c>
      <c r="C145" s="167" t="n">
        <v>0</v>
      </c>
      <c r="D145" s="167" t="n">
        <v>0</v>
      </c>
      <c r="E145" s="151" t="n">
        <v>918638.52</v>
      </c>
      <c r="F145" s="167" t="n">
        <v>0</v>
      </c>
      <c r="G145" s="167" t="n">
        <v>965028.375</v>
      </c>
      <c r="H145" s="76" t="n">
        <v>1883666.895</v>
      </c>
      <c r="I145" s="152" t="n">
        <v>0</v>
      </c>
      <c r="J145" s="112" t="n">
        <v>1883666.895</v>
      </c>
      <c r="K145" s="91"/>
      <c r="L145" s="87"/>
    </row>
    <row r="146" customFormat="false" ht="15.75" hidden="false" customHeight="false" outlineLevel="0" collapsed="false">
      <c r="A146" s="87"/>
      <c r="B146" s="110" t="s">
        <v>18</v>
      </c>
      <c r="C146" s="167" t="n">
        <v>0</v>
      </c>
      <c r="D146" s="167" t="n">
        <v>0</v>
      </c>
      <c r="E146" s="151" t="n">
        <v>2054466.32</v>
      </c>
      <c r="F146" s="167" t="n">
        <v>0</v>
      </c>
      <c r="G146" s="167" t="n">
        <v>542416.875</v>
      </c>
      <c r="H146" s="76" t="n">
        <v>2596883.195</v>
      </c>
      <c r="I146" s="152" t="n">
        <v>0</v>
      </c>
      <c r="J146" s="112" t="n">
        <v>2596883.195</v>
      </c>
      <c r="K146" s="91"/>
      <c r="L146" s="87"/>
    </row>
    <row r="147" customFormat="false" ht="15.75" hidden="false" customHeight="false" outlineLevel="0" collapsed="false">
      <c r="A147" s="87"/>
      <c r="B147" s="110" t="s">
        <v>19</v>
      </c>
      <c r="C147" s="167" t="n">
        <v>0</v>
      </c>
      <c r="D147" s="167" t="n">
        <v>0</v>
      </c>
      <c r="E147" s="151" t="n">
        <v>503761.68</v>
      </c>
      <c r="F147" s="167" t="n">
        <v>0</v>
      </c>
      <c r="G147" s="167" t="n">
        <v>1175505.375</v>
      </c>
      <c r="H147" s="76" t="n">
        <v>1679267.055</v>
      </c>
      <c r="I147" s="152" t="n">
        <v>0</v>
      </c>
      <c r="J147" s="112" t="n">
        <v>1679267.055</v>
      </c>
      <c r="K147" s="91"/>
      <c r="L147" s="87"/>
    </row>
    <row r="148" customFormat="false" ht="15.75" hidden="false" customHeight="false" outlineLevel="0" collapsed="false">
      <c r="A148" s="87"/>
      <c r="B148" s="110" t="s">
        <v>20</v>
      </c>
      <c r="C148" s="167" t="n">
        <v>0</v>
      </c>
      <c r="D148" s="167" t="n">
        <v>0</v>
      </c>
      <c r="E148" s="151" t="n">
        <v>0</v>
      </c>
      <c r="F148" s="167" t="n">
        <v>0</v>
      </c>
      <c r="G148" s="167" t="n">
        <v>744969.75</v>
      </c>
      <c r="H148" s="76" t="n">
        <v>744969.75</v>
      </c>
      <c r="I148" s="152" t="n">
        <v>2150000</v>
      </c>
      <c r="J148" s="112" t="n">
        <v>2894969.75</v>
      </c>
      <c r="K148" s="91"/>
      <c r="L148" s="87"/>
    </row>
    <row r="149" customFormat="false" ht="16.5" hidden="false" customHeight="false" outlineLevel="0" collapsed="false">
      <c r="A149" s="87"/>
      <c r="B149" s="110" t="s">
        <v>21</v>
      </c>
      <c r="C149" s="167" t="n">
        <v>0</v>
      </c>
      <c r="D149" s="167" t="n">
        <v>0</v>
      </c>
      <c r="E149" s="151" t="n">
        <v>752388.38</v>
      </c>
      <c r="F149" s="167" t="n">
        <v>0</v>
      </c>
      <c r="G149" s="167" t="n">
        <v>849118.125</v>
      </c>
      <c r="H149" s="76" t="n">
        <v>1601506.505</v>
      </c>
      <c r="I149" s="152" t="n">
        <v>0</v>
      </c>
      <c r="J149" s="112" t="n">
        <v>1601506.505</v>
      </c>
      <c r="K149" s="168"/>
      <c r="L149" s="168"/>
    </row>
    <row r="150" customFormat="false" ht="16.5" hidden="false" customHeight="false" outlineLevel="0" collapsed="false">
      <c r="A150" s="87"/>
      <c r="B150" s="162" t="s">
        <v>4</v>
      </c>
      <c r="C150" s="169" t="n">
        <v>0</v>
      </c>
      <c r="D150" s="169" t="n">
        <v>0</v>
      </c>
      <c r="E150" s="169" t="n">
        <v>8676317.54</v>
      </c>
      <c r="F150" s="169" t="n">
        <v>0</v>
      </c>
      <c r="G150" s="169" t="n">
        <v>7633265.625</v>
      </c>
      <c r="H150" s="169" t="n">
        <v>16309583.165</v>
      </c>
      <c r="I150" s="170" t="n">
        <v>15550000</v>
      </c>
      <c r="J150" s="171" t="n">
        <v>31859583.165</v>
      </c>
      <c r="K150" s="91"/>
      <c r="L150" s="125"/>
    </row>
  </sheetData>
  <mergeCells count="38">
    <mergeCell ref="C2:F2"/>
    <mergeCell ref="B4:B5"/>
    <mergeCell ref="C4:G4"/>
    <mergeCell ref="H4:H5"/>
    <mergeCell ref="I4:I5"/>
    <mergeCell ref="J4:J5"/>
    <mergeCell ref="K4:K5"/>
    <mergeCell ref="L4:L5"/>
    <mergeCell ref="C21:G21"/>
    <mergeCell ref="B40:B41"/>
    <mergeCell ref="C40:G40"/>
    <mergeCell ref="H40:H41"/>
    <mergeCell ref="I40:I41"/>
    <mergeCell ref="J40:J41"/>
    <mergeCell ref="B59:B60"/>
    <mergeCell ref="C59:G59"/>
    <mergeCell ref="H59:H60"/>
    <mergeCell ref="I59:I60"/>
    <mergeCell ref="J59:J60"/>
    <mergeCell ref="C78:F78"/>
    <mergeCell ref="B80:B81"/>
    <mergeCell ref="C80:G80"/>
    <mergeCell ref="H80:H81"/>
    <mergeCell ref="I80:I81"/>
    <mergeCell ref="J80:J81"/>
    <mergeCell ref="K80:K81"/>
    <mergeCell ref="L80:L81"/>
    <mergeCell ref="C97:G97"/>
    <mergeCell ref="B116:B117"/>
    <mergeCell ref="C116:G116"/>
    <mergeCell ref="H116:H117"/>
    <mergeCell ref="I116:I117"/>
    <mergeCell ref="J116:J117"/>
    <mergeCell ref="B135:B136"/>
    <mergeCell ref="C135:G135"/>
    <mergeCell ref="H135:H136"/>
    <mergeCell ref="I135:I136"/>
    <mergeCell ref="J135:J136"/>
  </mergeCells>
  <conditionalFormatting sqref="L6:L10">
    <cfRule type="dataBar" priority="2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{1750BE6B-C9E2-4D8A-B8F2-6BE115A94650}</x14:id>
        </ext>
      </extLst>
    </cfRule>
  </conditionalFormatting>
  <conditionalFormatting sqref="L11:L14">
    <cfRule type="dataBar" priority="3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{496E38E6-6A28-4D9A-95E7-1F7BDB3BB947}</x14:id>
        </ext>
      </extLst>
    </cfRule>
  </conditionalFormatting>
  <conditionalFormatting sqref="J23:J27">
    <cfRule type="dataBar" priority="4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{C3936E99-9BC0-4796-BE57-6E308E3618DD}</x14:id>
        </ext>
      </extLst>
    </cfRule>
  </conditionalFormatting>
  <conditionalFormatting sqref="J28:J35">
    <cfRule type="dataBar" priority="5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{A0409A50-5185-4F74-A879-9A2A3A329CCD}</x14:id>
        </ext>
      </extLst>
    </cfRule>
  </conditionalFormatting>
  <conditionalFormatting sqref="J61:J65">
    <cfRule type="dataBar" priority="6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{7FB833B3-522C-47B8-B86A-EF413DEF80E8}</x14:id>
        </ext>
      </extLst>
    </cfRule>
  </conditionalFormatting>
  <conditionalFormatting sqref="J66:J69">
    <cfRule type="dataBar" priority="7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{BC1EF4F8-FAB0-4B8A-AF88-B7E980B537F6}</x14:id>
        </ext>
      </extLst>
    </cfRule>
  </conditionalFormatting>
  <conditionalFormatting sqref="L15:L18">
    <cfRule type="dataBar" priority="8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{49CF12C7-2EDD-4086-8D26-80546CAC4C6A}</x14:id>
        </ext>
      </extLst>
    </cfRule>
  </conditionalFormatting>
  <conditionalFormatting sqref="J70:J73">
    <cfRule type="dataBar" priority="9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{7BFE1014-3F30-424C-A7B3-DF14EFB4F717}</x14:id>
        </ext>
      </extLst>
    </cfRule>
  </conditionalFormatting>
  <conditionalFormatting sqref="J42:J54">
    <cfRule type="dataBar" priority="10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{1C44D36B-EFC4-4EAA-AD74-CE6FDD34A9D0}</x14:id>
        </ext>
      </extLst>
    </cfRule>
  </conditionalFormatting>
  <conditionalFormatting sqref="L82:L86">
    <cfRule type="dataBar" priority="11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{9A681A49-5748-4C34-93B7-62232F1DEEB8}</x14:id>
        </ext>
      </extLst>
    </cfRule>
  </conditionalFormatting>
  <conditionalFormatting sqref="L87:L90">
    <cfRule type="dataBar" priority="12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{BDBADADA-6483-4D10-946F-E261F7B48891}</x14:id>
        </ext>
      </extLst>
    </cfRule>
  </conditionalFormatting>
  <conditionalFormatting sqref="J99:J103">
    <cfRule type="dataBar" priority="13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{60966B20-6ADD-46C9-A566-4E82B9B7ECC9}</x14:id>
        </ext>
      </extLst>
    </cfRule>
  </conditionalFormatting>
  <conditionalFormatting sqref="J104:J108 J110:J111">
    <cfRule type="dataBar" priority="14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{FF8ED061-50BD-4DCD-8618-ADF4DDCEEF58}</x14:id>
        </ext>
      </extLst>
    </cfRule>
  </conditionalFormatting>
  <conditionalFormatting sqref="J137:J141">
    <cfRule type="dataBar" priority="15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{7C20206A-7A2A-43CC-8A84-508CE5D99B7F}</x14:id>
        </ext>
      </extLst>
    </cfRule>
  </conditionalFormatting>
  <conditionalFormatting sqref="J142:J145">
    <cfRule type="dataBar" priority="16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{1171134C-CB3E-487D-8EBB-854E626EF1D5}</x14:id>
        </ext>
      </extLst>
    </cfRule>
  </conditionalFormatting>
  <conditionalFormatting sqref="L91:L94">
    <cfRule type="dataBar" priority="17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{D01E46A1-4368-4535-BEA9-DCFAE8C85C1E}</x14:id>
        </ext>
      </extLst>
    </cfRule>
  </conditionalFormatting>
  <conditionalFormatting sqref="J146:J149">
    <cfRule type="dataBar" priority="18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{ECD7C730-C026-42E8-9886-1A648AE1B541}</x14:id>
        </ext>
      </extLst>
    </cfRule>
  </conditionalFormatting>
  <conditionalFormatting sqref="J118:J130">
    <cfRule type="dataBar" priority="19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{6A5E8BAC-4087-442F-99E4-E026D8BA59AD}</x14:id>
        </ext>
      </extLst>
    </cfRule>
  </conditionalFormatting>
  <conditionalFormatting sqref="J109">
    <cfRule type="dataBar" priority="20">
      <dataBar showValue="1" minLength="10" maxLength="90"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{D756A849-D69C-4A13-8887-A0C4A22FC042}</x14:id>
        </ext>
      </extLst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750BE6B-C9E2-4D8A-B8F2-6BE115A94650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L6:L10</xm:sqref>
        </x14:conditionalFormatting>
        <x14:conditionalFormatting xmlns:xm="http://schemas.microsoft.com/office/excel/2006/main">
          <x14:cfRule type="dataBar" id="{496E38E6-6A28-4D9A-95E7-1F7BDB3BB947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L11:L14</xm:sqref>
        </x14:conditionalFormatting>
        <x14:conditionalFormatting xmlns:xm="http://schemas.microsoft.com/office/excel/2006/main">
          <x14:cfRule type="dataBar" id="{C3936E99-9BC0-4796-BE57-6E308E3618DD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J23:J27</xm:sqref>
        </x14:conditionalFormatting>
        <x14:conditionalFormatting xmlns:xm="http://schemas.microsoft.com/office/excel/2006/main">
          <x14:cfRule type="dataBar" id="{A0409A50-5185-4F74-A879-9A2A3A329CCD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J28:J35</xm:sqref>
        </x14:conditionalFormatting>
        <x14:conditionalFormatting xmlns:xm="http://schemas.microsoft.com/office/excel/2006/main">
          <x14:cfRule type="dataBar" id="{7FB833B3-522C-47B8-B86A-EF413DEF80E8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J61:J65</xm:sqref>
        </x14:conditionalFormatting>
        <x14:conditionalFormatting xmlns:xm="http://schemas.microsoft.com/office/excel/2006/main">
          <x14:cfRule type="dataBar" id="{BC1EF4F8-FAB0-4B8A-AF88-B7E980B537F6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J66:J69</xm:sqref>
        </x14:conditionalFormatting>
        <x14:conditionalFormatting xmlns:xm="http://schemas.microsoft.com/office/excel/2006/main">
          <x14:cfRule type="dataBar" id="{49CF12C7-2EDD-4086-8D26-80546CAC4C6A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L15:L18</xm:sqref>
        </x14:conditionalFormatting>
        <x14:conditionalFormatting xmlns:xm="http://schemas.microsoft.com/office/excel/2006/main">
          <x14:cfRule type="dataBar" id="{7BFE1014-3F30-424C-A7B3-DF14EFB4F717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J70:J73</xm:sqref>
        </x14:conditionalFormatting>
        <x14:conditionalFormatting xmlns:xm="http://schemas.microsoft.com/office/excel/2006/main">
          <x14:cfRule type="dataBar" id="{1C44D36B-EFC4-4EAA-AD74-CE6FDD34A9D0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J42:J54</xm:sqref>
        </x14:conditionalFormatting>
        <x14:conditionalFormatting xmlns:xm="http://schemas.microsoft.com/office/excel/2006/main">
          <x14:cfRule type="dataBar" id="{9A681A49-5748-4C34-93B7-62232F1DEEB8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L82:L86</xm:sqref>
        </x14:conditionalFormatting>
        <x14:conditionalFormatting xmlns:xm="http://schemas.microsoft.com/office/excel/2006/main">
          <x14:cfRule type="dataBar" id="{BDBADADA-6483-4D10-946F-E261F7B48891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L87:L90</xm:sqref>
        </x14:conditionalFormatting>
        <x14:conditionalFormatting xmlns:xm="http://schemas.microsoft.com/office/excel/2006/main">
          <x14:cfRule type="dataBar" id="{60966B20-6ADD-46C9-A566-4E82B9B7ECC9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J99:J103</xm:sqref>
        </x14:conditionalFormatting>
        <x14:conditionalFormatting xmlns:xm="http://schemas.microsoft.com/office/excel/2006/main">
          <x14:cfRule type="dataBar" id="{FF8ED061-50BD-4DCD-8618-ADF4DDCEEF58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J104:J108 J110:J111</xm:sqref>
        </x14:conditionalFormatting>
        <x14:conditionalFormatting xmlns:xm="http://schemas.microsoft.com/office/excel/2006/main">
          <x14:cfRule type="dataBar" id="{7C20206A-7A2A-43CC-8A84-508CE5D99B7F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J137:J141</xm:sqref>
        </x14:conditionalFormatting>
        <x14:conditionalFormatting xmlns:xm="http://schemas.microsoft.com/office/excel/2006/main">
          <x14:cfRule type="dataBar" id="{1171134C-CB3E-487D-8EBB-854E626EF1D5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J142:J145</xm:sqref>
        </x14:conditionalFormatting>
        <x14:conditionalFormatting xmlns:xm="http://schemas.microsoft.com/office/excel/2006/main">
          <x14:cfRule type="dataBar" id="{D01E46A1-4368-4535-BEA9-DCFAE8C85C1E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L91:L94</xm:sqref>
        </x14:conditionalFormatting>
        <x14:conditionalFormatting xmlns:xm="http://schemas.microsoft.com/office/excel/2006/main">
          <x14:cfRule type="dataBar" id="{ECD7C730-C026-42E8-9886-1A648AE1B541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J146:J149</xm:sqref>
        </x14:conditionalFormatting>
        <x14:conditionalFormatting xmlns:xm="http://schemas.microsoft.com/office/excel/2006/main">
          <x14:cfRule type="dataBar" id="{6A5E8BAC-4087-442F-99E4-E026D8BA59AD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J118:J130</xm:sqref>
        </x14:conditionalFormatting>
        <x14:conditionalFormatting xmlns:xm="http://schemas.microsoft.com/office/excel/2006/main">
          <x14:cfRule type="dataBar" id="{D756A849-D69C-4A13-8887-A0C4A22FC042}">
            <x14:dataBar minLength="10" maxLength="90" axisPosition="automatic" gradient="true">
              <x14:cfvo type="autoMin"/>
              <x14:cfvo type="autoMax"/>
              <x14:negativeFillColor rgb="FFFF0000"/>
              <x14:axisColor rgb="FF000000"/>
            </x14:dataBar>
          </x14:cfRule>
          <xm:sqref>J109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2" activeCellId="0" sqref="I22"/>
    </sheetView>
  </sheetViews>
  <sheetFormatPr defaultRowHeight="15" zeroHeight="false" outlineLevelRow="0" outlineLevelCol="0"/>
  <cols>
    <col collapsed="false" customWidth="true" hidden="false" outlineLevel="0" max="1" min="1" style="0" width="14.08"/>
    <col collapsed="false" customWidth="true" hidden="false" outlineLevel="0" max="8" min="2" style="0" width="10.14"/>
    <col collapsed="false" customWidth="true" hidden="false" outlineLevel="0" max="9" min="9" style="0" width="15.05"/>
    <col collapsed="false" customWidth="true" hidden="false" outlineLevel="0" max="10" min="10" style="0" width="13.01"/>
    <col collapsed="false" customWidth="true" hidden="false" outlineLevel="0" max="11" min="11" style="0" width="10.58"/>
    <col collapsed="false" customWidth="true" hidden="false" outlineLevel="0" max="12" min="12" style="0" width="10.6"/>
    <col collapsed="false" customWidth="true" hidden="false" outlineLevel="0" max="13" min="13" style="0" width="10.14"/>
    <col collapsed="false" customWidth="true" hidden="false" outlineLevel="0" max="14" min="14" style="0" width="11.29"/>
    <col collapsed="false" customWidth="true" hidden="false" outlineLevel="0" max="15" min="15" style="0" width="19.63"/>
    <col collapsed="false" customWidth="true" hidden="false" outlineLevel="0" max="1025" min="16" style="0" width="10.14"/>
  </cols>
  <sheetData>
    <row r="1" customFormat="false" ht="19.5" hidden="false" customHeight="false" outlineLevel="0" collapsed="false">
      <c r="A1" s="172"/>
      <c r="B1" s="172" t="s">
        <v>43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customFormat="false" ht="15.75" hidden="false" customHeight="false" outlineLevel="0" collapsed="false">
      <c r="A2" s="173" t="s">
        <v>44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</row>
    <row r="3" customFormat="false" ht="15.75" hidden="false" customHeight="false" outlineLevel="0" collapsed="false">
      <c r="A3" s="175" t="s">
        <v>45</v>
      </c>
      <c r="B3" s="175" t="s">
        <v>46</v>
      </c>
      <c r="C3" s="175" t="s">
        <v>47</v>
      </c>
      <c r="D3" s="175" t="s">
        <v>48</v>
      </c>
      <c r="E3" s="175" t="s">
        <v>49</v>
      </c>
      <c r="F3" s="175" t="s">
        <v>50</v>
      </c>
      <c r="G3" s="175" t="s">
        <v>4</v>
      </c>
      <c r="H3" s="175" t="s">
        <v>51</v>
      </c>
      <c r="I3" s="175" t="s">
        <v>52</v>
      </c>
      <c r="J3" s="175" t="s">
        <v>53</v>
      </c>
      <c r="K3" s="175" t="s">
        <v>54</v>
      </c>
      <c r="L3" s="175" t="s">
        <v>23</v>
      </c>
      <c r="M3" s="175" t="s">
        <v>7</v>
      </c>
      <c r="N3" s="175" t="s">
        <v>55</v>
      </c>
      <c r="O3" s="175" t="s">
        <v>56</v>
      </c>
    </row>
    <row r="4" customFormat="false" ht="13.8" hidden="false" customHeight="false" outlineLevel="0" collapsed="false">
      <c r="A4" s="175" t="s">
        <v>14</v>
      </c>
      <c r="B4" s="176" t="n">
        <f aca="false">VLOOKUP($A4,Feuil1!$B$6:$L$18,5,0)</f>
        <v>0</v>
      </c>
      <c r="C4" s="176" t="n">
        <f aca="false">VLOOKUP($A4,Feuil1!$B$6:$L$18,4,0)</f>
        <v>0</v>
      </c>
      <c r="D4" s="176" t="n">
        <f aca="false">VLOOKUP($A4,Feuil1!$B$6:$L$18,6,0)</f>
        <v>7</v>
      </c>
      <c r="E4" s="176" t="n">
        <f aca="false">VLOOKUP($A4,Feuil1!$B$6:$L$18,3,0)</f>
        <v>0</v>
      </c>
      <c r="F4" s="176" t="n">
        <f aca="false">VLOOKUP($A4,Feuil1!$B$6:$L$18,2,0)</f>
        <v>0</v>
      </c>
      <c r="G4" s="174" t="n">
        <f aca="false">SUM(B4:F4)</f>
        <v>7</v>
      </c>
      <c r="H4" s="176" t="n">
        <f aca="false">VLOOKUP($A4,Feuil1!$B$6:$L$18,9,0)</f>
        <v>1</v>
      </c>
      <c r="I4" s="177" t="n">
        <f aca="false">VLOOKUP($A4,Feuil1!$B$61:$L$73,7,0)</f>
        <v>1685754</v>
      </c>
      <c r="J4" s="177" t="n">
        <f aca="false">VLOOKUP($A4,Feuil1!$B$61:$L$73,8,0)</f>
        <v>2150000</v>
      </c>
      <c r="K4" s="177" t="n">
        <f aca="false">I4+J4</f>
        <v>3835754</v>
      </c>
      <c r="L4" s="177" t="n">
        <v>125000</v>
      </c>
      <c r="M4" s="177" t="n">
        <f aca="false">VLOOKUP($A4,Feuil1!$B$23:$L$35,3,0)</f>
        <v>60000</v>
      </c>
      <c r="N4" s="177" t="n">
        <f aca="false">VLOOKUP($A4,Feuil1!$B$23:$L$35,7,0)</f>
        <v>0</v>
      </c>
      <c r="O4" s="177" t="n">
        <f aca="false">SUM(L4:N4)</f>
        <v>185000</v>
      </c>
    </row>
    <row r="5" customFormat="false" ht="13.8" hidden="false" customHeight="false" outlineLevel="0" collapsed="false">
      <c r="A5" s="175" t="s">
        <v>10</v>
      </c>
      <c r="B5" s="176" t="n">
        <f aca="false">VLOOKUP($A5,Feuil1!$B$6:$L$18,5,0)</f>
        <v>0</v>
      </c>
      <c r="C5" s="176" t="n">
        <f aca="false">VLOOKUP($A5,Feuil1!$B$6:$L$18,4,0)</f>
        <v>0</v>
      </c>
      <c r="D5" s="176" t="n">
        <f aca="false">VLOOKUP($A5,Feuil1!$B$6:$L$18,6,0)</f>
        <v>0</v>
      </c>
      <c r="E5" s="176" t="n">
        <f aca="false">VLOOKUP($A5,Feuil1!$B$6:$L$18,3,0)</f>
        <v>0</v>
      </c>
      <c r="F5" s="176" t="n">
        <f aca="false">VLOOKUP($A5,Feuil1!$B$6:$L$18,2,0)</f>
        <v>0</v>
      </c>
      <c r="G5" s="174" t="n">
        <f aca="false">SUM(B5:F5)</f>
        <v>0</v>
      </c>
      <c r="H5" s="176" t="n">
        <f aca="false">VLOOKUP($A5,Feuil1!$B$6:$L$18,9,0)</f>
        <v>1</v>
      </c>
      <c r="I5" s="177" t="n">
        <f aca="false">VLOOKUP($A5,Feuil1!$B$61:$L$73,7,0)</f>
        <v>0</v>
      </c>
      <c r="J5" s="177" t="n">
        <f aca="false">VLOOKUP($A5,Feuil1!$B$61:$L$73,8,0)</f>
        <v>2650000</v>
      </c>
      <c r="K5" s="177" t="n">
        <f aca="false">I5+J5</f>
        <v>2650000</v>
      </c>
      <c r="L5" s="177" t="n">
        <v>125000</v>
      </c>
      <c r="M5" s="177" t="n">
        <f aca="false">VLOOKUP($A5,Feuil1!$B$23:$L$35,3,0)</f>
        <v>30000</v>
      </c>
      <c r="N5" s="177" t="n">
        <f aca="false">VLOOKUP($A5,Feuil1!$B$23:$L$35,7,0)</f>
        <v>0</v>
      </c>
      <c r="O5" s="177" t="n">
        <f aca="false">SUM(L5:N5)</f>
        <v>155000</v>
      </c>
    </row>
    <row r="6" customFormat="false" ht="13.8" hidden="false" customHeight="false" outlineLevel="0" collapsed="false">
      <c r="A6" s="175" t="s">
        <v>9</v>
      </c>
      <c r="B6" s="176" t="n">
        <f aca="false">VLOOKUP($A6,Feuil1!$B$6:$L$18,5,0)</f>
        <v>0</v>
      </c>
      <c r="C6" s="176" t="n">
        <f aca="false">VLOOKUP($A6,Feuil1!$B$6:$L$18,4,0)</f>
        <v>0</v>
      </c>
      <c r="D6" s="176" t="n">
        <f aca="false">VLOOKUP($A6,Feuil1!$B$6:$L$18,6,0)</f>
        <v>0</v>
      </c>
      <c r="E6" s="176" t="n">
        <f aca="false">VLOOKUP($A6,Feuil1!$B$6:$L$18,3,0)</f>
        <v>0</v>
      </c>
      <c r="F6" s="176" t="n">
        <f aca="false">VLOOKUP($A6,Feuil1!$B$6:$L$18,2,0)</f>
        <v>0</v>
      </c>
      <c r="G6" s="174" t="n">
        <f aca="false">SUM(B6:F6)</f>
        <v>0</v>
      </c>
      <c r="H6" s="176" t="n">
        <f aca="false">VLOOKUP($A6,Feuil1!$B$6:$L$18,9,0)</f>
        <v>0</v>
      </c>
      <c r="I6" s="177" t="n">
        <f aca="false">VLOOKUP($A6,Feuil1!$B$61:$L$73,7,0)</f>
        <v>0</v>
      </c>
      <c r="J6" s="177" t="n">
        <f aca="false">VLOOKUP($A6,Feuil1!$B$61:$L$73,8,0)</f>
        <v>0</v>
      </c>
      <c r="K6" s="177" t="n">
        <f aca="false">I6+J6</f>
        <v>0</v>
      </c>
      <c r="L6" s="177" t="n">
        <v>125000</v>
      </c>
      <c r="M6" s="177" t="n">
        <f aca="false">VLOOKUP($A6,Feuil1!$B$23:$L$35,3,0)</f>
        <v>0</v>
      </c>
      <c r="N6" s="177" t="n">
        <f aca="false">VLOOKUP($A6,Feuil1!$B$23:$L$35,7,0)</f>
        <v>0</v>
      </c>
      <c r="O6" s="177" t="n">
        <f aca="false">SUM(L6:N6)</f>
        <v>125000</v>
      </c>
    </row>
    <row r="7" customFormat="false" ht="13.8" hidden="false" customHeight="false" outlineLevel="0" collapsed="false">
      <c r="A7" s="175" t="s">
        <v>8</v>
      </c>
      <c r="B7" s="176" t="n">
        <f aca="false">VLOOKUP($A7,Feuil1!$B$6:$L$18,5,0)</f>
        <v>0</v>
      </c>
      <c r="C7" s="176" t="n">
        <f aca="false">VLOOKUP($A7,Feuil1!$B$6:$L$18,4,0)</f>
        <v>0</v>
      </c>
      <c r="D7" s="176" t="n">
        <f aca="false">VLOOKUP($A7,Feuil1!$B$6:$L$18,6,0)</f>
        <v>0</v>
      </c>
      <c r="E7" s="176" t="n">
        <f aca="false">VLOOKUP($A7,Feuil1!$B$6:$L$18,3,0)</f>
        <v>0</v>
      </c>
      <c r="F7" s="176" t="n">
        <f aca="false">VLOOKUP($A7,Feuil1!$B$6:$L$18,2,0)</f>
        <v>0</v>
      </c>
      <c r="G7" s="174" t="n">
        <f aca="false">SUM(B7:F7)</f>
        <v>0</v>
      </c>
      <c r="H7" s="176" t="n">
        <f aca="false">VLOOKUP($A7,Feuil1!$B$6:$L$18,9,0)</f>
        <v>0</v>
      </c>
      <c r="I7" s="177" t="n">
        <f aca="false">VLOOKUP($A7,Feuil1!$B$61:$L$73,7,0)</f>
        <v>0</v>
      </c>
      <c r="J7" s="177" t="n">
        <f aca="false">VLOOKUP($A7,Feuil1!$B$61:$L$73,8,0)</f>
        <v>0</v>
      </c>
      <c r="K7" s="177" t="n">
        <f aca="false">I7+J7</f>
        <v>0</v>
      </c>
      <c r="L7" s="177" t="n">
        <v>125000</v>
      </c>
      <c r="M7" s="177" t="n">
        <f aca="false">VLOOKUP($A7,Feuil1!$B$23:$L$35,3,0)</f>
        <v>0</v>
      </c>
      <c r="N7" s="177" t="n">
        <f aca="false">VLOOKUP($A7,Feuil1!$B$23:$L$35,7,0)</f>
        <v>0</v>
      </c>
      <c r="O7" s="177" t="n">
        <f aca="false">SUM(L7:N7)</f>
        <v>125000</v>
      </c>
    </row>
    <row r="8" customFormat="false" ht="13.8" hidden="false" customHeight="false" outlineLevel="0" collapsed="false">
      <c r="A8" s="175" t="s">
        <v>15</v>
      </c>
      <c r="B8" s="176" t="n">
        <f aca="false">VLOOKUP($A8,Feuil1!$B$6:$L$18,5,0)</f>
        <v>0</v>
      </c>
      <c r="C8" s="176" t="n">
        <f aca="false">VLOOKUP($A8,Feuil1!$B$6:$L$18,4,0)</f>
        <v>8</v>
      </c>
      <c r="D8" s="176" t="n">
        <f aca="false">VLOOKUP($A8,Feuil1!$B$6:$L$18,6,0)</f>
        <v>3</v>
      </c>
      <c r="E8" s="176" t="n">
        <f aca="false">VLOOKUP($A8,Feuil1!$B$6:$L$18,3,0)</f>
        <v>0</v>
      </c>
      <c r="F8" s="176" t="n">
        <f aca="false">VLOOKUP($A8,Feuil1!$B$6:$L$18,2,0)</f>
        <v>0</v>
      </c>
      <c r="G8" s="174" t="n">
        <f aca="false">SUM(B8:F8)</f>
        <v>11</v>
      </c>
      <c r="H8" s="176" t="n">
        <f aca="false">VLOOKUP($A8,Feuil1!$B$6:$L$18,9,0)</f>
        <v>0</v>
      </c>
      <c r="I8" s="177" t="n">
        <f aca="false">VLOOKUP($A8,Feuil1!$B$61:$L$73,7,0)</f>
        <v>2588100.145</v>
      </c>
      <c r="J8" s="177" t="n">
        <f aca="false">VLOOKUP($A8,Feuil1!$B$61:$L$73,8,0)</f>
        <v>0</v>
      </c>
      <c r="K8" s="177" t="n">
        <f aca="false">I8+J8</f>
        <v>2588100.145</v>
      </c>
      <c r="L8" s="177" t="n">
        <v>130000</v>
      </c>
      <c r="M8" s="177" t="n">
        <f aca="false">VLOOKUP($A8,Feuil1!$B$23:$L$35,3,0)</f>
        <v>55000</v>
      </c>
      <c r="N8" s="177" t="n">
        <f aca="false">VLOOKUP($A8,Feuil1!$B$23:$L$35,7,0)</f>
        <v>0</v>
      </c>
      <c r="O8" s="177" t="n">
        <f aca="false">SUM(L8:N8)</f>
        <v>185000</v>
      </c>
    </row>
    <row r="9" customFormat="false" ht="13.8" hidden="false" customHeight="false" outlineLevel="0" collapsed="false">
      <c r="A9" s="175" t="s">
        <v>16</v>
      </c>
      <c r="B9" s="176" t="n">
        <f aca="false">VLOOKUP($A9,Feuil1!$B$6:$L$18,5,0)</f>
        <v>0</v>
      </c>
      <c r="C9" s="176" t="n">
        <f aca="false">VLOOKUP($A9,Feuil1!$B$6:$L$18,4,0)</f>
        <v>6</v>
      </c>
      <c r="D9" s="176" t="n">
        <f aca="false">VLOOKUP($A9,Feuil1!$B$6:$L$18,6,0)</f>
        <v>4</v>
      </c>
      <c r="E9" s="176" t="n">
        <f aca="false">VLOOKUP($A9,Feuil1!$B$6:$L$18,3,0)</f>
        <v>0</v>
      </c>
      <c r="F9" s="176" t="n">
        <f aca="false">VLOOKUP($A9,Feuil1!$B$6:$L$18,2,0)</f>
        <v>0</v>
      </c>
      <c r="G9" s="174" t="n">
        <f aca="false">SUM(B9:F9)</f>
        <v>10</v>
      </c>
      <c r="H9" s="176" t="n">
        <f aca="false">VLOOKUP($A9,Feuil1!$B$6:$L$18,9,0)</f>
        <v>0</v>
      </c>
      <c r="I9" s="177" t="n">
        <f aca="false">VLOOKUP($A9,Feuil1!$B$61:$L$73,7,0)</f>
        <v>2300107.82</v>
      </c>
      <c r="J9" s="177" t="n">
        <f aca="false">VLOOKUP($A9,Feuil1!$B$61:$L$73,8,0)</f>
        <v>0</v>
      </c>
      <c r="K9" s="177" t="n">
        <f aca="false">I9+J9</f>
        <v>2300107.82</v>
      </c>
      <c r="L9" s="177" t="n">
        <v>125000</v>
      </c>
      <c r="M9" s="177" t="n">
        <f aca="false">VLOOKUP($A9,Feuil1!$B$23:$L$35,3,0)</f>
        <v>50000</v>
      </c>
      <c r="N9" s="177" t="n">
        <f aca="false">VLOOKUP($A9,Feuil1!$B$23:$L$35,7,0)</f>
        <v>0</v>
      </c>
      <c r="O9" s="177" t="n">
        <f aca="false">SUM(L9:N9)</f>
        <v>175000</v>
      </c>
    </row>
    <row r="10" customFormat="false" ht="13.8" hidden="false" customHeight="false" outlineLevel="0" collapsed="false">
      <c r="A10" s="175" t="s">
        <v>17</v>
      </c>
      <c r="B10" s="176" t="n">
        <f aca="false">VLOOKUP($A10,Feuil1!$B$6:$L$18,5,0)</f>
        <v>0</v>
      </c>
      <c r="C10" s="176" t="n">
        <f aca="false">VLOOKUP($A10,Feuil1!$B$6:$L$18,4,0)</f>
        <v>2</v>
      </c>
      <c r="D10" s="176" t="n">
        <f aca="false">VLOOKUP($A10,Feuil1!$B$6:$L$18,6,0)</f>
        <v>8</v>
      </c>
      <c r="E10" s="176" t="n">
        <f aca="false">VLOOKUP($A10,Feuil1!$B$6:$L$18,3,0)</f>
        <v>0</v>
      </c>
      <c r="F10" s="176" t="n">
        <f aca="false">VLOOKUP($A10,Feuil1!$B$6:$L$18,2,0)</f>
        <v>0</v>
      </c>
      <c r="G10" s="174" t="n">
        <f aca="false">SUM(B10:F10)</f>
        <v>10</v>
      </c>
      <c r="H10" s="176" t="n">
        <f aca="false">VLOOKUP($A10,Feuil1!$B$6:$L$18,9,0)</f>
        <v>0</v>
      </c>
      <c r="I10" s="177" t="n">
        <f aca="false">VLOOKUP($A10,Feuil1!$B$61:$L$73,7,0)</f>
        <v>2516692.835</v>
      </c>
      <c r="J10" s="177" t="n">
        <f aca="false">VLOOKUP($A10,Feuil1!$B$61:$L$73,8,0)</f>
        <v>0</v>
      </c>
      <c r="K10" s="177" t="n">
        <f aca="false">I10+J10</f>
        <v>2516692.835</v>
      </c>
      <c r="L10" s="177" t="n">
        <v>125000</v>
      </c>
      <c r="M10" s="177" t="n">
        <f aca="false">VLOOKUP($A10,Feuil1!$B$23:$L$35,3,0)</f>
        <v>50000</v>
      </c>
      <c r="N10" s="177" t="n">
        <f aca="false">VLOOKUP($A10,Feuil1!$B$23:$L$35,7,0)</f>
        <v>0</v>
      </c>
      <c r="O10" s="177" t="n">
        <f aca="false">SUM(L10:N10)</f>
        <v>175000</v>
      </c>
    </row>
    <row r="11" customFormat="false" ht="13.8" hidden="false" customHeight="false" outlineLevel="0" collapsed="false">
      <c r="A11" s="175" t="s">
        <v>11</v>
      </c>
      <c r="B11" s="176" t="n">
        <f aca="false">VLOOKUP($A11,Feuil1!$B$6:$L$18,5,0)</f>
        <v>0</v>
      </c>
      <c r="C11" s="176" t="n">
        <f aca="false">VLOOKUP($A11,Feuil1!$B$6:$L$18,4,0)</f>
        <v>0</v>
      </c>
      <c r="D11" s="176" t="n">
        <f aca="false">VLOOKUP($A11,Feuil1!$B$6:$L$18,6,0)</f>
        <v>0</v>
      </c>
      <c r="E11" s="176" t="n">
        <f aca="false">VLOOKUP($A11,Feuil1!$B$6:$L$18,3,0)</f>
        <v>0</v>
      </c>
      <c r="F11" s="176" t="n">
        <f aca="false">VLOOKUP($A11,Feuil1!$B$6:$L$18,2,0)</f>
        <v>0</v>
      </c>
      <c r="G11" s="174" t="n">
        <f aca="false">SUM(B11:F11)</f>
        <v>0</v>
      </c>
      <c r="H11" s="176" t="n">
        <f aca="false">VLOOKUP($A11,Feuil1!$B$6:$L$18,9,0)</f>
        <v>0</v>
      </c>
      <c r="I11" s="177" t="n">
        <f aca="false">VLOOKUP($A11,Feuil1!$B$61:$L$73,7,0)</f>
        <v>0</v>
      </c>
      <c r="J11" s="177" t="n">
        <f aca="false">VLOOKUP($A11,Feuil1!$B$61:$L$73,8,0)</f>
        <v>0</v>
      </c>
      <c r="K11" s="177" t="n">
        <f aca="false">I11+J11</f>
        <v>0</v>
      </c>
      <c r="L11" s="177" t="n">
        <v>125000</v>
      </c>
      <c r="M11" s="177" t="n">
        <f aca="false">VLOOKUP($A11,Feuil1!$B$23:$L$35,3,0)</f>
        <v>0</v>
      </c>
      <c r="N11" s="177" t="n">
        <f aca="false">VLOOKUP($A11,Feuil1!$B$23:$L$35,7,0)</f>
        <v>0</v>
      </c>
      <c r="O11" s="177" t="n">
        <f aca="false">SUM(L11:N11)</f>
        <v>125000</v>
      </c>
    </row>
    <row r="12" customFormat="false" ht="13.8" hidden="false" customHeight="false" outlineLevel="0" collapsed="false">
      <c r="A12" s="175" t="s">
        <v>13</v>
      </c>
      <c r="B12" s="176" t="n">
        <f aca="false">VLOOKUP($A12,Feuil1!$B$6:$L$18,5,0)</f>
        <v>0</v>
      </c>
      <c r="C12" s="176" t="n">
        <f aca="false">VLOOKUP($A12,Feuil1!$B$6:$L$18,4,0)</f>
        <v>3</v>
      </c>
      <c r="D12" s="176" t="n">
        <f aca="false">VLOOKUP($A12,Feuil1!$B$6:$L$18,6,0)</f>
        <v>6</v>
      </c>
      <c r="E12" s="176" t="n">
        <f aca="false">VLOOKUP($A12,Feuil1!$B$6:$L$18,3,0)</f>
        <v>0</v>
      </c>
      <c r="F12" s="176" t="n">
        <f aca="false">VLOOKUP($A12,Feuil1!$B$6:$L$18,2,0)</f>
        <v>0</v>
      </c>
      <c r="G12" s="174" t="n">
        <f aca="false">SUM(B12:F12)</f>
        <v>9</v>
      </c>
      <c r="H12" s="176" t="n">
        <f aca="false">VLOOKUP($A12,Feuil1!$B$6:$L$18,9,0)</f>
        <v>0</v>
      </c>
      <c r="I12" s="177" t="n">
        <f aca="false">VLOOKUP($A12,Feuil1!$B$61:$L$73,7,0)</f>
        <v>2251960.165</v>
      </c>
      <c r="J12" s="177" t="n">
        <f aca="false">VLOOKUP($A12,Feuil1!$B$61:$L$73,8,0)</f>
        <v>0</v>
      </c>
      <c r="K12" s="177" t="n">
        <f aca="false">I12+J12</f>
        <v>2251960.165</v>
      </c>
      <c r="L12" s="177" t="n">
        <v>125000</v>
      </c>
      <c r="M12" s="177" t="n">
        <f aca="false">VLOOKUP($A12,Feuil1!$B$23:$L$35,3,0)</f>
        <v>45000</v>
      </c>
      <c r="N12" s="177" t="n">
        <f aca="false">VLOOKUP($A12,Feuil1!$B$23:$L$35,7,0)</f>
        <v>0</v>
      </c>
      <c r="O12" s="177" t="n">
        <f aca="false">SUM(L12:N12)</f>
        <v>170000</v>
      </c>
    </row>
    <row r="13" customFormat="false" ht="13.8" hidden="false" customHeight="false" outlineLevel="0" collapsed="false">
      <c r="A13" s="175" t="s">
        <v>19</v>
      </c>
      <c r="B13" s="176" t="n">
        <f aca="false">VLOOKUP($A13,Feuil1!$B$6:$L$18,5,0)</f>
        <v>0</v>
      </c>
      <c r="C13" s="176" t="n">
        <f aca="false">VLOOKUP($A13,Feuil1!$B$6:$L$18,4,0)</f>
        <v>0</v>
      </c>
      <c r="D13" s="176" t="n">
        <f aca="false">VLOOKUP($A13,Feuil1!$B$6:$L$18,6,0)</f>
        <v>8</v>
      </c>
      <c r="E13" s="176" t="n">
        <f aca="false">VLOOKUP($A13,Feuil1!$B$6:$L$18,3,0)</f>
        <v>0</v>
      </c>
      <c r="F13" s="176" t="n">
        <f aca="false">VLOOKUP($A13,Feuil1!$B$6:$L$18,2,0)</f>
        <v>0</v>
      </c>
      <c r="G13" s="174" t="n">
        <f aca="false">SUM(B13:F13)</f>
        <v>8</v>
      </c>
      <c r="H13" s="176" t="n">
        <f aca="false">VLOOKUP($A13,Feuil1!$B$6:$L$18,9,0)</f>
        <v>1</v>
      </c>
      <c r="I13" s="177" t="n">
        <f aca="false">VLOOKUP($A13,Feuil1!$B$61:$L$73,7,0)</f>
        <v>2182838.25</v>
      </c>
      <c r="J13" s="177" t="n">
        <f aca="false">VLOOKUP($A13,Feuil1!$B$61:$L$73,8,0)</f>
        <v>2150000</v>
      </c>
      <c r="K13" s="177" t="n">
        <f aca="false">I13+J13</f>
        <v>4332838.25</v>
      </c>
      <c r="L13" s="177" t="n">
        <v>140000</v>
      </c>
      <c r="M13" s="177" t="n">
        <f aca="false">VLOOKUP($A13,Feuil1!$B$23:$L$35,3,0)</f>
        <v>65000</v>
      </c>
      <c r="N13" s="177" t="n">
        <f aca="false">VLOOKUP($A13,Feuil1!$B$23:$L$35,7,0)</f>
        <v>0</v>
      </c>
      <c r="O13" s="177" t="n">
        <f aca="false">SUM(L13:N13)</f>
        <v>205000</v>
      </c>
    </row>
    <row r="14" customFormat="false" ht="13.8" hidden="false" customHeight="false" outlineLevel="0" collapsed="false">
      <c r="A14" s="175" t="s">
        <v>20</v>
      </c>
      <c r="B14" s="176" t="n">
        <f aca="false">VLOOKUP($A14,Feuil1!$B$6:$L$18,5,0)</f>
        <v>0</v>
      </c>
      <c r="C14" s="176" t="n">
        <f aca="false">VLOOKUP($A14,Feuil1!$B$6:$L$18,4,0)</f>
        <v>0</v>
      </c>
      <c r="D14" s="176" t="n">
        <f aca="false">VLOOKUP($A14,Feuil1!$B$6:$L$18,6,0)</f>
        <v>5</v>
      </c>
      <c r="E14" s="176" t="n">
        <f aca="false">VLOOKUP($A14,Feuil1!$B$6:$L$18,3,0)</f>
        <v>0</v>
      </c>
      <c r="F14" s="176" t="n">
        <f aca="false">VLOOKUP($A14,Feuil1!$B$6:$L$18,2,0)</f>
        <v>0</v>
      </c>
      <c r="G14" s="174" t="n">
        <f aca="false">SUM(B14:F14)</f>
        <v>5</v>
      </c>
      <c r="H14" s="176" t="n">
        <f aca="false">VLOOKUP($A14,Feuil1!$B$6:$L$18,9,0)</f>
        <v>1</v>
      </c>
      <c r="I14" s="177" t="n">
        <f aca="false">VLOOKUP($A14,Feuil1!$B$61:$L$73,7,0)</f>
        <v>1431193.875</v>
      </c>
      <c r="J14" s="177" t="n">
        <f aca="false">VLOOKUP($A14,Feuil1!$B$61:$L$73,8,0)</f>
        <v>2150000</v>
      </c>
      <c r="K14" s="177" t="n">
        <f aca="false">I14+J14</f>
        <v>3581193.875</v>
      </c>
      <c r="L14" s="177" t="n">
        <v>140000</v>
      </c>
      <c r="M14" s="177" t="n">
        <f aca="false">VLOOKUP($A14,Feuil1!$B$23:$L$35,3,0)</f>
        <v>50000</v>
      </c>
      <c r="N14" s="177" t="n">
        <f aca="false">VLOOKUP($A14,Feuil1!$B$23:$L$35,7,0)</f>
        <v>0</v>
      </c>
      <c r="O14" s="177" t="n">
        <f aca="false">SUM(L14:N14)</f>
        <v>190000</v>
      </c>
    </row>
    <row r="15" customFormat="false" ht="13.8" hidden="false" customHeight="false" outlineLevel="0" collapsed="false">
      <c r="A15" s="175" t="s">
        <v>21</v>
      </c>
      <c r="B15" s="176" t="n">
        <f aca="false">VLOOKUP($A15,Feuil1!$B$6:$L$18,5,0)</f>
        <v>0</v>
      </c>
      <c r="C15" s="176" t="n">
        <f aca="false">VLOOKUP($A15,Feuil1!$B$6:$L$18,4,0)</f>
        <v>0</v>
      </c>
      <c r="D15" s="176" t="n">
        <f aca="false">VLOOKUP($A15,Feuil1!$B$6:$L$18,6,0)</f>
        <v>6</v>
      </c>
      <c r="E15" s="176" t="n">
        <f aca="false">VLOOKUP($A15,Feuil1!$B$6:$L$18,3,0)</f>
        <v>0</v>
      </c>
      <c r="F15" s="176" t="n">
        <f aca="false">VLOOKUP($A15,Feuil1!$B$6:$L$18,2,0)</f>
        <v>0</v>
      </c>
      <c r="G15" s="174" t="n">
        <f aca="false">SUM(B15:F15)</f>
        <v>6</v>
      </c>
      <c r="H15" s="176" t="n">
        <f aca="false">VLOOKUP($A15,Feuil1!$B$6:$L$18,9,0)</f>
        <v>1</v>
      </c>
      <c r="I15" s="177" t="n">
        <f aca="false">VLOOKUP($A15,Feuil1!$B$61:$L$73,7,0)</f>
        <v>1627907.25</v>
      </c>
      <c r="J15" s="177" t="n">
        <f aca="false">VLOOKUP($A15,Feuil1!$B$61:$L$73,8,0)</f>
        <v>2150000</v>
      </c>
      <c r="K15" s="177" t="n">
        <f aca="false">I15+J15</f>
        <v>3777907.25</v>
      </c>
      <c r="L15" s="177" t="n">
        <v>130000</v>
      </c>
      <c r="M15" s="177" t="n">
        <f aca="false">VLOOKUP($A15,Feuil1!$B$23:$L$35,3,0)</f>
        <v>55000</v>
      </c>
      <c r="N15" s="177" t="n">
        <f aca="false">VLOOKUP($A15,Feuil1!$B$23:$L$35,7,0)</f>
        <v>0</v>
      </c>
      <c r="O15" s="177" t="n">
        <f aca="false">SUM(L15:N15)</f>
        <v>185000</v>
      </c>
    </row>
    <row r="16" customFormat="false" ht="13.8" hidden="false" customHeight="false" outlineLevel="0" collapsed="false">
      <c r="A16" s="175" t="s">
        <v>18</v>
      </c>
      <c r="B16" s="176" t="n">
        <f aca="false">VLOOKUP($A16,Feuil1!$B$6:$L$18,5,0)</f>
        <v>0</v>
      </c>
      <c r="C16" s="176" t="n">
        <f aca="false">VLOOKUP($A16,Feuil1!$B$6:$L$18,4,0)</f>
        <v>6</v>
      </c>
      <c r="D16" s="176" t="n">
        <f aca="false">VLOOKUP($A16,Feuil1!$B$6:$L$18,6,0)</f>
        <v>3</v>
      </c>
      <c r="E16" s="176" t="n">
        <f aca="false">VLOOKUP($A16,Feuil1!$B$6:$L$18,3,0)</f>
        <v>0</v>
      </c>
      <c r="F16" s="176" t="n">
        <f aca="false">VLOOKUP($A16,Feuil1!$B$6:$L$18,2,0)</f>
        <v>0</v>
      </c>
      <c r="G16" s="174" t="n">
        <f aca="false">SUM(B16:F16)</f>
        <v>9</v>
      </c>
      <c r="H16" s="176" t="n">
        <f aca="false">VLOOKUP($A16,Feuil1!$B$6:$L$18,9,0)</f>
        <v>0</v>
      </c>
      <c r="I16" s="177" t="n">
        <f aca="false">VLOOKUP($A16,Feuil1!$B$61:$L$73,7,0)</f>
        <v>2166259.68</v>
      </c>
      <c r="J16" s="177" t="n">
        <f aca="false">VLOOKUP($A16,Feuil1!$B$61:$L$73,8,0)</f>
        <v>0</v>
      </c>
      <c r="K16" s="177" t="n">
        <f aca="false">I16+J16</f>
        <v>2166259.68</v>
      </c>
      <c r="L16" s="177" t="n">
        <v>125000</v>
      </c>
      <c r="M16" s="177" t="n">
        <f aca="false">VLOOKUP($A16,Feuil1!$B$23:$L$35,3,0)</f>
        <v>45000</v>
      </c>
      <c r="N16" s="177" t="n">
        <f aca="false">VLOOKUP($A16,Feuil1!$B$23:$L$35,7,0)</f>
        <v>0</v>
      </c>
      <c r="O16" s="177" t="n">
        <f aca="false">SUM(L16:N16)</f>
        <v>170000</v>
      </c>
    </row>
    <row r="17" customFormat="false" ht="15.75" hidden="false" customHeight="false" outlineLevel="0" collapsed="false">
      <c r="A17" s="175" t="s">
        <v>4</v>
      </c>
      <c r="B17" s="175" t="n">
        <f aca="false">SUM(B4:B16)</f>
        <v>0</v>
      </c>
      <c r="C17" s="175" t="n">
        <f aca="false">SUM(C4:C16)</f>
        <v>25</v>
      </c>
      <c r="D17" s="175" t="n">
        <f aca="false">SUM(D4:D16)</f>
        <v>50</v>
      </c>
      <c r="E17" s="175" t="n">
        <f aca="false">SUM(E4:E16)</f>
        <v>0</v>
      </c>
      <c r="F17" s="175" t="n">
        <f aca="false">SUM(F4:F16)</f>
        <v>0</v>
      </c>
      <c r="G17" s="175" t="n">
        <f aca="false">SUM(G4:G16)</f>
        <v>75</v>
      </c>
      <c r="H17" s="175" t="n">
        <f aca="false">SUM(H4:H16)</f>
        <v>5</v>
      </c>
      <c r="I17" s="178" t="n">
        <f aca="false">SUM(I4:I16)</f>
        <v>18750814.02</v>
      </c>
      <c r="J17" s="178" t="n">
        <f aca="false">SUM(J4:J16)</f>
        <v>11250000</v>
      </c>
      <c r="K17" s="178" t="n">
        <f aca="false">SUM(K4:K16)</f>
        <v>30000814.02</v>
      </c>
      <c r="L17" s="178" t="n">
        <f aca="false">SUM(L4:L16)</f>
        <v>1665000</v>
      </c>
      <c r="M17" s="178" t="n">
        <f aca="false">SUM(M4:M16)</f>
        <v>505000</v>
      </c>
      <c r="N17" s="178" t="n">
        <f aca="false">SUM(N4:N16)</f>
        <v>0</v>
      </c>
      <c r="O17" s="178" t="n">
        <f aca="false">SUM(O4:O16)</f>
        <v>2170000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LibreOffice/5.3.7.2$Windows_X86_64 LibreOffice_project/6b8ed514a9f8b44d37a1b96673cbbdd077e24059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2017-12-26T10:50:01Z</dcterms:created>
  <dc:creator>Martial</dc:creator>
  <dc:description/>
  <dc:language>fr-FR</dc:language>
  <cp:lastModifiedBy/>
  <dcterms:modified xsi:type="dcterms:W3CDTF">2017-12-27T09:04:12Z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