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ERVEUR\SEBASTIEN\doc\perso\"/>
    </mc:Choice>
  </mc:AlternateContent>
  <bookViews>
    <workbookView xWindow="0" yWindow="0" windowWidth="25200" windowHeight="11385" tabRatio="658" firstSheet="1" activeTab="1"/>
  </bookViews>
  <sheets>
    <sheet name="BD_CAL" sheetId="5" r:id="rId1"/>
    <sheet name="calendriers" sheetId="14" r:id="rId2"/>
    <sheet name="Mensuel" sheetId="28" r:id="rId3"/>
    <sheet name="anniversaire" sheetId="11" r:id="rId4"/>
    <sheet name="évènements" sheetId="35" r:id="rId5"/>
    <sheet name="Événements" sheetId="30" state="hidden" r:id="rId6"/>
    <sheet name="Lune" sheetId="27" state="hidden" r:id="rId7"/>
    <sheet name="Jours fériés" sheetId="29" state="hidden" r:id="rId8"/>
    <sheet name="fête" sheetId="26" state="hidden" r:id="rId9"/>
    <sheet name="horaires mois" sheetId="10" r:id="rId10"/>
  </sheets>
  <externalReferences>
    <externalReference r:id="rId11"/>
    <externalReference r:id="rId12"/>
  </externalReferences>
  <definedNames>
    <definedName name="_xlnm._FilterDatabase" localSheetId="3" hidden="1">anniversaire!$A$1:$N$1</definedName>
    <definedName name="_xlnm._FilterDatabase" localSheetId="4" hidden="1">évènements!$A$2:$C$2</definedName>
    <definedName name="AfficherNom">#REF!</definedName>
    <definedName name="An" localSheetId="1">calendriers!$C$1</definedName>
    <definedName name="An">#REF!</definedName>
    <definedName name="ChampQui">[1]!tblDonnées[QUI]</definedName>
    <definedName name="CHOIX" localSheetId="1">calendriers!$L$3:$L$33,calendriers!$V$3:$V$33,calendriers!$AG$3:$AG$33,calendriers!$AQ$3:$AQ$33,calendriers!$BA$3:$BA$33,calendriers!#REF!,calendriers!$BW$3:$BW$33,calendriers!$CG$3:$CG$33,calendriers!$CR$3:$CR$33,calendriers!$DB$3:$DB$33,calendriers!$DL$3:$DL$33,calendriers!$DU$3:$DU$33,calendriers!$EB$3:$EB$33,calendriers!#REF!,calendriers!#REF!,calendriers!#REF!,calendriers!#REF!,calendriers!#REF!,calendriers!#REF!</definedName>
    <definedName name="colvac" localSheetId="1">calendriers!$C$3:$C$33,calendriers!$M$3:$M$30,calendriers!$M$31,calendriers!$X$3:$X$33,calendriers!$AH$3:$AH$32,calendriers!$AR$3:$AR$33,calendriers!#REF!,calendriers!$BN$3:$BN$33,calendriers!$BX$3:$BX$33,calendriers!$CI$3:$CI$32,calendriers!$CS$3:$CS$33,calendriers!$DC$3:$DC$32,calendriers!#REF!,calendriers!$DV$3:$DV$33</definedName>
    <definedName name="DAbut">#REF!</definedName>
    <definedName name="DAfin">#REF!</definedName>
    <definedName name="date">Événements!#REF!</definedName>
    <definedName name="Datedebut">Tableau1[[#Headers],[date debut]]</definedName>
    <definedName name="Datefin">évènements!$B:$B</definedName>
    <definedName name="Dbut">Tableau1[date debut]</definedName>
    <definedName name="dCL">[2]Data!#REF!</definedName>
    <definedName name="Ddebut">Tableau1[[#All],[date debut]]</definedName>
    <definedName name="début">Événements!$B$2:$B$11</definedName>
    <definedName name="débutm">Événements!$F$2:$F$11</definedName>
    <definedName name="dferm">[2]Data!#REF!</definedName>
    <definedName name="Dfin">Tableau1[date fin]</definedName>
    <definedName name="Dform" localSheetId="1">[2]Calendrier!#REF!</definedName>
    <definedName name="Dform">[2]Calendrier!#REF!</definedName>
    <definedName name="DVac">BD_CAL!$E$5:$E$38</definedName>
    <definedName name="F">Événements!$A$3:$G$3</definedName>
    <definedName name="Fériés">BD_CAL!$J$6:$J$58</definedName>
    <definedName name="fin">Événements!$C$2:$C$11</definedName>
    <definedName name="finm">Événements!$G$2:$G$11</definedName>
    <definedName name="FVac">BD_CAL!$G$5:$G$38</definedName>
    <definedName name="onglets">BD_CAL!$I$5:$I$16</definedName>
    <definedName name="RechercherQui">OFFSET('[1]Recherche de nom'!$A$3,,,COUNT('[1]Recherche de nom'!$B:$B),1)</definedName>
    <definedName name="SemaineDu">#REF!</definedName>
    <definedName name="vacances" localSheetId="1">calendriers!$C$3:$C$33,calendriers!$M$3:$M$31,calendriers!$X$3:$X$33,calendriers!$AH$3:$AH$32,calendriers!$AR$3:$AR$33,calendriers!#REF!,calendriers!$BN$3:$BN$33,calendriers!$BX$3:$BX$33,calendriers!$CI$3:$CI$32,calendriers!$CS$3:$CS$33,calendriers!$DC$3:$DC$32,calendriers!#REF!,calendriers!$DV$3:$DV$33,calendriers!#REF!,calendriers!#REF!,calendriers!#REF!,calendriers!#REF!,calendriers!#REF!,calendriers!#REF!</definedName>
    <definedName name="_xlnm.Print_Area" localSheetId="1">calendriers!$B$1:$DU$34</definedName>
    <definedName name="_xlnm.Print_Area" localSheetId="9">'horaires mois'!$A$3:$H$39</definedName>
    <definedName name="_xlnm.Print_Area" localSheetId="2">Mensuel!$B$4:$H$29</definedName>
  </definedNames>
  <calcPr calcId="152511"/>
</workbook>
</file>

<file path=xl/calcChain.xml><?xml version="1.0" encoding="utf-8"?>
<calcChain xmlns="http://schemas.openxmlformats.org/spreadsheetml/2006/main">
  <c r="G4" i="35" l="1"/>
  <c r="G5" i="35"/>
  <c r="G8" i="35"/>
  <c r="G9" i="35"/>
  <c r="G10" i="35"/>
  <c r="G16" i="35"/>
  <c r="G17" i="35"/>
  <c r="G18" i="35"/>
  <c r="G19" i="35"/>
  <c r="G20" i="35"/>
  <c r="G21" i="35"/>
  <c r="G22" i="35"/>
  <c r="G23" i="35"/>
  <c r="G24" i="35"/>
  <c r="G25" i="35"/>
  <c r="G26" i="35"/>
  <c r="G27" i="35"/>
  <c r="G28" i="35"/>
  <c r="G29" i="35"/>
  <c r="G30" i="35"/>
  <c r="G31" i="35"/>
  <c r="G32" i="35"/>
  <c r="G33" i="35"/>
  <c r="G34" i="35"/>
  <c r="G35" i="35"/>
  <c r="G36" i="35"/>
  <c r="G37" i="35"/>
  <c r="G38" i="35"/>
  <c r="G39" i="35"/>
  <c r="G40" i="35"/>
  <c r="G41" i="35"/>
  <c r="G42" i="35"/>
  <c r="G43" i="35"/>
  <c r="G44" i="35"/>
  <c r="G45" i="35"/>
  <c r="G46" i="35"/>
  <c r="G47" i="35"/>
  <c r="G48" i="35"/>
  <c r="G49" i="35"/>
  <c r="G50" i="35"/>
  <c r="G51" i="35"/>
  <c r="G52" i="35"/>
  <c r="G53" i="35"/>
  <c r="G54" i="35"/>
  <c r="G55" i="35"/>
  <c r="G56" i="35"/>
  <c r="G57" i="35"/>
  <c r="G58" i="35"/>
  <c r="G59" i="35"/>
  <c r="G60" i="35"/>
  <c r="G61" i="35"/>
  <c r="G62" i="35"/>
  <c r="G63" i="35"/>
  <c r="G64" i="35"/>
  <c r="G65" i="35"/>
  <c r="G66" i="35"/>
  <c r="G67" i="35"/>
  <c r="G68" i="35"/>
  <c r="G69" i="35"/>
  <c r="G70" i="35"/>
  <c r="G71" i="35"/>
  <c r="G72" i="35"/>
  <c r="G73" i="35"/>
  <c r="G74" i="35"/>
  <c r="G75" i="35"/>
  <c r="G76" i="35"/>
  <c r="G77" i="35"/>
  <c r="G78" i="35"/>
  <c r="G79" i="35"/>
  <c r="G80" i="35"/>
  <c r="G81" i="35"/>
  <c r="G82" i="35"/>
  <c r="G83" i="35"/>
  <c r="G84" i="35"/>
  <c r="G85" i="35"/>
  <c r="G86" i="35"/>
  <c r="G87" i="35"/>
  <c r="G88" i="35"/>
  <c r="G89" i="35"/>
  <c r="G90" i="35"/>
  <c r="G91" i="35"/>
  <c r="G92" i="35"/>
  <c r="G93" i="35"/>
  <c r="G94" i="35"/>
  <c r="G95" i="35"/>
  <c r="G96" i="35"/>
  <c r="G97" i="35"/>
  <c r="G98" i="35"/>
  <c r="G99" i="35"/>
  <c r="G100" i="35"/>
  <c r="G101" i="35"/>
  <c r="G102" i="35"/>
  <c r="G103" i="35"/>
  <c r="G104" i="35"/>
  <c r="G105" i="35"/>
  <c r="G106" i="35"/>
  <c r="G107" i="35"/>
  <c r="G108" i="35"/>
  <c r="G109" i="35"/>
  <c r="G110" i="35"/>
  <c r="G111" i="35"/>
  <c r="G112" i="35"/>
  <c r="G113" i="35"/>
  <c r="G114" i="35"/>
  <c r="G115" i="35"/>
  <c r="G116" i="35"/>
  <c r="G117" i="35"/>
  <c r="G118" i="35"/>
  <c r="G119" i="35"/>
  <c r="G120" i="35"/>
  <c r="G121" i="35"/>
  <c r="G122" i="35"/>
  <c r="G123" i="35"/>
  <c r="G124" i="35"/>
  <c r="G125" i="35"/>
  <c r="G126" i="35"/>
  <c r="G127" i="35"/>
  <c r="G128" i="35"/>
  <c r="G129" i="35"/>
  <c r="G130" i="35"/>
  <c r="G131" i="35"/>
  <c r="G132" i="35"/>
  <c r="G133" i="35"/>
  <c r="G134" i="35"/>
  <c r="G135" i="35"/>
  <c r="G136" i="35"/>
  <c r="G137" i="35"/>
  <c r="G138" i="35"/>
  <c r="G139" i="35"/>
  <c r="G140" i="35"/>
  <c r="G141" i="35"/>
  <c r="G142" i="35"/>
  <c r="G143" i="35"/>
  <c r="G144" i="35"/>
  <c r="G145" i="35"/>
  <c r="G146" i="35"/>
  <c r="G147" i="35"/>
  <c r="G148" i="35"/>
  <c r="G149" i="35"/>
  <c r="G150" i="35"/>
  <c r="G151" i="35"/>
  <c r="G152" i="35"/>
  <c r="G153" i="35"/>
  <c r="G154" i="35"/>
  <c r="G155" i="35"/>
  <c r="G156" i="35"/>
  <c r="G157" i="35"/>
  <c r="G158" i="35"/>
  <c r="G159" i="35"/>
  <c r="G160" i="35"/>
  <c r="G161" i="35"/>
  <c r="G162" i="35"/>
  <c r="G163" i="35"/>
  <c r="G164" i="35"/>
  <c r="G165" i="35"/>
  <c r="G166" i="35"/>
  <c r="G167" i="35"/>
  <c r="G168" i="35"/>
  <c r="G169" i="35"/>
  <c r="G170" i="35"/>
  <c r="G171" i="35"/>
  <c r="G172" i="35"/>
  <c r="G173" i="35"/>
  <c r="G174" i="35"/>
  <c r="G175" i="35"/>
  <c r="G176" i="35"/>
  <c r="G177" i="35"/>
  <c r="G178" i="35"/>
  <c r="G179" i="35"/>
  <c r="G180" i="35"/>
  <c r="G181" i="35"/>
  <c r="G182" i="35"/>
  <c r="G183" i="35"/>
  <c r="G184" i="35"/>
  <c r="G185" i="35"/>
  <c r="G186" i="35"/>
  <c r="G187" i="35"/>
  <c r="G188" i="35"/>
  <c r="G189" i="35"/>
  <c r="G190" i="35"/>
  <c r="F3" i="35" l="1"/>
  <c r="F4" i="35"/>
  <c r="F5" i="35"/>
  <c r="F7" i="35"/>
  <c r="F8" i="35"/>
  <c r="F9" i="35"/>
  <c r="F10" i="35"/>
  <c r="F11" i="35"/>
  <c r="F12" i="35"/>
  <c r="F14" i="35"/>
  <c r="F15" i="35"/>
  <c r="F16" i="35"/>
  <c r="F17" i="35"/>
  <c r="F18" i="35"/>
  <c r="F19" i="35"/>
  <c r="F20" i="35"/>
  <c r="F21" i="35"/>
  <c r="F22" i="35"/>
  <c r="F23" i="35"/>
  <c r="F24" i="35"/>
  <c r="F25" i="35"/>
  <c r="F26" i="35"/>
  <c r="F27" i="35"/>
  <c r="F28" i="35"/>
  <c r="F29" i="35"/>
  <c r="F30" i="35"/>
  <c r="F31" i="35"/>
  <c r="F32" i="35"/>
  <c r="F33" i="35"/>
  <c r="F34" i="35"/>
  <c r="F35" i="35"/>
  <c r="F36" i="35"/>
  <c r="F37" i="35"/>
  <c r="F38" i="35"/>
  <c r="F39" i="35"/>
  <c r="F40" i="35"/>
  <c r="F41" i="35"/>
  <c r="F42" i="35"/>
  <c r="F43" i="35"/>
  <c r="F44" i="35"/>
  <c r="F45" i="35"/>
  <c r="F46" i="35"/>
  <c r="F47" i="35"/>
  <c r="F48" i="35"/>
  <c r="F49" i="35"/>
  <c r="F50" i="35"/>
  <c r="F51" i="35"/>
  <c r="F52" i="35"/>
  <c r="F53" i="35"/>
  <c r="F54" i="35"/>
  <c r="F55" i="35"/>
  <c r="F56" i="35"/>
  <c r="F57" i="35"/>
  <c r="F58" i="35"/>
  <c r="F59" i="35"/>
  <c r="F60" i="35"/>
  <c r="F61" i="35"/>
  <c r="F62" i="35"/>
  <c r="F63" i="35"/>
  <c r="F64" i="35"/>
  <c r="F65" i="35"/>
  <c r="F66" i="35"/>
  <c r="F67" i="35"/>
  <c r="F68" i="35"/>
  <c r="F69" i="35"/>
  <c r="F70" i="35"/>
  <c r="F71" i="35"/>
  <c r="F72" i="35"/>
  <c r="F73" i="35"/>
  <c r="F74" i="35"/>
  <c r="F75" i="35"/>
  <c r="F76" i="35"/>
  <c r="F77" i="35"/>
  <c r="F78" i="35"/>
  <c r="F79" i="35"/>
  <c r="F80" i="35"/>
  <c r="F81" i="35"/>
  <c r="F82" i="35"/>
  <c r="F83" i="35"/>
  <c r="F84" i="35"/>
  <c r="F85" i="35"/>
  <c r="F86" i="35"/>
  <c r="F87" i="35"/>
  <c r="F88" i="35"/>
  <c r="F89" i="35"/>
  <c r="F90" i="35"/>
  <c r="F91" i="35"/>
  <c r="F92" i="35"/>
  <c r="F93" i="35"/>
  <c r="F94" i="35"/>
  <c r="F95" i="35"/>
  <c r="F96" i="35"/>
  <c r="F97" i="35"/>
  <c r="F98" i="35"/>
  <c r="F99" i="35"/>
  <c r="F100" i="35"/>
  <c r="F101" i="35"/>
  <c r="F102" i="35"/>
  <c r="F103" i="35"/>
  <c r="F104" i="35"/>
  <c r="F105" i="35"/>
  <c r="F106" i="35"/>
  <c r="F107" i="35"/>
  <c r="F108" i="35"/>
  <c r="F109" i="35"/>
  <c r="F110" i="35"/>
  <c r="F111" i="35"/>
  <c r="F112" i="35"/>
  <c r="F113" i="35"/>
  <c r="F114" i="35"/>
  <c r="F115" i="35"/>
  <c r="F116" i="35"/>
  <c r="F117" i="35"/>
  <c r="F118" i="35"/>
  <c r="F119" i="35"/>
  <c r="F120" i="35"/>
  <c r="F121" i="35"/>
  <c r="F122" i="35"/>
  <c r="F123" i="35"/>
  <c r="F124" i="35"/>
  <c r="F125" i="35"/>
  <c r="F126" i="35"/>
  <c r="F127" i="35"/>
  <c r="F128" i="35"/>
  <c r="F129" i="35"/>
  <c r="F130" i="35"/>
  <c r="F131" i="35"/>
  <c r="F132" i="35"/>
  <c r="F133" i="35"/>
  <c r="F134" i="35"/>
  <c r="F135" i="35"/>
  <c r="F136" i="35"/>
  <c r="F137" i="35"/>
  <c r="F138" i="35"/>
  <c r="F139" i="35"/>
  <c r="F140" i="35"/>
  <c r="F141" i="35"/>
  <c r="F142" i="35"/>
  <c r="F143" i="35"/>
  <c r="F144" i="35"/>
  <c r="F145" i="35"/>
  <c r="F146" i="35"/>
  <c r="F147" i="35"/>
  <c r="F148" i="35"/>
  <c r="F149" i="35"/>
  <c r="F150" i="35"/>
  <c r="F151" i="35"/>
  <c r="F152" i="35"/>
  <c r="F153" i="35"/>
  <c r="F154" i="35"/>
  <c r="F155" i="35"/>
  <c r="F156" i="35"/>
  <c r="F157" i="35"/>
  <c r="F158" i="35"/>
  <c r="F159" i="35"/>
  <c r="F160" i="35"/>
  <c r="F161" i="35"/>
  <c r="F162" i="35"/>
  <c r="F163" i="35"/>
  <c r="F164" i="35"/>
  <c r="F165" i="35"/>
  <c r="F166" i="35"/>
  <c r="F167" i="35"/>
  <c r="F168" i="35"/>
  <c r="F169" i="35"/>
  <c r="F170" i="35"/>
  <c r="F171" i="35"/>
  <c r="F172" i="35"/>
  <c r="F173" i="35"/>
  <c r="F174" i="35"/>
  <c r="F175" i="35"/>
  <c r="F176" i="35"/>
  <c r="F177" i="35"/>
  <c r="F178" i="35"/>
  <c r="F179" i="35"/>
  <c r="F180" i="35"/>
  <c r="F181" i="35"/>
  <c r="F182" i="35"/>
  <c r="F183" i="35"/>
  <c r="F184" i="35"/>
  <c r="F185" i="35"/>
  <c r="F186" i="35"/>
  <c r="F187" i="35"/>
  <c r="F188" i="35"/>
  <c r="F189" i="35"/>
  <c r="F190" i="35"/>
  <c r="E13" i="35"/>
  <c r="E4" i="35"/>
  <c r="E5" i="35"/>
  <c r="E6" i="35"/>
  <c r="E8" i="35"/>
  <c r="E9" i="35"/>
  <c r="E10" i="35"/>
  <c r="E14" i="35"/>
  <c r="E15" i="35"/>
  <c r="E16" i="35"/>
  <c r="E17" i="35"/>
  <c r="E18" i="35"/>
  <c r="E19" i="35"/>
  <c r="E20" i="35"/>
  <c r="E21" i="35"/>
  <c r="E22" i="35"/>
  <c r="E23" i="35"/>
  <c r="E24" i="35"/>
  <c r="E25" i="35"/>
  <c r="E26" i="35"/>
  <c r="E27" i="35"/>
  <c r="E28" i="35"/>
  <c r="E29" i="35"/>
  <c r="E30" i="35"/>
  <c r="E31" i="35"/>
  <c r="E32" i="35"/>
  <c r="E33" i="35"/>
  <c r="E34" i="35"/>
  <c r="E35" i="35"/>
  <c r="E36" i="35"/>
  <c r="E37" i="35"/>
  <c r="E38" i="35"/>
  <c r="E39" i="35"/>
  <c r="E40" i="35"/>
  <c r="E41" i="35"/>
  <c r="E42" i="35"/>
  <c r="E43" i="35"/>
  <c r="E44" i="35"/>
  <c r="E45" i="35"/>
  <c r="E46" i="35"/>
  <c r="E47" i="35"/>
  <c r="E48" i="35"/>
  <c r="E49" i="35"/>
  <c r="E50" i="35"/>
  <c r="E51" i="35"/>
  <c r="E52" i="35"/>
  <c r="E53" i="35"/>
  <c r="E54" i="35"/>
  <c r="E55" i="35"/>
  <c r="E56" i="35"/>
  <c r="E57" i="35"/>
  <c r="E58" i="35"/>
  <c r="E59" i="35"/>
  <c r="E60" i="35"/>
  <c r="E61" i="35"/>
  <c r="E62" i="35"/>
  <c r="E63" i="35"/>
  <c r="E64" i="35"/>
  <c r="E65" i="35"/>
  <c r="E66" i="35"/>
  <c r="E67" i="35"/>
  <c r="E68" i="35"/>
  <c r="E69" i="35"/>
  <c r="E70" i="35"/>
  <c r="E71" i="35"/>
  <c r="E72" i="35"/>
  <c r="E73" i="35"/>
  <c r="E74" i="35"/>
  <c r="E75" i="35"/>
  <c r="E76" i="35"/>
  <c r="E77" i="35"/>
  <c r="E78" i="35"/>
  <c r="E79" i="35"/>
  <c r="E80" i="35"/>
  <c r="E81" i="35"/>
  <c r="E82" i="35"/>
  <c r="E83" i="35"/>
  <c r="E84" i="35"/>
  <c r="E85" i="35"/>
  <c r="E86" i="35"/>
  <c r="E87" i="35"/>
  <c r="E88" i="35"/>
  <c r="E89" i="35"/>
  <c r="E90" i="35"/>
  <c r="E91" i="35"/>
  <c r="E92" i="35"/>
  <c r="E93" i="35"/>
  <c r="E94" i="35"/>
  <c r="E95" i="35"/>
  <c r="E96" i="35"/>
  <c r="E97" i="35"/>
  <c r="E98" i="35"/>
  <c r="E99" i="35"/>
  <c r="E100" i="35"/>
  <c r="E101" i="35"/>
  <c r="E102" i="35"/>
  <c r="E103" i="35"/>
  <c r="E104" i="35"/>
  <c r="E105" i="35"/>
  <c r="E106" i="35"/>
  <c r="E107" i="35"/>
  <c r="E108" i="35"/>
  <c r="E109" i="35"/>
  <c r="E110" i="35"/>
  <c r="E111" i="35"/>
  <c r="E112" i="35"/>
  <c r="E113" i="35"/>
  <c r="E114" i="35"/>
  <c r="E115" i="35"/>
  <c r="E116" i="35"/>
  <c r="E117" i="35"/>
  <c r="E118" i="35"/>
  <c r="E119" i="35"/>
  <c r="E120" i="35"/>
  <c r="E121" i="35"/>
  <c r="E122" i="35"/>
  <c r="E123" i="35"/>
  <c r="E124" i="35"/>
  <c r="E125" i="35"/>
  <c r="E126" i="35"/>
  <c r="E127" i="35"/>
  <c r="E128" i="35"/>
  <c r="E129" i="35"/>
  <c r="E130" i="35"/>
  <c r="E131" i="35"/>
  <c r="E132" i="35"/>
  <c r="E133" i="35"/>
  <c r="E134" i="35"/>
  <c r="E135" i="35"/>
  <c r="E136" i="35"/>
  <c r="E137" i="35"/>
  <c r="E138" i="35"/>
  <c r="E139" i="35"/>
  <c r="E140" i="35"/>
  <c r="E141" i="35"/>
  <c r="E142" i="35"/>
  <c r="E143" i="35"/>
  <c r="E144" i="35"/>
  <c r="E145" i="35"/>
  <c r="E146" i="35"/>
  <c r="E147" i="35"/>
  <c r="E148" i="35"/>
  <c r="E149" i="35"/>
  <c r="E150" i="35"/>
  <c r="E151" i="35"/>
  <c r="E152" i="35"/>
  <c r="E153" i="35"/>
  <c r="E154" i="35"/>
  <c r="E155" i="35"/>
  <c r="E156" i="35"/>
  <c r="E157" i="35"/>
  <c r="E158" i="35"/>
  <c r="E159" i="35"/>
  <c r="E160" i="35"/>
  <c r="E161" i="35"/>
  <c r="E162" i="35"/>
  <c r="E163" i="35"/>
  <c r="E164" i="35"/>
  <c r="E165" i="35"/>
  <c r="E166" i="35"/>
  <c r="E167" i="35"/>
  <c r="E168" i="35"/>
  <c r="E169" i="35"/>
  <c r="E170" i="35"/>
  <c r="E171" i="35"/>
  <c r="E172" i="35"/>
  <c r="E173" i="35"/>
  <c r="E174" i="35"/>
  <c r="E175" i="35"/>
  <c r="E176" i="35"/>
  <c r="E177" i="35"/>
  <c r="E178" i="35"/>
  <c r="E179" i="35"/>
  <c r="E180" i="35"/>
  <c r="E181" i="35"/>
  <c r="E182" i="35"/>
  <c r="E183" i="35"/>
  <c r="E184" i="35"/>
  <c r="E185" i="35"/>
  <c r="E186" i="35"/>
  <c r="E187" i="35"/>
  <c r="E188" i="35"/>
  <c r="E189" i="35"/>
  <c r="E190" i="35"/>
  <c r="I4" i="35"/>
  <c r="H4" i="35" s="1"/>
  <c r="I5" i="35"/>
  <c r="H5" i="35" s="1"/>
  <c r="I6" i="35"/>
  <c r="H6" i="35" s="1"/>
  <c r="I7" i="35"/>
  <c r="H7" i="35" s="1"/>
  <c r="I8" i="35"/>
  <c r="H8" i="35" s="1"/>
  <c r="I9" i="35"/>
  <c r="H9" i="35" s="1"/>
  <c r="I10" i="35"/>
  <c r="H10" i="35" s="1"/>
  <c r="I11" i="35"/>
  <c r="H11" i="35" s="1"/>
  <c r="I12" i="35"/>
  <c r="H12" i="35" s="1"/>
  <c r="I13" i="35"/>
  <c r="H13" i="35" s="1"/>
  <c r="I14" i="35"/>
  <c r="H14" i="35" s="1"/>
  <c r="I15" i="35"/>
  <c r="H15" i="35" s="1"/>
  <c r="I16" i="35"/>
  <c r="H16" i="35" s="1"/>
  <c r="I17" i="35"/>
  <c r="H17" i="35" s="1"/>
  <c r="I18" i="35"/>
  <c r="H18" i="35" s="1"/>
  <c r="I19" i="35"/>
  <c r="H19" i="35" s="1"/>
  <c r="I20" i="35"/>
  <c r="H20" i="35" s="1"/>
  <c r="I21" i="35"/>
  <c r="H21" i="35" s="1"/>
  <c r="I22" i="35"/>
  <c r="H22" i="35" s="1"/>
  <c r="I23" i="35"/>
  <c r="H23" i="35" s="1"/>
  <c r="I24" i="35"/>
  <c r="H24" i="35" s="1"/>
  <c r="I25" i="35"/>
  <c r="H25" i="35" s="1"/>
  <c r="I26" i="35"/>
  <c r="H26" i="35" s="1"/>
  <c r="I27" i="35"/>
  <c r="H27" i="35" s="1"/>
  <c r="I28" i="35"/>
  <c r="H28" i="35" s="1"/>
  <c r="I29" i="35"/>
  <c r="H29" i="35" s="1"/>
  <c r="I30" i="35"/>
  <c r="H30" i="35" s="1"/>
  <c r="I31" i="35"/>
  <c r="H31" i="35" s="1"/>
  <c r="I32" i="35"/>
  <c r="H32" i="35" s="1"/>
  <c r="I33" i="35"/>
  <c r="H33" i="35" s="1"/>
  <c r="I34" i="35"/>
  <c r="H34" i="35" s="1"/>
  <c r="I35" i="35"/>
  <c r="H35" i="35" s="1"/>
  <c r="I36" i="35"/>
  <c r="H36" i="35" s="1"/>
  <c r="I37" i="35"/>
  <c r="H37" i="35" s="1"/>
  <c r="I38" i="35"/>
  <c r="H38" i="35" s="1"/>
  <c r="I39" i="35"/>
  <c r="H39" i="35" s="1"/>
  <c r="I40" i="35"/>
  <c r="H40" i="35" s="1"/>
  <c r="I41" i="35"/>
  <c r="H41" i="35" s="1"/>
  <c r="I42" i="35"/>
  <c r="H42" i="35" s="1"/>
  <c r="I43" i="35"/>
  <c r="H43" i="35" s="1"/>
  <c r="I44" i="35"/>
  <c r="H44" i="35" s="1"/>
  <c r="I45" i="35"/>
  <c r="H45" i="35" s="1"/>
  <c r="I46" i="35"/>
  <c r="H46" i="35" s="1"/>
  <c r="I47" i="35"/>
  <c r="H47" i="35" s="1"/>
  <c r="I48" i="35"/>
  <c r="H48" i="35" s="1"/>
  <c r="I49" i="35"/>
  <c r="H49" i="35" s="1"/>
  <c r="I50" i="35"/>
  <c r="H50" i="35" s="1"/>
  <c r="I51" i="35"/>
  <c r="H51" i="35" s="1"/>
  <c r="I52" i="35"/>
  <c r="H52" i="35" s="1"/>
  <c r="I53" i="35"/>
  <c r="H53" i="35" s="1"/>
  <c r="I54" i="35"/>
  <c r="H54" i="35" s="1"/>
  <c r="I55" i="35"/>
  <c r="H55" i="35" s="1"/>
  <c r="I56" i="35"/>
  <c r="H56" i="35" s="1"/>
  <c r="I57" i="35"/>
  <c r="H57" i="35" s="1"/>
  <c r="I58" i="35"/>
  <c r="H58" i="35" s="1"/>
  <c r="I59" i="35"/>
  <c r="H59" i="35" s="1"/>
  <c r="I60" i="35"/>
  <c r="H60" i="35" s="1"/>
  <c r="I61" i="35"/>
  <c r="H61" i="35" s="1"/>
  <c r="I62" i="35"/>
  <c r="H62" i="35" s="1"/>
  <c r="I63" i="35"/>
  <c r="H63" i="35" s="1"/>
  <c r="I64" i="35"/>
  <c r="H64" i="35" s="1"/>
  <c r="I65" i="35"/>
  <c r="H65" i="35" s="1"/>
  <c r="I66" i="35"/>
  <c r="H66" i="35" s="1"/>
  <c r="I67" i="35"/>
  <c r="H67" i="35" s="1"/>
  <c r="I68" i="35"/>
  <c r="H68" i="35" s="1"/>
  <c r="I69" i="35"/>
  <c r="H69" i="35" s="1"/>
  <c r="I70" i="35"/>
  <c r="H70" i="35" s="1"/>
  <c r="I71" i="35"/>
  <c r="H71" i="35" s="1"/>
  <c r="I72" i="35"/>
  <c r="H72" i="35" s="1"/>
  <c r="I73" i="35"/>
  <c r="H73" i="35" s="1"/>
  <c r="I74" i="35"/>
  <c r="H74" i="35" s="1"/>
  <c r="I75" i="35"/>
  <c r="H75" i="35" s="1"/>
  <c r="I76" i="35"/>
  <c r="H76" i="35" s="1"/>
  <c r="I77" i="35"/>
  <c r="H77" i="35" s="1"/>
  <c r="I78" i="35"/>
  <c r="H78" i="35" s="1"/>
  <c r="I79" i="35"/>
  <c r="H79" i="35" s="1"/>
  <c r="I80" i="35"/>
  <c r="H80" i="35" s="1"/>
  <c r="I81" i="35"/>
  <c r="H81" i="35" s="1"/>
  <c r="I82" i="35"/>
  <c r="H82" i="35" s="1"/>
  <c r="I83" i="35"/>
  <c r="H83" i="35" s="1"/>
  <c r="I84" i="35"/>
  <c r="H84" i="35" s="1"/>
  <c r="I85" i="35"/>
  <c r="H85" i="35" s="1"/>
  <c r="I86" i="35"/>
  <c r="H86" i="35" s="1"/>
  <c r="I87" i="35"/>
  <c r="H87" i="35" s="1"/>
  <c r="I88" i="35"/>
  <c r="H88" i="35" s="1"/>
  <c r="I89" i="35"/>
  <c r="H89" i="35" s="1"/>
  <c r="I90" i="35"/>
  <c r="H90" i="35" s="1"/>
  <c r="I91" i="35"/>
  <c r="H91" i="35" s="1"/>
  <c r="I92" i="35"/>
  <c r="H92" i="35" s="1"/>
  <c r="I93" i="35"/>
  <c r="H93" i="35" s="1"/>
  <c r="I94" i="35"/>
  <c r="H94" i="35" s="1"/>
  <c r="I95" i="35"/>
  <c r="H95" i="35" s="1"/>
  <c r="I96" i="35"/>
  <c r="H96" i="35" s="1"/>
  <c r="I97" i="35"/>
  <c r="H97" i="35" s="1"/>
  <c r="I98" i="35"/>
  <c r="H98" i="35" s="1"/>
  <c r="I99" i="35"/>
  <c r="H99" i="35" s="1"/>
  <c r="I100" i="35"/>
  <c r="H100" i="35" s="1"/>
  <c r="I101" i="35"/>
  <c r="H101" i="35" s="1"/>
  <c r="I102" i="35"/>
  <c r="H102" i="35" s="1"/>
  <c r="I103" i="35"/>
  <c r="H103" i="35" s="1"/>
  <c r="I104" i="35"/>
  <c r="H104" i="35" s="1"/>
  <c r="I105" i="35"/>
  <c r="H105" i="35" s="1"/>
  <c r="I106" i="35"/>
  <c r="H106" i="35" s="1"/>
  <c r="I107" i="35"/>
  <c r="H107" i="35" s="1"/>
  <c r="I108" i="35"/>
  <c r="H108" i="35" s="1"/>
  <c r="I109" i="35"/>
  <c r="H109" i="35" s="1"/>
  <c r="I110" i="35"/>
  <c r="H110" i="35" s="1"/>
  <c r="I111" i="35"/>
  <c r="H111" i="35" s="1"/>
  <c r="I112" i="35"/>
  <c r="H112" i="35" s="1"/>
  <c r="I113" i="35"/>
  <c r="H113" i="35" s="1"/>
  <c r="I114" i="35"/>
  <c r="H114" i="35" s="1"/>
  <c r="I115" i="35"/>
  <c r="H115" i="35" s="1"/>
  <c r="I116" i="35"/>
  <c r="H116" i="35" s="1"/>
  <c r="I117" i="35"/>
  <c r="H117" i="35" s="1"/>
  <c r="I118" i="35"/>
  <c r="H118" i="35" s="1"/>
  <c r="I119" i="35"/>
  <c r="H119" i="35" s="1"/>
  <c r="I120" i="35"/>
  <c r="H120" i="35" s="1"/>
  <c r="I121" i="35"/>
  <c r="H121" i="35" s="1"/>
  <c r="I122" i="35"/>
  <c r="H122" i="35" s="1"/>
  <c r="I123" i="35"/>
  <c r="H123" i="35" s="1"/>
  <c r="I124" i="35"/>
  <c r="H124" i="35" s="1"/>
  <c r="I125" i="35"/>
  <c r="H125" i="35" s="1"/>
  <c r="I126" i="35"/>
  <c r="H126" i="35" s="1"/>
  <c r="I127" i="35"/>
  <c r="H127" i="35" s="1"/>
  <c r="I128" i="35"/>
  <c r="H128" i="35" s="1"/>
  <c r="I129" i="35"/>
  <c r="H129" i="35" s="1"/>
  <c r="I130" i="35"/>
  <c r="H130" i="35" s="1"/>
  <c r="I131" i="35"/>
  <c r="H131" i="35" s="1"/>
  <c r="I132" i="35"/>
  <c r="H132" i="35" s="1"/>
  <c r="I133" i="35"/>
  <c r="H133" i="35" s="1"/>
  <c r="I134" i="35"/>
  <c r="H134" i="35" s="1"/>
  <c r="I135" i="35"/>
  <c r="H135" i="35" s="1"/>
  <c r="I136" i="35"/>
  <c r="H136" i="35" s="1"/>
  <c r="I137" i="35"/>
  <c r="H137" i="35" s="1"/>
  <c r="I138" i="35"/>
  <c r="H138" i="35" s="1"/>
  <c r="I139" i="35"/>
  <c r="H139" i="35" s="1"/>
  <c r="I140" i="35"/>
  <c r="H140" i="35" s="1"/>
  <c r="I141" i="35"/>
  <c r="H141" i="35" s="1"/>
  <c r="I142" i="35"/>
  <c r="H142" i="35" s="1"/>
  <c r="I143" i="35"/>
  <c r="H143" i="35" s="1"/>
  <c r="I144" i="35"/>
  <c r="H144" i="35" s="1"/>
  <c r="I145" i="35"/>
  <c r="H145" i="35" s="1"/>
  <c r="I146" i="35"/>
  <c r="H146" i="35" s="1"/>
  <c r="I147" i="35"/>
  <c r="H147" i="35" s="1"/>
  <c r="I148" i="35"/>
  <c r="H148" i="35" s="1"/>
  <c r="I149" i="35"/>
  <c r="H149" i="35" s="1"/>
  <c r="I150" i="35"/>
  <c r="H150" i="35" s="1"/>
  <c r="I151" i="35"/>
  <c r="H151" i="35" s="1"/>
  <c r="I152" i="35"/>
  <c r="H152" i="35" s="1"/>
  <c r="I153" i="35"/>
  <c r="H153" i="35" s="1"/>
  <c r="I154" i="35"/>
  <c r="H154" i="35" s="1"/>
  <c r="I155" i="35"/>
  <c r="H155" i="35" s="1"/>
  <c r="I156" i="35"/>
  <c r="H156" i="35" s="1"/>
  <c r="I157" i="35"/>
  <c r="H157" i="35" s="1"/>
  <c r="I158" i="35"/>
  <c r="H158" i="35" s="1"/>
  <c r="I159" i="35"/>
  <c r="H159" i="35" s="1"/>
  <c r="I160" i="35"/>
  <c r="H160" i="35" s="1"/>
  <c r="I161" i="35"/>
  <c r="H161" i="35" s="1"/>
  <c r="I162" i="35"/>
  <c r="H162" i="35" s="1"/>
  <c r="I163" i="35"/>
  <c r="H163" i="35" s="1"/>
  <c r="I164" i="35"/>
  <c r="H164" i="35" s="1"/>
  <c r="I165" i="35"/>
  <c r="H165" i="35" s="1"/>
  <c r="I166" i="35"/>
  <c r="H166" i="35" s="1"/>
  <c r="I167" i="35"/>
  <c r="H167" i="35" s="1"/>
  <c r="I168" i="35"/>
  <c r="H168" i="35" s="1"/>
  <c r="I169" i="35"/>
  <c r="H169" i="35" s="1"/>
  <c r="I170" i="35"/>
  <c r="H170" i="35" s="1"/>
  <c r="I171" i="35"/>
  <c r="H171" i="35" s="1"/>
  <c r="I172" i="35"/>
  <c r="H172" i="35" s="1"/>
  <c r="I173" i="35"/>
  <c r="H173" i="35" s="1"/>
  <c r="I174" i="35"/>
  <c r="H174" i="35" s="1"/>
  <c r="I175" i="35"/>
  <c r="H175" i="35" s="1"/>
  <c r="I176" i="35"/>
  <c r="H176" i="35" s="1"/>
  <c r="I177" i="35"/>
  <c r="H177" i="35" s="1"/>
  <c r="I178" i="35"/>
  <c r="H178" i="35" s="1"/>
  <c r="I179" i="35"/>
  <c r="H179" i="35" s="1"/>
  <c r="I180" i="35"/>
  <c r="H180" i="35" s="1"/>
  <c r="I181" i="35"/>
  <c r="H181" i="35" s="1"/>
  <c r="I182" i="35"/>
  <c r="H182" i="35" s="1"/>
  <c r="I183" i="35"/>
  <c r="H183" i="35" s="1"/>
  <c r="I184" i="35"/>
  <c r="H184" i="35" s="1"/>
  <c r="I185" i="35"/>
  <c r="H185" i="35" s="1"/>
  <c r="I186" i="35"/>
  <c r="H186" i="35" s="1"/>
  <c r="I187" i="35"/>
  <c r="H187" i="35" s="1"/>
  <c r="I188" i="35"/>
  <c r="H188" i="35" s="1"/>
  <c r="I189" i="35"/>
  <c r="H189" i="35" s="1"/>
  <c r="I190" i="35"/>
  <c r="H190" i="35" s="1"/>
  <c r="I3" i="35"/>
  <c r="H3" i="35" s="1"/>
  <c r="G15" i="35" l="1"/>
  <c r="G14" i="35"/>
  <c r="E12" i="35"/>
  <c r="G12" i="35" s="1"/>
  <c r="F6" i="35"/>
  <c r="G6" i="35" s="1"/>
  <c r="F13" i="35"/>
  <c r="G13" i="35" s="1"/>
  <c r="E3" i="35"/>
  <c r="G3" i="35" s="1"/>
  <c r="E7" i="35"/>
  <c r="G7" i="35" s="1"/>
  <c r="E11" i="35"/>
  <c r="G11" i="35" s="1"/>
  <c r="N39" i="11"/>
  <c r="L39" i="11"/>
  <c r="F39" i="11"/>
  <c r="M39" i="11" s="1"/>
  <c r="C39" i="11"/>
  <c r="N38" i="11"/>
  <c r="M38" i="11"/>
  <c r="L38" i="11"/>
  <c r="J38" i="11"/>
  <c r="G38" i="11"/>
  <c r="F38" i="11"/>
  <c r="C38" i="11"/>
  <c r="N37" i="11"/>
  <c r="L37" i="11"/>
  <c r="F37" i="11"/>
  <c r="J37" i="11" s="1"/>
  <c r="C37" i="11"/>
  <c r="N36" i="11"/>
  <c r="M36" i="11"/>
  <c r="L36" i="11"/>
  <c r="J36" i="11"/>
  <c r="G36" i="11"/>
  <c r="F36" i="11"/>
  <c r="C36" i="11"/>
  <c r="N35" i="11"/>
  <c r="L35" i="11"/>
  <c r="F35" i="11"/>
  <c r="M35" i="11" s="1"/>
  <c r="C35" i="11"/>
  <c r="N34" i="11"/>
  <c r="M34" i="11"/>
  <c r="L34" i="11"/>
  <c r="F34" i="11"/>
  <c r="J34" i="11" s="1"/>
  <c r="C34" i="11"/>
  <c r="N33" i="11"/>
  <c r="L33" i="11"/>
  <c r="F33" i="11"/>
  <c r="J33" i="11" s="1"/>
  <c r="C33" i="11"/>
  <c r="N32" i="11"/>
  <c r="M32" i="11"/>
  <c r="L32" i="11"/>
  <c r="J32" i="11"/>
  <c r="G32" i="11"/>
  <c r="F32" i="11"/>
  <c r="C32" i="11"/>
  <c r="N31" i="11"/>
  <c r="L31" i="11"/>
  <c r="F31" i="11"/>
  <c r="J31" i="11" s="1"/>
  <c r="C31" i="11"/>
  <c r="N30" i="11"/>
  <c r="M30" i="11"/>
  <c r="L30" i="11"/>
  <c r="J30" i="11"/>
  <c r="G30" i="11"/>
  <c r="F30" i="11"/>
  <c r="C30" i="11"/>
  <c r="N29" i="11"/>
  <c r="L29" i="11"/>
  <c r="F29" i="11"/>
  <c r="M29" i="11" s="1"/>
  <c r="C29" i="11"/>
  <c r="N28" i="11"/>
  <c r="M28" i="11"/>
  <c r="L28" i="11"/>
  <c r="J28" i="11"/>
  <c r="F28" i="11"/>
  <c r="G28" i="11" s="1"/>
  <c r="C28" i="11"/>
  <c r="N27" i="11"/>
  <c r="L27" i="11"/>
  <c r="F27" i="11"/>
  <c r="M27" i="11" s="1"/>
  <c r="C27" i="11"/>
  <c r="J7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76" i="35"/>
  <c r="J77" i="35"/>
  <c r="J78" i="35"/>
  <c r="J79" i="35"/>
  <c r="J80" i="35"/>
  <c r="J81" i="35"/>
  <c r="J82" i="35"/>
  <c r="J83" i="35"/>
  <c r="J84" i="35"/>
  <c r="J85" i="35"/>
  <c r="J86" i="35"/>
  <c r="J87" i="35"/>
  <c r="J88" i="35"/>
  <c r="J89" i="35"/>
  <c r="J90" i="35"/>
  <c r="J91" i="35"/>
  <c r="J92" i="35"/>
  <c r="J93" i="35"/>
  <c r="J94" i="35"/>
  <c r="J95" i="35"/>
  <c r="J96" i="35"/>
  <c r="J97" i="35"/>
  <c r="J98" i="35"/>
  <c r="J99" i="35"/>
  <c r="J100" i="35"/>
  <c r="J101" i="35"/>
  <c r="J102" i="35"/>
  <c r="J103" i="35"/>
  <c r="J104" i="35"/>
  <c r="J105" i="35"/>
  <c r="J106" i="35"/>
  <c r="J107" i="35"/>
  <c r="J108" i="35"/>
  <c r="J109" i="35"/>
  <c r="J110" i="35"/>
  <c r="J111" i="35"/>
  <c r="J112" i="35"/>
  <c r="J113" i="35"/>
  <c r="J114" i="35"/>
  <c r="J115" i="35"/>
  <c r="J116" i="35"/>
  <c r="J117" i="35"/>
  <c r="J118" i="35"/>
  <c r="J119" i="35"/>
  <c r="J120" i="35"/>
  <c r="J121" i="35"/>
  <c r="J122" i="35"/>
  <c r="J123" i="35"/>
  <c r="J124" i="35"/>
  <c r="J125" i="35"/>
  <c r="J126" i="35"/>
  <c r="J127" i="35"/>
  <c r="J128" i="35"/>
  <c r="J129" i="35"/>
  <c r="J130" i="35"/>
  <c r="J131" i="35"/>
  <c r="J132" i="35"/>
  <c r="J133" i="35"/>
  <c r="J134" i="35"/>
  <c r="J135" i="35"/>
  <c r="J136" i="35"/>
  <c r="J137" i="35"/>
  <c r="J138" i="35"/>
  <c r="J139" i="35"/>
  <c r="J140" i="35"/>
  <c r="J141" i="35"/>
  <c r="J142" i="35"/>
  <c r="J143" i="35"/>
  <c r="J144" i="35"/>
  <c r="J145" i="35"/>
  <c r="J146" i="35"/>
  <c r="J147" i="35"/>
  <c r="J148" i="35"/>
  <c r="J149" i="35"/>
  <c r="J150" i="35"/>
  <c r="J151" i="35"/>
  <c r="J152" i="35"/>
  <c r="J153" i="35"/>
  <c r="J154" i="35"/>
  <c r="J155" i="35"/>
  <c r="J156" i="35"/>
  <c r="J157" i="35"/>
  <c r="J158" i="35"/>
  <c r="J159" i="35"/>
  <c r="J160" i="35"/>
  <c r="J161" i="35"/>
  <c r="J162" i="35"/>
  <c r="J163" i="35"/>
  <c r="J164" i="35"/>
  <c r="J165" i="35"/>
  <c r="J166" i="35"/>
  <c r="J167" i="35"/>
  <c r="J168" i="35"/>
  <c r="J169" i="35"/>
  <c r="J170" i="35"/>
  <c r="J171" i="35"/>
  <c r="J172" i="35"/>
  <c r="J173" i="35"/>
  <c r="J174" i="35"/>
  <c r="J175" i="35"/>
  <c r="J176" i="35"/>
  <c r="J177" i="35"/>
  <c r="J178" i="35"/>
  <c r="J179" i="35"/>
  <c r="J180" i="35"/>
  <c r="J181" i="35"/>
  <c r="J182" i="35"/>
  <c r="J183" i="35"/>
  <c r="J184" i="35"/>
  <c r="J185" i="35"/>
  <c r="J186" i="35"/>
  <c r="J187" i="35"/>
  <c r="J188" i="35"/>
  <c r="J189" i="35"/>
  <c r="J190" i="35"/>
  <c r="K13" i="35"/>
  <c r="K14" i="35"/>
  <c r="K15" i="35"/>
  <c r="K16" i="35"/>
  <c r="K17" i="35"/>
  <c r="K18" i="35"/>
  <c r="K19" i="35"/>
  <c r="K20" i="35"/>
  <c r="K21" i="35"/>
  <c r="K22" i="35"/>
  <c r="K23" i="35"/>
  <c r="K24" i="35"/>
  <c r="K25" i="35"/>
  <c r="K26" i="35"/>
  <c r="K27" i="35"/>
  <c r="K28" i="35"/>
  <c r="K29" i="35"/>
  <c r="K30" i="35"/>
  <c r="K31" i="35"/>
  <c r="J4" i="35"/>
  <c r="J10" i="35"/>
  <c r="J3" i="35"/>
  <c r="J11" i="35"/>
  <c r="J9" i="35"/>
  <c r="J8" i="35" l="1"/>
  <c r="J6" i="35"/>
  <c r="J5" i="35"/>
  <c r="G35" i="11"/>
  <c r="M31" i="11"/>
  <c r="M37" i="11"/>
  <c r="J29" i="11"/>
  <c r="G34" i="11"/>
  <c r="J35" i="11"/>
  <c r="G29" i="11"/>
  <c r="G27" i="11"/>
  <c r="G33" i="11"/>
  <c r="G39" i="11"/>
  <c r="J27" i="11"/>
  <c r="J39" i="11"/>
  <c r="G31" i="11"/>
  <c r="G37" i="11"/>
  <c r="M33" i="11"/>
  <c r="B36" i="5" l="1"/>
  <c r="B30" i="5"/>
  <c r="B24" i="5"/>
  <c r="B18" i="5"/>
  <c r="B12" i="5"/>
  <c r="C2" i="11"/>
  <c r="C4" i="11"/>
  <c r="F4" i="11"/>
  <c r="G4" i="11" s="1"/>
  <c r="J4" i="11"/>
  <c r="L4" i="11"/>
  <c r="M4" i="11"/>
  <c r="N4" i="11"/>
  <c r="C5" i="11"/>
  <c r="F5" i="11"/>
  <c r="G5" i="11" s="1"/>
  <c r="J5" i="11"/>
  <c r="L5" i="11"/>
  <c r="N5" i="11"/>
  <c r="C6" i="11"/>
  <c r="F6" i="11"/>
  <c r="M6" i="11" s="1"/>
  <c r="L6" i="11"/>
  <c r="N6" i="11"/>
  <c r="C7" i="11"/>
  <c r="F7" i="11"/>
  <c r="G7" i="11" s="1"/>
  <c r="J7" i="11"/>
  <c r="L7" i="11"/>
  <c r="M7" i="11"/>
  <c r="N7" i="11"/>
  <c r="C8" i="11"/>
  <c r="F8" i="11"/>
  <c r="G8" i="11" s="1"/>
  <c r="J8" i="11"/>
  <c r="L8" i="11"/>
  <c r="M8" i="11"/>
  <c r="N8" i="11"/>
  <c r="C9" i="11"/>
  <c r="F9" i="11"/>
  <c r="M9" i="11" s="1"/>
  <c r="L9" i="11"/>
  <c r="N9" i="11"/>
  <c r="C10" i="11"/>
  <c r="F10" i="11"/>
  <c r="M10" i="11" s="1"/>
  <c r="L10" i="11"/>
  <c r="N10" i="11"/>
  <c r="C11" i="11"/>
  <c r="F11" i="11"/>
  <c r="M11" i="11" s="1"/>
  <c r="G11" i="11"/>
  <c r="L11" i="11"/>
  <c r="N11" i="11"/>
  <c r="C12" i="11"/>
  <c r="F12" i="11"/>
  <c r="L12" i="11"/>
  <c r="N12" i="11"/>
  <c r="C13" i="11"/>
  <c r="F13" i="11"/>
  <c r="G13" i="11"/>
  <c r="J13" i="11"/>
  <c r="L13" i="11"/>
  <c r="M13" i="11"/>
  <c r="N13" i="11"/>
  <c r="C14" i="11"/>
  <c r="F14" i="11"/>
  <c r="G14" i="11" s="1"/>
  <c r="J14" i="11"/>
  <c r="L14" i="11"/>
  <c r="M14" i="11"/>
  <c r="N14" i="11"/>
  <c r="C15" i="11"/>
  <c r="F15" i="11"/>
  <c r="L15" i="11"/>
  <c r="N15" i="11"/>
  <c r="C16" i="11"/>
  <c r="F16" i="11"/>
  <c r="M16" i="11" s="1"/>
  <c r="L16" i="11"/>
  <c r="N16" i="11"/>
  <c r="C17" i="11"/>
  <c r="F17" i="11"/>
  <c r="G17" i="11" s="1"/>
  <c r="L17" i="11"/>
  <c r="N17" i="11"/>
  <c r="C18" i="11"/>
  <c r="F18" i="11"/>
  <c r="L18" i="11"/>
  <c r="N18" i="11"/>
  <c r="C19" i="11"/>
  <c r="F19" i="11"/>
  <c r="J19" i="11" s="1"/>
  <c r="L19" i="11"/>
  <c r="N19" i="11"/>
  <c r="C20" i="11"/>
  <c r="F20" i="11"/>
  <c r="J20" i="11" s="1"/>
  <c r="L20" i="11"/>
  <c r="M20" i="11"/>
  <c r="N20" i="11"/>
  <c r="C21" i="11"/>
  <c r="F21" i="11"/>
  <c r="M21" i="11" s="1"/>
  <c r="J21" i="11"/>
  <c r="L21" i="11"/>
  <c r="N21" i="11"/>
  <c r="C22" i="11"/>
  <c r="F22" i="11"/>
  <c r="L22" i="11"/>
  <c r="N22" i="11"/>
  <c r="C23" i="11"/>
  <c r="F23" i="11"/>
  <c r="L23" i="11"/>
  <c r="N23" i="11"/>
  <c r="C24" i="11"/>
  <c r="F24" i="11"/>
  <c r="J24" i="11" s="1"/>
  <c r="L24" i="11"/>
  <c r="N24" i="11"/>
  <c r="C25" i="11"/>
  <c r="F25" i="11"/>
  <c r="J25" i="11" s="1"/>
  <c r="L25" i="11"/>
  <c r="N25" i="11"/>
  <c r="C26" i="11"/>
  <c r="F26" i="11"/>
  <c r="M26" i="11" s="1"/>
  <c r="L26" i="11"/>
  <c r="N26" i="11"/>
  <c r="C41" i="11"/>
  <c r="F41" i="11"/>
  <c r="G41" i="11"/>
  <c r="J41" i="11"/>
  <c r="L41" i="11"/>
  <c r="M41" i="11"/>
  <c r="N41" i="11"/>
  <c r="C42" i="11"/>
  <c r="F42" i="11"/>
  <c r="G42" i="11"/>
  <c r="J42" i="11"/>
  <c r="L42" i="11"/>
  <c r="M42" i="11"/>
  <c r="N42" i="11"/>
  <c r="C43" i="11"/>
  <c r="F43" i="11"/>
  <c r="G43" i="11"/>
  <c r="J43" i="11"/>
  <c r="L43" i="11"/>
  <c r="M43" i="11"/>
  <c r="N43" i="11"/>
  <c r="C44" i="11"/>
  <c r="F44" i="11"/>
  <c r="G44" i="11"/>
  <c r="J44" i="11"/>
  <c r="L44" i="11"/>
  <c r="M44" i="11"/>
  <c r="N44" i="11"/>
  <c r="C45" i="11"/>
  <c r="F45" i="11"/>
  <c r="G45" i="11"/>
  <c r="J45" i="11"/>
  <c r="L45" i="11"/>
  <c r="M45" i="11"/>
  <c r="N45" i="11"/>
  <c r="C46" i="11"/>
  <c r="F46" i="11"/>
  <c r="G46" i="11"/>
  <c r="J46" i="11"/>
  <c r="L46" i="11"/>
  <c r="M46" i="11"/>
  <c r="N46" i="11"/>
  <c r="C47" i="11"/>
  <c r="F47" i="11"/>
  <c r="G47" i="11"/>
  <c r="J47" i="11"/>
  <c r="L47" i="11"/>
  <c r="M47" i="11"/>
  <c r="N47" i="11"/>
  <c r="C48" i="11"/>
  <c r="F48" i="11"/>
  <c r="G48" i="11"/>
  <c r="J48" i="11"/>
  <c r="L48" i="11"/>
  <c r="M48" i="11"/>
  <c r="N48" i="11"/>
  <c r="C49" i="11"/>
  <c r="F49" i="11"/>
  <c r="G49" i="11"/>
  <c r="J49" i="11"/>
  <c r="L49" i="11"/>
  <c r="M49" i="11"/>
  <c r="N49" i="11"/>
  <c r="C50" i="11"/>
  <c r="F50" i="11"/>
  <c r="G50" i="11"/>
  <c r="J50" i="11"/>
  <c r="L50" i="11"/>
  <c r="M50" i="11"/>
  <c r="N50" i="11"/>
  <c r="C51" i="11"/>
  <c r="F51" i="11"/>
  <c r="G51" i="11"/>
  <c r="J51" i="11"/>
  <c r="L51" i="11"/>
  <c r="M51" i="11"/>
  <c r="N51" i="11"/>
  <c r="C52" i="11"/>
  <c r="F52" i="11"/>
  <c r="G52" i="11"/>
  <c r="J52" i="11"/>
  <c r="L52" i="11"/>
  <c r="M52" i="11"/>
  <c r="N52" i="11"/>
  <c r="C53" i="11"/>
  <c r="F53" i="11"/>
  <c r="G53" i="11"/>
  <c r="J53" i="11"/>
  <c r="L53" i="11"/>
  <c r="M53" i="11"/>
  <c r="N53" i="11"/>
  <c r="C54" i="11"/>
  <c r="F54" i="11"/>
  <c r="G54" i="11"/>
  <c r="J54" i="11"/>
  <c r="L54" i="11"/>
  <c r="M54" i="11"/>
  <c r="N54" i="11"/>
  <c r="C55" i="11"/>
  <c r="F55" i="11"/>
  <c r="G55" i="11"/>
  <c r="J55" i="11"/>
  <c r="L55" i="11"/>
  <c r="M55" i="11"/>
  <c r="N55" i="11"/>
  <c r="C56" i="11"/>
  <c r="F56" i="11"/>
  <c r="G56" i="11"/>
  <c r="J56" i="11"/>
  <c r="L56" i="11"/>
  <c r="M56" i="11"/>
  <c r="N56" i="11"/>
  <c r="C57" i="11"/>
  <c r="F57" i="11"/>
  <c r="G57" i="11"/>
  <c r="J57" i="11"/>
  <c r="L57" i="11"/>
  <c r="M57" i="11"/>
  <c r="N57" i="11"/>
  <c r="C58" i="11"/>
  <c r="F58" i="11"/>
  <c r="G58" i="11"/>
  <c r="J58" i="11"/>
  <c r="L58" i="11"/>
  <c r="M58" i="11"/>
  <c r="N58" i="11"/>
  <c r="C59" i="11"/>
  <c r="F59" i="11"/>
  <c r="G59" i="11"/>
  <c r="J59" i="11"/>
  <c r="L59" i="11"/>
  <c r="M59" i="11"/>
  <c r="N59" i="11"/>
  <c r="C60" i="11"/>
  <c r="F60" i="11"/>
  <c r="G60" i="11"/>
  <c r="J60" i="11"/>
  <c r="L60" i="11"/>
  <c r="M60" i="11"/>
  <c r="N60" i="11"/>
  <c r="C61" i="11"/>
  <c r="F61" i="11"/>
  <c r="G61" i="11"/>
  <c r="J61" i="11"/>
  <c r="L61" i="11"/>
  <c r="M61" i="11"/>
  <c r="N61" i="11"/>
  <c r="C62" i="11"/>
  <c r="F62" i="11"/>
  <c r="G62" i="11"/>
  <c r="J62" i="11"/>
  <c r="L62" i="11"/>
  <c r="M62" i="11"/>
  <c r="N62" i="11"/>
  <c r="C63" i="11"/>
  <c r="F63" i="11"/>
  <c r="G63" i="11"/>
  <c r="J63" i="11"/>
  <c r="L63" i="11"/>
  <c r="M63" i="11"/>
  <c r="N63" i="11"/>
  <c r="C64" i="11"/>
  <c r="F64" i="11"/>
  <c r="G64" i="11"/>
  <c r="J64" i="11"/>
  <c r="L64" i="11"/>
  <c r="M64" i="11"/>
  <c r="N64" i="11"/>
  <c r="C65" i="11"/>
  <c r="F65" i="11"/>
  <c r="G65" i="11"/>
  <c r="J65" i="11"/>
  <c r="L65" i="11"/>
  <c r="M65" i="11"/>
  <c r="N65" i="11"/>
  <c r="C66" i="11"/>
  <c r="F66" i="11"/>
  <c r="G66" i="11"/>
  <c r="J66" i="11"/>
  <c r="L66" i="11"/>
  <c r="M66" i="11"/>
  <c r="N66" i="11"/>
  <c r="C67" i="11"/>
  <c r="F67" i="11"/>
  <c r="G67" i="11"/>
  <c r="J67" i="11"/>
  <c r="L67" i="11"/>
  <c r="M67" i="11"/>
  <c r="N67" i="11"/>
  <c r="C68" i="11"/>
  <c r="F68" i="11"/>
  <c r="G68" i="11"/>
  <c r="J68" i="11"/>
  <c r="L68" i="11"/>
  <c r="M68" i="11"/>
  <c r="N68" i="11"/>
  <c r="C69" i="11"/>
  <c r="F69" i="11"/>
  <c r="G69" i="11"/>
  <c r="J69" i="11"/>
  <c r="L69" i="11"/>
  <c r="M69" i="11"/>
  <c r="N69" i="11"/>
  <c r="C70" i="11"/>
  <c r="F70" i="11"/>
  <c r="G70" i="11"/>
  <c r="J70" i="11"/>
  <c r="L70" i="11"/>
  <c r="M70" i="11"/>
  <c r="N70" i="11"/>
  <c r="C71" i="11"/>
  <c r="F71" i="11"/>
  <c r="G71" i="11"/>
  <c r="J71" i="11"/>
  <c r="L71" i="11"/>
  <c r="M71" i="11"/>
  <c r="N71" i="11"/>
  <c r="C72" i="11"/>
  <c r="F72" i="11"/>
  <c r="G72" i="11"/>
  <c r="J72" i="11"/>
  <c r="L72" i="11"/>
  <c r="M72" i="11"/>
  <c r="N72" i="11"/>
  <c r="C73" i="11"/>
  <c r="F73" i="11"/>
  <c r="G73" i="11"/>
  <c r="J73" i="11"/>
  <c r="L73" i="11"/>
  <c r="M73" i="11"/>
  <c r="N73" i="11"/>
  <c r="C74" i="11"/>
  <c r="F74" i="11"/>
  <c r="G74" i="11"/>
  <c r="J74" i="11"/>
  <c r="L74" i="11"/>
  <c r="M74" i="11"/>
  <c r="N74" i="11"/>
  <c r="C75" i="11"/>
  <c r="F75" i="11"/>
  <c r="G75" i="11"/>
  <c r="J75" i="11"/>
  <c r="L75" i="11"/>
  <c r="M75" i="11"/>
  <c r="N75" i="11"/>
  <c r="C76" i="11"/>
  <c r="F76" i="11"/>
  <c r="G76" i="11"/>
  <c r="J76" i="11"/>
  <c r="L76" i="11"/>
  <c r="M76" i="11"/>
  <c r="N76" i="11"/>
  <c r="C77" i="11"/>
  <c r="F77" i="11"/>
  <c r="G77" i="11"/>
  <c r="J77" i="11"/>
  <c r="L77" i="11"/>
  <c r="M77" i="11"/>
  <c r="N77" i="11"/>
  <c r="C78" i="11"/>
  <c r="F78" i="11"/>
  <c r="G78" i="11"/>
  <c r="J78" i="11"/>
  <c r="L78" i="11"/>
  <c r="M78" i="11"/>
  <c r="N78" i="11"/>
  <c r="C79" i="11"/>
  <c r="F79" i="11"/>
  <c r="G79" i="11"/>
  <c r="J79" i="11"/>
  <c r="L79" i="11"/>
  <c r="M79" i="11"/>
  <c r="N79" i="11"/>
  <c r="C80" i="11"/>
  <c r="F80" i="11"/>
  <c r="G80" i="11"/>
  <c r="J80" i="11"/>
  <c r="L80" i="11"/>
  <c r="M80" i="11"/>
  <c r="N80" i="11"/>
  <c r="C81" i="11"/>
  <c r="F81" i="11"/>
  <c r="G81" i="11"/>
  <c r="J81" i="11"/>
  <c r="L81" i="11"/>
  <c r="M81" i="11"/>
  <c r="N81" i="11"/>
  <c r="C82" i="11"/>
  <c r="F82" i="11"/>
  <c r="G82" i="11"/>
  <c r="J82" i="11"/>
  <c r="L82" i="11"/>
  <c r="M82" i="11"/>
  <c r="N82" i="11"/>
  <c r="C83" i="11"/>
  <c r="F83" i="11"/>
  <c r="G83" i="11"/>
  <c r="J83" i="11"/>
  <c r="L83" i="11"/>
  <c r="M83" i="11"/>
  <c r="N83" i="11"/>
  <c r="C84" i="11"/>
  <c r="F84" i="11"/>
  <c r="G84" i="11"/>
  <c r="J84" i="11"/>
  <c r="L84" i="11"/>
  <c r="M84" i="11"/>
  <c r="N84" i="11"/>
  <c r="C85" i="11"/>
  <c r="F85" i="11"/>
  <c r="G85" i="11"/>
  <c r="J85" i="11"/>
  <c r="L85" i="11"/>
  <c r="M85" i="11"/>
  <c r="N85" i="11"/>
  <c r="C86" i="11"/>
  <c r="F86" i="11"/>
  <c r="G86" i="11"/>
  <c r="J86" i="11"/>
  <c r="L86" i="11"/>
  <c r="M86" i="11"/>
  <c r="N86" i="11"/>
  <c r="C87" i="11"/>
  <c r="F87" i="11"/>
  <c r="G87" i="11"/>
  <c r="J87" i="11"/>
  <c r="L87" i="11"/>
  <c r="M87" i="11"/>
  <c r="N87" i="11"/>
  <c r="C88" i="11"/>
  <c r="F88" i="11"/>
  <c r="G88" i="11"/>
  <c r="J88" i="11"/>
  <c r="L88" i="11"/>
  <c r="M88" i="11"/>
  <c r="N88" i="11"/>
  <c r="C89" i="11"/>
  <c r="F89" i="11"/>
  <c r="G89" i="11"/>
  <c r="J89" i="11"/>
  <c r="L89" i="11"/>
  <c r="M89" i="11"/>
  <c r="N89" i="11"/>
  <c r="C90" i="11"/>
  <c r="F90" i="11"/>
  <c r="G90" i="11"/>
  <c r="J90" i="11"/>
  <c r="L90" i="11"/>
  <c r="M90" i="11"/>
  <c r="N90" i="11"/>
  <c r="C91" i="11"/>
  <c r="F91" i="11"/>
  <c r="G91" i="11"/>
  <c r="J91" i="11"/>
  <c r="L91" i="11"/>
  <c r="M91" i="11"/>
  <c r="N91" i="11"/>
  <c r="C92" i="11"/>
  <c r="F92" i="11"/>
  <c r="G92" i="11"/>
  <c r="J92" i="11"/>
  <c r="L92" i="11"/>
  <c r="M92" i="11"/>
  <c r="N92" i="11"/>
  <c r="C93" i="11"/>
  <c r="F93" i="11"/>
  <c r="G93" i="11"/>
  <c r="J93" i="11"/>
  <c r="L93" i="11"/>
  <c r="M93" i="11"/>
  <c r="N93" i="11"/>
  <c r="C94" i="11"/>
  <c r="F94" i="11"/>
  <c r="G94" i="11"/>
  <c r="J94" i="11"/>
  <c r="L94" i="11"/>
  <c r="M94" i="11"/>
  <c r="N94" i="11"/>
  <c r="C95" i="11"/>
  <c r="F95" i="11"/>
  <c r="G95" i="11"/>
  <c r="J95" i="11"/>
  <c r="L95" i="11"/>
  <c r="M95" i="11"/>
  <c r="N95" i="11"/>
  <c r="C96" i="11"/>
  <c r="F96" i="11"/>
  <c r="G96" i="11"/>
  <c r="J96" i="11"/>
  <c r="L96" i="11"/>
  <c r="M96" i="11"/>
  <c r="N96" i="11"/>
  <c r="C97" i="11"/>
  <c r="F97" i="11"/>
  <c r="G97" i="11"/>
  <c r="J97" i="11"/>
  <c r="L97" i="11"/>
  <c r="M97" i="11"/>
  <c r="N97" i="11"/>
  <c r="C98" i="11"/>
  <c r="F98" i="11"/>
  <c r="G98" i="11"/>
  <c r="J98" i="11"/>
  <c r="L98" i="11"/>
  <c r="M98" i="11"/>
  <c r="N98" i="11"/>
  <c r="C99" i="11"/>
  <c r="F99" i="11"/>
  <c r="G99" i="11"/>
  <c r="J99" i="11"/>
  <c r="L99" i="11"/>
  <c r="M99" i="11"/>
  <c r="N99" i="11"/>
  <c r="C100" i="11"/>
  <c r="F100" i="11"/>
  <c r="G100" i="11"/>
  <c r="J100" i="11"/>
  <c r="L100" i="11"/>
  <c r="M100" i="11"/>
  <c r="N100" i="11"/>
  <c r="G22" i="11"/>
  <c r="G25" i="11"/>
  <c r="G20" i="11"/>
  <c r="G26" i="11"/>
  <c r="J11" i="11"/>
  <c r="G10" i="11"/>
  <c r="J26" i="11"/>
  <c r="M25" i="11"/>
  <c r="M17" i="11"/>
  <c r="M5" i="11"/>
  <c r="J3" i="11"/>
  <c r="AB1" i="11"/>
  <c r="M3" i="11"/>
  <c r="L2" i="11"/>
  <c r="L3" i="11"/>
  <c r="N2" i="11"/>
  <c r="N3" i="11"/>
  <c r="F2" i="30"/>
  <c r="B3" i="30"/>
  <c r="D104" i="29"/>
  <c r="D60" i="29"/>
  <c r="D53" i="29"/>
  <c r="D49" i="29"/>
  <c r="D41" i="29"/>
  <c r="D24" i="29"/>
  <c r="D17" i="29"/>
  <c r="D25" i="29"/>
  <c r="A2" i="29"/>
  <c r="H4" i="28"/>
  <c r="B4" i="28" s="1"/>
  <c r="H6" i="28" s="1"/>
  <c r="H9" i="28" s="1"/>
  <c r="D136" i="29"/>
  <c r="D147" i="29"/>
  <c r="D148" i="29"/>
  <c r="D159" i="29"/>
  <c r="D128" i="29"/>
  <c r="D160" i="29"/>
  <c r="D61" i="29"/>
  <c r="D158" i="29"/>
  <c r="D134" i="29"/>
  <c r="D122" i="29"/>
  <c r="D123" i="29"/>
  <c r="D59" i="29"/>
  <c r="D47" i="29"/>
  <c r="D48" i="29" s="1"/>
  <c r="D154" i="29"/>
  <c r="D19" i="29"/>
  <c r="D145" i="29"/>
  <c r="D133" i="29"/>
  <c r="D121" i="29"/>
  <c r="D109" i="29"/>
  <c r="D58" i="29"/>
  <c r="D34" i="29"/>
  <c r="D22" i="29"/>
  <c r="D23" i="29"/>
  <c r="D142" i="29"/>
  <c r="D55" i="29"/>
  <c r="D57" i="29"/>
  <c r="D31" i="29"/>
  <c r="C206" i="29"/>
  <c r="D129" i="29"/>
  <c r="D18" i="29"/>
  <c r="D152" i="29"/>
  <c r="D156" i="29"/>
  <c r="D132" i="29"/>
  <c r="D120" i="29"/>
  <c r="D144" i="29"/>
  <c r="D45" i="29"/>
  <c r="D33" i="29"/>
  <c r="D21" i="29"/>
  <c r="D9" i="29"/>
  <c r="D7" i="29"/>
  <c r="D141" i="29"/>
  <c r="D54" i="29"/>
  <c r="D155" i="29"/>
  <c r="D157" i="29" s="1"/>
  <c r="D143" i="29"/>
  <c r="D131" i="29"/>
  <c r="D119" i="29"/>
  <c r="D107" i="29"/>
  <c r="D56" i="29"/>
  <c r="D32" i="29"/>
  <c r="D20" i="29"/>
  <c r="D44" i="29" s="1"/>
  <c r="D118" i="29"/>
  <c r="D43" i="29"/>
  <c r="D153" i="29"/>
  <c r="D117" i="29"/>
  <c r="D42" i="29"/>
  <c r="D164" i="29"/>
  <c r="D163" i="29"/>
  <c r="D151" i="29"/>
  <c r="D127" i="29"/>
  <c r="D146" i="29" s="1"/>
  <c r="D115" i="29"/>
  <c r="D64" i="29"/>
  <c r="D52" i="29"/>
  <c r="D28" i="29"/>
  <c r="D16" i="29"/>
  <c r="D4" i="29"/>
  <c r="D162" i="29"/>
  <c r="D150" i="29"/>
  <c r="D126" i="29"/>
  <c r="D63" i="29"/>
  <c r="D51" i="29"/>
  <c r="D27" i="29"/>
  <c r="D46" i="29"/>
  <c r="D15" i="29"/>
  <c r="D161" i="29"/>
  <c r="D149" i="29"/>
  <c r="D137" i="29"/>
  <c r="D125" i="29"/>
  <c r="D62" i="29"/>
  <c r="D50" i="29"/>
  <c r="D26" i="29"/>
  <c r="D29" i="29"/>
  <c r="D116" i="29"/>
  <c r="D36" i="29"/>
  <c r="D37" i="29"/>
  <c r="D124" i="29"/>
  <c r="D130" i="29"/>
  <c r="C208" i="29"/>
  <c r="D206" i="29"/>
  <c r="C207" i="29"/>
  <c r="C214" i="29" s="1"/>
  <c r="C216" i="29"/>
  <c r="F2" i="11"/>
  <c r="F3" i="11"/>
  <c r="G3" i="11" s="1"/>
  <c r="G2" i="11"/>
  <c r="M2" i="11"/>
  <c r="J2" i="11"/>
  <c r="D3" i="14"/>
  <c r="M2" i="14"/>
  <c r="V2" i="14" s="1"/>
  <c r="C2" i="14"/>
  <c r="B1" i="26"/>
  <c r="B80" i="26" s="1"/>
  <c r="Z47" i="11"/>
  <c r="X47" i="11"/>
  <c r="Z48" i="11"/>
  <c r="X48" i="11" s="1"/>
  <c r="Z49" i="11"/>
  <c r="X49" i="11" s="1"/>
  <c r="Z50" i="11"/>
  <c r="X50" i="11" s="1"/>
  <c r="Z51" i="11"/>
  <c r="X51" i="11" s="1"/>
  <c r="Z52" i="11"/>
  <c r="X52" i="11" s="1"/>
  <c r="Z53" i="11"/>
  <c r="X53" i="11" s="1"/>
  <c r="Z54" i="11"/>
  <c r="X54" i="11" s="1"/>
  <c r="Z55" i="11"/>
  <c r="X55" i="11" s="1"/>
  <c r="Z56" i="11"/>
  <c r="X56" i="11" s="1"/>
  <c r="Z57" i="11"/>
  <c r="X57" i="11" s="1"/>
  <c r="Z58" i="11"/>
  <c r="X58" i="11" s="1"/>
  <c r="Z59" i="11"/>
  <c r="X59" i="11"/>
  <c r="Z60" i="11"/>
  <c r="X60" i="11" s="1"/>
  <c r="Z61" i="11"/>
  <c r="X61" i="11" s="1"/>
  <c r="Z62" i="11"/>
  <c r="X62" i="11"/>
  <c r="Z63" i="11"/>
  <c r="X63" i="11" s="1"/>
  <c r="Z64" i="11"/>
  <c r="X64" i="11" s="1"/>
  <c r="Z65" i="11"/>
  <c r="X65" i="11" s="1"/>
  <c r="Z66" i="11"/>
  <c r="X66" i="11"/>
  <c r="Z67" i="11"/>
  <c r="X67" i="11" s="1"/>
  <c r="Z68" i="11"/>
  <c r="X68" i="11" s="1"/>
  <c r="Z69" i="11"/>
  <c r="X69" i="11" s="1"/>
  <c r="Z70" i="11"/>
  <c r="X70" i="11" s="1"/>
  <c r="Z71" i="11"/>
  <c r="X71" i="11"/>
  <c r="Z72" i="11"/>
  <c r="X72" i="11" s="1"/>
  <c r="Z73" i="11"/>
  <c r="X73" i="11" s="1"/>
  <c r="Z74" i="11"/>
  <c r="X74" i="11"/>
  <c r="Z75" i="11"/>
  <c r="X75" i="11" s="1"/>
  <c r="Z76" i="11"/>
  <c r="X76" i="11" s="1"/>
  <c r="Z77" i="11"/>
  <c r="X77" i="11"/>
  <c r="Z78" i="11"/>
  <c r="X78" i="11" s="1"/>
  <c r="Z79" i="11"/>
  <c r="X79" i="11" s="1"/>
  <c r="Z80" i="11"/>
  <c r="X80" i="11" s="1"/>
  <c r="Z81" i="11"/>
  <c r="X81" i="11"/>
  <c r="Z82" i="11"/>
  <c r="X82" i="11" s="1"/>
  <c r="Z83" i="11"/>
  <c r="X83" i="11" s="1"/>
  <c r="Z84" i="11"/>
  <c r="X84" i="11" s="1"/>
  <c r="Z85" i="11"/>
  <c r="X85" i="11" s="1"/>
  <c r="Z86" i="11"/>
  <c r="X86" i="11" s="1"/>
  <c r="Z87" i="11"/>
  <c r="X87" i="11" s="1"/>
  <c r="Z88" i="11"/>
  <c r="X88" i="11" s="1"/>
  <c r="Z89" i="11"/>
  <c r="X89" i="11"/>
  <c r="Z90" i="11"/>
  <c r="X90" i="11" s="1"/>
  <c r="Z91" i="11"/>
  <c r="X91" i="11" s="1"/>
  <c r="Z92" i="11"/>
  <c r="X92" i="11"/>
  <c r="Z93" i="11"/>
  <c r="X93" i="11" s="1"/>
  <c r="Z94" i="11"/>
  <c r="X94" i="11" s="1"/>
  <c r="Z95" i="11"/>
  <c r="X95" i="11"/>
  <c r="Z96" i="11"/>
  <c r="X96" i="11" s="1"/>
  <c r="Z97" i="11"/>
  <c r="X97" i="11" s="1"/>
  <c r="Z98" i="11"/>
  <c r="X98" i="11" s="1"/>
  <c r="Z99" i="11"/>
  <c r="X99" i="11" s="1"/>
  <c r="Z100" i="11"/>
  <c r="X100" i="11" s="1"/>
  <c r="B8" i="10"/>
  <c r="C8" i="10" s="1"/>
  <c r="J38" i="5"/>
  <c r="J37" i="5"/>
  <c r="J36" i="5"/>
  <c r="J35" i="5"/>
  <c r="J34" i="5"/>
  <c r="J31" i="5"/>
  <c r="J30" i="5"/>
  <c r="J29" i="5"/>
  <c r="J33" i="5" s="1"/>
  <c r="J28" i="5"/>
  <c r="J27" i="5"/>
  <c r="J26" i="5"/>
  <c r="J25" i="5"/>
  <c r="J24" i="5"/>
  <c r="J23" i="5"/>
  <c r="J20" i="5"/>
  <c r="J19" i="5"/>
  <c r="J18" i="5"/>
  <c r="J21" i="5" s="1"/>
  <c r="J17" i="5"/>
  <c r="J16" i="5"/>
  <c r="J15" i="5"/>
  <c r="J14" i="5"/>
  <c r="J13" i="5"/>
  <c r="J12" i="5"/>
  <c r="J9" i="5"/>
  <c r="J8" i="5"/>
  <c r="J7" i="5"/>
  <c r="J11" i="5" s="1"/>
  <c r="J6" i="5"/>
  <c r="H2" i="10"/>
  <c r="A3" i="10" s="1"/>
  <c r="Z24" i="11"/>
  <c r="X24" i="11" s="1"/>
  <c r="Z25" i="11"/>
  <c r="AA25" i="11" s="1"/>
  <c r="X25" i="11"/>
  <c r="Z26" i="11"/>
  <c r="Z28" i="11"/>
  <c r="X28" i="11" s="1"/>
  <c r="Z29" i="11"/>
  <c r="X29" i="11" s="1"/>
  <c r="Z30" i="11"/>
  <c r="AA30" i="11" s="1"/>
  <c r="Z31" i="11"/>
  <c r="AA31" i="11" s="1"/>
  <c r="Z32" i="11"/>
  <c r="X32" i="11" s="1"/>
  <c r="Z33" i="11"/>
  <c r="X33" i="11" s="1"/>
  <c r="Z34" i="11"/>
  <c r="AA34" i="11" s="1"/>
  <c r="Z35" i="11"/>
  <c r="X35" i="11" s="1"/>
  <c r="Z36" i="11"/>
  <c r="AA36" i="11" s="1"/>
  <c r="X36" i="11"/>
  <c r="Z37" i="11"/>
  <c r="X37" i="11" s="1"/>
  <c r="Z38" i="11"/>
  <c r="X38" i="11" s="1"/>
  <c r="Z39" i="11"/>
  <c r="X39" i="11" s="1"/>
  <c r="Z40" i="11"/>
  <c r="X40" i="11" s="1"/>
  <c r="Z41" i="11"/>
  <c r="X41" i="11" s="1"/>
  <c r="Z42" i="11"/>
  <c r="X42" i="11"/>
  <c r="Z43" i="11"/>
  <c r="X43" i="11" s="1"/>
  <c r="Z44" i="11"/>
  <c r="X44" i="11" s="1"/>
  <c r="Z45" i="11"/>
  <c r="X45" i="11" s="1"/>
  <c r="Z46" i="11"/>
  <c r="X46" i="11" s="1"/>
  <c r="Z3" i="11"/>
  <c r="AA3" i="11" s="1"/>
  <c r="Z4" i="11"/>
  <c r="AA4" i="11"/>
  <c r="Z5" i="11"/>
  <c r="AA5" i="11" s="1"/>
  <c r="Z6" i="11"/>
  <c r="Z7" i="11"/>
  <c r="X7" i="11" s="1"/>
  <c r="Z8" i="11"/>
  <c r="AA8" i="11" s="1"/>
  <c r="Z9" i="11"/>
  <c r="AA9" i="11" s="1"/>
  <c r="Z10" i="11"/>
  <c r="X10" i="11" s="1"/>
  <c r="AA10" i="11"/>
  <c r="Z11" i="11"/>
  <c r="AA11" i="11" s="1"/>
  <c r="Z12" i="11"/>
  <c r="AA12" i="11" s="1"/>
  <c r="Z13" i="11"/>
  <c r="X13" i="11" s="1"/>
  <c r="Z14" i="11"/>
  <c r="X14" i="11" s="1"/>
  <c r="Z15" i="11"/>
  <c r="X15" i="11" s="1"/>
  <c r="Z16" i="11"/>
  <c r="AA16" i="11" s="1"/>
  <c r="Z17" i="11"/>
  <c r="AA17" i="11" s="1"/>
  <c r="Z18" i="11"/>
  <c r="Z19" i="11"/>
  <c r="X19" i="11" s="1"/>
  <c r="Z20" i="11"/>
  <c r="X20" i="11" s="1"/>
  <c r="AA20" i="11"/>
  <c r="Z21" i="11"/>
  <c r="Z22" i="11"/>
  <c r="X22" i="11" s="1"/>
  <c r="AA22" i="11"/>
  <c r="Z23" i="11"/>
  <c r="X23" i="11" s="1"/>
  <c r="Z2" i="11"/>
  <c r="AA2" i="11" s="1"/>
  <c r="C3" i="11"/>
  <c r="X2" i="11"/>
  <c r="AA15" i="11"/>
  <c r="X4" i="11"/>
  <c r="X5" i="11"/>
  <c r="X17" i="11"/>
  <c r="X9" i="11"/>
  <c r="H38" i="10"/>
  <c r="H37" i="10"/>
  <c r="H36" i="10"/>
  <c r="H35" i="10"/>
  <c r="H34" i="10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H16" i="10"/>
  <c r="H15" i="10"/>
  <c r="H14" i="10"/>
  <c r="H13" i="10"/>
  <c r="H12" i="10"/>
  <c r="H11" i="10"/>
  <c r="H10" i="10"/>
  <c r="H9" i="10"/>
  <c r="H8" i="10"/>
  <c r="B47" i="26" l="1"/>
  <c r="I32" i="11"/>
  <c r="K32" i="11" s="1"/>
  <c r="D32" i="11" s="1"/>
  <c r="I34" i="11"/>
  <c r="K34" i="11" s="1"/>
  <c r="D34" i="11" s="1"/>
  <c r="I37" i="11"/>
  <c r="K37" i="11" s="1"/>
  <c r="D37" i="11" s="1"/>
  <c r="I31" i="11"/>
  <c r="K31" i="11" s="1"/>
  <c r="D31" i="11" s="1"/>
  <c r="I38" i="11"/>
  <c r="K38" i="11" s="1"/>
  <c r="D38" i="11" s="1"/>
  <c r="I39" i="11"/>
  <c r="K39" i="11" s="1"/>
  <c r="D39" i="11" s="1"/>
  <c r="I33" i="11"/>
  <c r="K33" i="11" s="1"/>
  <c r="D33" i="11" s="1"/>
  <c r="I27" i="11"/>
  <c r="K27" i="11" s="1"/>
  <c r="D27" i="11" s="1"/>
  <c r="I28" i="11"/>
  <c r="K28" i="11" s="1"/>
  <c r="D28" i="11" s="1"/>
  <c r="Y28" i="11" s="1"/>
  <c r="I30" i="11"/>
  <c r="K30" i="11" s="1"/>
  <c r="D30" i="11" s="1"/>
  <c r="I35" i="11"/>
  <c r="K35" i="11" s="1"/>
  <c r="D35" i="11" s="1"/>
  <c r="I29" i="11"/>
  <c r="K29" i="11" s="1"/>
  <c r="D29" i="11" s="1"/>
  <c r="Y29" i="11" s="1"/>
  <c r="I36" i="11"/>
  <c r="K36" i="11" s="1"/>
  <c r="D36" i="11" s="1"/>
  <c r="Y36" i="11" s="1"/>
  <c r="X34" i="11"/>
  <c r="B240" i="26"/>
  <c r="J3" i="14"/>
  <c r="I3" i="14"/>
  <c r="B330" i="26"/>
  <c r="B282" i="26"/>
  <c r="B341" i="26"/>
  <c r="B316" i="26"/>
  <c r="B138" i="26"/>
  <c r="B239" i="26"/>
  <c r="B137" i="26"/>
  <c r="B304" i="26"/>
  <c r="B327" i="26"/>
  <c r="B114" i="26"/>
  <c r="B228" i="26"/>
  <c r="B154" i="26"/>
  <c r="J22" i="5"/>
  <c r="B310" i="26"/>
  <c r="B55" i="26"/>
  <c r="B338" i="26"/>
  <c r="B17" i="26"/>
  <c r="B105" i="26"/>
  <c r="B180" i="26"/>
  <c r="B337" i="26"/>
  <c r="B109" i="26"/>
  <c r="B358" i="26"/>
  <c r="B202" i="26"/>
  <c r="B75" i="26"/>
  <c r="B366" i="26"/>
  <c r="B335" i="26"/>
  <c r="B303" i="26"/>
  <c r="B20" i="26"/>
  <c r="B102" i="26"/>
  <c r="B360" i="26"/>
  <c r="B229" i="26"/>
  <c r="B141" i="26"/>
  <c r="B279" i="26"/>
  <c r="B48" i="26"/>
  <c r="B307" i="26"/>
  <c r="B3" i="26"/>
  <c r="B90" i="26"/>
  <c r="B354" i="26"/>
  <c r="B301" i="26"/>
  <c r="B231" i="26"/>
  <c r="B23" i="26"/>
  <c r="J9" i="11"/>
  <c r="X12" i="11"/>
  <c r="AA32" i="11"/>
  <c r="AA33" i="11"/>
  <c r="X31" i="11"/>
  <c r="G9" i="11"/>
  <c r="AA28" i="11"/>
  <c r="J17" i="11"/>
  <c r="AA24" i="11"/>
  <c r="X11" i="11"/>
  <c r="G21" i="11"/>
  <c r="AA35" i="11"/>
  <c r="AA23" i="11"/>
  <c r="AA29" i="11"/>
  <c r="X3" i="11"/>
  <c r="AA19" i="11"/>
  <c r="X30" i="11"/>
  <c r="J10" i="11"/>
  <c r="X16" i="11"/>
  <c r="J6" i="11"/>
  <c r="M19" i="11"/>
  <c r="G19" i="11"/>
  <c r="M24" i="11"/>
  <c r="AA13" i="11"/>
  <c r="X8" i="11"/>
  <c r="G6" i="11"/>
  <c r="G24" i="11"/>
  <c r="I41" i="11"/>
  <c r="K41" i="11" s="1"/>
  <c r="D41" i="11" s="1"/>
  <c r="Y41" i="11" s="1"/>
  <c r="B323" i="26"/>
  <c r="B68" i="26"/>
  <c r="J32" i="5"/>
  <c r="B195" i="26"/>
  <c r="B130" i="26"/>
  <c r="B290" i="26"/>
  <c r="J10" i="5"/>
  <c r="B45" i="26"/>
  <c r="B46" i="26"/>
  <c r="B201" i="26"/>
  <c r="B200" i="26"/>
  <c r="B174" i="26"/>
  <c r="B198" i="26"/>
  <c r="B148" i="26"/>
  <c r="B189" i="26"/>
  <c r="B9" i="10"/>
  <c r="B10" i="10" s="1"/>
  <c r="H39" i="10"/>
  <c r="B10" i="28"/>
  <c r="I22" i="11"/>
  <c r="I46" i="11"/>
  <c r="K46" i="11" s="1"/>
  <c r="I95" i="11"/>
  <c r="K95" i="11" s="1"/>
  <c r="D95" i="11" s="1"/>
  <c r="Y95" i="11" s="1"/>
  <c r="I91" i="11"/>
  <c r="K91" i="11" s="1"/>
  <c r="I77" i="11"/>
  <c r="K77" i="11" s="1"/>
  <c r="D77" i="11" s="1"/>
  <c r="Y77" i="11" s="1"/>
  <c r="I10" i="11"/>
  <c r="I58" i="11"/>
  <c r="K58" i="11" s="1"/>
  <c r="I17" i="11"/>
  <c r="I26" i="11"/>
  <c r="K26" i="11" s="1"/>
  <c r="D26" i="11" s="1"/>
  <c r="Y26" i="11" s="1"/>
  <c r="I86" i="11"/>
  <c r="K86" i="11" s="1"/>
  <c r="I99" i="11"/>
  <c r="K99" i="11" s="1"/>
  <c r="I81" i="11"/>
  <c r="K81" i="11" s="1"/>
  <c r="I63" i="11"/>
  <c r="K63" i="11" s="1"/>
  <c r="I6" i="11"/>
  <c r="I51" i="11"/>
  <c r="K51" i="11" s="1"/>
  <c r="D51" i="11" s="1"/>
  <c r="Y51" i="11" s="1"/>
  <c r="I83" i="11"/>
  <c r="K83" i="11" s="1"/>
  <c r="I47" i="11"/>
  <c r="K47" i="11" s="1"/>
  <c r="I73" i="11"/>
  <c r="K73" i="11" s="1"/>
  <c r="I11" i="11"/>
  <c r="K11" i="11" s="1"/>
  <c r="D11" i="11" s="1"/>
  <c r="Y11" i="11" s="1"/>
  <c r="I21" i="11"/>
  <c r="K21" i="11" s="1"/>
  <c r="D21" i="11" s="1"/>
  <c r="Y21" i="11" s="1"/>
  <c r="I60" i="11"/>
  <c r="K60" i="11" s="1"/>
  <c r="D60" i="11" s="1"/>
  <c r="Y60" i="11" s="1"/>
  <c r="I12" i="11"/>
  <c r="I82" i="11"/>
  <c r="K82" i="11" s="1"/>
  <c r="I42" i="11"/>
  <c r="K42" i="11" s="1"/>
  <c r="I56" i="11"/>
  <c r="K56" i="11" s="1"/>
  <c r="I70" i="11"/>
  <c r="K70" i="11" s="1"/>
  <c r="I13" i="11"/>
  <c r="K13" i="11" s="1"/>
  <c r="D13" i="11" s="1"/>
  <c r="Y13" i="11" s="1"/>
  <c r="I100" i="11"/>
  <c r="K100" i="11" s="1"/>
  <c r="D100" i="11" s="1"/>
  <c r="Y100" i="11" s="1"/>
  <c r="I45" i="11"/>
  <c r="K45" i="11" s="1"/>
  <c r="D45" i="11" s="1"/>
  <c r="Y45" i="11" s="1"/>
  <c r="I72" i="11"/>
  <c r="K72" i="11" s="1"/>
  <c r="I57" i="11"/>
  <c r="K57" i="11" s="1"/>
  <c r="D57" i="11" s="1"/>
  <c r="Y57" i="11" s="1"/>
  <c r="I48" i="11"/>
  <c r="K48" i="11" s="1"/>
  <c r="I98" i="11"/>
  <c r="K98" i="11" s="1"/>
  <c r="I9" i="11"/>
  <c r="AA6" i="11"/>
  <c r="X6" i="11"/>
  <c r="AA14" i="11"/>
  <c r="AA7" i="11"/>
  <c r="G6" i="28"/>
  <c r="G9" i="28" s="1"/>
  <c r="AA21" i="11"/>
  <c r="X21" i="11"/>
  <c r="B271" i="26"/>
  <c r="B293" i="26"/>
  <c r="B324" i="26"/>
  <c r="B57" i="26"/>
  <c r="B254" i="26"/>
  <c r="B99" i="26"/>
  <c r="B262" i="26"/>
  <c r="B34" i="26"/>
  <c r="U1" i="14"/>
  <c r="AE2" i="14"/>
  <c r="U2" i="14"/>
  <c r="J15" i="11"/>
  <c r="G15" i="11"/>
  <c r="M15" i="11"/>
  <c r="B247" i="26"/>
  <c r="B281" i="26"/>
  <c r="B309" i="26"/>
  <c r="B44" i="26"/>
  <c r="B237" i="26"/>
  <c r="B86" i="26"/>
  <c r="B321" i="26"/>
  <c r="B97" i="26"/>
  <c r="B49" i="26"/>
  <c r="B134" i="26"/>
  <c r="B93" i="26"/>
  <c r="B149" i="26"/>
  <c r="B176" i="26"/>
  <c r="B196" i="26"/>
  <c r="B60" i="26"/>
  <c r="B183" i="26"/>
  <c r="B230" i="26"/>
  <c r="B160" i="26"/>
  <c r="B25" i="26"/>
  <c r="B188" i="26"/>
  <c r="B64" i="26"/>
  <c r="B152" i="26"/>
  <c r="B85" i="26"/>
  <c r="B100" i="26"/>
  <c r="B277" i="26"/>
  <c r="B56" i="26"/>
  <c r="B220" i="26"/>
  <c r="B19" i="26"/>
  <c r="B181" i="26"/>
  <c r="B339" i="26"/>
  <c r="B345" i="26"/>
  <c r="B263" i="26"/>
  <c r="B336" i="26"/>
  <c r="B363" i="26"/>
  <c r="B329" i="26"/>
  <c r="B306" i="26"/>
  <c r="B115" i="26"/>
  <c r="B259" i="26"/>
  <c r="B107" i="26"/>
  <c r="B241" i="26"/>
  <c r="B145" i="26"/>
  <c r="B157" i="26"/>
  <c r="B182" i="26"/>
  <c r="B367" i="26"/>
  <c r="B51" i="26"/>
  <c r="B78" i="26"/>
  <c r="B9" i="26"/>
  <c r="B133" i="26"/>
  <c r="B2" i="26"/>
  <c r="H3" i="14" s="1"/>
  <c r="DL3" i="14" s="1"/>
  <c r="B170" i="26"/>
  <c r="B77" i="26"/>
  <c r="B242" i="26"/>
  <c r="B322" i="26"/>
  <c r="B122" i="26"/>
  <c r="B39" i="26"/>
  <c r="B112" i="26"/>
  <c r="B63" i="26"/>
  <c r="B87" i="26"/>
  <c r="B308" i="26"/>
  <c r="B88" i="26"/>
  <c r="B280" i="26"/>
  <c r="B76" i="26"/>
  <c r="B256" i="26"/>
  <c r="B314" i="26"/>
  <c r="B351" i="26"/>
  <c r="B297" i="26"/>
  <c r="B362" i="26"/>
  <c r="B305" i="26"/>
  <c r="B294" i="26"/>
  <c r="B127" i="26"/>
  <c r="B283" i="26"/>
  <c r="B197" i="26"/>
  <c r="B58" i="26"/>
  <c r="B136" i="26"/>
  <c r="B38" i="26"/>
  <c r="B266" i="26"/>
  <c r="B26" i="26"/>
  <c r="B209" i="26"/>
  <c r="B104" i="26"/>
  <c r="B300" i="26"/>
  <c r="B265" i="26"/>
  <c r="B135" i="26"/>
  <c r="B124" i="26"/>
  <c r="B125" i="26"/>
  <c r="B15" i="26"/>
  <c r="B113" i="26"/>
  <c r="B62" i="26"/>
  <c r="B101" i="26"/>
  <c r="B313" i="26"/>
  <c r="B89" i="26"/>
  <c r="B284" i="26"/>
  <c r="B251" i="26"/>
  <c r="B292" i="26"/>
  <c r="B312" i="26"/>
  <c r="B333" i="26"/>
  <c r="B317" i="26"/>
  <c r="B318" i="26"/>
  <c r="B139" i="26"/>
  <c r="B295" i="26"/>
  <c r="B108" i="26"/>
  <c r="B119" i="26"/>
  <c r="B92" i="26"/>
  <c r="B162" i="26"/>
  <c r="B285" i="26"/>
  <c r="B94" i="26"/>
  <c r="B260" i="26"/>
  <c r="B156" i="26"/>
  <c r="B185" i="26"/>
  <c r="B273" i="26"/>
  <c r="B161" i="26"/>
  <c r="B217" i="26"/>
  <c r="B165" i="26"/>
  <c r="B190" i="26"/>
  <c r="B140" i="26"/>
  <c r="B52" i="26"/>
  <c r="B128" i="26"/>
  <c r="B72" i="26"/>
  <c r="B116" i="26"/>
  <c r="B328" i="26"/>
  <c r="B289" i="26"/>
  <c r="B325" i="26"/>
  <c r="B357" i="26"/>
  <c r="B334" i="26"/>
  <c r="B353" i="26"/>
  <c r="B342" i="26"/>
  <c r="B163" i="26"/>
  <c r="B319" i="26"/>
  <c r="B106" i="26"/>
  <c r="B71" i="26"/>
  <c r="B117" i="26"/>
  <c r="B120" i="26"/>
  <c r="B21" i="26"/>
  <c r="B208" i="26"/>
  <c r="B95" i="26"/>
  <c r="B61" i="26"/>
  <c r="B320" i="26"/>
  <c r="B37" i="26"/>
  <c r="B215" i="26"/>
  <c r="B28" i="26"/>
  <c r="B204" i="26"/>
  <c r="B5" i="26"/>
  <c r="B179" i="26"/>
  <c r="B252" i="26"/>
  <c r="B167" i="26"/>
  <c r="B203" i="26"/>
  <c r="B155" i="26"/>
  <c r="B302" i="26"/>
  <c r="B346" i="26"/>
  <c r="B296" i="26"/>
  <c r="B359" i="26"/>
  <c r="B233" i="26"/>
  <c r="B222" i="26"/>
  <c r="B43" i="26"/>
  <c r="B199" i="26"/>
  <c r="B355" i="26"/>
  <c r="B10" i="26"/>
  <c r="B144" i="26"/>
  <c r="B171" i="26"/>
  <c r="B118" i="26"/>
  <c r="B36" i="26"/>
  <c r="B158" i="26"/>
  <c r="B65" i="26"/>
  <c r="B272" i="26"/>
  <c r="B178" i="26"/>
  <c r="B41" i="26"/>
  <c r="B98" i="26"/>
  <c r="B206" i="26"/>
  <c r="B129" i="26"/>
  <c r="B250" i="26"/>
  <c r="B352" i="26"/>
  <c r="B361" i="26"/>
  <c r="B365" i="26"/>
  <c r="B79" i="26"/>
  <c r="B331" i="26"/>
  <c r="B12" i="26"/>
  <c r="B110" i="26"/>
  <c r="B81" i="26"/>
  <c r="B146" i="26"/>
  <c r="B69" i="26"/>
  <c r="B184" i="26"/>
  <c r="B13" i="26"/>
  <c r="B299" i="26"/>
  <c r="B191" i="26"/>
  <c r="B54" i="26"/>
  <c r="B164" i="26"/>
  <c r="B238" i="26"/>
  <c r="B142" i="26"/>
  <c r="B267" i="26"/>
  <c r="B278" i="26"/>
  <c r="B332" i="26"/>
  <c r="B210" i="26"/>
  <c r="B91" i="26"/>
  <c r="B343" i="26"/>
  <c r="B224" i="26"/>
  <c r="B227" i="26"/>
  <c r="B172" i="26"/>
  <c r="B249" i="26"/>
  <c r="B121" i="26"/>
  <c r="B212" i="26"/>
  <c r="B50" i="26"/>
  <c r="B66" i="26"/>
  <c r="B218" i="26"/>
  <c r="B74" i="26"/>
  <c r="B6" i="26"/>
  <c r="B255" i="26"/>
  <c r="B168" i="26"/>
  <c r="B288" i="26"/>
  <c r="B311" i="26"/>
  <c r="B347" i="26"/>
  <c r="B234" i="26"/>
  <c r="B103" i="26"/>
  <c r="B14" i="26"/>
  <c r="B143" i="26"/>
  <c r="B82" i="26"/>
  <c r="B59" i="26"/>
  <c r="B147" i="26"/>
  <c r="B159" i="26"/>
  <c r="B70" i="26"/>
  <c r="B177" i="26"/>
  <c r="B236" i="26"/>
  <c r="B126" i="26"/>
  <c r="B18" i="26"/>
  <c r="B27" i="26"/>
  <c r="B194" i="26"/>
  <c r="B268" i="26"/>
  <c r="B326" i="26"/>
  <c r="B348" i="26"/>
  <c r="B246" i="26"/>
  <c r="B151" i="26"/>
  <c r="B216" i="26"/>
  <c r="B35" i="26"/>
  <c r="B123" i="26"/>
  <c r="B131" i="26"/>
  <c r="B226" i="26"/>
  <c r="B213" i="26"/>
  <c r="B83" i="26"/>
  <c r="B4" i="26"/>
  <c r="B253" i="26"/>
  <c r="B153" i="26"/>
  <c r="B30" i="26"/>
  <c r="B111" i="26"/>
  <c r="B207" i="26"/>
  <c r="B315" i="26"/>
  <c r="B356" i="26"/>
  <c r="B349" i="26"/>
  <c r="B258" i="26"/>
  <c r="B175" i="26"/>
  <c r="B11" i="26"/>
  <c r="B225" i="26"/>
  <c r="B173" i="26"/>
  <c r="B169" i="26"/>
  <c r="B298" i="26"/>
  <c r="B243" i="26"/>
  <c r="B96" i="26"/>
  <c r="B16" i="26"/>
  <c r="B275" i="26"/>
  <c r="B166" i="26"/>
  <c r="B42" i="26"/>
  <c r="B150" i="26"/>
  <c r="B221" i="26"/>
  <c r="B344" i="26"/>
  <c r="B264" i="26"/>
  <c r="B364" i="26"/>
  <c r="B270" i="26"/>
  <c r="B187" i="26"/>
  <c r="B235" i="26"/>
  <c r="B269" i="26"/>
  <c r="B291" i="26"/>
  <c r="B31" i="26"/>
  <c r="B219" i="26"/>
  <c r="B73" i="26"/>
  <c r="B244" i="26"/>
  <c r="B32" i="26"/>
  <c r="B33" i="26"/>
  <c r="B132" i="26"/>
  <c r="B223" i="26"/>
  <c r="B257" i="26"/>
  <c r="B276" i="26"/>
  <c r="B7" i="26"/>
  <c r="B205" i="26"/>
  <c r="B53" i="26"/>
  <c r="B214" i="26"/>
  <c r="B8" i="26"/>
  <c r="B261" i="26"/>
  <c r="B211" i="26"/>
  <c r="B245" i="26"/>
  <c r="B350" i="26"/>
  <c r="B274" i="26"/>
  <c r="B192" i="26"/>
  <c r="B40" i="26"/>
  <c r="B186" i="26"/>
  <c r="B286" i="26"/>
  <c r="B24" i="26"/>
  <c r="B67" i="26"/>
  <c r="B340" i="26"/>
  <c r="B232" i="26"/>
  <c r="B193" i="26"/>
  <c r="B29" i="26"/>
  <c r="B248" i="26"/>
  <c r="B287" i="26"/>
  <c r="B84" i="26"/>
  <c r="B22" i="26"/>
  <c r="AA18" i="11"/>
  <c r="X18" i="11"/>
  <c r="AA26" i="11"/>
  <c r="X26" i="11"/>
  <c r="J18" i="11"/>
  <c r="M18" i="11"/>
  <c r="G18" i="11"/>
  <c r="M3" i="14"/>
  <c r="L1" i="14"/>
  <c r="L2" i="14"/>
  <c r="D208" i="29"/>
  <c r="D216" i="29"/>
  <c r="D207" i="29"/>
  <c r="D4" i="14"/>
  <c r="E3" i="14"/>
  <c r="C3" i="14"/>
  <c r="C210" i="29"/>
  <c r="C211" i="29" s="1"/>
  <c r="C209" i="29"/>
  <c r="M22" i="11"/>
  <c r="J22" i="11"/>
  <c r="I24" i="11"/>
  <c r="K24" i="11" s="1"/>
  <c r="D24" i="11" s="1"/>
  <c r="Y24" i="11" s="1"/>
  <c r="I67" i="11"/>
  <c r="K67" i="11" s="1"/>
  <c r="I23" i="11"/>
  <c r="I25" i="11"/>
  <c r="K25" i="11" s="1"/>
  <c r="D25" i="11" s="1"/>
  <c r="Y25" i="11" s="1"/>
  <c r="I85" i="11"/>
  <c r="K85" i="11" s="1"/>
  <c r="I55" i="11"/>
  <c r="K55" i="11" s="1"/>
  <c r="I74" i="11"/>
  <c r="K74" i="11" s="1"/>
  <c r="I88" i="11"/>
  <c r="K88" i="11" s="1"/>
  <c r="I89" i="11"/>
  <c r="K89" i="11" s="1"/>
  <c r="I94" i="11"/>
  <c r="K94" i="11" s="1"/>
  <c r="I16" i="11"/>
  <c r="I14" i="11"/>
  <c r="K14" i="11" s="1"/>
  <c r="D14" i="11" s="1"/>
  <c r="Y14" i="11" s="1"/>
  <c r="I64" i="11"/>
  <c r="K64" i="11" s="1"/>
  <c r="I2" i="11"/>
  <c r="K2" i="11" s="1"/>
  <c r="D2" i="11" s="1"/>
  <c r="Y2" i="11" s="1"/>
  <c r="I7" i="11"/>
  <c r="K7" i="11" s="1"/>
  <c r="D7" i="11" s="1"/>
  <c r="Y7" i="11" s="1"/>
  <c r="I50" i="11"/>
  <c r="K50" i="11" s="1"/>
  <c r="I15" i="11"/>
  <c r="I59" i="11"/>
  <c r="K59" i="11" s="1"/>
  <c r="I90" i="11"/>
  <c r="K90" i="11" s="1"/>
  <c r="I92" i="11"/>
  <c r="K92" i="11" s="1"/>
  <c r="D92" i="11" s="1"/>
  <c r="Y92" i="11" s="1"/>
  <c r="I5" i="11"/>
  <c r="K5" i="11" s="1"/>
  <c r="D5" i="11" s="1"/>
  <c r="Y5" i="11" s="1"/>
  <c r="I79" i="11"/>
  <c r="K79" i="11" s="1"/>
  <c r="I54" i="11"/>
  <c r="K54" i="11" s="1"/>
  <c r="I20" i="11"/>
  <c r="K20" i="11" s="1"/>
  <c r="D20" i="11" s="1"/>
  <c r="Y20" i="11" s="1"/>
  <c r="I18" i="11"/>
  <c r="I68" i="11"/>
  <c r="K68" i="11" s="1"/>
  <c r="I96" i="11"/>
  <c r="K96" i="11" s="1"/>
  <c r="I49" i="11"/>
  <c r="K49" i="11" s="1"/>
  <c r="I66" i="11"/>
  <c r="K66" i="11" s="1"/>
  <c r="I43" i="11"/>
  <c r="K43" i="11" s="1"/>
  <c r="I78" i="11"/>
  <c r="K78" i="11" s="1"/>
  <c r="I97" i="11"/>
  <c r="K97" i="11" s="1"/>
  <c r="D97" i="11" s="1"/>
  <c r="Y97" i="11" s="1"/>
  <c r="I52" i="11"/>
  <c r="K52" i="11" s="1"/>
  <c r="I53" i="11"/>
  <c r="K53" i="11" s="1"/>
  <c r="I61" i="11"/>
  <c r="K61" i="11" s="1"/>
  <c r="I71" i="11"/>
  <c r="K71" i="11" s="1"/>
  <c r="I76" i="11"/>
  <c r="K76" i="11" s="1"/>
  <c r="D76" i="11" s="1"/>
  <c r="Y76" i="11" s="1"/>
  <c r="I62" i="11"/>
  <c r="K62" i="11" s="1"/>
  <c r="I93" i="11"/>
  <c r="K93" i="11" s="1"/>
  <c r="I19" i="11"/>
  <c r="K19" i="11" s="1"/>
  <c r="D19" i="11" s="1"/>
  <c r="Y19" i="11" s="1"/>
  <c r="I80" i="11"/>
  <c r="K80" i="11" s="1"/>
  <c r="D80" i="11" s="1"/>
  <c r="Y80" i="11" s="1"/>
  <c r="I69" i="11"/>
  <c r="K69" i="11" s="1"/>
  <c r="I75" i="11"/>
  <c r="K75" i="11" s="1"/>
  <c r="D75" i="11" s="1"/>
  <c r="Y75" i="11" s="1"/>
  <c r="I4" i="11"/>
  <c r="K4" i="11" s="1"/>
  <c r="D4" i="11" s="1"/>
  <c r="Y4" i="11" s="1"/>
  <c r="I3" i="11"/>
  <c r="K3" i="11" s="1"/>
  <c r="D3" i="11" s="1"/>
  <c r="Y3" i="11" s="1"/>
  <c r="I87" i="11"/>
  <c r="K87" i="11" s="1"/>
  <c r="I8" i="11"/>
  <c r="K8" i="11" s="1"/>
  <c r="D8" i="11" s="1"/>
  <c r="Y8" i="11" s="1"/>
  <c r="I65" i="11"/>
  <c r="K65" i="11" s="1"/>
  <c r="I44" i="11"/>
  <c r="K44" i="11" s="1"/>
  <c r="I84" i="11"/>
  <c r="K84" i="11" s="1"/>
  <c r="G12" i="11"/>
  <c r="J12" i="11"/>
  <c r="M12" i="11"/>
  <c r="G16" i="11"/>
  <c r="J16" i="11"/>
  <c r="J23" i="11"/>
  <c r="M23" i="11"/>
  <c r="G23" i="11"/>
  <c r="B13" i="28" l="1"/>
  <c r="K3" i="14"/>
  <c r="S3" i="14"/>
  <c r="R3" i="14"/>
  <c r="J4" i="14"/>
  <c r="I4" i="14"/>
  <c r="K9" i="11"/>
  <c r="D9" i="11" s="1"/>
  <c r="Y9" i="11" s="1"/>
  <c r="K17" i="11"/>
  <c r="D17" i="11" s="1"/>
  <c r="Y17" i="11" s="1"/>
  <c r="Y35" i="11"/>
  <c r="Y39" i="11"/>
  <c r="Y30" i="11"/>
  <c r="K10" i="11"/>
  <c r="D10" i="11" s="1"/>
  <c r="Y10" i="11" s="1"/>
  <c r="K6" i="11"/>
  <c r="D6" i="11" s="1"/>
  <c r="Y6" i="11" s="1"/>
  <c r="C9" i="10"/>
  <c r="V3" i="14"/>
  <c r="C10" i="10"/>
  <c r="B11" i="10"/>
  <c r="F6" i="28"/>
  <c r="C10" i="28"/>
  <c r="C13" i="28" s="1"/>
  <c r="D63" i="11"/>
  <c r="Y63" i="11" s="1"/>
  <c r="D46" i="11"/>
  <c r="Y46" i="11" s="1"/>
  <c r="K22" i="11"/>
  <c r="D22" i="11" s="1"/>
  <c r="Y22" i="11" s="1"/>
  <c r="K15" i="11"/>
  <c r="D15" i="11" s="1"/>
  <c r="Y15" i="11" s="1"/>
  <c r="D58" i="11"/>
  <c r="Y58" i="11" s="1"/>
  <c r="D86" i="11"/>
  <c r="Y86" i="11" s="1"/>
  <c r="D47" i="11"/>
  <c r="Y47" i="11" s="1"/>
  <c r="D48" i="11"/>
  <c r="Y48" i="11" s="1"/>
  <c r="D69" i="11"/>
  <c r="Y69" i="11" s="1"/>
  <c r="K23" i="11"/>
  <c r="D23" i="11" s="1"/>
  <c r="Y23" i="11" s="1"/>
  <c r="D99" i="11"/>
  <c r="Y99" i="11" s="1"/>
  <c r="D81" i="11"/>
  <c r="Y81" i="11" s="1"/>
  <c r="D72" i="11"/>
  <c r="Y72" i="11" s="1"/>
  <c r="K12" i="11"/>
  <c r="D12" i="11" s="1"/>
  <c r="Y12" i="11" s="1"/>
  <c r="D42" i="11"/>
  <c r="Y42" i="11" s="1"/>
  <c r="D98" i="11"/>
  <c r="Y98" i="11" s="1"/>
  <c r="D73" i="11"/>
  <c r="Y73" i="11" s="1"/>
  <c r="D52" i="11"/>
  <c r="Y52" i="11" s="1"/>
  <c r="G3" i="14"/>
  <c r="D56" i="11"/>
  <c r="Y56" i="11" s="1"/>
  <c r="D83" i="11"/>
  <c r="Y83" i="11" s="1"/>
  <c r="D82" i="11"/>
  <c r="Y82" i="11" s="1"/>
  <c r="D64" i="11"/>
  <c r="Y64" i="11" s="1"/>
  <c r="D70" i="11"/>
  <c r="Y70" i="11" s="1"/>
  <c r="Y33" i="11"/>
  <c r="D91" i="11"/>
  <c r="Y91" i="11" s="1"/>
  <c r="C213" i="29"/>
  <c r="C212" i="29"/>
  <c r="C215" i="29" s="1"/>
  <c r="D93" i="11"/>
  <c r="Y93" i="11" s="1"/>
  <c r="D88" i="11"/>
  <c r="Y88" i="11" s="1"/>
  <c r="D71" i="11"/>
  <c r="Y71" i="11" s="1"/>
  <c r="D50" i="11"/>
  <c r="Y50" i="11" s="1"/>
  <c r="D53" i="11"/>
  <c r="Y53" i="11" s="1"/>
  <c r="Y38" i="11"/>
  <c r="D55" i="11"/>
  <c r="Y55" i="11" s="1"/>
  <c r="D214" i="29"/>
  <c r="D49" i="11"/>
  <c r="Y49" i="11" s="1"/>
  <c r="D65" i="11"/>
  <c r="Y65" i="11" s="1"/>
  <c r="D89" i="11"/>
  <c r="Y89" i="11" s="1"/>
  <c r="D54" i="11"/>
  <c r="Y54" i="11" s="1"/>
  <c r="D85" i="11"/>
  <c r="Y85" i="11" s="1"/>
  <c r="E4" i="14"/>
  <c r="C4" i="14"/>
  <c r="H4" i="14"/>
  <c r="DL4" i="14" s="1"/>
  <c r="D5" i="14"/>
  <c r="G4" i="14"/>
  <c r="D62" i="11"/>
  <c r="Y62" i="11" s="1"/>
  <c r="D59" i="11"/>
  <c r="Y59" i="11" s="1"/>
  <c r="K18" i="11"/>
  <c r="D18" i="11" s="1"/>
  <c r="Y18" i="11" s="1"/>
  <c r="D67" i="11"/>
  <c r="Y67" i="11" s="1"/>
  <c r="D61" i="11"/>
  <c r="Y61" i="11" s="1"/>
  <c r="D74" i="11"/>
  <c r="Y74" i="11" s="1"/>
  <c r="D79" i="11"/>
  <c r="Y79" i="11" s="1"/>
  <c r="D210" i="29"/>
  <c r="D209" i="29"/>
  <c r="D211" i="29" s="1"/>
  <c r="D90" i="11"/>
  <c r="Y90" i="11" s="1"/>
  <c r="D96" i="11"/>
  <c r="Y96" i="11" s="1"/>
  <c r="AN2" i="14"/>
  <c r="AD2" i="14"/>
  <c r="AD1" i="14"/>
  <c r="D78" i="11"/>
  <c r="Y78" i="11" s="1"/>
  <c r="K16" i="11"/>
  <c r="D16" i="11" s="1"/>
  <c r="Y16" i="11" s="1"/>
  <c r="D44" i="11"/>
  <c r="Y44" i="11" s="1"/>
  <c r="Y37" i="11"/>
  <c r="D68" i="11"/>
  <c r="Y68" i="11" s="1"/>
  <c r="D87" i="11"/>
  <c r="Y87" i="11" s="1"/>
  <c r="Y32" i="11"/>
  <c r="D43" i="11"/>
  <c r="Y43" i="11" s="1"/>
  <c r="Y34" i="11"/>
  <c r="D94" i="11"/>
  <c r="Y94" i="11" s="1"/>
  <c r="D84" i="11"/>
  <c r="Y84" i="11" s="1"/>
  <c r="D66" i="11"/>
  <c r="Y66" i="11" s="1"/>
  <c r="Y40" i="11"/>
  <c r="Y31" i="11"/>
  <c r="Q3" i="14"/>
  <c r="M4" i="14"/>
  <c r="N3" i="14"/>
  <c r="L3" i="14"/>
  <c r="P3" i="14"/>
  <c r="O3" i="14" s="1"/>
  <c r="E6" i="28" l="1"/>
  <c r="E9" i="28" s="1"/>
  <c r="F9" i="28"/>
  <c r="K4" i="14"/>
  <c r="T3" i="14"/>
  <c r="AA3" i="14"/>
  <c r="AB3" i="14"/>
  <c r="S4" i="14"/>
  <c r="R4" i="14"/>
  <c r="I5" i="14"/>
  <c r="J5" i="14"/>
  <c r="Z3" i="14"/>
  <c r="Y3" i="14"/>
  <c r="X3" i="14" s="1"/>
  <c r="U3" i="14"/>
  <c r="V4" i="14"/>
  <c r="W3" i="14"/>
  <c r="AE3" i="14"/>
  <c r="F4" i="14"/>
  <c r="DJ4" i="14" s="1"/>
  <c r="DK4" i="14"/>
  <c r="F3" i="14"/>
  <c r="DJ3" i="14" s="1"/>
  <c r="DK3" i="14"/>
  <c r="B12" i="10"/>
  <c r="C11" i="10"/>
  <c r="D10" i="28"/>
  <c r="D13" i="28" s="1"/>
  <c r="D213" i="29"/>
  <c r="D212" i="29"/>
  <c r="D215" i="29" s="1"/>
  <c r="AM1" i="14"/>
  <c r="AM2" i="14"/>
  <c r="AW2" i="14"/>
  <c r="Q4" i="14"/>
  <c r="N4" i="14"/>
  <c r="L4" i="14"/>
  <c r="P4" i="14"/>
  <c r="O4" i="14" s="1"/>
  <c r="M5" i="14"/>
  <c r="H5" i="14"/>
  <c r="DL5" i="14" s="1"/>
  <c r="E5" i="14"/>
  <c r="C5" i="14"/>
  <c r="D6" i="14"/>
  <c r="G5" i="14"/>
  <c r="C217" i="29"/>
  <c r="C218" i="29" s="1"/>
  <c r="C219" i="29" s="1"/>
  <c r="C220" i="29" s="1"/>
  <c r="D10" i="29" s="1"/>
  <c r="D6" i="28" l="1"/>
  <c r="D9" i="28" s="1"/>
  <c r="AC3" i="14"/>
  <c r="T4" i="14"/>
  <c r="AJ3" i="14"/>
  <c r="AK3" i="14"/>
  <c r="AA4" i="14"/>
  <c r="AB4" i="14"/>
  <c r="K5" i="14"/>
  <c r="J6" i="14"/>
  <c r="I6" i="14"/>
  <c r="R5" i="14"/>
  <c r="S5" i="14"/>
  <c r="W4" i="14"/>
  <c r="Y4" i="14"/>
  <c r="X4" i="14" s="1"/>
  <c r="V5" i="14"/>
  <c r="Y5" i="14" s="1"/>
  <c r="X5" i="14" s="1"/>
  <c r="U4" i="14"/>
  <c r="Z4" i="14"/>
  <c r="AN3" i="14"/>
  <c r="AR3" i="14" s="1"/>
  <c r="AI3" i="14"/>
  <c r="AH3" i="14"/>
  <c r="AG3" i="14" s="1"/>
  <c r="AE4" i="14"/>
  <c r="AF3" i="14"/>
  <c r="AD3" i="14"/>
  <c r="F5" i="14"/>
  <c r="DJ5" i="14" s="1"/>
  <c r="DK5" i="14"/>
  <c r="C12" i="10"/>
  <c r="B13" i="10"/>
  <c r="C6" i="28"/>
  <c r="C9" i="28" s="1"/>
  <c r="E10" i="28"/>
  <c r="E13" i="28" s="1"/>
  <c r="D39" i="29"/>
  <c r="D38" i="29" s="1"/>
  <c r="D13" i="29"/>
  <c r="D8" i="29"/>
  <c r="D6" i="29"/>
  <c r="D35" i="29"/>
  <c r="D11" i="29"/>
  <c r="D5" i="29"/>
  <c r="D40" i="29"/>
  <c r="D217" i="29"/>
  <c r="D218" i="29" s="1"/>
  <c r="D219" i="29" s="1"/>
  <c r="D220" i="29" s="1"/>
  <c r="D110" i="29" s="1"/>
  <c r="AV2" i="14"/>
  <c r="BF2" i="14"/>
  <c r="AV1" i="14"/>
  <c r="Q5" i="14"/>
  <c r="N5" i="14"/>
  <c r="M6" i="14"/>
  <c r="P5" i="14"/>
  <c r="O5" i="14" s="1"/>
  <c r="L5" i="14"/>
  <c r="H6" i="14"/>
  <c r="DL6" i="14" s="1"/>
  <c r="E6" i="14"/>
  <c r="C6" i="14"/>
  <c r="D7" i="14"/>
  <c r="G6" i="14"/>
  <c r="AC4" i="14" l="1"/>
  <c r="K6" i="14"/>
  <c r="AL3" i="14"/>
  <c r="AJ4" i="14"/>
  <c r="AK4" i="14"/>
  <c r="AT3" i="14"/>
  <c r="AS3" i="14"/>
  <c r="T5" i="14"/>
  <c r="AA5" i="14"/>
  <c r="AB5" i="14"/>
  <c r="S6" i="14"/>
  <c r="R6" i="14"/>
  <c r="U5" i="14"/>
  <c r="W5" i="14"/>
  <c r="J7" i="14"/>
  <c r="I7" i="14"/>
  <c r="V6" i="14"/>
  <c r="Y6" i="14" s="1"/>
  <c r="X6" i="14" s="1"/>
  <c r="Z5" i="14"/>
  <c r="AQ3" i="14"/>
  <c r="AP3" i="14" s="1"/>
  <c r="AO3" i="14"/>
  <c r="AW3" i="14"/>
  <c r="AM3" i="14"/>
  <c r="AN4" i="14"/>
  <c r="AI4" i="14"/>
  <c r="AH4" i="14"/>
  <c r="AG4" i="14" s="1"/>
  <c r="AD4" i="14"/>
  <c r="AF4" i="14"/>
  <c r="AE5" i="14"/>
  <c r="F6" i="14"/>
  <c r="DJ6" i="14" s="1"/>
  <c r="DK6" i="14"/>
  <c r="C13" i="10"/>
  <c r="B14" i="10"/>
  <c r="F10" i="28"/>
  <c r="F13" i="28" s="1"/>
  <c r="B6" i="28"/>
  <c r="D105" i="29"/>
  <c r="D139" i="29"/>
  <c r="D138" i="29" s="1"/>
  <c r="D111" i="29"/>
  <c r="D140" i="29"/>
  <c r="D135" i="29"/>
  <c r="D113" i="29"/>
  <c r="D108" i="29"/>
  <c r="D106" i="29"/>
  <c r="H7" i="14"/>
  <c r="DL7" i="14" s="1"/>
  <c r="C7" i="14"/>
  <c r="D8" i="14"/>
  <c r="E7" i="14"/>
  <c r="G7" i="14"/>
  <c r="BO2" i="14"/>
  <c r="BE2" i="14"/>
  <c r="BE1" i="14"/>
  <c r="D12" i="29"/>
  <c r="D14" i="29"/>
  <c r="D30" i="29"/>
  <c r="Q6" i="14"/>
  <c r="M7" i="14"/>
  <c r="N6" i="14"/>
  <c r="L6" i="14"/>
  <c r="P6" i="14"/>
  <c r="O6" i="14" s="1"/>
  <c r="B9" i="28" l="1"/>
  <c r="B7" i="28" a="1"/>
  <c r="AC5" i="14"/>
  <c r="K7" i="14"/>
  <c r="AU3" i="14"/>
  <c r="BC3" i="14"/>
  <c r="BB3" i="14"/>
  <c r="T6" i="14"/>
  <c r="AS4" i="14"/>
  <c r="AT4" i="14"/>
  <c r="AK5" i="14"/>
  <c r="AJ5" i="14"/>
  <c r="AL4" i="14"/>
  <c r="Z6" i="14"/>
  <c r="AA6" i="14"/>
  <c r="AB6" i="14"/>
  <c r="U6" i="14"/>
  <c r="W6" i="14"/>
  <c r="V7" i="14"/>
  <c r="W7" i="14" s="1"/>
  <c r="R7" i="14"/>
  <c r="S7" i="14"/>
  <c r="J8" i="14"/>
  <c r="I8" i="14"/>
  <c r="AO4" i="14"/>
  <c r="BF3" i="14"/>
  <c r="AZ3" i="14"/>
  <c r="AY3" i="14" s="1"/>
  <c r="AM4" i="14"/>
  <c r="AN5" i="14"/>
  <c r="AQ4" i="14"/>
  <c r="AP4" i="14" s="1"/>
  <c r="AR4" i="14"/>
  <c r="AX3" i="14"/>
  <c r="AV3" i="14"/>
  <c r="AW4" i="14"/>
  <c r="BA3" i="14"/>
  <c r="AD5" i="14"/>
  <c r="AH5" i="14"/>
  <c r="AG5" i="14" s="1"/>
  <c r="AI5" i="14"/>
  <c r="AF5" i="14"/>
  <c r="AE6" i="14"/>
  <c r="F7" i="14"/>
  <c r="DJ7" i="14" s="1"/>
  <c r="DK7" i="14"/>
  <c r="C14" i="10"/>
  <c r="B15" i="10"/>
  <c r="B8" i="28" a="1"/>
  <c r="G10" i="28"/>
  <c r="G13" i="28" s="1"/>
  <c r="D114" i="29"/>
  <c r="D112" i="29"/>
  <c r="A4" i="29" s="1" a="1"/>
  <c r="Q7" i="14"/>
  <c r="M8" i="14"/>
  <c r="L7" i="14"/>
  <c r="N7" i="14"/>
  <c r="P7" i="14"/>
  <c r="O7" i="14" s="1"/>
  <c r="BX2" i="14"/>
  <c r="BN1" i="14"/>
  <c r="BN2" i="14"/>
  <c r="H8" i="14"/>
  <c r="DL8" i="14" s="1"/>
  <c r="E8" i="14"/>
  <c r="D9" i="14"/>
  <c r="C8" i="14"/>
  <c r="G8" i="14"/>
  <c r="B7" i="28" l="1"/>
  <c r="D7" i="28"/>
  <c r="C7" i="28"/>
  <c r="H7" i="28"/>
  <c r="G7" i="28"/>
  <c r="F7" i="28"/>
  <c r="E7" i="28"/>
  <c r="AC6" i="14"/>
  <c r="BD3" i="14"/>
  <c r="AL5" i="14"/>
  <c r="BB4" i="14"/>
  <c r="BC4" i="14"/>
  <c r="AU4" i="14"/>
  <c r="BK3" i="14"/>
  <c r="BL3" i="14"/>
  <c r="Y7" i="14"/>
  <c r="X7" i="14" s="1"/>
  <c r="AJ6" i="14"/>
  <c r="AK6" i="14"/>
  <c r="AS5" i="14"/>
  <c r="AT5" i="14"/>
  <c r="AR5" i="14"/>
  <c r="U7" i="14"/>
  <c r="AB7" i="14"/>
  <c r="AA7" i="14"/>
  <c r="V8" i="14"/>
  <c r="V9" i="14" s="1"/>
  <c r="Z7" i="14"/>
  <c r="J9" i="14"/>
  <c r="I9" i="14"/>
  <c r="K8" i="14"/>
  <c r="R8" i="14"/>
  <c r="S8" i="14"/>
  <c r="T7" i="14"/>
  <c r="AN6" i="14"/>
  <c r="BF4" i="14"/>
  <c r="BO3" i="14"/>
  <c r="BX3" i="14" s="1"/>
  <c r="BI3" i="14"/>
  <c r="BH3" i="14" s="1"/>
  <c r="BJ3" i="14"/>
  <c r="BE3" i="14"/>
  <c r="AZ4" i="14"/>
  <c r="AY4" i="14" s="1"/>
  <c r="AX4" i="14"/>
  <c r="BG3" i="14"/>
  <c r="AW5" i="14"/>
  <c r="AV4" i="14"/>
  <c r="BA4" i="14"/>
  <c r="AO5" i="14"/>
  <c r="AQ5" i="14"/>
  <c r="AP5" i="14" s="1"/>
  <c r="AM5" i="14"/>
  <c r="AH6" i="14"/>
  <c r="AG6" i="14" s="1"/>
  <c r="AE7" i="14"/>
  <c r="AI6" i="14"/>
  <c r="AF6" i="14"/>
  <c r="AD6" i="14"/>
  <c r="F8" i="14"/>
  <c r="DJ8" i="14" s="1"/>
  <c r="DK8" i="14"/>
  <c r="B16" i="10"/>
  <c r="C15" i="10"/>
  <c r="H10" i="28"/>
  <c r="H13" i="28" s="1"/>
  <c r="E8" i="28"/>
  <c r="G8" i="28"/>
  <c r="C8" i="28"/>
  <c r="B8" i="28"/>
  <c r="D8" i="28"/>
  <c r="F8" i="28"/>
  <c r="H8" i="28"/>
  <c r="A151" i="29"/>
  <c r="A7" i="29"/>
  <c r="A79" i="29"/>
  <c r="A174" i="29"/>
  <c r="A30" i="29"/>
  <c r="A50" i="29"/>
  <c r="A77" i="29"/>
  <c r="A134" i="29"/>
  <c r="A100" i="29"/>
  <c r="A51" i="29"/>
  <c r="A108" i="29"/>
  <c r="A167" i="29"/>
  <c r="A23" i="29"/>
  <c r="A82" i="29"/>
  <c r="A32" i="29"/>
  <c r="A97" i="29"/>
  <c r="A129" i="29"/>
  <c r="A164" i="29"/>
  <c r="A67" i="29"/>
  <c r="A162" i="29"/>
  <c r="A18" i="29"/>
  <c r="A14" i="29"/>
  <c r="A65" i="29"/>
  <c r="A98" i="29"/>
  <c r="A88" i="29"/>
  <c r="A146" i="29"/>
  <c r="A96" i="29"/>
  <c r="A155" i="29"/>
  <c r="A11" i="29"/>
  <c r="A70" i="29"/>
  <c r="A157" i="29"/>
  <c r="A181" i="29"/>
  <c r="A81" i="29"/>
  <c r="A116" i="29"/>
  <c r="A199" i="29"/>
  <c r="A43" i="29"/>
  <c r="A138" i="29"/>
  <c r="A183" i="29"/>
  <c r="A185" i="29"/>
  <c r="A41" i="29"/>
  <c r="A38" i="29"/>
  <c r="A64" i="29"/>
  <c r="A74" i="29"/>
  <c r="A72" i="29"/>
  <c r="A131" i="29"/>
  <c r="A190" i="29"/>
  <c r="A46" i="29"/>
  <c r="A13" i="29"/>
  <c r="A85" i="29"/>
  <c r="A109" i="29"/>
  <c r="A21" i="29"/>
  <c r="A115" i="29"/>
  <c r="A150" i="29"/>
  <c r="A63" i="29"/>
  <c r="A113" i="29"/>
  <c r="A62" i="29"/>
  <c r="A28" i="29"/>
  <c r="A144" i="29"/>
  <c r="A143" i="29"/>
  <c r="A154" i="29"/>
  <c r="A8" i="29"/>
  <c r="A133" i="29"/>
  <c r="A104" i="29"/>
  <c r="A91" i="29"/>
  <c r="A114" i="29"/>
  <c r="A182" i="29"/>
  <c r="A89" i="29"/>
  <c r="A184" i="29"/>
  <c r="A4" i="29"/>
  <c r="A120" i="29"/>
  <c r="A107" i="29"/>
  <c r="A130" i="29"/>
  <c r="A80" i="29"/>
  <c r="A176" i="29"/>
  <c r="A165" i="29"/>
  <c r="A55" i="29"/>
  <c r="A102" i="29"/>
  <c r="A158" i="29"/>
  <c r="A53" i="29"/>
  <c r="A172" i="29"/>
  <c r="A195" i="29"/>
  <c r="A84" i="29"/>
  <c r="A95" i="29"/>
  <c r="A118" i="29"/>
  <c r="A153" i="29"/>
  <c r="A61" i="29"/>
  <c r="A117" i="29"/>
  <c r="A103" i="29"/>
  <c r="A66" i="29"/>
  <c r="A149" i="29"/>
  <c r="A196" i="29"/>
  <c r="A110" i="29"/>
  <c r="A203" i="29"/>
  <c r="A142" i="29"/>
  <c r="A92" i="29"/>
  <c r="A33" i="29"/>
  <c r="A31" i="29"/>
  <c r="A54" i="29"/>
  <c r="A137" i="29"/>
  <c r="A160" i="29"/>
  <c r="A26" i="29"/>
  <c r="A191" i="29"/>
  <c r="A106" i="29"/>
  <c r="A44" i="29"/>
  <c r="A20" i="29"/>
  <c r="A171" i="29"/>
  <c r="A6" i="29"/>
  <c r="A101" i="29"/>
  <c r="A136" i="29"/>
  <c r="A180" i="29"/>
  <c r="A119" i="29"/>
  <c r="A58" i="29"/>
  <c r="A121" i="29"/>
  <c r="A10" i="29"/>
  <c r="A19" i="29"/>
  <c r="A15" i="29"/>
  <c r="A27" i="29"/>
  <c r="A192" i="29"/>
  <c r="A59" i="29"/>
  <c r="A128" i="29"/>
  <c r="A152" i="29"/>
  <c r="A123" i="29"/>
  <c r="A122" i="29"/>
  <c r="A194" i="29"/>
  <c r="A168" i="29"/>
  <c r="A47" i="29"/>
  <c r="A188" i="29"/>
  <c r="A69" i="29"/>
  <c r="A87" i="29"/>
  <c r="A86" i="29"/>
  <c r="A170" i="29"/>
  <c r="A156" i="29"/>
  <c r="A35" i="29"/>
  <c r="A140" i="29"/>
  <c r="A22" i="29"/>
  <c r="A39" i="29"/>
  <c r="A197" i="29"/>
  <c r="A148" i="29"/>
  <c r="A132" i="29"/>
  <c r="A202" i="29"/>
  <c r="A169" i="29"/>
  <c r="A68" i="29"/>
  <c r="A126" i="29"/>
  <c r="A125" i="29"/>
  <c r="A76" i="29"/>
  <c r="A36" i="29"/>
  <c r="A94" i="29"/>
  <c r="A37" i="29"/>
  <c r="A56" i="29"/>
  <c r="A139" i="29"/>
  <c r="A17" i="29"/>
  <c r="A48" i="29"/>
  <c r="A45" i="29"/>
  <c r="A127" i="29"/>
  <c r="A5" i="29"/>
  <c r="A24" i="29"/>
  <c r="A73" i="29"/>
  <c r="A198" i="29"/>
  <c r="A135" i="29"/>
  <c r="A12" i="29"/>
  <c r="A25" i="29"/>
  <c r="A186" i="29"/>
  <c r="A75" i="29"/>
  <c r="A179" i="29"/>
  <c r="A201" i="29"/>
  <c r="A78" i="29"/>
  <c r="A112" i="29"/>
  <c r="A71" i="29"/>
  <c r="A193" i="29"/>
  <c r="A42" i="29"/>
  <c r="A52" i="29"/>
  <c r="A178" i="29"/>
  <c r="A49" i="29"/>
  <c r="A16" i="29"/>
  <c r="A105" i="29"/>
  <c r="A187" i="29"/>
  <c r="A159" i="29"/>
  <c r="A200" i="29"/>
  <c r="A175" i="29"/>
  <c r="A99" i="29"/>
  <c r="A145" i="29"/>
  <c r="A163" i="29"/>
  <c r="A60" i="29"/>
  <c r="A9" i="29"/>
  <c r="A90" i="29"/>
  <c r="A83" i="29"/>
  <c r="A147" i="29"/>
  <c r="A166" i="29"/>
  <c r="A161" i="29"/>
  <c r="A29" i="29"/>
  <c r="A141" i="29"/>
  <c r="A124" i="29"/>
  <c r="A40" i="29"/>
  <c r="A34" i="29"/>
  <c r="A189" i="29"/>
  <c r="A173" i="29"/>
  <c r="A111" i="29"/>
  <c r="A93" i="29"/>
  <c r="A57" i="29"/>
  <c r="A177" i="29"/>
  <c r="Q8" i="14"/>
  <c r="N8" i="14"/>
  <c r="L8" i="14"/>
  <c r="M9" i="14"/>
  <c r="P8" i="14"/>
  <c r="O8" i="14" s="1"/>
  <c r="H9" i="14"/>
  <c r="DL9" i="14" s="1"/>
  <c r="C9" i="14"/>
  <c r="D10" i="14"/>
  <c r="E9" i="14"/>
  <c r="G9" i="14"/>
  <c r="BW2" i="14"/>
  <c r="BW1" i="14"/>
  <c r="CG2" i="14"/>
  <c r="B11" i="28" l="1" a="1"/>
  <c r="AC7" i="14"/>
  <c r="CD3" i="14"/>
  <c r="CC3" i="14"/>
  <c r="BU3" i="14"/>
  <c r="BT3" i="14"/>
  <c r="BM3" i="14"/>
  <c r="BB5" i="14"/>
  <c r="BC5" i="14"/>
  <c r="AU5" i="14"/>
  <c r="BK4" i="14"/>
  <c r="BL4" i="14"/>
  <c r="BD4" i="14"/>
  <c r="AS6" i="14"/>
  <c r="AT6" i="14"/>
  <c r="AK7" i="14"/>
  <c r="AJ7" i="14"/>
  <c r="U8" i="14"/>
  <c r="BE4" i="14"/>
  <c r="AL6" i="14"/>
  <c r="Y8" i="14"/>
  <c r="X8" i="14" s="1"/>
  <c r="Z8" i="14"/>
  <c r="W8" i="14"/>
  <c r="K9" i="14"/>
  <c r="AB8" i="14"/>
  <c r="AA8" i="14"/>
  <c r="AA9" i="14"/>
  <c r="AB9" i="14"/>
  <c r="AN7" i="14"/>
  <c r="AS7" i="14" s="1"/>
  <c r="AR6" i="14"/>
  <c r="AM6" i="14"/>
  <c r="BJ4" i="14"/>
  <c r="I10" i="14"/>
  <c r="J10" i="14"/>
  <c r="T8" i="14"/>
  <c r="BI4" i="14"/>
  <c r="BH4" i="14" s="1"/>
  <c r="BR3" i="14"/>
  <c r="BQ3" i="14" s="1"/>
  <c r="AO6" i="14"/>
  <c r="S9" i="14"/>
  <c r="R9" i="14"/>
  <c r="BG4" i="14"/>
  <c r="AQ6" i="14"/>
  <c r="AP6" i="14" s="1"/>
  <c r="BF5" i="14"/>
  <c r="BS3" i="14"/>
  <c r="BP3" i="14"/>
  <c r="BA5" i="14"/>
  <c r="BN3" i="14"/>
  <c r="BO4" i="14"/>
  <c r="AX5" i="14"/>
  <c r="AV5" i="14"/>
  <c r="AZ5" i="14"/>
  <c r="AY5" i="14" s="1"/>
  <c r="AW6" i="14"/>
  <c r="CB3" i="14"/>
  <c r="BY3" i="14"/>
  <c r="AI7" i="14"/>
  <c r="AF7" i="14"/>
  <c r="AD7" i="14"/>
  <c r="AH7" i="14"/>
  <c r="AG7" i="14" s="1"/>
  <c r="AE8" i="14"/>
  <c r="BX4" i="14"/>
  <c r="CA3" i="14"/>
  <c r="BZ3" i="14" s="1"/>
  <c r="BW3" i="14"/>
  <c r="CG3" i="14"/>
  <c r="F9" i="14"/>
  <c r="DJ9" i="14" s="1"/>
  <c r="DK9" i="14"/>
  <c r="B17" i="10"/>
  <c r="C16" i="10"/>
  <c r="B14" i="28"/>
  <c r="B12" i="28" a="1"/>
  <c r="Q9" i="14"/>
  <c r="N9" i="14"/>
  <c r="M10" i="14"/>
  <c r="L9" i="14"/>
  <c r="P9" i="14"/>
  <c r="O9" i="14" s="1"/>
  <c r="CF2" i="14"/>
  <c r="CP2" i="14"/>
  <c r="CF1" i="14"/>
  <c r="Z9" i="14"/>
  <c r="V10" i="14"/>
  <c r="W9" i="14"/>
  <c r="U9" i="14"/>
  <c r="Y9" i="14"/>
  <c r="X9" i="14" s="1"/>
  <c r="H10" i="14"/>
  <c r="DL10" i="14" s="1"/>
  <c r="C10" i="14"/>
  <c r="E10" i="14"/>
  <c r="D11" i="14"/>
  <c r="G10" i="14"/>
  <c r="B17" i="28" l="1"/>
  <c r="B11" i="28"/>
  <c r="E11" i="28"/>
  <c r="C11" i="28"/>
  <c r="F11" i="28"/>
  <c r="H11" i="28"/>
  <c r="G11" i="28"/>
  <c r="D11" i="28"/>
  <c r="BV3" i="14"/>
  <c r="AC8" i="14"/>
  <c r="AC9" i="14"/>
  <c r="CE3" i="14"/>
  <c r="CM3" i="14"/>
  <c r="CL3" i="14"/>
  <c r="CC4" i="14"/>
  <c r="CD4" i="14"/>
  <c r="AU6" i="14"/>
  <c r="BM4" i="14"/>
  <c r="BC6" i="14"/>
  <c r="BB6" i="14"/>
  <c r="BD5" i="14"/>
  <c r="BK5" i="14"/>
  <c r="BL5" i="14"/>
  <c r="BT4" i="14"/>
  <c r="BU4" i="14"/>
  <c r="AL7" i="14"/>
  <c r="AT7" i="14"/>
  <c r="AQ7" i="14"/>
  <c r="AP7" i="14" s="1"/>
  <c r="AK8" i="14"/>
  <c r="AJ8" i="14"/>
  <c r="BI5" i="14"/>
  <c r="BH5" i="14" s="1"/>
  <c r="T9" i="14"/>
  <c r="AA10" i="14"/>
  <c r="AB10" i="14"/>
  <c r="BE5" i="14"/>
  <c r="AO7" i="14"/>
  <c r="BF6" i="14"/>
  <c r="AR7" i="14"/>
  <c r="BJ5" i="14"/>
  <c r="BG5" i="14"/>
  <c r="AN8" i="14"/>
  <c r="AM7" i="14"/>
  <c r="K10" i="14"/>
  <c r="R10" i="14"/>
  <c r="S10" i="14"/>
  <c r="I11" i="14"/>
  <c r="J11" i="14"/>
  <c r="BS4" i="14"/>
  <c r="BN4" i="14"/>
  <c r="BO5" i="14"/>
  <c r="BP4" i="14"/>
  <c r="BR4" i="14"/>
  <c r="BQ4" i="14" s="1"/>
  <c r="AX6" i="14"/>
  <c r="AW7" i="14"/>
  <c r="BA6" i="14"/>
  <c r="AZ6" i="14"/>
  <c r="AY6" i="14" s="1"/>
  <c r="AV6" i="14"/>
  <c r="BY4" i="14"/>
  <c r="CB4" i="14"/>
  <c r="CF3" i="14"/>
  <c r="BW4" i="14"/>
  <c r="CH3" i="14"/>
  <c r="BX5" i="14"/>
  <c r="CG4" i="14"/>
  <c r="AF8" i="14"/>
  <c r="AI8" i="14"/>
  <c r="AD8" i="14"/>
  <c r="AE9" i="14"/>
  <c r="AH8" i="14"/>
  <c r="AG8" i="14" s="1"/>
  <c r="CJ3" i="14"/>
  <c r="CI3" i="14" s="1"/>
  <c r="CA4" i="14"/>
  <c r="BZ4" i="14" s="1"/>
  <c r="CK3" i="14"/>
  <c r="F10" i="14"/>
  <c r="DJ10" i="14" s="1"/>
  <c r="DK10" i="14"/>
  <c r="B18" i="10"/>
  <c r="C17" i="10"/>
  <c r="G12" i="28"/>
  <c r="E12" i="28"/>
  <c r="F12" i="28"/>
  <c r="D12" i="28"/>
  <c r="C12" i="28"/>
  <c r="B12" i="28"/>
  <c r="H12" i="28"/>
  <c r="C14" i="28"/>
  <c r="C17" i="28" s="1"/>
  <c r="CO1" i="14"/>
  <c r="CY2" i="14"/>
  <c r="CO2" i="14"/>
  <c r="L10" i="14"/>
  <c r="N10" i="14"/>
  <c r="M11" i="14"/>
  <c r="Q10" i="14"/>
  <c r="P10" i="14"/>
  <c r="O10" i="14" s="1"/>
  <c r="CP3" i="14"/>
  <c r="H11" i="14"/>
  <c r="DL11" i="14" s="1"/>
  <c r="E11" i="14"/>
  <c r="C11" i="14"/>
  <c r="D12" i="14"/>
  <c r="G11" i="14"/>
  <c r="Z10" i="14"/>
  <c r="V11" i="14"/>
  <c r="W10" i="14"/>
  <c r="U10" i="14"/>
  <c r="Y10" i="14"/>
  <c r="X10" i="14" s="1"/>
  <c r="CN3" i="14" l="1"/>
  <c r="AC10" i="14"/>
  <c r="BV4" i="14"/>
  <c r="BD6" i="14"/>
  <c r="CU3" i="14"/>
  <c r="CV3" i="14"/>
  <c r="CE4" i="14"/>
  <c r="CM4" i="14"/>
  <c r="CL4" i="14"/>
  <c r="CD5" i="14"/>
  <c r="CC5" i="14"/>
  <c r="AU7" i="14"/>
  <c r="BM5" i="14"/>
  <c r="BK6" i="14"/>
  <c r="BL6" i="14"/>
  <c r="BC7" i="14"/>
  <c r="BB7" i="14"/>
  <c r="AL8" i="14"/>
  <c r="BU5" i="14"/>
  <c r="BT5" i="14"/>
  <c r="AS8" i="14"/>
  <c r="AT8" i="14"/>
  <c r="AR8" i="14"/>
  <c r="AK9" i="14"/>
  <c r="AJ9" i="14"/>
  <c r="BI6" i="14"/>
  <c r="BH6" i="14" s="1"/>
  <c r="BE6" i="14"/>
  <c r="BG6" i="14"/>
  <c r="CJ4" i="14"/>
  <c r="CI4" i="14" s="1"/>
  <c r="BF7" i="14"/>
  <c r="T10" i="14"/>
  <c r="AB11" i="14"/>
  <c r="AA11" i="14"/>
  <c r="BJ6" i="14"/>
  <c r="AQ8" i="14"/>
  <c r="AP8" i="14" s="1"/>
  <c r="AN9" i="14"/>
  <c r="AO8" i="14"/>
  <c r="AM8" i="14"/>
  <c r="BN5" i="14"/>
  <c r="BO6" i="14"/>
  <c r="J12" i="14"/>
  <c r="I12" i="14"/>
  <c r="K11" i="14"/>
  <c r="BR5" i="14"/>
  <c r="BQ5" i="14" s="1"/>
  <c r="R11" i="14"/>
  <c r="S11" i="14"/>
  <c r="AZ7" i="14"/>
  <c r="AY7" i="14" s="1"/>
  <c r="AW8" i="14"/>
  <c r="AV7" i="14"/>
  <c r="BA7" i="14"/>
  <c r="BS5" i="14"/>
  <c r="BP5" i="14"/>
  <c r="AX7" i="14"/>
  <c r="CH4" i="14"/>
  <c r="CK4" i="14"/>
  <c r="CF4" i="14"/>
  <c r="CG5" i="14"/>
  <c r="CA5" i="14"/>
  <c r="BZ5" i="14" s="1"/>
  <c r="BW5" i="14"/>
  <c r="BX6" i="14"/>
  <c r="CB6" i="14" s="1"/>
  <c r="BY5" i="14"/>
  <c r="CB5" i="14"/>
  <c r="AI9" i="14"/>
  <c r="AF9" i="14"/>
  <c r="AD9" i="14"/>
  <c r="AE10" i="14"/>
  <c r="AH9" i="14"/>
  <c r="AG9" i="14" s="1"/>
  <c r="F11" i="14"/>
  <c r="DJ11" i="14" s="1"/>
  <c r="DK11" i="14"/>
  <c r="B19" i="10"/>
  <c r="C18" i="10"/>
  <c r="D14" i="28"/>
  <c r="D17" i="28" s="1"/>
  <c r="H12" i="14"/>
  <c r="DL12" i="14" s="1"/>
  <c r="E12" i="14"/>
  <c r="C12" i="14"/>
  <c r="D13" i="14"/>
  <c r="G12" i="14"/>
  <c r="Q11" i="14"/>
  <c r="N11" i="14"/>
  <c r="M12" i="14"/>
  <c r="L11" i="14"/>
  <c r="P11" i="14"/>
  <c r="O11" i="14" s="1"/>
  <c r="CT3" i="14"/>
  <c r="CP4" i="14"/>
  <c r="CQ3" i="14"/>
  <c r="CO3" i="14"/>
  <c r="CS3" i="14"/>
  <c r="CR3" i="14" s="1"/>
  <c r="CX2" i="14"/>
  <c r="CX1" i="14"/>
  <c r="DH2" i="14"/>
  <c r="Z11" i="14"/>
  <c r="W11" i="14"/>
  <c r="V12" i="14"/>
  <c r="U11" i="14"/>
  <c r="Y11" i="14"/>
  <c r="X11" i="14" s="1"/>
  <c r="CY3" i="14"/>
  <c r="AC11" i="14" l="1"/>
  <c r="CN4" i="14"/>
  <c r="BV5" i="14"/>
  <c r="CE5" i="14"/>
  <c r="DD3" i="14"/>
  <c r="DE3" i="14"/>
  <c r="CW3" i="14"/>
  <c r="CV4" i="14"/>
  <c r="CU4" i="14"/>
  <c r="CM5" i="14"/>
  <c r="CL5" i="14"/>
  <c r="CC6" i="14"/>
  <c r="CD6" i="14"/>
  <c r="BD7" i="14"/>
  <c r="AU8" i="14"/>
  <c r="BC8" i="14"/>
  <c r="BB8" i="14"/>
  <c r="BK7" i="14"/>
  <c r="BL7" i="14"/>
  <c r="BM6" i="14"/>
  <c r="BU6" i="14"/>
  <c r="BT6" i="14"/>
  <c r="BR6" i="14"/>
  <c r="BQ6" i="14" s="1"/>
  <c r="AL9" i="14"/>
  <c r="BY6" i="14"/>
  <c r="BI7" i="14"/>
  <c r="BH7" i="14" s="1"/>
  <c r="BF8" i="14"/>
  <c r="BG7" i="14"/>
  <c r="BE7" i="14"/>
  <c r="BJ7" i="14"/>
  <c r="AT9" i="14"/>
  <c r="AS9" i="14"/>
  <c r="BA8" i="14"/>
  <c r="AJ10" i="14"/>
  <c r="AK10" i="14"/>
  <c r="BP6" i="14"/>
  <c r="BO7" i="14"/>
  <c r="BN7" i="14" s="1"/>
  <c r="BN6" i="14"/>
  <c r="BS6" i="14"/>
  <c r="AN10" i="14"/>
  <c r="AR10" i="14" s="1"/>
  <c r="AR9" i="14"/>
  <c r="AQ9" i="14"/>
  <c r="AP9" i="14" s="1"/>
  <c r="K12" i="14"/>
  <c r="AO9" i="14"/>
  <c r="AM9" i="14"/>
  <c r="AB12" i="14"/>
  <c r="AA12" i="14"/>
  <c r="S12" i="14"/>
  <c r="R12" i="14"/>
  <c r="J13" i="14"/>
  <c r="I13" i="14"/>
  <c r="T11" i="14"/>
  <c r="AX8" i="14"/>
  <c r="AV8" i="14"/>
  <c r="AZ8" i="14"/>
  <c r="AY8" i="14" s="1"/>
  <c r="AW9" i="14"/>
  <c r="BX7" i="14"/>
  <c r="BW6" i="14"/>
  <c r="CG6" i="14"/>
  <c r="CK5" i="14"/>
  <c r="CH5" i="14"/>
  <c r="CF5" i="14"/>
  <c r="CJ5" i="14"/>
  <c r="CI5" i="14" s="1"/>
  <c r="CA6" i="14"/>
  <c r="BZ6" i="14" s="1"/>
  <c r="DH3" i="14"/>
  <c r="AE11" i="14"/>
  <c r="AD10" i="14"/>
  <c r="AF10" i="14"/>
  <c r="AH10" i="14"/>
  <c r="AG10" i="14" s="1"/>
  <c r="AI10" i="14"/>
  <c r="F12" i="14"/>
  <c r="DJ12" i="14" s="1"/>
  <c r="DK12" i="14"/>
  <c r="B20" i="10"/>
  <c r="C19" i="10"/>
  <c r="E14" i="28"/>
  <c r="E17" i="28" s="1"/>
  <c r="Q12" i="14"/>
  <c r="N12" i="14"/>
  <c r="L12" i="14"/>
  <c r="M13" i="14"/>
  <c r="P12" i="14"/>
  <c r="O12" i="14" s="1"/>
  <c r="DG1" i="14"/>
  <c r="DG2" i="14"/>
  <c r="CT4" i="14"/>
  <c r="CO4" i="14"/>
  <c r="CQ4" i="14"/>
  <c r="CP5" i="14"/>
  <c r="CS4" i="14"/>
  <c r="CR4" i="14" s="1"/>
  <c r="Z12" i="14"/>
  <c r="V13" i="14"/>
  <c r="U12" i="14"/>
  <c r="W12" i="14"/>
  <c r="Y12" i="14"/>
  <c r="X12" i="14" s="1"/>
  <c r="H13" i="14"/>
  <c r="DL13" i="14" s="1"/>
  <c r="C13" i="14"/>
  <c r="E13" i="14"/>
  <c r="D14" i="14"/>
  <c r="G13" i="14"/>
  <c r="DC3" i="14"/>
  <c r="CX3" i="14"/>
  <c r="CZ3" i="14"/>
  <c r="CY4" i="14"/>
  <c r="DB3" i="14"/>
  <c r="DA3" i="14" s="1"/>
  <c r="AC12" i="14" l="1"/>
  <c r="CN5" i="14"/>
  <c r="BV6" i="14"/>
  <c r="DF3" i="14"/>
  <c r="DN3" i="14"/>
  <c r="DM3" i="14"/>
  <c r="DE4" i="14"/>
  <c r="DD4" i="14"/>
  <c r="CW4" i="14"/>
  <c r="CV5" i="14"/>
  <c r="CU5" i="14"/>
  <c r="CE6" i="14"/>
  <c r="CM6" i="14"/>
  <c r="CL6" i="14"/>
  <c r="CD7" i="14"/>
  <c r="CC7" i="14"/>
  <c r="AU9" i="14"/>
  <c r="BD8" i="14"/>
  <c r="BC9" i="14"/>
  <c r="BB9" i="14"/>
  <c r="BM7" i="14"/>
  <c r="BL8" i="14"/>
  <c r="BK8" i="14"/>
  <c r="BU7" i="14"/>
  <c r="BT7" i="14"/>
  <c r="BP7" i="14"/>
  <c r="BR7" i="14"/>
  <c r="BQ7" i="14" s="1"/>
  <c r="BG8" i="14"/>
  <c r="BJ8" i="14"/>
  <c r="BI8" i="14"/>
  <c r="BH8" i="14" s="1"/>
  <c r="BS7" i="14"/>
  <c r="BE8" i="14"/>
  <c r="BO8" i="14"/>
  <c r="BF9" i="14"/>
  <c r="AL10" i="14"/>
  <c r="CA7" i="14"/>
  <c r="BZ7" i="14" s="1"/>
  <c r="AT10" i="14"/>
  <c r="AS10" i="14"/>
  <c r="AK11" i="14"/>
  <c r="AJ11" i="14"/>
  <c r="AO10" i="14"/>
  <c r="BW7" i="14"/>
  <c r="BY7" i="14"/>
  <c r="AQ10" i="14"/>
  <c r="AP10" i="14" s="1"/>
  <c r="AM10" i="14"/>
  <c r="AN11" i="14"/>
  <c r="T12" i="14"/>
  <c r="CH6" i="14"/>
  <c r="AA13" i="14"/>
  <c r="AB13" i="14"/>
  <c r="BX8" i="14"/>
  <c r="CB7" i="14"/>
  <c r="AX9" i="14"/>
  <c r="AV9" i="14"/>
  <c r="AZ9" i="14"/>
  <c r="AY9" i="14" s="1"/>
  <c r="AW10" i="14"/>
  <c r="BA9" i="14"/>
  <c r="K13" i="14"/>
  <c r="J14" i="14"/>
  <c r="I14" i="14"/>
  <c r="S13" i="14"/>
  <c r="R13" i="14"/>
  <c r="CJ6" i="14"/>
  <c r="CI6" i="14" s="1"/>
  <c r="CF6" i="14"/>
  <c r="CK6" i="14"/>
  <c r="CG7" i="14"/>
  <c r="DH4" i="14"/>
  <c r="DG3" i="14"/>
  <c r="DI3" i="14"/>
  <c r="AH11" i="14"/>
  <c r="AG11" i="14" s="1"/>
  <c r="AF11" i="14"/>
  <c r="AD11" i="14"/>
  <c r="AI11" i="14"/>
  <c r="AE12" i="14"/>
  <c r="F13" i="14"/>
  <c r="DJ13" i="14" s="1"/>
  <c r="DK13" i="14"/>
  <c r="B21" i="10"/>
  <c r="C20" i="10"/>
  <c r="F14" i="28"/>
  <c r="F17" i="28" s="1"/>
  <c r="CT5" i="14"/>
  <c r="CQ5" i="14"/>
  <c r="CO5" i="14"/>
  <c r="CP6" i="14"/>
  <c r="CS5" i="14"/>
  <c r="CR5" i="14" s="1"/>
  <c r="H14" i="14"/>
  <c r="DL14" i="14" s="1"/>
  <c r="D15" i="14"/>
  <c r="E14" i="14"/>
  <c r="C14" i="14"/>
  <c r="G14" i="14"/>
  <c r="DC4" i="14"/>
  <c r="CZ4" i="14"/>
  <c r="CX4" i="14"/>
  <c r="CY5" i="14"/>
  <c r="DB4" i="14"/>
  <c r="DA4" i="14" s="1"/>
  <c r="Q13" i="14"/>
  <c r="L13" i="14"/>
  <c r="M14" i="14"/>
  <c r="N13" i="14"/>
  <c r="P13" i="14"/>
  <c r="O13" i="14" s="1"/>
  <c r="Z13" i="14"/>
  <c r="U13" i="14"/>
  <c r="W13" i="14"/>
  <c r="V14" i="14"/>
  <c r="Y13" i="14"/>
  <c r="X13" i="14" s="1"/>
  <c r="BV7" i="14" l="1"/>
  <c r="DO3" i="14"/>
  <c r="CN6" i="14"/>
  <c r="DF4" i="14"/>
  <c r="AC13" i="14"/>
  <c r="CE7" i="14"/>
  <c r="CW5" i="14"/>
  <c r="DM4" i="14"/>
  <c r="DN4" i="14"/>
  <c r="DE5" i="14"/>
  <c r="DD5" i="14"/>
  <c r="BD9" i="14"/>
  <c r="AU10" i="14"/>
  <c r="CV6" i="14"/>
  <c r="CU6" i="14"/>
  <c r="BM8" i="14"/>
  <c r="CM7" i="14"/>
  <c r="CL7" i="14"/>
  <c r="CD8" i="14"/>
  <c r="CC8" i="14"/>
  <c r="BB10" i="14"/>
  <c r="BC10" i="14"/>
  <c r="BF10" i="14"/>
  <c r="BJ10" i="14" s="1"/>
  <c r="BK9" i="14"/>
  <c r="BL9" i="14"/>
  <c r="AL11" i="14"/>
  <c r="BU8" i="14"/>
  <c r="BT8" i="14"/>
  <c r="BG9" i="14"/>
  <c r="BE9" i="14"/>
  <c r="BI9" i="14"/>
  <c r="BH9" i="14" s="1"/>
  <c r="CK7" i="14"/>
  <c r="BS8" i="14"/>
  <c r="BN8" i="14"/>
  <c r="BO9" i="14"/>
  <c r="BR8" i="14"/>
  <c r="BQ8" i="14" s="1"/>
  <c r="BP8" i="14"/>
  <c r="BJ9" i="14"/>
  <c r="BX9" i="14"/>
  <c r="BA10" i="14"/>
  <c r="CB8" i="14"/>
  <c r="AJ12" i="14"/>
  <c r="AK12" i="14"/>
  <c r="BW8" i="14"/>
  <c r="AR11" i="14"/>
  <c r="AS11" i="14"/>
  <c r="AT11" i="14"/>
  <c r="AZ10" i="14"/>
  <c r="AY10" i="14" s="1"/>
  <c r="AN12" i="14"/>
  <c r="AO12" i="14" s="1"/>
  <c r="AW11" i="14"/>
  <c r="BA11" i="14" s="1"/>
  <c r="AQ11" i="14"/>
  <c r="AP11" i="14" s="1"/>
  <c r="AO11" i="14"/>
  <c r="AX10" i="14"/>
  <c r="AM11" i="14"/>
  <c r="AV10" i="14"/>
  <c r="T13" i="14"/>
  <c r="CA8" i="14"/>
  <c r="BZ8" i="14" s="1"/>
  <c r="CG8" i="14"/>
  <c r="BY8" i="14"/>
  <c r="CH7" i="14"/>
  <c r="AA14" i="14"/>
  <c r="AB14" i="14"/>
  <c r="CJ7" i="14"/>
  <c r="CI7" i="14" s="1"/>
  <c r="CF7" i="14"/>
  <c r="I15" i="14"/>
  <c r="J15" i="14"/>
  <c r="K14" i="14"/>
  <c r="R14" i="14"/>
  <c r="S14" i="14"/>
  <c r="DG4" i="14"/>
  <c r="DI4" i="14"/>
  <c r="DH5" i="14"/>
  <c r="AF12" i="14"/>
  <c r="AE13" i="14"/>
  <c r="AD12" i="14"/>
  <c r="AI12" i="14"/>
  <c r="AH12" i="14"/>
  <c r="AG12" i="14" s="1"/>
  <c r="F14" i="14"/>
  <c r="DJ14" i="14" s="1"/>
  <c r="DK14" i="14"/>
  <c r="C21" i="10"/>
  <c r="B22" i="10"/>
  <c r="G14" i="28"/>
  <c r="G17" i="28" s="1"/>
  <c r="DC5" i="14"/>
  <c r="CY6" i="14"/>
  <c r="CX5" i="14"/>
  <c r="DB5" i="14"/>
  <c r="DA5" i="14" s="1"/>
  <c r="CZ5" i="14"/>
  <c r="D16" i="14"/>
  <c r="C15" i="14"/>
  <c r="E15" i="14"/>
  <c r="H15" i="14"/>
  <c r="DL15" i="14" s="1"/>
  <c r="G15" i="14"/>
  <c r="Z14" i="14"/>
  <c r="V15" i="14"/>
  <c r="U14" i="14"/>
  <c r="W14" i="14"/>
  <c r="Y14" i="14"/>
  <c r="X14" i="14" s="1"/>
  <c r="CB9" i="14"/>
  <c r="CT6" i="14"/>
  <c r="CP7" i="14"/>
  <c r="CQ6" i="14"/>
  <c r="CO6" i="14"/>
  <c r="CS6" i="14"/>
  <c r="CR6" i="14" s="1"/>
  <c r="Q14" i="14"/>
  <c r="N14" i="14"/>
  <c r="M15" i="14"/>
  <c r="L14" i="14"/>
  <c r="P14" i="14"/>
  <c r="O14" i="14" s="1"/>
  <c r="AX11" i="14"/>
  <c r="AW12" i="14"/>
  <c r="CN7" i="14" l="1"/>
  <c r="DF5" i="14"/>
  <c r="BV8" i="14"/>
  <c r="AC14" i="14"/>
  <c r="DO4" i="14"/>
  <c r="CE8" i="14"/>
  <c r="DM5" i="14"/>
  <c r="DN5" i="14"/>
  <c r="CW6" i="14"/>
  <c r="DE6" i="14"/>
  <c r="DD6" i="14"/>
  <c r="CV7" i="14"/>
  <c r="CU7" i="14"/>
  <c r="BF11" i="14"/>
  <c r="BK11" i="14" s="1"/>
  <c r="BI10" i="14"/>
  <c r="BH10" i="14" s="1"/>
  <c r="CM8" i="14"/>
  <c r="CL8" i="14"/>
  <c r="BG10" i="14"/>
  <c r="BE10" i="14"/>
  <c r="CH8" i="14"/>
  <c r="CD9" i="14"/>
  <c r="CC9" i="14"/>
  <c r="AV11" i="14"/>
  <c r="BC11" i="14"/>
  <c r="BB11" i="14"/>
  <c r="AU11" i="14"/>
  <c r="BM9" i="14"/>
  <c r="BL10" i="14"/>
  <c r="BK10" i="14"/>
  <c r="BC12" i="14"/>
  <c r="BB12" i="14"/>
  <c r="AZ11" i="14"/>
  <c r="AY11" i="14" s="1"/>
  <c r="BD10" i="14"/>
  <c r="CF8" i="14"/>
  <c r="CK8" i="14"/>
  <c r="BU9" i="14"/>
  <c r="BT9" i="14"/>
  <c r="CJ8" i="14"/>
  <c r="CI8" i="14" s="1"/>
  <c r="CG9" i="14"/>
  <c r="BP9" i="14"/>
  <c r="BR9" i="14"/>
  <c r="BQ9" i="14" s="1"/>
  <c r="BN9" i="14"/>
  <c r="BO10" i="14"/>
  <c r="BS10" i="14" s="1"/>
  <c r="BS9" i="14"/>
  <c r="CA9" i="14"/>
  <c r="BZ9" i="14" s="1"/>
  <c r="BX10" i="14"/>
  <c r="BW9" i="14"/>
  <c r="BY9" i="14"/>
  <c r="AJ13" i="14"/>
  <c r="AK13" i="14"/>
  <c r="AS12" i="14"/>
  <c r="AT12" i="14"/>
  <c r="AQ12" i="14"/>
  <c r="AP12" i="14" s="1"/>
  <c r="AR12" i="14"/>
  <c r="AN13" i="14"/>
  <c r="AM13" i="14" s="1"/>
  <c r="AL12" i="14"/>
  <c r="AM12" i="14"/>
  <c r="AA15" i="14"/>
  <c r="AB15" i="14"/>
  <c r="J16" i="14"/>
  <c r="I16" i="14"/>
  <c r="T14" i="14"/>
  <c r="R15" i="14"/>
  <c r="S15" i="14"/>
  <c r="K15" i="14"/>
  <c r="DH6" i="14"/>
  <c r="DI5" i="14"/>
  <c r="DG5" i="14"/>
  <c r="AF13" i="14"/>
  <c r="AD13" i="14"/>
  <c r="AH13" i="14"/>
  <c r="AG13" i="14" s="1"/>
  <c r="AI13" i="14"/>
  <c r="AE14" i="14"/>
  <c r="F15" i="14"/>
  <c r="DJ15" i="14" s="1"/>
  <c r="DK15" i="14"/>
  <c r="C22" i="10"/>
  <c r="B23" i="10"/>
  <c r="H14" i="28"/>
  <c r="H17" i="28" s="1"/>
  <c r="CT7" i="14"/>
  <c r="CP8" i="14"/>
  <c r="CQ7" i="14"/>
  <c r="CS7" i="14"/>
  <c r="CR7" i="14" s="1"/>
  <c r="CO7" i="14"/>
  <c r="Z15" i="14"/>
  <c r="U15" i="14"/>
  <c r="V16" i="14"/>
  <c r="W15" i="14"/>
  <c r="Y15" i="14"/>
  <c r="X15" i="14" s="1"/>
  <c r="Q15" i="14"/>
  <c r="L15" i="14"/>
  <c r="M16" i="14"/>
  <c r="N15" i="14"/>
  <c r="P15" i="14"/>
  <c r="O15" i="14" s="1"/>
  <c r="DC6" i="14"/>
  <c r="CZ6" i="14"/>
  <c r="DB6" i="14"/>
  <c r="DA6" i="14" s="1"/>
  <c r="CX6" i="14"/>
  <c r="CY7" i="14"/>
  <c r="BA12" i="14"/>
  <c r="AV12" i="14"/>
  <c r="AX12" i="14"/>
  <c r="AZ12" i="14"/>
  <c r="AY12" i="14" s="1"/>
  <c r="AW13" i="14"/>
  <c r="H16" i="14"/>
  <c r="DL16" i="14" s="1"/>
  <c r="C16" i="14"/>
  <c r="E16" i="14"/>
  <c r="D17" i="14"/>
  <c r="G16" i="14"/>
  <c r="B15" i="28" l="1" a="1"/>
  <c r="DF6" i="14"/>
  <c r="CN8" i="14"/>
  <c r="BV9" i="14"/>
  <c r="CW7" i="14"/>
  <c r="AC15" i="14"/>
  <c r="DO5" i="14"/>
  <c r="BF12" i="14"/>
  <c r="BK12" i="14" s="1"/>
  <c r="DN6" i="14"/>
  <c r="DM6" i="14"/>
  <c r="BI11" i="14"/>
  <c r="BH11" i="14" s="1"/>
  <c r="BE11" i="14"/>
  <c r="BG11" i="14"/>
  <c r="BL11" i="14"/>
  <c r="BM11" i="14" s="1"/>
  <c r="BJ11" i="14"/>
  <c r="DE7" i="14"/>
  <c r="DD7" i="14"/>
  <c r="BD12" i="14"/>
  <c r="CV8" i="14"/>
  <c r="CU8" i="14"/>
  <c r="CE9" i="14"/>
  <c r="CM9" i="14"/>
  <c r="CL9" i="14"/>
  <c r="CJ9" i="14"/>
  <c r="CI9" i="14" s="1"/>
  <c r="CD10" i="14"/>
  <c r="CC10" i="14"/>
  <c r="BD11" i="14"/>
  <c r="CF9" i="14"/>
  <c r="CG10" i="14"/>
  <c r="CK10" i="14" s="1"/>
  <c r="CK9" i="14"/>
  <c r="BB13" i="14"/>
  <c r="BC13" i="14"/>
  <c r="BM10" i="14"/>
  <c r="AU12" i="14"/>
  <c r="BW10" i="14"/>
  <c r="AR13" i="14"/>
  <c r="CH9" i="14"/>
  <c r="AO13" i="14"/>
  <c r="BU10" i="14"/>
  <c r="BT10" i="14"/>
  <c r="AN14" i="14"/>
  <c r="AO14" i="14" s="1"/>
  <c r="BO11" i="14"/>
  <c r="BO12" i="14" s="1"/>
  <c r="BN10" i="14"/>
  <c r="BP10" i="14"/>
  <c r="BR10" i="14"/>
  <c r="BQ10" i="14" s="1"/>
  <c r="AQ13" i="14"/>
  <c r="AP13" i="14" s="1"/>
  <c r="CA10" i="14"/>
  <c r="BZ10" i="14" s="1"/>
  <c r="BY10" i="14"/>
  <c r="BX11" i="14"/>
  <c r="CB10" i="14"/>
  <c r="AK14" i="14"/>
  <c r="AJ14" i="14"/>
  <c r="AS13" i="14"/>
  <c r="AT13" i="14"/>
  <c r="AL13" i="14"/>
  <c r="K16" i="14"/>
  <c r="DH7" i="14"/>
  <c r="DG6" i="14"/>
  <c r="DI6" i="14"/>
  <c r="AB16" i="14"/>
  <c r="AA16" i="14"/>
  <c r="T15" i="14"/>
  <c r="J17" i="14"/>
  <c r="I17" i="14"/>
  <c r="R16" i="14"/>
  <c r="S16" i="14"/>
  <c r="AI14" i="14"/>
  <c r="AF14" i="14"/>
  <c r="AD14" i="14"/>
  <c r="AE15" i="14"/>
  <c r="AH14" i="14"/>
  <c r="AG14" i="14" s="1"/>
  <c r="F16" i="14"/>
  <c r="DJ16" i="14" s="1"/>
  <c r="DK16" i="14"/>
  <c r="C23" i="10"/>
  <c r="B24" i="10"/>
  <c r="B18" i="28"/>
  <c r="B16" i="28" a="1"/>
  <c r="BA13" i="14"/>
  <c r="AX13" i="14"/>
  <c r="AW14" i="14"/>
  <c r="AV13" i="14"/>
  <c r="AZ13" i="14"/>
  <c r="AY13" i="14" s="1"/>
  <c r="Q16" i="14"/>
  <c r="M17" i="14"/>
  <c r="N16" i="14"/>
  <c r="P16" i="14"/>
  <c r="O16" i="14" s="1"/>
  <c r="L16" i="14"/>
  <c r="CT8" i="14"/>
  <c r="CQ8" i="14"/>
  <c r="CP9" i="14"/>
  <c r="CS8" i="14"/>
  <c r="CR8" i="14" s="1"/>
  <c r="CO8" i="14"/>
  <c r="H17" i="14"/>
  <c r="DL17" i="14" s="1"/>
  <c r="C17" i="14"/>
  <c r="D18" i="14"/>
  <c r="E17" i="14"/>
  <c r="G17" i="14"/>
  <c r="DC7" i="14"/>
  <c r="CZ7" i="14"/>
  <c r="CX7" i="14"/>
  <c r="CY8" i="14"/>
  <c r="DB7" i="14"/>
  <c r="DA7" i="14" s="1"/>
  <c r="Z16" i="14"/>
  <c r="W16" i="14"/>
  <c r="V17" i="14"/>
  <c r="U16" i="14"/>
  <c r="Y16" i="14"/>
  <c r="X16" i="14" s="1"/>
  <c r="B21" i="28" l="1"/>
  <c r="B15" i="28"/>
  <c r="E15" i="28"/>
  <c r="D15" i="28"/>
  <c r="H15" i="28"/>
  <c r="G15" i="28"/>
  <c r="F15" i="28"/>
  <c r="C15" i="28"/>
  <c r="BE12" i="14"/>
  <c r="BI12" i="14"/>
  <c r="BH12" i="14" s="1"/>
  <c r="BL12" i="14"/>
  <c r="BM12" i="14" s="1"/>
  <c r="BJ12" i="14"/>
  <c r="BG12" i="14"/>
  <c r="BF13" i="14"/>
  <c r="BG13" i="14" s="1"/>
  <c r="DO6" i="14"/>
  <c r="DF7" i="14"/>
  <c r="AC16" i="14"/>
  <c r="CN9" i="14"/>
  <c r="CW8" i="14"/>
  <c r="BV10" i="14"/>
  <c r="DN7" i="14"/>
  <c r="DM7" i="14"/>
  <c r="DE8" i="14"/>
  <c r="DD8" i="14"/>
  <c r="CE10" i="14"/>
  <c r="CU9" i="14"/>
  <c r="CV9" i="14"/>
  <c r="CF10" i="14"/>
  <c r="CH10" i="14"/>
  <c r="CJ10" i="14"/>
  <c r="CI10" i="14" s="1"/>
  <c r="CM10" i="14"/>
  <c r="CL10" i="14"/>
  <c r="CG11" i="14"/>
  <c r="CK11" i="14" s="1"/>
  <c r="AL14" i="14"/>
  <c r="CD11" i="14"/>
  <c r="CC11" i="14"/>
  <c r="AR14" i="14"/>
  <c r="AN15" i="14"/>
  <c r="AS15" i="14" s="1"/>
  <c r="AS14" i="14"/>
  <c r="AU13" i="14"/>
  <c r="BD13" i="14"/>
  <c r="BL13" i="14"/>
  <c r="BC14" i="14"/>
  <c r="BB14" i="14"/>
  <c r="BR11" i="14"/>
  <c r="BQ11" i="14" s="1"/>
  <c r="AQ14" i="14"/>
  <c r="AP14" i="14" s="1"/>
  <c r="AT14" i="14"/>
  <c r="AM14" i="14"/>
  <c r="BT12" i="14"/>
  <c r="BU12" i="14"/>
  <c r="BW11" i="14"/>
  <c r="BP11" i="14"/>
  <c r="BT11" i="14"/>
  <c r="BU11" i="14"/>
  <c r="CB11" i="14"/>
  <c r="BN11" i="14"/>
  <c r="BS11" i="14"/>
  <c r="BX12" i="14"/>
  <c r="CA11" i="14"/>
  <c r="BZ11" i="14" s="1"/>
  <c r="BY11" i="14"/>
  <c r="DG7" i="14"/>
  <c r="DH8" i="14"/>
  <c r="DI8" i="14" s="1"/>
  <c r="DI7" i="14"/>
  <c r="AK15" i="14"/>
  <c r="AJ15" i="14"/>
  <c r="AA17" i="14"/>
  <c r="AB17" i="14"/>
  <c r="J18" i="14"/>
  <c r="I18" i="14"/>
  <c r="BR12" i="14"/>
  <c r="BQ12" i="14" s="1"/>
  <c r="BN12" i="14"/>
  <c r="BO13" i="14"/>
  <c r="BS12" i="14"/>
  <c r="BP12" i="14"/>
  <c r="S17" i="14"/>
  <c r="R17" i="14"/>
  <c r="T16" i="14"/>
  <c r="K17" i="14"/>
  <c r="AI15" i="14"/>
  <c r="AF15" i="14"/>
  <c r="AD15" i="14"/>
  <c r="AE16" i="14"/>
  <c r="AH16" i="14" s="1"/>
  <c r="AH15" i="14"/>
  <c r="AG15" i="14" s="1"/>
  <c r="F17" i="14"/>
  <c r="DJ17" i="14" s="1"/>
  <c r="DK17" i="14"/>
  <c r="B25" i="10"/>
  <c r="C24" i="10"/>
  <c r="D16" i="28"/>
  <c r="H16" i="28"/>
  <c r="G16" i="28"/>
  <c r="C16" i="28"/>
  <c r="F16" i="28"/>
  <c r="B16" i="28"/>
  <c r="E16" i="28"/>
  <c r="C18" i="28"/>
  <c r="C21" i="28" s="1"/>
  <c r="H18" i="14"/>
  <c r="DL18" i="14" s="1"/>
  <c r="E18" i="14"/>
  <c r="C18" i="14"/>
  <c r="D19" i="14"/>
  <c r="G18" i="14"/>
  <c r="Z17" i="14"/>
  <c r="V18" i="14"/>
  <c r="U17" i="14"/>
  <c r="W17" i="14"/>
  <c r="Y17" i="14"/>
  <c r="X17" i="14" s="1"/>
  <c r="Q17" i="14"/>
  <c r="M18" i="14"/>
  <c r="L17" i="14"/>
  <c r="N17" i="14"/>
  <c r="P17" i="14"/>
  <c r="O17" i="14" s="1"/>
  <c r="CT9" i="14"/>
  <c r="CP10" i="14"/>
  <c r="CO9" i="14"/>
  <c r="CQ9" i="14"/>
  <c r="CS9" i="14"/>
  <c r="CR9" i="14" s="1"/>
  <c r="DC8" i="14"/>
  <c r="CY9" i="14"/>
  <c r="CZ8" i="14"/>
  <c r="DB8" i="14"/>
  <c r="DA8" i="14" s="1"/>
  <c r="CX8" i="14"/>
  <c r="BJ13" i="14"/>
  <c r="BA14" i="14"/>
  <c r="AV14" i="14"/>
  <c r="AW15" i="14"/>
  <c r="AX14" i="14"/>
  <c r="AZ14" i="14"/>
  <c r="AY14" i="14" s="1"/>
  <c r="BI13" i="14" l="1"/>
  <c r="BH13" i="14" s="1"/>
  <c r="BE13" i="14"/>
  <c r="BK13" i="14"/>
  <c r="BM13" i="14" s="1"/>
  <c r="BF14" i="14"/>
  <c r="BJ14" i="14" s="1"/>
  <c r="DF8" i="14"/>
  <c r="DO7" i="14"/>
  <c r="CN10" i="14"/>
  <c r="AC17" i="14"/>
  <c r="BV12" i="14"/>
  <c r="BV11" i="14"/>
  <c r="AO15" i="14"/>
  <c r="AN16" i="14"/>
  <c r="AM16" i="14" s="1"/>
  <c r="DN8" i="14"/>
  <c r="DM8" i="14"/>
  <c r="AR15" i="14"/>
  <c r="AT15" i="14"/>
  <c r="AU15" i="14" s="1"/>
  <c r="AM15" i="14"/>
  <c r="AQ15" i="14"/>
  <c r="AP15" i="14" s="1"/>
  <c r="DE9" i="14"/>
  <c r="DD9" i="14"/>
  <c r="DG8" i="14"/>
  <c r="AL15" i="14"/>
  <c r="CU10" i="14"/>
  <c r="CV10" i="14"/>
  <c r="CF11" i="14"/>
  <c r="CW9" i="14"/>
  <c r="CE11" i="14"/>
  <c r="CM11" i="14"/>
  <c r="CL11" i="14"/>
  <c r="CJ11" i="14"/>
  <c r="CI11" i="14" s="1"/>
  <c r="CH11" i="14"/>
  <c r="CG12" i="14"/>
  <c r="CK12" i="14" s="1"/>
  <c r="AU14" i="14"/>
  <c r="CD12" i="14"/>
  <c r="CC12" i="14"/>
  <c r="DH9" i="14"/>
  <c r="BD14" i="14"/>
  <c r="BC15" i="14"/>
  <c r="BB15" i="14"/>
  <c r="BU13" i="14"/>
  <c r="BT13" i="14"/>
  <c r="BX13" i="14"/>
  <c r="BX14" i="14" s="1"/>
  <c r="BY12" i="14"/>
  <c r="CA12" i="14"/>
  <c r="BZ12" i="14" s="1"/>
  <c r="BW12" i="14"/>
  <c r="CB12" i="14"/>
  <c r="BR13" i="14"/>
  <c r="BQ13" i="14" s="1"/>
  <c r="BO14" i="14"/>
  <c r="BS14" i="14" s="1"/>
  <c r="AA18" i="14"/>
  <c r="AB18" i="14"/>
  <c r="BP13" i="14"/>
  <c r="BS13" i="14"/>
  <c r="BN13" i="14"/>
  <c r="J19" i="14"/>
  <c r="I19" i="14"/>
  <c r="S18" i="14"/>
  <c r="R18" i="14"/>
  <c r="T17" i="14"/>
  <c r="K18" i="14"/>
  <c r="AJ16" i="14"/>
  <c r="AK16" i="14"/>
  <c r="AF16" i="14"/>
  <c r="AE17" i="14"/>
  <c r="AI16" i="14"/>
  <c r="AD16" i="14"/>
  <c r="AG16" i="14"/>
  <c r="F18" i="14"/>
  <c r="DJ18" i="14" s="1"/>
  <c r="DK18" i="14"/>
  <c r="B26" i="10"/>
  <c r="C25" i="10"/>
  <c r="D18" i="28"/>
  <c r="D21" i="28" s="1"/>
  <c r="CT10" i="14"/>
  <c r="CQ10" i="14"/>
  <c r="CS10" i="14"/>
  <c r="CR10" i="14" s="1"/>
  <c r="CP11" i="14"/>
  <c r="CO10" i="14"/>
  <c r="V19" i="14"/>
  <c r="W18" i="14"/>
  <c r="Z18" i="14"/>
  <c r="Y18" i="14"/>
  <c r="X18" i="14" s="1"/>
  <c r="U18" i="14"/>
  <c r="BE14" i="14"/>
  <c r="Q18" i="14"/>
  <c r="N18" i="14"/>
  <c r="L18" i="14"/>
  <c r="M19" i="14"/>
  <c r="P18" i="14"/>
  <c r="O18" i="14" s="1"/>
  <c r="DC9" i="14"/>
  <c r="CZ9" i="14"/>
  <c r="CX9" i="14"/>
  <c r="DB9" i="14"/>
  <c r="DA9" i="14" s="1"/>
  <c r="CY10" i="14"/>
  <c r="BA15" i="14"/>
  <c r="AX15" i="14"/>
  <c r="AV15" i="14"/>
  <c r="AW16" i="14"/>
  <c r="AZ15" i="14"/>
  <c r="AY15" i="14" s="1"/>
  <c r="H19" i="14"/>
  <c r="DL19" i="14" s="1"/>
  <c r="D20" i="14"/>
  <c r="C19" i="14"/>
  <c r="E19" i="14"/>
  <c r="G19" i="14"/>
  <c r="BG14" i="14" l="1"/>
  <c r="AS16" i="14"/>
  <c r="BL14" i="14"/>
  <c r="CB13" i="14"/>
  <c r="BI14" i="14"/>
  <c r="BH14" i="14" s="1"/>
  <c r="BF15" i="14"/>
  <c r="BJ15" i="14" s="1"/>
  <c r="BK14" i="14"/>
  <c r="BM14" i="14" s="1"/>
  <c r="AQ16" i="14"/>
  <c r="AP16" i="14" s="1"/>
  <c r="AO16" i="14"/>
  <c r="AN17" i="14"/>
  <c r="AS17" i="14" s="1"/>
  <c r="AT16" i="14"/>
  <c r="AU16" i="14" s="1"/>
  <c r="AR16" i="14"/>
  <c r="DO8" i="14"/>
  <c r="CN11" i="14"/>
  <c r="BV13" i="14"/>
  <c r="DF9" i="14"/>
  <c r="AC18" i="14"/>
  <c r="DN9" i="14"/>
  <c r="DM9" i="14"/>
  <c r="DD10" i="14"/>
  <c r="DE10" i="14"/>
  <c r="CE12" i="14"/>
  <c r="BD15" i="14"/>
  <c r="CV11" i="14"/>
  <c r="CU11" i="14"/>
  <c r="CW10" i="14"/>
  <c r="DH10" i="14"/>
  <c r="CG13" i="14"/>
  <c r="CJ13" i="14" s="1"/>
  <c r="CI13" i="14" s="1"/>
  <c r="CJ12" i="14"/>
  <c r="CI12" i="14" s="1"/>
  <c r="CF12" i="14"/>
  <c r="DG9" i="14"/>
  <c r="DI9" i="14"/>
  <c r="CM12" i="14"/>
  <c r="CL12" i="14"/>
  <c r="CH12" i="14"/>
  <c r="CD14" i="14"/>
  <c r="CC14" i="14"/>
  <c r="CD13" i="14"/>
  <c r="CC13" i="14"/>
  <c r="AL16" i="14"/>
  <c r="BW13" i="14"/>
  <c r="BC16" i="14"/>
  <c r="BB16" i="14"/>
  <c r="CA13" i="14"/>
  <c r="BZ13" i="14" s="1"/>
  <c r="BY13" i="14"/>
  <c r="BR14" i="14"/>
  <c r="BQ14" i="14" s="1"/>
  <c r="BT14" i="14"/>
  <c r="BU14" i="14"/>
  <c r="BN14" i="14"/>
  <c r="T18" i="14"/>
  <c r="AK17" i="14"/>
  <c r="AJ17" i="14"/>
  <c r="BP14" i="14"/>
  <c r="BO15" i="14"/>
  <c r="BP15" i="14" s="1"/>
  <c r="K19" i="14"/>
  <c r="AB19" i="14"/>
  <c r="AA19" i="14"/>
  <c r="R19" i="14"/>
  <c r="S19" i="14"/>
  <c r="I20" i="14"/>
  <c r="J20" i="14"/>
  <c r="AF17" i="14"/>
  <c r="AH17" i="14"/>
  <c r="AG17" i="14" s="1"/>
  <c r="AD17" i="14"/>
  <c r="AI17" i="14"/>
  <c r="AE18" i="14"/>
  <c r="F19" i="14"/>
  <c r="DJ19" i="14" s="1"/>
  <c r="DK19" i="14"/>
  <c r="C26" i="10"/>
  <c r="B27" i="10"/>
  <c r="E18" i="28"/>
  <c r="E21" i="28" s="1"/>
  <c r="H20" i="14"/>
  <c r="DL20" i="14" s="1"/>
  <c r="D21" i="14"/>
  <c r="C20" i="14"/>
  <c r="E20" i="14"/>
  <c r="G20" i="14"/>
  <c r="Z19" i="14"/>
  <c r="U19" i="14"/>
  <c r="V20" i="14"/>
  <c r="W19" i="14"/>
  <c r="Y19" i="14"/>
  <c r="X19" i="14" s="1"/>
  <c r="CT11" i="14"/>
  <c r="CQ11" i="14"/>
  <c r="CO11" i="14"/>
  <c r="CP12" i="14"/>
  <c r="CS11" i="14"/>
  <c r="CR11" i="14" s="1"/>
  <c r="BE15" i="14"/>
  <c r="BF16" i="14"/>
  <c r="BG15" i="14"/>
  <c r="BI15" i="14"/>
  <c r="BH15" i="14" s="1"/>
  <c r="BA16" i="14"/>
  <c r="AX16" i="14"/>
  <c r="AV16" i="14"/>
  <c r="AW17" i="14"/>
  <c r="AZ16" i="14"/>
  <c r="AY16" i="14" s="1"/>
  <c r="CB14" i="14"/>
  <c r="BY14" i="14"/>
  <c r="BX15" i="14"/>
  <c r="BW14" i="14"/>
  <c r="CA14" i="14"/>
  <c r="BZ14" i="14" s="1"/>
  <c r="Q19" i="14"/>
  <c r="L19" i="14"/>
  <c r="M20" i="14"/>
  <c r="N19" i="14"/>
  <c r="P19" i="14"/>
  <c r="O19" i="14" s="1"/>
  <c r="DC10" i="14"/>
  <c r="CX10" i="14"/>
  <c r="DB10" i="14"/>
  <c r="DA10" i="14" s="1"/>
  <c r="CZ10" i="14"/>
  <c r="CY11" i="14"/>
  <c r="BK15" i="14" l="1"/>
  <c r="BL15" i="14"/>
  <c r="AQ17" i="14"/>
  <c r="AP17" i="14" s="1"/>
  <c r="AM17" i="14"/>
  <c r="AR17" i="14"/>
  <c r="AT17" i="14"/>
  <c r="AU17" i="14" s="1"/>
  <c r="AN18" i="14"/>
  <c r="AS18" i="14" s="1"/>
  <c r="AO17" i="14"/>
  <c r="CN12" i="14"/>
  <c r="CW11" i="14"/>
  <c r="DO9" i="14"/>
  <c r="AC19" i="14"/>
  <c r="BV14" i="14"/>
  <c r="DF10" i="14"/>
  <c r="DN10" i="14"/>
  <c r="DM10" i="14"/>
  <c r="DG10" i="14"/>
  <c r="DI10" i="14"/>
  <c r="DD11" i="14"/>
  <c r="DE11" i="14"/>
  <c r="CL13" i="14"/>
  <c r="CM13" i="14"/>
  <c r="CE13" i="14"/>
  <c r="CH13" i="14"/>
  <c r="CF13" i="14"/>
  <c r="DH11" i="14"/>
  <c r="CV12" i="14"/>
  <c r="CU12" i="14"/>
  <c r="CG14" i="14"/>
  <c r="CK14" i="14" s="1"/>
  <c r="CK13" i="14"/>
  <c r="CE14" i="14"/>
  <c r="CD15" i="14"/>
  <c r="CC15" i="14"/>
  <c r="BD16" i="14"/>
  <c r="BM15" i="14"/>
  <c r="BB17" i="14"/>
  <c r="BC17" i="14"/>
  <c r="AL17" i="14"/>
  <c r="BK16" i="14"/>
  <c r="BL16" i="14"/>
  <c r="BR15" i="14"/>
  <c r="BQ15" i="14" s="1"/>
  <c r="BU15" i="14"/>
  <c r="BT15" i="14"/>
  <c r="BN15" i="14"/>
  <c r="BO16" i="14"/>
  <c r="BR16" i="14" s="1"/>
  <c r="BQ16" i="14" s="1"/>
  <c r="BS15" i="14"/>
  <c r="AJ18" i="14"/>
  <c r="AK18" i="14"/>
  <c r="AA20" i="14"/>
  <c r="AB20" i="14"/>
  <c r="K20" i="14"/>
  <c r="I21" i="14"/>
  <c r="J21" i="14"/>
  <c r="T19" i="14"/>
  <c r="R20" i="14"/>
  <c r="S20" i="14"/>
  <c r="AE19" i="14"/>
  <c r="AD18" i="14"/>
  <c r="AF18" i="14"/>
  <c r="AH18" i="14"/>
  <c r="AG18" i="14" s="1"/>
  <c r="AI18" i="14"/>
  <c r="F20" i="14"/>
  <c r="DJ20" i="14" s="1"/>
  <c r="DK20" i="14"/>
  <c r="C27" i="10"/>
  <c r="B28" i="10"/>
  <c r="F18" i="28"/>
  <c r="F21" i="28" s="1"/>
  <c r="CT12" i="14"/>
  <c r="CQ12" i="14"/>
  <c r="CP13" i="14"/>
  <c r="CO12" i="14"/>
  <c r="CS12" i="14"/>
  <c r="CR12" i="14" s="1"/>
  <c r="H21" i="14"/>
  <c r="DL21" i="14" s="1"/>
  <c r="E21" i="14"/>
  <c r="C21" i="14"/>
  <c r="D22" i="14"/>
  <c r="G21" i="14"/>
  <c r="CB15" i="14"/>
  <c r="BW15" i="14"/>
  <c r="BY15" i="14"/>
  <c r="BX16" i="14"/>
  <c r="CA15" i="14"/>
  <c r="BZ15" i="14" s="1"/>
  <c r="BA17" i="14"/>
  <c r="AX17" i="14"/>
  <c r="AZ17" i="14"/>
  <c r="AY17" i="14" s="1"/>
  <c r="AW18" i="14"/>
  <c r="AV17" i="14"/>
  <c r="BJ16" i="14"/>
  <c r="BE16" i="14"/>
  <c r="BG16" i="14"/>
  <c r="BF17" i="14"/>
  <c r="BI16" i="14"/>
  <c r="BH16" i="14" s="1"/>
  <c r="DC11" i="14"/>
  <c r="CZ11" i="14"/>
  <c r="CX11" i="14"/>
  <c r="CY12" i="14"/>
  <c r="DB11" i="14"/>
  <c r="DA11" i="14" s="1"/>
  <c r="Q20" i="14"/>
  <c r="N20" i="14"/>
  <c r="M21" i="14"/>
  <c r="L20" i="14"/>
  <c r="P20" i="14"/>
  <c r="O20" i="14" s="1"/>
  <c r="AR18" i="14"/>
  <c r="AO18" i="14"/>
  <c r="AN19" i="14"/>
  <c r="AM18" i="14"/>
  <c r="Z20" i="14"/>
  <c r="V21" i="14"/>
  <c r="W20" i="14"/>
  <c r="U20" i="14"/>
  <c r="Y20" i="14"/>
  <c r="X20" i="14" s="1"/>
  <c r="AQ18" i="14" l="1"/>
  <c r="AP18" i="14" s="1"/>
  <c r="AT18" i="14"/>
  <c r="BV15" i="14"/>
  <c r="DO10" i="14"/>
  <c r="AC20" i="14"/>
  <c r="CN13" i="14"/>
  <c r="DF11" i="14"/>
  <c r="CM14" i="14"/>
  <c r="DN11" i="14"/>
  <c r="DM11" i="14"/>
  <c r="DD12" i="14"/>
  <c r="DE12" i="14"/>
  <c r="DH12" i="14"/>
  <c r="DG12" i="14" s="1"/>
  <c r="DI11" i="14"/>
  <c r="CW12" i="14"/>
  <c r="DG11" i="14"/>
  <c r="CL14" i="14"/>
  <c r="CH14" i="14"/>
  <c r="CJ14" i="14"/>
  <c r="CI14" i="14" s="1"/>
  <c r="CV13" i="14"/>
  <c r="CU13" i="14"/>
  <c r="CF14" i="14"/>
  <c r="CG15" i="14"/>
  <c r="CL15" i="14" s="1"/>
  <c r="CE15" i="14"/>
  <c r="BN16" i="14"/>
  <c r="BP16" i="14"/>
  <c r="BS16" i="14"/>
  <c r="CD16" i="14"/>
  <c r="CC16" i="14"/>
  <c r="AU18" i="14"/>
  <c r="BM16" i="14"/>
  <c r="BB18" i="14"/>
  <c r="BC18" i="14"/>
  <c r="BL17" i="14"/>
  <c r="BK17" i="14"/>
  <c r="BD17" i="14"/>
  <c r="BT16" i="14"/>
  <c r="BU16" i="14"/>
  <c r="BO17" i="14"/>
  <c r="BS17" i="14" s="1"/>
  <c r="AK19" i="14"/>
  <c r="AJ19" i="14"/>
  <c r="AS19" i="14"/>
  <c r="AT19" i="14"/>
  <c r="AL18" i="14"/>
  <c r="AA21" i="14"/>
  <c r="AB21" i="14"/>
  <c r="T20" i="14"/>
  <c r="R21" i="14"/>
  <c r="S21" i="14"/>
  <c r="K21" i="14"/>
  <c r="J22" i="14"/>
  <c r="I22" i="14"/>
  <c r="AI19" i="14"/>
  <c r="AF19" i="14"/>
  <c r="AH19" i="14"/>
  <c r="AG19" i="14" s="1"/>
  <c r="AE20" i="14"/>
  <c r="AD19" i="14"/>
  <c r="F21" i="14"/>
  <c r="DJ21" i="14" s="1"/>
  <c r="DK21" i="14"/>
  <c r="C28" i="10"/>
  <c r="B29" i="10"/>
  <c r="G18" i="28"/>
  <c r="G21" i="28" s="1"/>
  <c r="AR19" i="14"/>
  <c r="AN20" i="14"/>
  <c r="AQ19" i="14"/>
  <c r="AP19" i="14" s="1"/>
  <c r="AM19" i="14"/>
  <c r="AO19" i="14"/>
  <c r="BA18" i="14"/>
  <c r="AV18" i="14"/>
  <c r="AZ18" i="14"/>
  <c r="AY18" i="14" s="1"/>
  <c r="AW19" i="14"/>
  <c r="AX18" i="14"/>
  <c r="DC12" i="14"/>
  <c r="CX12" i="14"/>
  <c r="CY13" i="14"/>
  <c r="CZ12" i="14"/>
  <c r="DB12" i="14"/>
  <c r="DA12" i="14" s="1"/>
  <c r="Q21" i="14"/>
  <c r="N21" i="14"/>
  <c r="L21" i="14"/>
  <c r="M22" i="14"/>
  <c r="P21" i="14"/>
  <c r="O21" i="14" s="1"/>
  <c r="CT13" i="14"/>
  <c r="CQ13" i="14"/>
  <c r="CS13" i="14"/>
  <c r="CR13" i="14" s="1"/>
  <c r="CO13" i="14"/>
  <c r="CP14" i="14"/>
  <c r="H22" i="14"/>
  <c r="DL22" i="14" s="1"/>
  <c r="C22" i="14"/>
  <c r="E22" i="14"/>
  <c r="D23" i="14"/>
  <c r="G22" i="14"/>
  <c r="BJ17" i="14"/>
  <c r="BG17" i="14"/>
  <c r="BF18" i="14"/>
  <c r="BE17" i="14"/>
  <c r="BI17" i="14"/>
  <c r="BH17" i="14" s="1"/>
  <c r="CB16" i="14"/>
  <c r="BY16" i="14"/>
  <c r="CA16" i="14"/>
  <c r="BZ16" i="14" s="1"/>
  <c r="BX17" i="14"/>
  <c r="BW16" i="14"/>
  <c r="Z21" i="14"/>
  <c r="V22" i="14"/>
  <c r="W21" i="14"/>
  <c r="U21" i="14"/>
  <c r="Y21" i="14"/>
  <c r="X21" i="14" s="1"/>
  <c r="BN17" i="14" l="1"/>
  <c r="DO11" i="14"/>
  <c r="AC21" i="14"/>
  <c r="CN14" i="14"/>
  <c r="DF12" i="14"/>
  <c r="BV16" i="14"/>
  <c r="DI12" i="14"/>
  <c r="CJ15" i="14"/>
  <c r="CI15" i="14" s="1"/>
  <c r="CF15" i="14"/>
  <c r="DH13" i="14"/>
  <c r="DI13" i="14" s="1"/>
  <c r="CH15" i="14"/>
  <c r="DM12" i="14"/>
  <c r="DN12" i="14"/>
  <c r="CG16" i="14"/>
  <c r="CF16" i="14" s="1"/>
  <c r="CE16" i="14"/>
  <c r="DE13" i="14"/>
  <c r="DD13" i="14"/>
  <c r="CW13" i="14"/>
  <c r="CK15" i="14"/>
  <c r="CM15" i="14"/>
  <c r="CN15" i="14" s="1"/>
  <c r="CU14" i="14"/>
  <c r="CV14" i="14"/>
  <c r="BM17" i="14"/>
  <c r="CC17" i="14"/>
  <c r="CD17" i="14"/>
  <c r="K22" i="14"/>
  <c r="BB19" i="14"/>
  <c r="BC19" i="14"/>
  <c r="BR17" i="14"/>
  <c r="BQ17" i="14" s="1"/>
  <c r="AU19" i="14"/>
  <c r="BD18" i="14"/>
  <c r="BK18" i="14"/>
  <c r="BL18" i="14"/>
  <c r="BO18" i="14"/>
  <c r="BP17" i="14"/>
  <c r="BU17" i="14"/>
  <c r="BT17" i="14"/>
  <c r="AK20" i="14"/>
  <c r="AJ20" i="14"/>
  <c r="AL19" i="14"/>
  <c r="AT20" i="14"/>
  <c r="AS20" i="14"/>
  <c r="AA22" i="14"/>
  <c r="AB22" i="14"/>
  <c r="T21" i="14"/>
  <c r="J23" i="14"/>
  <c r="I23" i="14"/>
  <c r="R22" i="14"/>
  <c r="S22" i="14"/>
  <c r="AE21" i="14"/>
  <c r="AH20" i="14"/>
  <c r="AG20" i="14" s="1"/>
  <c r="AD20" i="14"/>
  <c r="AF20" i="14"/>
  <c r="AI20" i="14"/>
  <c r="F22" i="14"/>
  <c r="DJ22" i="14" s="1"/>
  <c r="DK22" i="14"/>
  <c r="B30" i="10"/>
  <c r="C29" i="10"/>
  <c r="H18" i="28"/>
  <c r="H21" i="28" s="1"/>
  <c r="BJ18" i="14"/>
  <c r="BE18" i="14"/>
  <c r="BF19" i="14"/>
  <c r="BG18" i="14"/>
  <c r="BI18" i="14"/>
  <c r="BH18" i="14" s="1"/>
  <c r="Q22" i="14"/>
  <c r="L22" i="14"/>
  <c r="N22" i="14"/>
  <c r="M23" i="14"/>
  <c r="P22" i="14"/>
  <c r="O22" i="14" s="1"/>
  <c r="Z22" i="14"/>
  <c r="V23" i="14"/>
  <c r="W22" i="14"/>
  <c r="U22" i="14"/>
  <c r="Y22" i="14"/>
  <c r="X22" i="14" s="1"/>
  <c r="CB17" i="14"/>
  <c r="BW17" i="14"/>
  <c r="BX18" i="14"/>
  <c r="BY17" i="14"/>
  <c r="CA17" i="14"/>
  <c r="BZ17" i="14" s="1"/>
  <c r="CT14" i="14"/>
  <c r="CQ14" i="14"/>
  <c r="CO14" i="14"/>
  <c r="CP15" i="14"/>
  <c r="CS14" i="14"/>
  <c r="CR14" i="14" s="1"/>
  <c r="DC13" i="14"/>
  <c r="CZ13" i="14"/>
  <c r="CX13" i="14"/>
  <c r="DB13" i="14"/>
  <c r="DA13" i="14" s="1"/>
  <c r="CY14" i="14"/>
  <c r="BA19" i="14"/>
  <c r="AX19" i="14"/>
  <c r="AV19" i="14"/>
  <c r="AZ19" i="14"/>
  <c r="AY19" i="14" s="1"/>
  <c r="AW20" i="14"/>
  <c r="AR20" i="14"/>
  <c r="AM20" i="14"/>
  <c r="AO20" i="14"/>
  <c r="AN21" i="14"/>
  <c r="AQ20" i="14"/>
  <c r="AP20" i="14" s="1"/>
  <c r="H23" i="14"/>
  <c r="DL23" i="14" s="1"/>
  <c r="E23" i="14"/>
  <c r="C23" i="14"/>
  <c r="D24" i="14"/>
  <c r="G23" i="14"/>
  <c r="B19" i="28" l="1" a="1"/>
  <c r="BV17" i="14"/>
  <c r="DF13" i="14"/>
  <c r="AL20" i="14"/>
  <c r="AC22" i="14"/>
  <c r="DO12" i="14"/>
  <c r="DM13" i="14"/>
  <c r="DG13" i="14"/>
  <c r="DN13" i="14"/>
  <c r="CJ16" i="14"/>
  <c r="CI16" i="14" s="1"/>
  <c r="DH14" i="14"/>
  <c r="CG17" i="14"/>
  <c r="CF17" i="14" s="1"/>
  <c r="CL16" i="14"/>
  <c r="CM16" i="14"/>
  <c r="CK16" i="14"/>
  <c r="CH16" i="14"/>
  <c r="DE14" i="14"/>
  <c r="DD14" i="14"/>
  <c r="CW14" i="14"/>
  <c r="CU15" i="14"/>
  <c r="CV15" i="14"/>
  <c r="CE17" i="14"/>
  <c r="AU20" i="14"/>
  <c r="CD18" i="14"/>
  <c r="CC18" i="14"/>
  <c r="BT18" i="14"/>
  <c r="BU18" i="14"/>
  <c r="BC20" i="14"/>
  <c r="BB20" i="14"/>
  <c r="BL19" i="14"/>
  <c r="BK19" i="14"/>
  <c r="BM18" i="14"/>
  <c r="BR18" i="14"/>
  <c r="BQ18" i="14" s="1"/>
  <c r="BP18" i="14"/>
  <c r="BO19" i="14"/>
  <c r="BU19" i="14" s="1"/>
  <c r="BN18" i="14"/>
  <c r="BS18" i="14"/>
  <c r="BD19" i="14"/>
  <c r="AK21" i="14"/>
  <c r="AJ21" i="14"/>
  <c r="AS21" i="14"/>
  <c r="AT21" i="14"/>
  <c r="K23" i="14"/>
  <c r="AA23" i="14"/>
  <c r="AB23" i="14"/>
  <c r="I24" i="14"/>
  <c r="J24" i="14"/>
  <c r="S23" i="14"/>
  <c r="R23" i="14"/>
  <c r="T22" i="14"/>
  <c r="AE22" i="14"/>
  <c r="AF21" i="14"/>
  <c r="AH21" i="14"/>
  <c r="AG21" i="14" s="1"/>
  <c r="AD21" i="14"/>
  <c r="AI21" i="14"/>
  <c r="F23" i="14"/>
  <c r="DJ23" i="14" s="1"/>
  <c r="DK23" i="14"/>
  <c r="C30" i="10"/>
  <c r="B31" i="10"/>
  <c r="B22" i="28"/>
  <c r="B20" i="28" a="1"/>
  <c r="CY15" i="14"/>
  <c r="DC14" i="14"/>
  <c r="CX14" i="14"/>
  <c r="CZ14" i="14"/>
  <c r="DB14" i="14"/>
  <c r="DA14" i="14" s="1"/>
  <c r="Q23" i="14"/>
  <c r="L23" i="14"/>
  <c r="M24" i="14"/>
  <c r="N23" i="14"/>
  <c r="P23" i="14"/>
  <c r="O23" i="14" s="1"/>
  <c r="Z23" i="14"/>
  <c r="V24" i="14"/>
  <c r="W23" i="14"/>
  <c r="U23" i="14"/>
  <c r="Y23" i="14"/>
  <c r="X23" i="14" s="1"/>
  <c r="CB18" i="14"/>
  <c r="BW18" i="14"/>
  <c r="BY18" i="14"/>
  <c r="BX19" i="14"/>
  <c r="CA18" i="14"/>
  <c r="BZ18" i="14" s="1"/>
  <c r="H24" i="14"/>
  <c r="DL24" i="14" s="1"/>
  <c r="D25" i="14"/>
  <c r="C24" i="14"/>
  <c r="E24" i="14"/>
  <c r="G24" i="14"/>
  <c r="CT15" i="14"/>
  <c r="CQ15" i="14"/>
  <c r="CS15" i="14"/>
  <c r="CR15" i="14" s="1"/>
  <c r="CP16" i="14"/>
  <c r="CO15" i="14"/>
  <c r="BJ19" i="14"/>
  <c r="BE19" i="14"/>
  <c r="BG19" i="14"/>
  <c r="BF20" i="14"/>
  <c r="BI19" i="14"/>
  <c r="BH19" i="14" s="1"/>
  <c r="BA20" i="14"/>
  <c r="AX20" i="14"/>
  <c r="AZ20" i="14"/>
  <c r="AY20" i="14" s="1"/>
  <c r="AV20" i="14"/>
  <c r="AW21" i="14"/>
  <c r="AR21" i="14"/>
  <c r="AN22" i="14"/>
  <c r="AO21" i="14"/>
  <c r="AM21" i="14"/>
  <c r="AQ21" i="14"/>
  <c r="AP21" i="14" s="1"/>
  <c r="B25" i="28" l="1"/>
  <c r="B19" i="28"/>
  <c r="D19" i="28"/>
  <c r="C19" i="28"/>
  <c r="G19" i="28"/>
  <c r="H19" i="28"/>
  <c r="F19" i="28"/>
  <c r="E19" i="28"/>
  <c r="DF14" i="14"/>
  <c r="CN16" i="14"/>
  <c r="AC23" i="14"/>
  <c r="DO13" i="14"/>
  <c r="BV18" i="14"/>
  <c r="DN14" i="14"/>
  <c r="CG18" i="14"/>
  <c r="CL18" i="14" s="1"/>
  <c r="CL17" i="14"/>
  <c r="CK17" i="14"/>
  <c r="CM17" i="14"/>
  <c r="CH17" i="14"/>
  <c r="DH15" i="14"/>
  <c r="DI14" i="14"/>
  <c r="CJ17" i="14"/>
  <c r="CI17" i="14" s="1"/>
  <c r="DM14" i="14"/>
  <c r="DG14" i="14"/>
  <c r="BM19" i="14"/>
  <c r="CE18" i="14"/>
  <c r="DE15" i="14"/>
  <c r="DD15" i="14"/>
  <c r="CV16" i="14"/>
  <c r="CU16" i="14"/>
  <c r="CW15" i="14"/>
  <c r="CM18" i="14"/>
  <c r="AU21" i="14"/>
  <c r="BD20" i="14"/>
  <c r="CD19" i="14"/>
  <c r="CC19" i="14"/>
  <c r="BC21" i="14"/>
  <c r="BB21" i="14"/>
  <c r="BO20" i="14"/>
  <c r="BP20" i="14" s="1"/>
  <c r="BR19" i="14"/>
  <c r="BQ19" i="14" s="1"/>
  <c r="BN19" i="14"/>
  <c r="BT19" i="14"/>
  <c r="BV19" i="14" s="1"/>
  <c r="BP19" i="14"/>
  <c r="BS19" i="14"/>
  <c r="BL20" i="14"/>
  <c r="BK20" i="14"/>
  <c r="AL21" i="14"/>
  <c r="AS22" i="14"/>
  <c r="AT22" i="14"/>
  <c r="AJ22" i="14"/>
  <c r="AK22" i="14"/>
  <c r="T23" i="14"/>
  <c r="AA24" i="14"/>
  <c r="AB24" i="14"/>
  <c r="I25" i="14"/>
  <c r="J25" i="14"/>
  <c r="S24" i="14"/>
  <c r="R24" i="14"/>
  <c r="K24" i="14"/>
  <c r="AI22" i="14"/>
  <c r="AD22" i="14"/>
  <c r="AH22" i="14"/>
  <c r="AG22" i="14" s="1"/>
  <c r="AE23" i="14"/>
  <c r="AF22" i="14"/>
  <c r="F24" i="14"/>
  <c r="DJ24" i="14" s="1"/>
  <c r="DK24" i="14"/>
  <c r="C31" i="10"/>
  <c r="B32" i="10"/>
  <c r="F20" i="28"/>
  <c r="G20" i="28"/>
  <c r="E20" i="28"/>
  <c r="D20" i="28"/>
  <c r="C20" i="28"/>
  <c r="B20" i="28"/>
  <c r="H20" i="28"/>
  <c r="C22" i="28"/>
  <c r="C25" i="28" s="1"/>
  <c r="CB19" i="14"/>
  <c r="BY19" i="14"/>
  <c r="CA19" i="14"/>
  <c r="BZ19" i="14" s="1"/>
  <c r="BW19" i="14"/>
  <c r="BX20" i="14"/>
  <c r="CT16" i="14"/>
  <c r="CO16" i="14"/>
  <c r="CS16" i="14"/>
  <c r="CR16" i="14" s="1"/>
  <c r="CP17" i="14"/>
  <c r="CQ16" i="14"/>
  <c r="Z24" i="14"/>
  <c r="V25" i="14"/>
  <c r="Y24" i="14"/>
  <c r="X24" i="14" s="1"/>
  <c r="U24" i="14"/>
  <c r="W24" i="14"/>
  <c r="BA21" i="14"/>
  <c r="AV21" i="14"/>
  <c r="AW22" i="14"/>
  <c r="AZ21" i="14"/>
  <c r="AY21" i="14" s="1"/>
  <c r="AX21" i="14"/>
  <c r="Q24" i="14"/>
  <c r="L24" i="14"/>
  <c r="M25" i="14"/>
  <c r="N24" i="14"/>
  <c r="P24" i="14"/>
  <c r="O24" i="14" s="1"/>
  <c r="AR22" i="14"/>
  <c r="AO22" i="14"/>
  <c r="AM22" i="14"/>
  <c r="AQ22" i="14"/>
  <c r="AP22" i="14" s="1"/>
  <c r="AN23" i="14"/>
  <c r="BJ20" i="14"/>
  <c r="BF21" i="14"/>
  <c r="BE20" i="14"/>
  <c r="BG20" i="14"/>
  <c r="BI20" i="14"/>
  <c r="BH20" i="14" s="1"/>
  <c r="H25" i="14"/>
  <c r="DL25" i="14" s="1"/>
  <c r="D26" i="14"/>
  <c r="E25" i="14"/>
  <c r="C25" i="14"/>
  <c r="G25" i="14"/>
  <c r="DC15" i="14"/>
  <c r="CZ15" i="14"/>
  <c r="CY16" i="14"/>
  <c r="DB15" i="14"/>
  <c r="DA15" i="14" s="1"/>
  <c r="CX15" i="14"/>
  <c r="CJ18" i="14" l="1"/>
  <c r="CI18" i="14" s="1"/>
  <c r="CG19" i="14"/>
  <c r="CF18" i="14"/>
  <c r="CH18" i="14"/>
  <c r="CK18" i="14"/>
  <c r="DF15" i="14"/>
  <c r="CN18" i="14"/>
  <c r="DO14" i="14"/>
  <c r="AC24" i="14"/>
  <c r="CN17" i="14"/>
  <c r="DG15" i="14"/>
  <c r="DI15" i="14"/>
  <c r="DH16" i="14"/>
  <c r="DG16" i="14" s="1"/>
  <c r="DM15" i="14"/>
  <c r="DN15" i="14"/>
  <c r="DD16" i="14"/>
  <c r="DE16" i="14"/>
  <c r="CW16" i="14"/>
  <c r="CU17" i="14"/>
  <c r="CV17" i="14"/>
  <c r="BR20" i="14"/>
  <c r="BQ20" i="14" s="1"/>
  <c r="BN20" i="14"/>
  <c r="BS20" i="14"/>
  <c r="CE19" i="14"/>
  <c r="BU20" i="14"/>
  <c r="BT20" i="14"/>
  <c r="BO21" i="14"/>
  <c r="CM19" i="14"/>
  <c r="CL19" i="14"/>
  <c r="CD20" i="14"/>
  <c r="CC20" i="14"/>
  <c r="BD21" i="14"/>
  <c r="BM20" i="14"/>
  <c r="BC22" i="14"/>
  <c r="BB22" i="14"/>
  <c r="AU22" i="14"/>
  <c r="BK21" i="14"/>
  <c r="BL21" i="14"/>
  <c r="AK23" i="14"/>
  <c r="AJ23" i="14"/>
  <c r="AL22" i="14"/>
  <c r="AS23" i="14"/>
  <c r="AT23" i="14"/>
  <c r="T24" i="14"/>
  <c r="AA25" i="14"/>
  <c r="AB25" i="14"/>
  <c r="R25" i="14"/>
  <c r="S25" i="14"/>
  <c r="K25" i="14"/>
  <c r="J26" i="14"/>
  <c r="I26" i="14"/>
  <c r="AI23" i="14"/>
  <c r="AF23" i="14"/>
  <c r="AD23" i="14"/>
  <c r="AE24" i="14"/>
  <c r="AH23" i="14"/>
  <c r="AG23" i="14" s="1"/>
  <c r="F25" i="14"/>
  <c r="DJ25" i="14" s="1"/>
  <c r="DK25" i="14"/>
  <c r="C32" i="10"/>
  <c r="B33" i="10"/>
  <c r="D22" i="28"/>
  <c r="D25" i="28" s="1"/>
  <c r="BJ21" i="14"/>
  <c r="BF22" i="14"/>
  <c r="BG21" i="14"/>
  <c r="BI21" i="14"/>
  <c r="BH21" i="14" s="1"/>
  <c r="BE21" i="14"/>
  <c r="Z25" i="14"/>
  <c r="W25" i="14"/>
  <c r="V26" i="14"/>
  <c r="U25" i="14"/>
  <c r="Y25" i="14"/>
  <c r="X25" i="14" s="1"/>
  <c r="AR23" i="14"/>
  <c r="AM23" i="14"/>
  <c r="AO23" i="14"/>
  <c r="AN24" i="14"/>
  <c r="AQ23" i="14"/>
  <c r="AP23" i="14" s="1"/>
  <c r="Q25" i="14"/>
  <c r="M26" i="14"/>
  <c r="L25" i="14"/>
  <c r="N25" i="14"/>
  <c r="P25" i="14"/>
  <c r="O25" i="14" s="1"/>
  <c r="CB20" i="14"/>
  <c r="BW20" i="14"/>
  <c r="CA20" i="14"/>
  <c r="BZ20" i="14" s="1"/>
  <c r="BX21" i="14"/>
  <c r="BY20" i="14"/>
  <c r="CZ16" i="14"/>
  <c r="DC16" i="14"/>
  <c r="CX16" i="14"/>
  <c r="CY17" i="14"/>
  <c r="DB16" i="14"/>
  <c r="DA16" i="14" s="1"/>
  <c r="CT17" i="14"/>
  <c r="CS17" i="14"/>
  <c r="CR17" i="14" s="1"/>
  <c r="CQ17" i="14"/>
  <c r="CP18" i="14"/>
  <c r="CO17" i="14"/>
  <c r="CK19" i="14"/>
  <c r="CG20" i="14"/>
  <c r="CF19" i="14"/>
  <c r="CH19" i="14"/>
  <c r="CJ19" i="14"/>
  <c r="CI19" i="14" s="1"/>
  <c r="BA22" i="14"/>
  <c r="AW23" i="14"/>
  <c r="AX22" i="14"/>
  <c r="AV22" i="14"/>
  <c r="AZ22" i="14"/>
  <c r="AY22" i="14" s="1"/>
  <c r="H26" i="14"/>
  <c r="DL26" i="14" s="1"/>
  <c r="D27" i="14"/>
  <c r="E26" i="14"/>
  <c r="C26" i="14"/>
  <c r="G26" i="14"/>
  <c r="DI16" i="14" l="1"/>
  <c r="CN19" i="14"/>
  <c r="AC25" i="14"/>
  <c r="BV20" i="14"/>
  <c r="DO15" i="14"/>
  <c r="DF16" i="14"/>
  <c r="DM16" i="14"/>
  <c r="DN16" i="14"/>
  <c r="DH17" i="14"/>
  <c r="DG17" i="14" s="1"/>
  <c r="BU21" i="14"/>
  <c r="BO22" i="14"/>
  <c r="BS22" i="14" s="1"/>
  <c r="DE17" i="14"/>
  <c r="DD17" i="14"/>
  <c r="BP21" i="14"/>
  <c r="CV18" i="14"/>
  <c r="CU18" i="14"/>
  <c r="BN21" i="14"/>
  <c r="CW17" i="14"/>
  <c r="BR21" i="14"/>
  <c r="BQ21" i="14" s="1"/>
  <c r="BT21" i="14"/>
  <c r="CE20" i="14"/>
  <c r="BS21" i="14"/>
  <c r="CM20" i="14"/>
  <c r="CL20" i="14"/>
  <c r="BD22" i="14"/>
  <c r="CD21" i="14"/>
  <c r="CC21" i="14"/>
  <c r="BM21" i="14"/>
  <c r="BB23" i="14"/>
  <c r="BC23" i="14"/>
  <c r="BK22" i="14"/>
  <c r="BL22" i="14"/>
  <c r="AU23" i="14"/>
  <c r="AL23" i="14"/>
  <c r="AJ24" i="14"/>
  <c r="AK24" i="14"/>
  <c r="AS24" i="14"/>
  <c r="AT24" i="14"/>
  <c r="T25" i="14"/>
  <c r="K26" i="14"/>
  <c r="AB26" i="14"/>
  <c r="AA26" i="14"/>
  <c r="R26" i="14"/>
  <c r="S26" i="14"/>
  <c r="I27" i="14"/>
  <c r="J27" i="14"/>
  <c r="AE25" i="14"/>
  <c r="AH24" i="14"/>
  <c r="AG24" i="14" s="1"/>
  <c r="AD24" i="14"/>
  <c r="AI24" i="14"/>
  <c r="AF24" i="14"/>
  <c r="F26" i="14"/>
  <c r="DJ26" i="14" s="1"/>
  <c r="DK26" i="14"/>
  <c r="C33" i="10"/>
  <c r="B34" i="10"/>
  <c r="E22" i="28"/>
  <c r="E25" i="28" s="1"/>
  <c r="Z26" i="14"/>
  <c r="W26" i="14"/>
  <c r="V27" i="14"/>
  <c r="U26" i="14"/>
  <c r="Y26" i="14"/>
  <c r="X26" i="14" s="1"/>
  <c r="Q26" i="14"/>
  <c r="L26" i="14"/>
  <c r="M27" i="14"/>
  <c r="N26" i="14"/>
  <c r="P26" i="14"/>
  <c r="O26" i="14" s="1"/>
  <c r="CK20" i="14"/>
  <c r="CF20" i="14"/>
  <c r="CH20" i="14"/>
  <c r="CG21" i="14"/>
  <c r="CJ20" i="14"/>
  <c r="CI20" i="14" s="1"/>
  <c r="AR24" i="14"/>
  <c r="AO24" i="14"/>
  <c r="AM24" i="14"/>
  <c r="AN25" i="14"/>
  <c r="AQ24" i="14"/>
  <c r="AP24" i="14" s="1"/>
  <c r="H27" i="14"/>
  <c r="DL27" i="14" s="1"/>
  <c r="C27" i="14"/>
  <c r="E27" i="14"/>
  <c r="D28" i="14"/>
  <c r="G27" i="14"/>
  <c r="CB21" i="14"/>
  <c r="BY21" i="14"/>
  <c r="BW21" i="14"/>
  <c r="BX22" i="14"/>
  <c r="CA21" i="14"/>
  <c r="BZ21" i="14" s="1"/>
  <c r="CT18" i="14"/>
  <c r="CS18" i="14"/>
  <c r="CR18" i="14" s="1"/>
  <c r="CO18" i="14"/>
  <c r="CQ18" i="14"/>
  <c r="CP19" i="14"/>
  <c r="BA23" i="14"/>
  <c r="AV23" i="14"/>
  <c r="AX23" i="14"/>
  <c r="AZ23" i="14"/>
  <c r="AY23" i="14" s="1"/>
  <c r="AW24" i="14"/>
  <c r="DC17" i="14"/>
  <c r="DB17" i="14"/>
  <c r="DA17" i="14" s="1"/>
  <c r="CX17" i="14"/>
  <c r="CZ17" i="14"/>
  <c r="CY18" i="14"/>
  <c r="BJ22" i="14"/>
  <c r="BE22" i="14"/>
  <c r="BG22" i="14"/>
  <c r="BF23" i="14"/>
  <c r="BI22" i="14"/>
  <c r="BH22" i="14" s="1"/>
  <c r="DH18" i="14" l="1"/>
  <c r="DI17" i="14"/>
  <c r="DF17" i="14"/>
  <c r="CN20" i="14"/>
  <c r="BV21" i="14"/>
  <c r="DO16" i="14"/>
  <c r="AC26" i="14"/>
  <c r="DM17" i="14"/>
  <c r="DN17" i="14"/>
  <c r="BN22" i="14"/>
  <c r="CE21" i="14"/>
  <c r="BU22" i="14"/>
  <c r="BR22" i="14"/>
  <c r="BQ22" i="14" s="1"/>
  <c r="BP22" i="14"/>
  <c r="BO23" i="14"/>
  <c r="BS23" i="14" s="1"/>
  <c r="BT22" i="14"/>
  <c r="DM18" i="14"/>
  <c r="DN18" i="14"/>
  <c r="CW18" i="14"/>
  <c r="DD18" i="14"/>
  <c r="DE18" i="14"/>
  <c r="CV19" i="14"/>
  <c r="CU19" i="14"/>
  <c r="CM21" i="14"/>
  <c r="CL21" i="14"/>
  <c r="CD22" i="14"/>
  <c r="CC22" i="14"/>
  <c r="BB24" i="14"/>
  <c r="BC24" i="14"/>
  <c r="BL23" i="14"/>
  <c r="BK23" i="14"/>
  <c r="BM22" i="14"/>
  <c r="AU24" i="14"/>
  <c r="BD23" i="14"/>
  <c r="AT25" i="14"/>
  <c r="AS25" i="14"/>
  <c r="AJ25" i="14"/>
  <c r="AK25" i="14"/>
  <c r="AL24" i="14"/>
  <c r="AA27" i="14"/>
  <c r="AB27" i="14"/>
  <c r="K27" i="14"/>
  <c r="J28" i="14"/>
  <c r="I28" i="14"/>
  <c r="R27" i="14"/>
  <c r="S27" i="14"/>
  <c r="T26" i="14"/>
  <c r="AI25" i="14"/>
  <c r="AF25" i="14"/>
  <c r="AE26" i="14"/>
  <c r="AD25" i="14"/>
  <c r="AH25" i="14"/>
  <c r="AG25" i="14" s="1"/>
  <c r="F27" i="14"/>
  <c r="DJ27" i="14" s="1"/>
  <c r="DK27" i="14"/>
  <c r="C34" i="10"/>
  <c r="B35" i="10"/>
  <c r="F22" i="28"/>
  <c r="F25" i="28" s="1"/>
  <c r="CT19" i="14"/>
  <c r="CS19" i="14"/>
  <c r="CR19" i="14" s="1"/>
  <c r="CP20" i="14"/>
  <c r="CQ19" i="14"/>
  <c r="CO19" i="14"/>
  <c r="H28" i="14"/>
  <c r="DL28" i="14" s="1"/>
  <c r="C28" i="14"/>
  <c r="E28" i="14"/>
  <c r="D29" i="14"/>
  <c r="G28" i="14"/>
  <c r="Q27" i="14"/>
  <c r="L27" i="14"/>
  <c r="M28" i="14"/>
  <c r="N27" i="14"/>
  <c r="P27" i="14"/>
  <c r="O27" i="14" s="1"/>
  <c r="BA24" i="14"/>
  <c r="AW25" i="14"/>
  <c r="AZ24" i="14"/>
  <c r="AY24" i="14" s="1"/>
  <c r="AV24" i="14"/>
  <c r="AX24" i="14"/>
  <c r="CK21" i="14"/>
  <c r="CF21" i="14"/>
  <c r="CJ21" i="14"/>
  <c r="CI21" i="14" s="1"/>
  <c r="CG22" i="14"/>
  <c r="CH21" i="14"/>
  <c r="AR25" i="14"/>
  <c r="AN26" i="14"/>
  <c r="AO25" i="14"/>
  <c r="AM25" i="14"/>
  <c r="AQ25" i="14"/>
  <c r="AP25" i="14" s="1"/>
  <c r="DC18" i="14"/>
  <c r="CY19" i="14"/>
  <c r="CZ18" i="14"/>
  <c r="CX18" i="14"/>
  <c r="DB18" i="14"/>
  <c r="DA18" i="14" s="1"/>
  <c r="BJ23" i="14"/>
  <c r="BF24" i="14"/>
  <c r="BE23" i="14"/>
  <c r="BI23" i="14"/>
  <c r="BH23" i="14" s="1"/>
  <c r="BG23" i="14"/>
  <c r="CB22" i="14"/>
  <c r="BW22" i="14"/>
  <c r="CA22" i="14"/>
  <c r="BZ22" i="14" s="1"/>
  <c r="BY22" i="14"/>
  <c r="BX23" i="14"/>
  <c r="DH19" i="14"/>
  <c r="DI18" i="14"/>
  <c r="DG18" i="14"/>
  <c r="Z27" i="14"/>
  <c r="W27" i="14"/>
  <c r="V28" i="14"/>
  <c r="U27" i="14"/>
  <c r="Y27" i="14"/>
  <c r="X27" i="14" s="1"/>
  <c r="CN21" i="14" l="1"/>
  <c r="BV22" i="14"/>
  <c r="DO18" i="14"/>
  <c r="AC27" i="14"/>
  <c r="DF18" i="14"/>
  <c r="DO17" i="14"/>
  <c r="BT23" i="14"/>
  <c r="BU23" i="14"/>
  <c r="BN23" i="14"/>
  <c r="BP23" i="14"/>
  <c r="BO24" i="14"/>
  <c r="BU24" i="14" s="1"/>
  <c r="BR23" i="14"/>
  <c r="BQ23" i="14" s="1"/>
  <c r="DN19" i="14"/>
  <c r="DM19" i="14"/>
  <c r="CE22" i="14"/>
  <c r="CW19" i="14"/>
  <c r="DE19" i="14"/>
  <c r="DD19" i="14"/>
  <c r="CV20" i="14"/>
  <c r="CU20" i="14"/>
  <c r="CM22" i="14"/>
  <c r="CL22" i="14"/>
  <c r="CC23" i="14"/>
  <c r="CD23" i="14"/>
  <c r="BM23" i="14"/>
  <c r="BD24" i="14"/>
  <c r="BC25" i="14"/>
  <c r="BB25" i="14"/>
  <c r="BL24" i="14"/>
  <c r="BK24" i="14"/>
  <c r="AU25" i="14"/>
  <c r="AJ26" i="14"/>
  <c r="AK26" i="14"/>
  <c r="AL25" i="14"/>
  <c r="AS26" i="14"/>
  <c r="AT26" i="14"/>
  <c r="K28" i="14"/>
  <c r="AA28" i="14"/>
  <c r="AB28" i="14"/>
  <c r="J29" i="14"/>
  <c r="I29" i="14"/>
  <c r="T27" i="14"/>
  <c r="S28" i="14"/>
  <c r="R28" i="14"/>
  <c r="AI26" i="14"/>
  <c r="AE27" i="14"/>
  <c r="AD26" i="14"/>
  <c r="AH26" i="14"/>
  <c r="AG26" i="14" s="1"/>
  <c r="AF26" i="14"/>
  <c r="F28" i="14"/>
  <c r="DJ28" i="14" s="1"/>
  <c r="DK28" i="14"/>
  <c r="B37" i="10"/>
  <c r="C35" i="10"/>
  <c r="B36" i="10"/>
  <c r="B38" i="10"/>
  <c r="G22" i="28"/>
  <c r="G25" i="28" s="1"/>
  <c r="CB23" i="14"/>
  <c r="BY23" i="14"/>
  <c r="BX24" i="14"/>
  <c r="BW23" i="14"/>
  <c r="CA23" i="14"/>
  <c r="BZ23" i="14" s="1"/>
  <c r="BJ24" i="14"/>
  <c r="BG24" i="14"/>
  <c r="BF25" i="14"/>
  <c r="BI24" i="14"/>
  <c r="BH24" i="14" s="1"/>
  <c r="BE24" i="14"/>
  <c r="Q28" i="14"/>
  <c r="N28" i="14"/>
  <c r="M29" i="14"/>
  <c r="L28" i="14"/>
  <c r="P28" i="14"/>
  <c r="O28" i="14" s="1"/>
  <c r="H29" i="14"/>
  <c r="DL29" i="14" s="1"/>
  <c r="E29" i="14"/>
  <c r="D30" i="14"/>
  <c r="C29" i="14"/>
  <c r="G29" i="14"/>
  <c r="DC19" i="14"/>
  <c r="CX19" i="14"/>
  <c r="CZ19" i="14"/>
  <c r="CY20" i="14"/>
  <c r="DB19" i="14"/>
  <c r="DA19" i="14" s="1"/>
  <c r="CK22" i="14"/>
  <c r="CF22" i="14"/>
  <c r="CH22" i="14"/>
  <c r="CG23" i="14"/>
  <c r="CJ22" i="14"/>
  <c r="CI22" i="14" s="1"/>
  <c r="DI19" i="14"/>
  <c r="DG19" i="14"/>
  <c r="DH20" i="14"/>
  <c r="Z28" i="14"/>
  <c r="U28" i="14"/>
  <c r="W28" i="14"/>
  <c r="V29" i="14"/>
  <c r="Y28" i="14"/>
  <c r="X28" i="14" s="1"/>
  <c r="BA25" i="14"/>
  <c r="AW26" i="14"/>
  <c r="AV25" i="14"/>
  <c r="AX25" i="14"/>
  <c r="AZ25" i="14"/>
  <c r="AY25" i="14" s="1"/>
  <c r="CT20" i="14"/>
  <c r="CQ20" i="14"/>
  <c r="CO20" i="14"/>
  <c r="CP21" i="14"/>
  <c r="CS20" i="14"/>
  <c r="CR20" i="14" s="1"/>
  <c r="AR26" i="14"/>
  <c r="AO26" i="14"/>
  <c r="AM26" i="14"/>
  <c r="AN27" i="14"/>
  <c r="AQ26" i="14"/>
  <c r="AP26" i="14" s="1"/>
  <c r="DO19" i="14" l="1"/>
  <c r="DF19" i="14"/>
  <c r="CN22" i="14"/>
  <c r="AC28" i="14"/>
  <c r="BV23" i="14"/>
  <c r="BN24" i="14"/>
  <c r="BP24" i="14"/>
  <c r="BT24" i="14"/>
  <c r="BV24" i="14" s="1"/>
  <c r="BR24" i="14"/>
  <c r="BQ24" i="14" s="1"/>
  <c r="BO25" i="14"/>
  <c r="BU25" i="14" s="1"/>
  <c r="BS24" i="14"/>
  <c r="CW20" i="14"/>
  <c r="BD25" i="14"/>
  <c r="DN20" i="14"/>
  <c r="DM20" i="14"/>
  <c r="DE20" i="14"/>
  <c r="DD20" i="14"/>
  <c r="CU21" i="14"/>
  <c r="CV21" i="14"/>
  <c r="BM24" i="14"/>
  <c r="CM23" i="14"/>
  <c r="CL23" i="14"/>
  <c r="CE23" i="14"/>
  <c r="CC24" i="14"/>
  <c r="CD24" i="14"/>
  <c r="BC26" i="14"/>
  <c r="BB26" i="14"/>
  <c r="BK25" i="14"/>
  <c r="BL25" i="14"/>
  <c r="AU26" i="14"/>
  <c r="AJ27" i="14"/>
  <c r="AK27" i="14"/>
  <c r="AS27" i="14"/>
  <c r="AT27" i="14"/>
  <c r="AL26" i="14"/>
  <c r="AA29" i="14"/>
  <c r="AB29" i="14"/>
  <c r="S29" i="14"/>
  <c r="R29" i="14"/>
  <c r="T28" i="14"/>
  <c r="K29" i="14"/>
  <c r="I30" i="14"/>
  <c r="J30" i="14"/>
  <c r="C36" i="10"/>
  <c r="C37" i="10" s="1"/>
  <c r="C38" i="10" s="1"/>
  <c r="AD27" i="14"/>
  <c r="AI27" i="14"/>
  <c r="AE28" i="14"/>
  <c r="AF27" i="14"/>
  <c r="AH27" i="14"/>
  <c r="AG27" i="14" s="1"/>
  <c r="F29" i="14"/>
  <c r="DJ29" i="14" s="1"/>
  <c r="DK29" i="14"/>
  <c r="H22" i="28"/>
  <c r="B23" i="28" s="1" a="1"/>
  <c r="BJ25" i="14"/>
  <c r="BG25" i="14"/>
  <c r="BE25" i="14"/>
  <c r="BI25" i="14"/>
  <c r="BH25" i="14" s="1"/>
  <c r="BF26" i="14"/>
  <c r="H30" i="14"/>
  <c r="DL30" i="14" s="1"/>
  <c r="E30" i="14"/>
  <c r="C30" i="14"/>
  <c r="D31" i="14"/>
  <c r="G30" i="14"/>
  <c r="DH21" i="14"/>
  <c r="DG20" i="14"/>
  <c r="DI20" i="14"/>
  <c r="DC20" i="14"/>
  <c r="CY21" i="14"/>
  <c r="CX20" i="14"/>
  <c r="DB20" i="14"/>
  <c r="DA20" i="14" s="1"/>
  <c r="CZ20" i="14"/>
  <c r="AR27" i="14"/>
  <c r="AM27" i="14"/>
  <c r="AN28" i="14"/>
  <c r="AO27" i="14"/>
  <c r="AQ27" i="14"/>
  <c r="AP27" i="14" s="1"/>
  <c r="BA26" i="14"/>
  <c r="AV26" i="14"/>
  <c r="AW27" i="14"/>
  <c r="AZ26" i="14"/>
  <c r="AY26" i="14" s="1"/>
  <c r="AX26" i="14"/>
  <c r="CK23" i="14"/>
  <c r="CF23" i="14"/>
  <c r="CG24" i="14"/>
  <c r="CH23" i="14"/>
  <c r="CJ23" i="14"/>
  <c r="CI23" i="14" s="1"/>
  <c r="CB24" i="14"/>
  <c r="BX25" i="14"/>
  <c r="BY24" i="14"/>
  <c r="BW24" i="14"/>
  <c r="CA24" i="14"/>
  <c r="BZ24" i="14" s="1"/>
  <c r="CT21" i="14"/>
  <c r="CQ21" i="14"/>
  <c r="CP22" i="14"/>
  <c r="CS21" i="14"/>
  <c r="CR21" i="14" s="1"/>
  <c r="CO21" i="14"/>
  <c r="Z29" i="14"/>
  <c r="V30" i="14"/>
  <c r="W29" i="14"/>
  <c r="U29" i="14"/>
  <c r="Y29" i="14"/>
  <c r="X29" i="14" s="1"/>
  <c r="Q29" i="14"/>
  <c r="N29" i="14"/>
  <c r="L29" i="14"/>
  <c r="P29" i="14"/>
  <c r="O29" i="14" s="1"/>
  <c r="M30" i="14"/>
  <c r="B23" i="28" l="1"/>
  <c r="E23" i="28"/>
  <c r="D23" i="28"/>
  <c r="C23" i="28"/>
  <c r="H23" i="28"/>
  <c r="G23" i="28"/>
  <c r="F23" i="28"/>
  <c r="B26" i="28"/>
  <c r="H25" i="28"/>
  <c r="DF20" i="14"/>
  <c r="DO20" i="14"/>
  <c r="CN23" i="14"/>
  <c r="AC29" i="14"/>
  <c r="BP25" i="14"/>
  <c r="BO26" i="14"/>
  <c r="BN26" i="14" s="1"/>
  <c r="BN25" i="14"/>
  <c r="BR25" i="14"/>
  <c r="BQ25" i="14" s="1"/>
  <c r="BS25" i="14"/>
  <c r="BT25" i="14"/>
  <c r="BV25" i="14" s="1"/>
  <c r="BD26" i="14"/>
  <c r="DM21" i="14"/>
  <c r="DN21" i="14"/>
  <c r="DE21" i="14"/>
  <c r="DD21" i="14"/>
  <c r="CU22" i="14"/>
  <c r="CV22" i="14"/>
  <c r="CW21" i="14"/>
  <c r="CE24" i="14"/>
  <c r="CM24" i="14"/>
  <c r="CL24" i="14"/>
  <c r="CC25" i="14"/>
  <c r="CD25" i="14"/>
  <c r="AU27" i="14"/>
  <c r="BC27" i="14"/>
  <c r="BB27" i="14"/>
  <c r="BM25" i="14"/>
  <c r="BK26" i="14"/>
  <c r="BL26" i="14"/>
  <c r="BT26" i="14"/>
  <c r="AJ28" i="14"/>
  <c r="AK28" i="14"/>
  <c r="AS28" i="14"/>
  <c r="AT28" i="14"/>
  <c r="AL27" i="14"/>
  <c r="K30" i="14"/>
  <c r="AA30" i="14"/>
  <c r="AB30" i="14"/>
  <c r="J31" i="14"/>
  <c r="I31" i="14"/>
  <c r="S30" i="14"/>
  <c r="R30" i="14"/>
  <c r="T29" i="14"/>
  <c r="AD28" i="14"/>
  <c r="AH28" i="14"/>
  <c r="AG28" i="14" s="1"/>
  <c r="AI28" i="14"/>
  <c r="AE29" i="14"/>
  <c r="AF28" i="14"/>
  <c r="F30" i="14"/>
  <c r="DJ30" i="14" s="1"/>
  <c r="DK30" i="14"/>
  <c r="DH22" i="14"/>
  <c r="DI21" i="14"/>
  <c r="DG21" i="14"/>
  <c r="BA27" i="14"/>
  <c r="AV27" i="14"/>
  <c r="AX27" i="14"/>
  <c r="AW28" i="14"/>
  <c r="AZ27" i="14"/>
  <c r="AY27" i="14" s="1"/>
  <c r="CB25" i="14"/>
  <c r="BX26" i="14"/>
  <c r="BY25" i="14"/>
  <c r="CA25" i="14"/>
  <c r="BZ25" i="14" s="1"/>
  <c r="BW25" i="14"/>
  <c r="Q30" i="14"/>
  <c r="L30" i="14"/>
  <c r="M31" i="14"/>
  <c r="P30" i="14"/>
  <c r="O30" i="14" s="1"/>
  <c r="N30" i="14"/>
  <c r="CT22" i="14"/>
  <c r="CP23" i="14"/>
  <c r="CS22" i="14"/>
  <c r="CR22" i="14" s="1"/>
  <c r="CQ22" i="14"/>
  <c r="CO22" i="14"/>
  <c r="BJ26" i="14"/>
  <c r="BI26" i="14"/>
  <c r="BH26" i="14" s="1"/>
  <c r="BG26" i="14"/>
  <c r="BE26" i="14"/>
  <c r="BF27" i="14"/>
  <c r="AR28" i="14"/>
  <c r="AN29" i="14"/>
  <c r="AM28" i="14"/>
  <c r="AO28" i="14"/>
  <c r="AQ28" i="14"/>
  <c r="AP28" i="14" s="1"/>
  <c r="DC21" i="14"/>
  <c r="DB21" i="14"/>
  <c r="DA21" i="14" s="1"/>
  <c r="CZ21" i="14"/>
  <c r="CY22" i="14"/>
  <c r="CX21" i="14"/>
  <c r="H31" i="14"/>
  <c r="DL31" i="14" s="1"/>
  <c r="D32" i="14"/>
  <c r="C31" i="14"/>
  <c r="E31" i="14"/>
  <c r="G31" i="14"/>
  <c r="Z30" i="14"/>
  <c r="V31" i="14"/>
  <c r="W30" i="14"/>
  <c r="U30" i="14"/>
  <c r="Y30" i="14"/>
  <c r="X30" i="14" s="1"/>
  <c r="CK24" i="14"/>
  <c r="CH24" i="14"/>
  <c r="CG25" i="14"/>
  <c r="CJ24" i="14"/>
  <c r="CI24" i="14" s="1"/>
  <c r="CF24" i="14"/>
  <c r="B29" i="28" l="1"/>
  <c r="BS26" i="14"/>
  <c r="BR26" i="14"/>
  <c r="BQ26" i="14" s="1"/>
  <c r="CN24" i="14"/>
  <c r="DF21" i="14"/>
  <c r="AC30" i="14"/>
  <c r="DO21" i="14"/>
  <c r="BU26" i="14"/>
  <c r="BV26" i="14" s="1"/>
  <c r="BO27" i="14"/>
  <c r="BO28" i="14" s="1"/>
  <c r="BP26" i="14"/>
  <c r="DN22" i="14"/>
  <c r="DM22" i="14"/>
  <c r="DD22" i="14"/>
  <c r="DE22" i="14"/>
  <c r="CV23" i="14"/>
  <c r="CU23" i="14"/>
  <c r="CW22" i="14"/>
  <c r="BD27" i="14"/>
  <c r="CM25" i="14"/>
  <c r="CL25" i="14"/>
  <c r="CE25" i="14"/>
  <c r="AU28" i="14"/>
  <c r="CD26" i="14"/>
  <c r="CC26" i="14"/>
  <c r="BK27" i="14"/>
  <c r="BL27" i="14"/>
  <c r="BM26" i="14"/>
  <c r="BC28" i="14"/>
  <c r="BB28" i="14"/>
  <c r="K31" i="14"/>
  <c r="AL28" i="14"/>
  <c r="AK29" i="14"/>
  <c r="AJ29" i="14"/>
  <c r="AT29" i="14"/>
  <c r="AS29" i="14"/>
  <c r="AB31" i="14"/>
  <c r="AA31" i="14"/>
  <c r="T30" i="14"/>
  <c r="I32" i="14"/>
  <c r="J32" i="14"/>
  <c r="R31" i="14"/>
  <c r="S31" i="14"/>
  <c r="AI29" i="14"/>
  <c r="AD29" i="14"/>
  <c r="AF29" i="14"/>
  <c r="AE30" i="14"/>
  <c r="AH29" i="14"/>
  <c r="AG29" i="14" s="1"/>
  <c r="F31" i="14"/>
  <c r="DJ31" i="14" s="1"/>
  <c r="DK31" i="14"/>
  <c r="DC22" i="14"/>
  <c r="CY23" i="14"/>
  <c r="CX22" i="14"/>
  <c r="DB22" i="14"/>
  <c r="DA22" i="14" s="1"/>
  <c r="CZ22" i="14"/>
  <c r="Q31" i="14"/>
  <c r="N31" i="14"/>
  <c r="M32" i="14"/>
  <c r="L31" i="14"/>
  <c r="P31" i="14"/>
  <c r="O31" i="14" s="1"/>
  <c r="Z31" i="14"/>
  <c r="V32" i="14"/>
  <c r="U31" i="14"/>
  <c r="W31" i="14"/>
  <c r="Y31" i="14"/>
  <c r="X31" i="14" s="1"/>
  <c r="BA28" i="14"/>
  <c r="AV28" i="14"/>
  <c r="AW29" i="14"/>
  <c r="AX28" i="14"/>
  <c r="AZ28" i="14"/>
  <c r="AY28" i="14" s="1"/>
  <c r="CB26" i="14"/>
  <c r="BY26" i="14"/>
  <c r="BX27" i="14"/>
  <c r="CA26" i="14"/>
  <c r="BZ26" i="14" s="1"/>
  <c r="BW26" i="14"/>
  <c r="CK25" i="14"/>
  <c r="CG26" i="14"/>
  <c r="CF25" i="14"/>
  <c r="CH25" i="14"/>
  <c r="CJ25" i="14"/>
  <c r="CI25" i="14" s="1"/>
  <c r="CT23" i="14"/>
  <c r="CS23" i="14"/>
  <c r="CR23" i="14" s="1"/>
  <c r="CO23" i="14"/>
  <c r="CQ23" i="14"/>
  <c r="CP24" i="14"/>
  <c r="DI22" i="14"/>
  <c r="DH23" i="14"/>
  <c r="DG22" i="14"/>
  <c r="H32" i="14"/>
  <c r="DL32" i="14" s="1"/>
  <c r="E32" i="14"/>
  <c r="C32" i="14"/>
  <c r="G32" i="14"/>
  <c r="BJ27" i="14"/>
  <c r="BI27" i="14"/>
  <c r="BH27" i="14" s="1"/>
  <c r="BF28" i="14"/>
  <c r="BG27" i="14"/>
  <c r="BE27" i="14"/>
  <c r="D33" i="14"/>
  <c r="AR29" i="14"/>
  <c r="AM29" i="14"/>
  <c r="AO29" i="14"/>
  <c r="AN30" i="14"/>
  <c r="AQ29" i="14"/>
  <c r="AP29" i="14" s="1"/>
  <c r="BR27" i="14" l="1"/>
  <c r="BQ27" i="14" s="1"/>
  <c r="BS27" i="14"/>
  <c r="DO22" i="14"/>
  <c r="BP27" i="14"/>
  <c r="BT27" i="14"/>
  <c r="BU27" i="14"/>
  <c r="BN27" i="14"/>
  <c r="AC31" i="14"/>
  <c r="CN25" i="14"/>
  <c r="DF22" i="14"/>
  <c r="CE26" i="14"/>
  <c r="CW23" i="14"/>
  <c r="DN23" i="14"/>
  <c r="DM23" i="14"/>
  <c r="DE23" i="14"/>
  <c r="DD23" i="14"/>
  <c r="CV24" i="14"/>
  <c r="CU24" i="14"/>
  <c r="AU29" i="14"/>
  <c r="CL26" i="14"/>
  <c r="CM26" i="14"/>
  <c r="BD28" i="14"/>
  <c r="CD27" i="14"/>
  <c r="CC27" i="14"/>
  <c r="BC29" i="14"/>
  <c r="BB29" i="14"/>
  <c r="BK28" i="14"/>
  <c r="BL28" i="14"/>
  <c r="AL29" i="14"/>
  <c r="BM27" i="14"/>
  <c r="BU28" i="14"/>
  <c r="BT28" i="14"/>
  <c r="AJ30" i="14"/>
  <c r="AK30" i="14"/>
  <c r="AS30" i="14"/>
  <c r="AT30" i="14"/>
  <c r="AA32" i="14"/>
  <c r="AB32" i="14"/>
  <c r="T31" i="14"/>
  <c r="J33" i="14"/>
  <c r="I33" i="14"/>
  <c r="K32" i="14"/>
  <c r="AH30" i="14"/>
  <c r="AG30" i="14" s="1"/>
  <c r="AD30" i="14"/>
  <c r="AI30" i="14"/>
  <c r="AF30" i="14"/>
  <c r="AE31" i="14"/>
  <c r="F32" i="14"/>
  <c r="DJ32" i="14" s="1"/>
  <c r="DK32" i="14"/>
  <c r="CK26" i="14"/>
  <c r="CF26" i="14"/>
  <c r="CH26" i="14"/>
  <c r="CG27" i="14"/>
  <c r="CJ26" i="14"/>
  <c r="CI26" i="14" s="1"/>
  <c r="M33" i="14"/>
  <c r="L33" i="14" s="1"/>
  <c r="L32" i="14"/>
  <c r="H33" i="14"/>
  <c r="DL33" i="14" s="1"/>
  <c r="E33" i="14"/>
  <c r="C33" i="14"/>
  <c r="G33" i="14"/>
  <c r="DG23" i="14"/>
  <c r="DI23" i="14"/>
  <c r="DH24" i="14"/>
  <c r="BA29" i="14"/>
  <c r="AX29" i="14"/>
  <c r="AW30" i="14"/>
  <c r="AZ29" i="14"/>
  <c r="AY29" i="14" s="1"/>
  <c r="AV29" i="14"/>
  <c r="Z32" i="14"/>
  <c r="V33" i="14"/>
  <c r="U32" i="14"/>
  <c r="Y32" i="14"/>
  <c r="X32" i="14" s="1"/>
  <c r="W32" i="14"/>
  <c r="AO30" i="14"/>
  <c r="AQ30" i="14"/>
  <c r="AP30" i="14" s="1"/>
  <c r="AN31" i="14"/>
  <c r="AM30" i="14"/>
  <c r="AR30" i="14"/>
  <c r="BS28" i="14"/>
  <c r="BN28" i="14"/>
  <c r="BO29" i="14"/>
  <c r="BP28" i="14"/>
  <c r="BR28" i="14"/>
  <c r="BQ28" i="14" s="1"/>
  <c r="BJ28" i="14"/>
  <c r="BF29" i="14"/>
  <c r="BI28" i="14"/>
  <c r="BH28" i="14" s="1"/>
  <c r="BG28" i="14"/>
  <c r="BE28" i="14"/>
  <c r="CT24" i="14"/>
  <c r="CP25" i="14"/>
  <c r="CQ24" i="14"/>
  <c r="CO24" i="14"/>
  <c r="CS24" i="14"/>
  <c r="CR24" i="14" s="1"/>
  <c r="CB27" i="14"/>
  <c r="CA27" i="14"/>
  <c r="BZ27" i="14" s="1"/>
  <c r="BW27" i="14"/>
  <c r="BX28" i="14"/>
  <c r="BY27" i="14"/>
  <c r="CX23" i="14"/>
  <c r="DB23" i="14"/>
  <c r="DA23" i="14" s="1"/>
  <c r="DC23" i="14"/>
  <c r="CY24" i="14"/>
  <c r="CZ23" i="14"/>
  <c r="BV27" i="14" l="1"/>
  <c r="BV28" i="14"/>
  <c r="CN26" i="14"/>
  <c r="DF23" i="14"/>
  <c r="DO23" i="14"/>
  <c r="AC32" i="14"/>
  <c r="DN24" i="14"/>
  <c r="DM24" i="14"/>
  <c r="CW24" i="14"/>
  <c r="DE24" i="14"/>
  <c r="DD24" i="14"/>
  <c r="BD29" i="14"/>
  <c r="CE27" i="14"/>
  <c r="CV25" i="14"/>
  <c r="CU25" i="14"/>
  <c r="K33" i="14"/>
  <c r="CM27" i="14"/>
  <c r="CL27" i="14"/>
  <c r="CC28" i="14"/>
  <c r="CD28" i="14"/>
  <c r="BC30" i="14"/>
  <c r="BB30" i="14"/>
  <c r="BM28" i="14"/>
  <c r="BK29" i="14"/>
  <c r="BL29" i="14"/>
  <c r="AU30" i="14"/>
  <c r="BU29" i="14"/>
  <c r="BT29" i="14"/>
  <c r="AL30" i="14"/>
  <c r="AK31" i="14"/>
  <c r="AJ31" i="14"/>
  <c r="AS31" i="14"/>
  <c r="AT31" i="14"/>
  <c r="AA33" i="14"/>
  <c r="AB33" i="14"/>
  <c r="AI31" i="14"/>
  <c r="AH31" i="14"/>
  <c r="AG31" i="14" s="1"/>
  <c r="AE32" i="14"/>
  <c r="AD31" i="14"/>
  <c r="AF31" i="14"/>
  <c r="F33" i="14"/>
  <c r="DJ33" i="14" s="1"/>
  <c r="DK33" i="14"/>
  <c r="AR31" i="14"/>
  <c r="AN32" i="14"/>
  <c r="AQ31" i="14"/>
  <c r="AP31" i="14" s="1"/>
  <c r="AM31" i="14"/>
  <c r="AO31" i="14"/>
  <c r="CB28" i="14"/>
  <c r="BW28" i="14"/>
  <c r="BY28" i="14"/>
  <c r="BX29" i="14"/>
  <c r="CA28" i="14"/>
  <c r="BZ28" i="14" s="1"/>
  <c r="DH25" i="14"/>
  <c r="DG24" i="14"/>
  <c r="DI24" i="14"/>
  <c r="CK27" i="14"/>
  <c r="CH27" i="14"/>
  <c r="CJ27" i="14"/>
  <c r="CI27" i="14" s="1"/>
  <c r="CG28" i="14"/>
  <c r="CF27" i="14"/>
  <c r="BJ29" i="14"/>
  <c r="BG29" i="14"/>
  <c r="BE29" i="14"/>
  <c r="BF30" i="14"/>
  <c r="BI29" i="14"/>
  <c r="BH29" i="14" s="1"/>
  <c r="DC24" i="14"/>
  <c r="CZ24" i="14"/>
  <c r="CX24" i="14"/>
  <c r="CY25" i="14"/>
  <c r="DB24" i="14"/>
  <c r="DA24" i="14" s="1"/>
  <c r="CT25" i="14"/>
  <c r="CO25" i="14"/>
  <c r="CP26" i="14"/>
  <c r="CQ25" i="14"/>
  <c r="CS25" i="14"/>
  <c r="CR25" i="14" s="1"/>
  <c r="Z33" i="14"/>
  <c r="U33" i="14"/>
  <c r="Y33" i="14"/>
  <c r="X33" i="14" s="1"/>
  <c r="W33" i="14"/>
  <c r="BA30" i="14"/>
  <c r="AZ30" i="14"/>
  <c r="AY30" i="14" s="1"/>
  <c r="AX30" i="14"/>
  <c r="AV30" i="14"/>
  <c r="AW31" i="14"/>
  <c r="BS29" i="14"/>
  <c r="BP29" i="14"/>
  <c r="BO30" i="14"/>
  <c r="BN29" i="14"/>
  <c r="BR29" i="14"/>
  <c r="BQ29" i="14" s="1"/>
  <c r="DF24" i="14" l="1"/>
  <c r="DO24" i="14"/>
  <c r="BV29" i="14"/>
  <c r="AC33" i="14"/>
  <c r="CN27" i="14"/>
  <c r="BD30" i="14"/>
  <c r="DN25" i="14"/>
  <c r="DM25" i="14"/>
  <c r="CW25" i="14"/>
  <c r="DE25" i="14"/>
  <c r="DD25" i="14"/>
  <c r="CV26" i="14"/>
  <c r="CU26" i="14"/>
  <c r="CE28" i="14"/>
  <c r="CM28" i="14"/>
  <c r="CL28" i="14"/>
  <c r="CC29" i="14"/>
  <c r="CD29" i="14"/>
  <c r="AU31" i="14"/>
  <c r="BL30" i="14"/>
  <c r="BK30" i="14"/>
  <c r="BB31" i="14"/>
  <c r="BC31" i="14"/>
  <c r="BM29" i="14"/>
  <c r="BT30" i="14"/>
  <c r="BU30" i="14"/>
  <c r="AL31" i="14"/>
  <c r="AT32" i="14"/>
  <c r="AS32" i="14"/>
  <c r="AK32" i="14"/>
  <c r="AJ32" i="14"/>
  <c r="AF32" i="14"/>
  <c r="AI32" i="14"/>
  <c r="AH32" i="14"/>
  <c r="AG32" i="14" s="1"/>
  <c r="AD32" i="14"/>
  <c r="AE33" i="14"/>
  <c r="AD33" i="14" s="1"/>
  <c r="DC25" i="14"/>
  <c r="CX25" i="14"/>
  <c r="DB25" i="14"/>
  <c r="DA25" i="14" s="1"/>
  <c r="CZ25" i="14"/>
  <c r="CY26" i="14"/>
  <c r="CB29" i="14"/>
  <c r="BW29" i="14"/>
  <c r="BX30" i="14"/>
  <c r="BY29" i="14"/>
  <c r="CA29" i="14"/>
  <c r="BZ29" i="14" s="1"/>
  <c r="BA31" i="14"/>
  <c r="AX31" i="14"/>
  <c r="AV31" i="14"/>
  <c r="AZ31" i="14"/>
  <c r="AY31" i="14" s="1"/>
  <c r="AW32" i="14"/>
  <c r="BJ30" i="14"/>
  <c r="BE30" i="14"/>
  <c r="BG30" i="14"/>
  <c r="BF31" i="14"/>
  <c r="BI30" i="14"/>
  <c r="BH30" i="14" s="1"/>
  <c r="DH26" i="14"/>
  <c r="DI25" i="14"/>
  <c r="DG25" i="14"/>
  <c r="BS30" i="14"/>
  <c r="BN30" i="14"/>
  <c r="BO31" i="14"/>
  <c r="BP30" i="14"/>
  <c r="BR30" i="14"/>
  <c r="BQ30" i="14" s="1"/>
  <c r="AR32" i="14"/>
  <c r="AN33" i="14"/>
  <c r="AQ32" i="14"/>
  <c r="AP32" i="14" s="1"/>
  <c r="AM32" i="14"/>
  <c r="AO32" i="14"/>
  <c r="CT26" i="14"/>
  <c r="CO26" i="14"/>
  <c r="CP27" i="14"/>
  <c r="CS26" i="14"/>
  <c r="CR26" i="14" s="1"/>
  <c r="CQ26" i="14"/>
  <c r="CK28" i="14"/>
  <c r="CH28" i="14"/>
  <c r="CF28" i="14"/>
  <c r="CG29" i="14"/>
  <c r="CJ28" i="14"/>
  <c r="CI28" i="14" s="1"/>
  <c r="DF25" i="14" l="1"/>
  <c r="DO25" i="14"/>
  <c r="BV30" i="14"/>
  <c r="CN28" i="14"/>
  <c r="DN26" i="14"/>
  <c r="DM26" i="14"/>
  <c r="DE26" i="14"/>
  <c r="DD26" i="14"/>
  <c r="CW26" i="14"/>
  <c r="CV27" i="14"/>
  <c r="CU27" i="14"/>
  <c r="AL32" i="14"/>
  <c r="AU32" i="14"/>
  <c r="CE29" i="14"/>
  <c r="CM29" i="14"/>
  <c r="CL29" i="14"/>
  <c r="CD30" i="14"/>
  <c r="CC30" i="14"/>
  <c r="BM30" i="14"/>
  <c r="BD31" i="14"/>
  <c r="BK31" i="14"/>
  <c r="BL31" i="14"/>
  <c r="BC32" i="14"/>
  <c r="BB32" i="14"/>
  <c r="BU31" i="14"/>
  <c r="BT31" i="14"/>
  <c r="AT33" i="14"/>
  <c r="AS33" i="14"/>
  <c r="DC26" i="14"/>
  <c r="CX26" i="14"/>
  <c r="DB26" i="14"/>
  <c r="DA26" i="14" s="1"/>
  <c r="CZ26" i="14"/>
  <c r="CY27" i="14"/>
  <c r="CK29" i="14"/>
  <c r="CG30" i="14"/>
  <c r="CH29" i="14"/>
  <c r="CJ29" i="14"/>
  <c r="CI29" i="14" s="1"/>
  <c r="CF29" i="14"/>
  <c r="AR33" i="14"/>
  <c r="AO33" i="14"/>
  <c r="AQ33" i="14"/>
  <c r="AP33" i="14" s="1"/>
  <c r="AM33" i="14"/>
  <c r="DI26" i="14"/>
  <c r="DH27" i="14"/>
  <c r="DG26" i="14"/>
  <c r="BJ31" i="14"/>
  <c r="BG31" i="14"/>
  <c r="BF32" i="14"/>
  <c r="BE31" i="14"/>
  <c r="BI31" i="14"/>
  <c r="BH31" i="14" s="1"/>
  <c r="BA32" i="14"/>
  <c r="AX32" i="14"/>
  <c r="AV32" i="14"/>
  <c r="AW33" i="14"/>
  <c r="AZ32" i="14"/>
  <c r="AY32" i="14" s="1"/>
  <c r="CB30" i="14"/>
  <c r="BY30" i="14"/>
  <c r="BX31" i="14"/>
  <c r="BW30" i="14"/>
  <c r="CA30" i="14"/>
  <c r="BZ30" i="14" s="1"/>
  <c r="BS31" i="14"/>
  <c r="BO32" i="14"/>
  <c r="BP31" i="14"/>
  <c r="BN31" i="14"/>
  <c r="BR31" i="14"/>
  <c r="BQ31" i="14" s="1"/>
  <c r="CT27" i="14"/>
  <c r="CQ27" i="14"/>
  <c r="CO27" i="14"/>
  <c r="CS27" i="14"/>
  <c r="CR27" i="14" s="1"/>
  <c r="CP28" i="14"/>
  <c r="CN29" i="14" l="1"/>
  <c r="BV31" i="14"/>
  <c r="DO26" i="14"/>
  <c r="DF26" i="14"/>
  <c r="CE30" i="14"/>
  <c r="CW27" i="14"/>
  <c r="DN27" i="14"/>
  <c r="DM27" i="14"/>
  <c r="DE27" i="14"/>
  <c r="DD27" i="14"/>
  <c r="AU33" i="14"/>
  <c r="CV28" i="14"/>
  <c r="CU28" i="14"/>
  <c r="CM30" i="14"/>
  <c r="CL30" i="14"/>
  <c r="BD32" i="14"/>
  <c r="CD31" i="14"/>
  <c r="CC31" i="14"/>
  <c r="BK32" i="14"/>
  <c r="BL32" i="14"/>
  <c r="BM31" i="14"/>
  <c r="BC33" i="14"/>
  <c r="BB33" i="14"/>
  <c r="BT32" i="14"/>
  <c r="BU32" i="14"/>
  <c r="AV33" i="14"/>
  <c r="DH28" i="14"/>
  <c r="DI27" i="14"/>
  <c r="DG27" i="14"/>
  <c r="BE32" i="14"/>
  <c r="BJ32" i="14"/>
  <c r="BF33" i="14"/>
  <c r="BG32" i="14"/>
  <c r="BI32" i="14"/>
  <c r="BH32" i="14" s="1"/>
  <c r="DC27" i="14"/>
  <c r="DB27" i="14"/>
  <c r="DA27" i="14" s="1"/>
  <c r="CZ27" i="14"/>
  <c r="CY28" i="14"/>
  <c r="CX27" i="14"/>
  <c r="CT28" i="14"/>
  <c r="CO28" i="14"/>
  <c r="CS28" i="14"/>
  <c r="CR28" i="14" s="1"/>
  <c r="CP29" i="14"/>
  <c r="CQ28" i="14"/>
  <c r="CA31" i="14"/>
  <c r="BZ31" i="14" s="1"/>
  <c r="BY31" i="14"/>
  <c r="BW31" i="14"/>
  <c r="BX32" i="14"/>
  <c r="CB31" i="14"/>
  <c r="CK30" i="14"/>
  <c r="CH30" i="14"/>
  <c r="CF30" i="14"/>
  <c r="CJ30" i="14"/>
  <c r="CI30" i="14" s="1"/>
  <c r="CG31" i="14"/>
  <c r="BS32" i="14"/>
  <c r="BP32" i="14"/>
  <c r="BO33" i="14"/>
  <c r="BR32" i="14"/>
  <c r="BQ32" i="14" s="1"/>
  <c r="BN32" i="14"/>
  <c r="DO27" i="14" l="1"/>
  <c r="DF27" i="14"/>
  <c r="BV32" i="14"/>
  <c r="CN30" i="14"/>
  <c r="CW28" i="14"/>
  <c r="DN28" i="14"/>
  <c r="DM28" i="14"/>
  <c r="DE28" i="14"/>
  <c r="DD28" i="14"/>
  <c r="CE31" i="14"/>
  <c r="CV29" i="14"/>
  <c r="CU29" i="14"/>
  <c r="CM31" i="14"/>
  <c r="CL31" i="14"/>
  <c r="CD32" i="14"/>
  <c r="CC32" i="14"/>
  <c r="BD33" i="14"/>
  <c r="BK33" i="14"/>
  <c r="BL33" i="14"/>
  <c r="BM32" i="14"/>
  <c r="BU33" i="14"/>
  <c r="BT33" i="14"/>
  <c r="BJ33" i="14"/>
  <c r="BE33" i="14"/>
  <c r="BI33" i="14"/>
  <c r="BH33" i="14" s="1"/>
  <c r="BG33" i="14"/>
  <c r="CK31" i="14"/>
  <c r="CG32" i="14"/>
  <c r="CH31" i="14"/>
  <c r="CJ31" i="14"/>
  <c r="CI31" i="14" s="1"/>
  <c r="CF31" i="14"/>
  <c r="BS33" i="14"/>
  <c r="BN33" i="14"/>
  <c r="BR33" i="14"/>
  <c r="BQ33" i="14" s="1"/>
  <c r="BP33" i="14"/>
  <c r="CT29" i="14"/>
  <c r="CP30" i="14"/>
  <c r="CQ29" i="14"/>
  <c r="CS29" i="14"/>
  <c r="CR29" i="14" s="1"/>
  <c r="CO29" i="14"/>
  <c r="DC28" i="14"/>
  <c r="CY29" i="14"/>
  <c r="DB28" i="14"/>
  <c r="DA28" i="14" s="1"/>
  <c r="CZ28" i="14"/>
  <c r="CX28" i="14"/>
  <c r="DH29" i="14"/>
  <c r="DG28" i="14"/>
  <c r="DI28" i="14"/>
  <c r="CB32" i="14"/>
  <c r="BW32" i="14"/>
  <c r="CA32" i="14"/>
  <c r="BZ32" i="14" s="1"/>
  <c r="BX33" i="14"/>
  <c r="BY32" i="14"/>
  <c r="DF28" i="14" l="1"/>
  <c r="BV33" i="14"/>
  <c r="DO28" i="14"/>
  <c r="CN31" i="14"/>
  <c r="DM29" i="14"/>
  <c r="DN29" i="14"/>
  <c r="CW29" i="14"/>
  <c r="DE29" i="14"/>
  <c r="DD29" i="14"/>
  <c r="CE32" i="14"/>
  <c r="CV30" i="14"/>
  <c r="CU30" i="14"/>
  <c r="CM32" i="14"/>
  <c r="CL32" i="14"/>
  <c r="BW33" i="14"/>
  <c r="CD33" i="14"/>
  <c r="CC33" i="14"/>
  <c r="BM33" i="14"/>
  <c r="CK32" i="14"/>
  <c r="CH32" i="14"/>
  <c r="CG33" i="14"/>
  <c r="CJ32" i="14"/>
  <c r="CI32" i="14" s="1"/>
  <c r="CF32" i="14"/>
  <c r="DC29" i="14"/>
  <c r="CZ29" i="14"/>
  <c r="CY30" i="14"/>
  <c r="CX29" i="14"/>
  <c r="DB29" i="14"/>
  <c r="DA29" i="14" s="1"/>
  <c r="CT30" i="14"/>
  <c r="CP31" i="14"/>
  <c r="CO30" i="14"/>
  <c r="CS30" i="14"/>
  <c r="CR30" i="14" s="1"/>
  <c r="CQ30" i="14"/>
  <c r="DH30" i="14"/>
  <c r="DI29" i="14"/>
  <c r="DG29" i="14"/>
  <c r="DF29" i="14" l="1"/>
  <c r="CN32" i="14"/>
  <c r="DO29" i="14"/>
  <c r="DN30" i="14"/>
  <c r="DM30" i="14"/>
  <c r="CW30" i="14"/>
  <c r="DE30" i="14"/>
  <c r="DD30" i="14"/>
  <c r="CE33" i="14"/>
  <c r="CU31" i="14"/>
  <c r="CV31" i="14"/>
  <c r="CM33" i="14"/>
  <c r="CL33" i="14"/>
  <c r="CT31" i="14"/>
  <c r="CP32" i="14"/>
  <c r="CO31" i="14"/>
  <c r="CS31" i="14"/>
  <c r="CR31" i="14" s="1"/>
  <c r="CQ31" i="14"/>
  <c r="DC30" i="14"/>
  <c r="CZ30" i="14"/>
  <c r="DB30" i="14"/>
  <c r="DA30" i="14" s="1"/>
  <c r="CY31" i="14"/>
  <c r="CX30" i="14"/>
  <c r="DG30" i="14"/>
  <c r="DH31" i="14"/>
  <c r="DI30" i="14"/>
  <c r="CK33" i="14"/>
  <c r="CF33" i="14"/>
  <c r="CJ33" i="14"/>
  <c r="CI33" i="14" s="1"/>
  <c r="CH33" i="14"/>
  <c r="DF30" i="14" l="1"/>
  <c r="DO30" i="14"/>
  <c r="CN33" i="14"/>
  <c r="DN31" i="14"/>
  <c r="DM31" i="14"/>
  <c r="DE31" i="14"/>
  <c r="DD31" i="14"/>
  <c r="CV32" i="14"/>
  <c r="CU32" i="14"/>
  <c r="CW31" i="14"/>
  <c r="DC31" i="14"/>
  <c r="CX31" i="14"/>
  <c r="CY32" i="14"/>
  <c r="CZ31" i="14"/>
  <c r="DB31" i="14"/>
  <c r="DA31" i="14" s="1"/>
  <c r="CT32" i="14"/>
  <c r="CP33" i="14"/>
  <c r="CQ32" i="14"/>
  <c r="CO32" i="14"/>
  <c r="CS32" i="14"/>
  <c r="CR32" i="14" s="1"/>
  <c r="DI31" i="14"/>
  <c r="DH32" i="14"/>
  <c r="DG31" i="14"/>
  <c r="DO31" i="14" l="1"/>
  <c r="DF31" i="14"/>
  <c r="DN32" i="14"/>
  <c r="DM32" i="14"/>
  <c r="DE32" i="14"/>
  <c r="DD32" i="14"/>
  <c r="CW32" i="14"/>
  <c r="CO33" i="14"/>
  <c r="CV33" i="14"/>
  <c r="CU33" i="14"/>
  <c r="DC32" i="14"/>
  <c r="CY33" i="14"/>
  <c r="DB32" i="14"/>
  <c r="DA32" i="14" s="1"/>
  <c r="CZ32" i="14"/>
  <c r="CX32" i="14"/>
  <c r="DG32" i="14"/>
  <c r="DI32" i="14"/>
  <c r="DH33" i="14"/>
  <c r="DF32" i="14" l="1"/>
  <c r="DO32" i="14"/>
  <c r="DN33" i="14"/>
  <c r="DM33" i="14"/>
  <c r="DE33" i="14"/>
  <c r="DD33" i="14"/>
  <c r="CW33" i="14"/>
  <c r="DG33" i="14"/>
  <c r="DI33" i="14"/>
  <c r="DC33" i="14"/>
  <c r="DB33" i="14"/>
  <c r="DA33" i="14" s="1"/>
  <c r="CZ33" i="14"/>
  <c r="CX33" i="14"/>
  <c r="C26" i="28"/>
  <c r="C29" i="28" l="1"/>
  <c r="DF33" i="14"/>
  <c r="DO33" i="14"/>
  <c r="D26" i="28"/>
  <c r="D29" i="28" s="1"/>
  <c r="E26" i="28" l="1"/>
  <c r="E29" i="28" s="1"/>
  <c r="F26" i="28" l="1"/>
  <c r="F29" i="28" s="1"/>
  <c r="G26" i="28" l="1"/>
  <c r="G29" i="28" s="1"/>
  <c r="H26" i="28" l="1"/>
  <c r="H29" i="28" s="1"/>
  <c r="B28" i="28" a="1"/>
  <c r="B27" i="28" l="1" a="1"/>
  <c r="B28" i="28"/>
  <c r="E28" i="28"/>
  <c r="D28" i="28"/>
  <c r="H28" i="28"/>
  <c r="F28" i="28"/>
  <c r="G28" i="28"/>
  <c r="C28" i="28"/>
  <c r="B27" i="28" l="1"/>
  <c r="F27" i="28"/>
  <c r="C27" i="28"/>
  <c r="E27" i="28"/>
  <c r="H27" i="28"/>
  <c r="G27" i="28"/>
  <c r="D27" i="28"/>
</calcChain>
</file>

<file path=xl/comments1.xml><?xml version="1.0" encoding="utf-8"?>
<comments xmlns="http://schemas.openxmlformats.org/spreadsheetml/2006/main">
  <authors>
    <author/>
  </authors>
  <commentList>
    <comment ref="B3" authorId="0" shapeId="0">
      <text>
        <r>
          <rPr>
            <sz val="10"/>
            <rFont val="Arial"/>
            <family val="2"/>
          </rPr>
          <t>Pour faire apparaître un jour coloré comme jour férié, sans intitulé visible, insérer dans la colonne « intitulé » un caractère blanc autre que l'espace (ou copier l'intitulé du lundi de Pâques en A11)</t>
        </r>
      </text>
    </comment>
    <comment ref="C6" authorId="0" shapeId="0">
      <text>
        <r>
          <rPr>
            <sz val="10"/>
            <rFont val="Arial"/>
            <family val="2"/>
          </rPr>
          <t>Seulement si Pâques et le changement d'heure tombent un même jour</t>
        </r>
      </text>
    </comment>
    <comment ref="C8" authorId="0" shapeId="0">
      <text>
        <r>
          <rPr>
            <sz val="10"/>
            <rFont val="Arial"/>
            <family val="2"/>
          </rPr>
          <t>Seulement si Pâques et le changement d'heure tombent un même jour</t>
        </r>
      </text>
    </comment>
    <comment ref="C9" authorId="0" shapeId="0">
      <text>
        <r>
          <rPr>
            <sz val="10"/>
            <rFont val="Arial"/>
            <family val="2"/>
          </rPr>
          <t xml:space="preserve">2e dimanche de mars, depuis 2007 (avant c'était le 1er dimanche d'avril)
</t>
        </r>
      </text>
    </comment>
    <comment ref="C19" authorId="0" shapeId="0">
      <text>
        <r>
          <rPr>
            <sz val="10"/>
            <rFont val="Arial"/>
            <family val="2"/>
          </rPr>
          <t>dernier dimanche d'octobre</t>
        </r>
      </text>
    </comment>
    <comment ref="C28" authorId="0" shapeId="0">
      <text>
        <r>
          <rPr>
            <sz val="10"/>
            <rFont val="Arial"/>
            <family val="2"/>
          </rPr>
          <t>Premier lundi de septembre</t>
        </r>
      </text>
    </comment>
    <comment ref="C29" authorId="0" shapeId="0">
      <text>
        <r>
          <rPr>
            <sz val="10"/>
            <rFont val="Arial"/>
            <family val="2"/>
          </rPr>
          <t>Dernier dimanche de mai, sauf si celui-ci est le dimanche de Pentecôte. Dans ce cas, la Fête des mères est reportée au premier dimanche de juin.</t>
        </r>
      </text>
    </comment>
    <comment ref="C31" authorId="0" shapeId="0">
      <text>
        <r>
          <rPr>
            <sz val="10"/>
            <rFont val="Arial"/>
            <family val="2"/>
          </rPr>
          <t>3ème dimanche de juin</t>
        </r>
      </text>
    </comment>
    <comment ref="C32" authorId="0" shapeId="0">
      <text>
        <r>
          <rPr>
            <sz val="10"/>
            <rFont val="Arial"/>
            <family val="2"/>
          </rPr>
          <t>1er dimanche de mars</t>
        </r>
      </text>
    </comment>
    <comment ref="C33" authorId="0" shapeId="0">
      <text>
        <r>
          <rPr>
            <sz val="10"/>
            <rFont val="Arial"/>
            <family val="2"/>
          </rPr>
          <t>2ème dimanche après Noël</t>
        </r>
      </text>
    </comment>
    <comment ref="C37" authorId="0" shapeId="0">
      <text>
        <r>
          <rPr>
            <sz val="10"/>
            <rFont val="Arial"/>
            <family val="2"/>
          </rPr>
          <t>1er dimanche de novembre depuis 2007 (avant c'était dernier dimanche d'octobre, comme en europe)</t>
        </r>
      </text>
    </comment>
    <comment ref="C45" authorId="0" shapeId="0">
      <text>
        <r>
          <rPr>
            <sz val="10"/>
            <rFont val="Arial"/>
            <family val="2"/>
          </rPr>
          <t>Journée nationale des patriotes, le lundi précédent le 25 mai</t>
        </r>
      </text>
    </comment>
    <comment ref="C46" authorId="0" shapeId="0">
      <text>
        <r>
          <rPr>
            <sz val="10"/>
            <rFont val="Arial"/>
            <family val="2"/>
          </rPr>
          <t>Report du jour férié au lundi si la fête nationale tombe un dimanche</t>
        </r>
      </text>
    </comment>
    <comment ref="C48" authorId="0" shapeId="0">
      <text>
        <r>
          <rPr>
            <sz val="10"/>
            <rFont val="Arial"/>
            <family val="2"/>
          </rPr>
          <t>Report du jour férié au lundi si la fête du Canada tombe un dimanche</t>
        </r>
      </text>
    </comment>
    <comment ref="C49" authorId="0" shapeId="0">
      <text>
        <r>
          <rPr>
            <sz val="10"/>
            <rFont val="Arial"/>
            <family val="2"/>
          </rPr>
          <t>Deuxième lundi d'octobre</t>
        </r>
      </text>
    </comment>
    <comment ref="C53" authorId="0" shapeId="0">
      <text>
        <r>
          <rPr>
            <sz val="10"/>
            <rFont val="Arial"/>
            <family val="2"/>
          </rPr>
          <t>premier jeudi d'avril</t>
        </r>
      </text>
    </comment>
    <comment ref="C55" authorId="0" shapeId="0">
      <text>
        <r>
          <rPr>
            <sz val="10"/>
            <rFont val="Arial"/>
            <family val="2"/>
          </rPr>
          <t>3eme dimanche de septembre</t>
        </r>
      </text>
    </comment>
    <comment ref="C56" authorId="0" shapeId="0">
      <text>
        <r>
          <rPr>
            <sz val="10"/>
            <rFont val="Arial"/>
            <family val="2"/>
          </rPr>
          <t>jeudi suivant le 1er dimanche de septembre</t>
        </r>
      </text>
    </comment>
  </commentList>
</comments>
</file>

<file path=xl/sharedStrings.xml><?xml version="1.0" encoding="utf-8"?>
<sst xmlns="http://schemas.openxmlformats.org/spreadsheetml/2006/main" count="3321" uniqueCount="640">
  <si>
    <t>Janvier</t>
  </si>
  <si>
    <t>Année scolaire</t>
  </si>
  <si>
    <t>Date Début vacances</t>
  </si>
  <si>
    <t>Date Fin vacances</t>
  </si>
  <si>
    <t>Février</t>
  </si>
  <si>
    <t>Fériés</t>
  </si>
  <si>
    <t>http://www.education.gouv.fr/pid25058/le-calendrier-scolaire.html?annee=108&amp;zone=0&amp;search_input=%A0D%E9partement%2C+Code+postal+ou+ville</t>
  </si>
  <si>
    <t>Académie de dijon</t>
  </si>
  <si>
    <t>Mars</t>
  </si>
  <si>
    <t>DVac</t>
  </si>
  <si>
    <t>FVac</t>
  </si>
  <si>
    <t>Avril</t>
  </si>
  <si>
    <t>2013/2014</t>
  </si>
  <si>
    <t>Noël</t>
  </si>
  <si>
    <t>Mai</t>
  </si>
  <si>
    <t>Hiver</t>
  </si>
  <si>
    <t>Juin</t>
  </si>
  <si>
    <t>Printemps</t>
  </si>
  <si>
    <t>Juillet</t>
  </si>
  <si>
    <t>Eté</t>
  </si>
  <si>
    <t>Août</t>
  </si>
  <si>
    <t>Toussaint</t>
  </si>
  <si>
    <t>Septembre</t>
  </si>
  <si>
    <t>Octobre</t>
  </si>
  <si>
    <t>Novembre</t>
  </si>
  <si>
    <t>Décembre</t>
  </si>
  <si>
    <t>Mois</t>
  </si>
  <si>
    <t>Année</t>
  </si>
  <si>
    <t>Jours</t>
  </si>
  <si>
    <t>Date</t>
  </si>
  <si>
    <t>Heure début</t>
  </si>
  <si>
    <t>Heure fin</t>
  </si>
  <si>
    <t>Total journée</t>
  </si>
  <si>
    <t>Total</t>
  </si>
  <si>
    <t>TARAUD Sébastien</t>
  </si>
  <si>
    <t>Nom</t>
  </si>
  <si>
    <t>Prénom</t>
  </si>
  <si>
    <t>date</t>
  </si>
  <si>
    <t>Virely</t>
  </si>
  <si>
    <t>élodie</t>
  </si>
  <si>
    <t>Taraud</t>
  </si>
  <si>
    <t>sebastien</t>
  </si>
  <si>
    <t>comentaire</t>
  </si>
  <si>
    <t>naissance</t>
  </si>
  <si>
    <t>rencontre</t>
  </si>
  <si>
    <t>audrey</t>
  </si>
  <si>
    <t>jerôme</t>
  </si>
  <si>
    <t>chapellas</t>
  </si>
  <si>
    <t>fabien</t>
  </si>
  <si>
    <t xml:space="preserve">Lachaise </t>
  </si>
  <si>
    <t>Hervé</t>
  </si>
  <si>
    <t>Boireau</t>
  </si>
  <si>
    <t>eric</t>
  </si>
  <si>
    <t>estelle</t>
  </si>
  <si>
    <t>daniel</t>
  </si>
  <si>
    <t>gisèle</t>
  </si>
  <si>
    <t>marriage</t>
  </si>
  <si>
    <t>stéphanie</t>
  </si>
  <si>
    <t>boireau</t>
  </si>
  <si>
    <t>mélanie</t>
  </si>
  <si>
    <t>Barberan</t>
  </si>
  <si>
    <t>chedeville</t>
  </si>
  <si>
    <t>phillipe</t>
  </si>
  <si>
    <t xml:space="preserve">Laborde </t>
  </si>
  <si>
    <t>Clément</t>
  </si>
  <si>
    <t>Lapostalle</t>
  </si>
  <si>
    <t>Alexandre</t>
  </si>
  <si>
    <t>Nom Prénom</t>
  </si>
  <si>
    <t>Date de fête</t>
  </si>
  <si>
    <t xml:space="preserve">Prénom </t>
  </si>
  <si>
    <t>Jour de l'an</t>
  </si>
  <si>
    <t>Basile</t>
  </si>
  <si>
    <t>Geneviève</t>
  </si>
  <si>
    <t>Odilon</t>
  </si>
  <si>
    <t>Edouard</t>
  </si>
  <si>
    <t>Mélaine</t>
  </si>
  <si>
    <t>Raymond</t>
  </si>
  <si>
    <t>Lucien</t>
  </si>
  <si>
    <t>Alix</t>
  </si>
  <si>
    <t>Guillaume</t>
  </si>
  <si>
    <t>Pauline</t>
  </si>
  <si>
    <t>Tatiana</t>
  </si>
  <si>
    <t>Yvette</t>
  </si>
  <si>
    <t>Nina</t>
  </si>
  <si>
    <t>Rémi</t>
  </si>
  <si>
    <t>Marcel</t>
  </si>
  <si>
    <t>Roseline</t>
  </si>
  <si>
    <t>Prisca</t>
  </si>
  <si>
    <t>Marius</t>
  </si>
  <si>
    <t>Sébastien</t>
  </si>
  <si>
    <t>Agnès</t>
  </si>
  <si>
    <t>Vincent</t>
  </si>
  <si>
    <t>Banard</t>
  </si>
  <si>
    <t>François de Sales</t>
  </si>
  <si>
    <t>Conversion de Paul</t>
  </si>
  <si>
    <t>Paule</t>
  </si>
  <si>
    <t>Angèle</t>
  </si>
  <si>
    <t>Thomas d'Aquin</t>
  </si>
  <si>
    <t>Gildas</t>
  </si>
  <si>
    <t>Martine</t>
  </si>
  <si>
    <t>Marcelle</t>
  </si>
  <si>
    <t>Ella</t>
  </si>
  <si>
    <t>Présentation</t>
  </si>
  <si>
    <t>Blaise</t>
  </si>
  <si>
    <t>Véronique</t>
  </si>
  <si>
    <t>Agathe</t>
  </si>
  <si>
    <t>Gaston</t>
  </si>
  <si>
    <t>Eugènie</t>
  </si>
  <si>
    <t>Jacqueline</t>
  </si>
  <si>
    <t>Apolline</t>
  </si>
  <si>
    <t>Arnaud</t>
  </si>
  <si>
    <t>Notre Dame de Lourdes</t>
  </si>
  <si>
    <t>Félix</t>
  </si>
  <si>
    <t>Béatrice</t>
  </si>
  <si>
    <t>Valentin</t>
  </si>
  <si>
    <t>Claude</t>
  </si>
  <si>
    <t>Julienne</t>
  </si>
  <si>
    <t>Alexis</t>
  </si>
  <si>
    <t>Bernadette</t>
  </si>
  <si>
    <t>Gabin</t>
  </si>
  <si>
    <t>Aimée</t>
  </si>
  <si>
    <t>Damien</t>
  </si>
  <si>
    <t>Isabelle</t>
  </si>
  <si>
    <t>Lazare</t>
  </si>
  <si>
    <t>Modeste</t>
  </si>
  <si>
    <t>Roméo</t>
  </si>
  <si>
    <t>Nestor</t>
  </si>
  <si>
    <t>Honorine</t>
  </si>
  <si>
    <t>Romain</t>
  </si>
  <si>
    <t>Auguste</t>
  </si>
  <si>
    <t>Aubin</t>
  </si>
  <si>
    <t>Charles le Bon</t>
  </si>
  <si>
    <t>Guénolé</t>
  </si>
  <si>
    <t>Casimir</t>
  </si>
  <si>
    <t>Olive</t>
  </si>
  <si>
    <t>Colette</t>
  </si>
  <si>
    <t>Félicité</t>
  </si>
  <si>
    <t>Jean de Dieu</t>
  </si>
  <si>
    <t>Françoise</t>
  </si>
  <si>
    <t>Vivien</t>
  </si>
  <si>
    <t>Rosine</t>
  </si>
  <si>
    <t>Justine</t>
  </si>
  <si>
    <t>Rodrigue</t>
  </si>
  <si>
    <t>Mathilde</t>
  </si>
  <si>
    <t>Louise</t>
  </si>
  <si>
    <t>Bénédicte</t>
  </si>
  <si>
    <t>Patrice</t>
  </si>
  <si>
    <t>Cyrille</t>
  </si>
  <si>
    <t>Joseph</t>
  </si>
  <si>
    <t>Printemps/Rameaux</t>
  </si>
  <si>
    <t>Clémence</t>
  </si>
  <si>
    <t>Léa</t>
  </si>
  <si>
    <t>Victorien</t>
  </si>
  <si>
    <t>Catherine</t>
  </si>
  <si>
    <t>Annonciation</t>
  </si>
  <si>
    <t>Larissa</t>
  </si>
  <si>
    <t>Habib</t>
  </si>
  <si>
    <t>Gontran</t>
  </si>
  <si>
    <t>Gwladys</t>
  </si>
  <si>
    <t>Amédée</t>
  </si>
  <si>
    <t>Benjamin</t>
  </si>
  <si>
    <t>Hugues</t>
  </si>
  <si>
    <t>Sandrine</t>
  </si>
  <si>
    <t>Richard</t>
  </si>
  <si>
    <t>Isidore</t>
  </si>
  <si>
    <t>Irène</t>
  </si>
  <si>
    <t>Marcellin</t>
  </si>
  <si>
    <t>Jean-Baptiste de la Salle</t>
  </si>
  <si>
    <t>Julie</t>
  </si>
  <si>
    <t>Gautier</t>
  </si>
  <si>
    <t>Fulbert</t>
  </si>
  <si>
    <t>Stanislas</t>
  </si>
  <si>
    <t>Jules</t>
  </si>
  <si>
    <t>Ida</t>
  </si>
  <si>
    <t>Maxime</t>
  </si>
  <si>
    <t>Paterne</t>
  </si>
  <si>
    <t>Benoît-Joseph</t>
  </si>
  <si>
    <t>Anicet</t>
  </si>
  <si>
    <t>Parfait</t>
  </si>
  <si>
    <t>Emma</t>
  </si>
  <si>
    <t>Odette</t>
  </si>
  <si>
    <t>Anselme</t>
  </si>
  <si>
    <t>Georges</t>
  </si>
  <si>
    <t>Fidèle</t>
  </si>
  <si>
    <t>Marc</t>
  </si>
  <si>
    <t>Alida</t>
  </si>
  <si>
    <t>Zita</t>
  </si>
  <si>
    <t>Valérie</t>
  </si>
  <si>
    <t>Catherine de Sienne</t>
  </si>
  <si>
    <t>Robert</t>
  </si>
  <si>
    <t>Fête du travail</t>
  </si>
  <si>
    <t>Boris</t>
  </si>
  <si>
    <t>Philippe, Jacques</t>
  </si>
  <si>
    <t>Sylvain</t>
  </si>
  <si>
    <t>Judith</t>
  </si>
  <si>
    <t>Prudence</t>
  </si>
  <si>
    <t>Gisèle</t>
  </si>
  <si>
    <t>Armistice 1945</t>
  </si>
  <si>
    <t>Pacôme</t>
  </si>
  <si>
    <t>Solange</t>
  </si>
  <si>
    <t>Estelle</t>
  </si>
  <si>
    <t>Achille</t>
  </si>
  <si>
    <t>Rolande</t>
  </si>
  <si>
    <t>Matthias</t>
  </si>
  <si>
    <t>Denise</t>
  </si>
  <si>
    <t>Honoré</t>
  </si>
  <si>
    <t>Pascal</t>
  </si>
  <si>
    <t>Eric</t>
  </si>
  <si>
    <t>Yves</t>
  </si>
  <si>
    <t>Bernardin</t>
  </si>
  <si>
    <t>Constantin</t>
  </si>
  <si>
    <t>Emile</t>
  </si>
  <si>
    <t>Didier</t>
  </si>
  <si>
    <t>Donatien</t>
  </si>
  <si>
    <t>Sophie</t>
  </si>
  <si>
    <t>Bérenger</t>
  </si>
  <si>
    <t>Augustin</t>
  </si>
  <si>
    <t>Germain</t>
  </si>
  <si>
    <t>Aymar</t>
  </si>
  <si>
    <t>Ferdinand</t>
  </si>
  <si>
    <t>Visitation de la Sainte Vierge</t>
  </si>
  <si>
    <t>Justin</t>
  </si>
  <si>
    <t>Blandine</t>
  </si>
  <si>
    <t>Kévin</t>
  </si>
  <si>
    <t>Clotilde</t>
  </si>
  <si>
    <t>Igor</t>
  </si>
  <si>
    <t>Norbert</t>
  </si>
  <si>
    <t>Gilbert</t>
  </si>
  <si>
    <t>Médard</t>
  </si>
  <si>
    <t>Diane</t>
  </si>
  <si>
    <t>Landry</t>
  </si>
  <si>
    <t>Barnabé</t>
  </si>
  <si>
    <t>Guy</t>
  </si>
  <si>
    <t>Antoine de Padoue</t>
  </si>
  <si>
    <t>Elisée</t>
  </si>
  <si>
    <t>Germaine</t>
  </si>
  <si>
    <t>Jean-François Régis</t>
  </si>
  <si>
    <t>Léonce</t>
  </si>
  <si>
    <t>Romuald</t>
  </si>
  <si>
    <t>Silvère</t>
  </si>
  <si>
    <t>Alban</t>
  </si>
  <si>
    <t>Audrey</t>
  </si>
  <si>
    <t>Jean-Baptiste</t>
  </si>
  <si>
    <t>Prosper</t>
  </si>
  <si>
    <t>Anthelme</t>
  </si>
  <si>
    <t>Fernand</t>
  </si>
  <si>
    <t>Irénée</t>
  </si>
  <si>
    <t>Pierre, Paul</t>
  </si>
  <si>
    <t>Martial</t>
  </si>
  <si>
    <t>Thierry</t>
  </si>
  <si>
    <t>Martinien</t>
  </si>
  <si>
    <t>Thomas</t>
  </si>
  <si>
    <t>Florent</t>
  </si>
  <si>
    <t>Antoine</t>
  </si>
  <si>
    <t>Mariette</t>
  </si>
  <si>
    <t>Raoul</t>
  </si>
  <si>
    <t>Thibault</t>
  </si>
  <si>
    <t>Amandine</t>
  </si>
  <si>
    <t>Ulrich</t>
  </si>
  <si>
    <t>Benoît</t>
  </si>
  <si>
    <t>Olivier</t>
  </si>
  <si>
    <t>Henri, Joël</t>
  </si>
  <si>
    <t>Fête Nationale</t>
  </si>
  <si>
    <t>Donald</t>
  </si>
  <si>
    <t>Notre Dame du Mont Carmel</t>
  </si>
  <si>
    <t>Charlotte</t>
  </si>
  <si>
    <t>Frédéric</t>
  </si>
  <si>
    <t>Arsène</t>
  </si>
  <si>
    <t>Marina</t>
  </si>
  <si>
    <t>Victor</t>
  </si>
  <si>
    <t>Marie-Madeleine</t>
  </si>
  <si>
    <t>Brigitte</t>
  </si>
  <si>
    <t>Christine</t>
  </si>
  <si>
    <t>Jacques</t>
  </si>
  <si>
    <t>Anne, Joachin</t>
  </si>
  <si>
    <t>Nathalie</t>
  </si>
  <si>
    <t>Samson</t>
  </si>
  <si>
    <t>Marthe</t>
  </si>
  <si>
    <t>Juliette</t>
  </si>
  <si>
    <t>Ignace de Loyola</t>
  </si>
  <si>
    <t>Alphonse</t>
  </si>
  <si>
    <t>Julien Eymard</t>
  </si>
  <si>
    <t>Lydie</t>
  </si>
  <si>
    <t>Jean-Marie Vianney</t>
  </si>
  <si>
    <t>Abel</t>
  </si>
  <si>
    <t>Transfiguration</t>
  </si>
  <si>
    <t>Gaétan</t>
  </si>
  <si>
    <t>Dominique</t>
  </si>
  <si>
    <t>Amour</t>
  </si>
  <si>
    <t>Laurent</t>
  </si>
  <si>
    <t>Claire</t>
  </si>
  <si>
    <t>Clarisse</t>
  </si>
  <si>
    <t>Hippolyte</t>
  </si>
  <si>
    <t>Evrard</t>
  </si>
  <si>
    <t>Assomption</t>
  </si>
  <si>
    <t>Armel</t>
  </si>
  <si>
    <t>Hyacinthe</t>
  </si>
  <si>
    <t>Hélène</t>
  </si>
  <si>
    <t>Jean-Eudes</t>
  </si>
  <si>
    <t>Bernard</t>
  </si>
  <si>
    <t>Christophe</t>
  </si>
  <si>
    <t>Fabrice</t>
  </si>
  <si>
    <t>Rose de Lima</t>
  </si>
  <si>
    <t>Barthélémy</t>
  </si>
  <si>
    <t>Louis</t>
  </si>
  <si>
    <t>Natacha</t>
  </si>
  <si>
    <t>Monique</t>
  </si>
  <si>
    <t>Sabine</t>
  </si>
  <si>
    <t>Fiacre</t>
  </si>
  <si>
    <t>Aristide</t>
  </si>
  <si>
    <t>Gilles</t>
  </si>
  <si>
    <t>Ingrid</t>
  </si>
  <si>
    <t>Grégoire</t>
  </si>
  <si>
    <t>Rosalie</t>
  </si>
  <si>
    <t>Raïssa</t>
  </si>
  <si>
    <t>Bertrand</t>
  </si>
  <si>
    <t>Reine</t>
  </si>
  <si>
    <t>Nativité</t>
  </si>
  <si>
    <t>Alain</t>
  </si>
  <si>
    <t>Inès</t>
  </si>
  <si>
    <t>Adelphe</t>
  </si>
  <si>
    <t>Apollinaire</t>
  </si>
  <si>
    <t>Aimé</t>
  </si>
  <si>
    <t>Croix Glorieuse</t>
  </si>
  <si>
    <t>Roland</t>
  </si>
  <si>
    <t>Edith</t>
  </si>
  <si>
    <t>Renaud</t>
  </si>
  <si>
    <t>Nadège</t>
  </si>
  <si>
    <t>Emilie</t>
  </si>
  <si>
    <t>Davy</t>
  </si>
  <si>
    <t>Matthieu</t>
  </si>
  <si>
    <t>Maurice</t>
  </si>
  <si>
    <t>Automne</t>
  </si>
  <si>
    <t>Thècle</t>
  </si>
  <si>
    <t>Hermann</t>
  </si>
  <si>
    <t>Côme, Damien</t>
  </si>
  <si>
    <t>Vincent de Paul</t>
  </si>
  <si>
    <t>Venceslas</t>
  </si>
  <si>
    <t>Michel, Gabriel, Raphaël</t>
  </si>
  <si>
    <t>Jérôme</t>
  </si>
  <si>
    <t>Thérèse de l'Enfant Jésus</t>
  </si>
  <si>
    <t>Léger</t>
  </si>
  <si>
    <t>Gérard</t>
  </si>
  <si>
    <t>François d'Assise</t>
  </si>
  <si>
    <t>Fleur</t>
  </si>
  <si>
    <t>Bruno</t>
  </si>
  <si>
    <t>Serge</t>
  </si>
  <si>
    <t>Pélagie</t>
  </si>
  <si>
    <t>Denis</t>
  </si>
  <si>
    <t>Ghislain</t>
  </si>
  <si>
    <t>Firmin</t>
  </si>
  <si>
    <t>Wilfried</t>
  </si>
  <si>
    <t>Géraud</t>
  </si>
  <si>
    <t>Juste</t>
  </si>
  <si>
    <t>Thérèse d'Avila</t>
  </si>
  <si>
    <t>Edwige</t>
  </si>
  <si>
    <t>Baudoin</t>
  </si>
  <si>
    <t>Luc</t>
  </si>
  <si>
    <t>René</t>
  </si>
  <si>
    <t>Adeline</t>
  </si>
  <si>
    <t>Céline</t>
  </si>
  <si>
    <t>Elodie</t>
  </si>
  <si>
    <t>Jean de Capistran</t>
  </si>
  <si>
    <t>Florentin</t>
  </si>
  <si>
    <t>Crépin</t>
  </si>
  <si>
    <t>Dimitri</t>
  </si>
  <si>
    <t>Emeline</t>
  </si>
  <si>
    <t>Jude</t>
  </si>
  <si>
    <t>Narcisse</t>
  </si>
  <si>
    <t>Bienvenu</t>
  </si>
  <si>
    <t>Quentin</t>
  </si>
  <si>
    <t>Défunts</t>
  </si>
  <si>
    <t>Hubert</t>
  </si>
  <si>
    <t>Charles</t>
  </si>
  <si>
    <t>Sylvie</t>
  </si>
  <si>
    <t>Bertille</t>
  </si>
  <si>
    <t>Carine</t>
  </si>
  <si>
    <t>Geoffroy</t>
  </si>
  <si>
    <t>Théodore</t>
  </si>
  <si>
    <t>Léon</t>
  </si>
  <si>
    <t>Armistice 1918</t>
  </si>
  <si>
    <t>Christian</t>
  </si>
  <si>
    <t>Brice</t>
  </si>
  <si>
    <t>Sidoine</t>
  </si>
  <si>
    <t>Albert</t>
  </si>
  <si>
    <t>Marguerite</t>
  </si>
  <si>
    <t>Elisabeth</t>
  </si>
  <si>
    <t>Aude</t>
  </si>
  <si>
    <t>Tanguy</t>
  </si>
  <si>
    <t>Edmond</t>
  </si>
  <si>
    <t>Présence de Marie</t>
  </si>
  <si>
    <t>Cécile</t>
  </si>
  <si>
    <t>Flora</t>
  </si>
  <si>
    <t>Delphine</t>
  </si>
  <si>
    <t>Sévrin</t>
  </si>
  <si>
    <t>Jacques de la Marche</t>
  </si>
  <si>
    <t>Saturnin</t>
  </si>
  <si>
    <t>André</t>
  </si>
  <si>
    <t>Florence</t>
  </si>
  <si>
    <t>Viviane</t>
  </si>
  <si>
    <t>François-Xavier</t>
  </si>
  <si>
    <t>Barbara</t>
  </si>
  <si>
    <t>Gérald</t>
  </si>
  <si>
    <t>Nicolas</t>
  </si>
  <si>
    <t>Ambroise</t>
  </si>
  <si>
    <t>Immaculée Conception</t>
  </si>
  <si>
    <t>Pierre Fourier</t>
  </si>
  <si>
    <t>Romaric</t>
  </si>
  <si>
    <t>Daniel</t>
  </si>
  <si>
    <t>Jeanne-Françoise de Chantal</t>
  </si>
  <si>
    <t>Lucie</t>
  </si>
  <si>
    <t>Odile</t>
  </si>
  <si>
    <t>Ninon</t>
  </si>
  <si>
    <t>Alice</t>
  </si>
  <si>
    <t>Gaël</t>
  </si>
  <si>
    <t>Gatien</t>
  </si>
  <si>
    <t>Urbain</t>
  </si>
  <si>
    <t>Théophile</t>
  </si>
  <si>
    <t>Françoise-Xavière</t>
  </si>
  <si>
    <t>Armand</t>
  </si>
  <si>
    <t>Adèle</t>
  </si>
  <si>
    <t>Etienne</t>
  </si>
  <si>
    <t>Jean</t>
  </si>
  <si>
    <t>Innocents</t>
  </si>
  <si>
    <t>David</t>
  </si>
  <si>
    <t>Roger</t>
  </si>
  <si>
    <t>Sylvestre</t>
  </si>
  <si>
    <t xml:space="preserve">boireau </t>
  </si>
  <si>
    <t>andrée</t>
  </si>
  <si>
    <t>zodiac</t>
  </si>
  <si>
    <t>Début</t>
  </si>
  <si>
    <t>Fin</t>
  </si>
  <si>
    <t>Élément</t>
  </si>
  <si>
    <t>Signe</t>
  </si>
  <si>
    <t>鼠 rat</t>
  </si>
  <si>
    <t>金 Metal</t>
  </si>
  <si>
    <t>牛 buffle</t>
  </si>
  <si>
    <t>虎 tigre</t>
  </si>
  <si>
    <t>水 Eau</t>
  </si>
  <si>
    <t>兔 lièvre</t>
  </si>
  <si>
    <r>
      <t>1</t>
    </r>
    <r>
      <rPr>
        <vertAlign val="superscript"/>
        <sz val="11"/>
        <color indexed="8"/>
        <rFont val="Arial"/>
        <family val="2"/>
      </rPr>
      <t>er</t>
    </r>
    <r>
      <rPr>
        <sz val="11"/>
        <color indexed="8"/>
        <rFont val="Arial"/>
        <family val="2"/>
      </rPr>
      <t> février 1965</t>
    </r>
  </si>
  <si>
    <t>龍 dragon</t>
  </si>
  <si>
    <t>木 Bois</t>
  </si>
  <si>
    <t>蛇 serpent</t>
  </si>
  <si>
    <t>馬 cheval</t>
  </si>
  <si>
    <t>火 Feu</t>
  </si>
  <si>
    <r>
      <t>1</t>
    </r>
    <r>
      <rPr>
        <vertAlign val="superscript"/>
        <sz val="11"/>
        <color indexed="8"/>
        <rFont val="Arial"/>
        <family val="2"/>
      </rPr>
      <t>er</t>
    </r>
    <r>
      <rPr>
        <sz val="11"/>
        <color indexed="8"/>
        <rFont val="Arial"/>
        <family val="2"/>
      </rPr>
      <t> février 1908</t>
    </r>
  </si>
  <si>
    <t>羊 chèvre</t>
  </si>
  <si>
    <t>猴 singe</t>
  </si>
  <si>
    <t>土 Terre</t>
  </si>
  <si>
    <t>鷄 coq</t>
  </si>
  <si>
    <t>狗 chien</t>
  </si>
  <si>
    <t>猪 cochon</t>
  </si>
  <si>
    <r>
      <t>1</t>
    </r>
    <r>
      <rPr>
        <vertAlign val="superscript"/>
        <sz val="11"/>
        <color indexed="8"/>
        <rFont val="Arial"/>
        <family val="2"/>
      </rPr>
      <t>er</t>
    </r>
    <r>
      <rPr>
        <sz val="11"/>
        <color indexed="8"/>
        <rFont val="Arial"/>
        <family val="2"/>
      </rPr>
      <t> février 1919</t>
    </r>
  </si>
  <si>
    <r>
      <t>1</t>
    </r>
    <r>
      <rPr>
        <vertAlign val="superscript"/>
        <sz val="11"/>
        <color indexed="8"/>
        <rFont val="Arial"/>
        <family val="2"/>
      </rPr>
      <t>er</t>
    </r>
    <r>
      <rPr>
        <sz val="11"/>
        <color indexed="8"/>
        <rFont val="Arial"/>
        <family val="2"/>
      </rPr>
      <t> février 1984</t>
    </r>
  </si>
  <si>
    <r>
      <t>1</t>
    </r>
    <r>
      <rPr>
        <vertAlign val="superscript"/>
        <sz val="11"/>
        <color indexed="8"/>
        <rFont val="Arial"/>
        <family val="2"/>
      </rPr>
      <t>er</t>
    </r>
    <r>
      <rPr>
        <sz val="11"/>
        <color indexed="8"/>
        <rFont val="Arial"/>
        <family val="2"/>
      </rPr>
      <t> février 1927</t>
    </r>
  </si>
  <si>
    <r>
      <t>1</t>
    </r>
    <r>
      <rPr>
        <vertAlign val="superscript"/>
        <sz val="11"/>
        <color indexed="8"/>
        <rFont val="Arial"/>
        <family val="2"/>
      </rPr>
      <t>er</t>
    </r>
    <r>
      <rPr>
        <sz val="11"/>
        <color indexed="8"/>
        <rFont val="Arial"/>
        <family val="2"/>
      </rPr>
      <t> février 2003</t>
    </r>
  </si>
  <si>
    <r>
      <t>1</t>
    </r>
    <r>
      <rPr>
        <vertAlign val="superscript"/>
        <sz val="11"/>
        <color indexed="8"/>
        <rFont val="Arial"/>
        <family val="2"/>
      </rPr>
      <t>er</t>
    </r>
    <r>
      <rPr>
        <sz val="11"/>
        <color indexed="8"/>
        <rFont val="Arial"/>
        <family val="2"/>
      </rPr>
      <t> février 1946</t>
    </r>
  </si>
  <si>
    <t>signe chinois</t>
  </si>
  <si>
    <t>Alexi</t>
  </si>
  <si>
    <t>Maël</t>
  </si>
  <si>
    <t>◐</t>
  </si>
  <si>
    <t>pour faire disparaître les phases de la une du calendrier, effacer la colonne A ci-contre</t>
  </si>
  <si>
    <t>○</t>
  </si>
  <si>
    <t>◑</t>
  </si>
  <si>
    <t>●</t>
  </si>
  <si>
    <t xml:space="preserve">mois : 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</si>
  <si>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</si>
  <si>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</si>
  <si>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</si>
  <si>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</si>
  <si>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</si>
  <si>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</si>
  <si>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</si>
  <si>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Date début : </t>
  </si>
  <si>
    <t xml:space="preserve">Pays : </t>
  </si>
  <si>
    <t>Jours fériés
reportés
dans le
calendrier</t>
  </si>
  <si>
    <r>
      <t xml:space="preserve">Intitulé inséré dans le calendrier </t>
    </r>
    <r>
      <rPr>
        <sz val="11"/>
        <color theme="1"/>
        <rFont val="Calibri"/>
        <family val="2"/>
        <scheme val="minor"/>
      </rPr>
      <t>(commencez par un espace pour ne pas que le jour soit coloré en jour férié)</t>
    </r>
  </si>
  <si>
    <t>Commentaire</t>
  </si>
  <si>
    <t>Calcul date</t>
  </si>
  <si>
    <t>aucun</t>
  </si>
  <si>
    <t>France</t>
  </si>
  <si>
    <t>Alsace Moselle</t>
  </si>
  <si>
    <t>Réunion</t>
  </si>
  <si>
    <t>Martinique</t>
  </si>
  <si>
    <t>Guadeloupe</t>
  </si>
  <si>
    <t>Guyane française</t>
  </si>
  <si>
    <t>Polynésie française</t>
  </si>
  <si>
    <t>Nouvelle-Calédonie</t>
  </si>
  <si>
    <t>Mayotte</t>
  </si>
  <si>
    <t>Saint-Pierre-et-Miquelon</t>
  </si>
  <si>
    <t>Belgique</t>
  </si>
  <si>
    <t>Luxembourg</t>
  </si>
  <si>
    <t>Québec</t>
  </si>
  <si>
    <t>Suisse</t>
  </si>
  <si>
    <t>Suisse AG</t>
  </si>
  <si>
    <t>Suisse AI</t>
  </si>
  <si>
    <t>Suisse AR</t>
  </si>
  <si>
    <t>Suisse BE</t>
  </si>
  <si>
    <t>Suisse BL</t>
  </si>
  <si>
    <t>Suisse BS</t>
  </si>
  <si>
    <t>Suisse FR</t>
  </si>
  <si>
    <t>Suisse GE</t>
  </si>
  <si>
    <t>Suisse GL</t>
  </si>
  <si>
    <t>Suisse GR</t>
  </si>
  <si>
    <t>Suisse JU</t>
  </si>
  <si>
    <t>Suisse LU</t>
  </si>
  <si>
    <t>Suisse NE</t>
  </si>
  <si>
    <t>Suisse NW</t>
  </si>
  <si>
    <t>Suisse OW</t>
  </si>
  <si>
    <t>Suisse SG</t>
  </si>
  <si>
    <t>Suisse SH</t>
  </si>
  <si>
    <t>Suisse SO</t>
  </si>
  <si>
    <t>Suisse SZ</t>
  </si>
  <si>
    <t>Suisse TG</t>
  </si>
  <si>
    <t>Suisse TI</t>
  </si>
  <si>
    <t>Suisse UR</t>
  </si>
  <si>
    <t>Suisse VD</t>
  </si>
  <si>
    <t>Suisse VS</t>
  </si>
  <si>
    <t>Suisse ZG</t>
  </si>
  <si>
    <t>Suisse ZH</t>
  </si>
  <si>
    <t>x</t>
  </si>
  <si>
    <t>Vendredi Saint</t>
  </si>
  <si>
    <t>Pâques +1h</t>
  </si>
  <si>
    <t xml:space="preserve"> heure d'été +1h</t>
  </si>
  <si>
    <t>US-Canada</t>
  </si>
  <si>
    <t>Pâques</t>
  </si>
  <si>
    <t> </t>
  </si>
  <si>
    <t>Lundi de Pâques</t>
  </si>
  <si>
    <t>Ascension</t>
  </si>
  <si>
    <t>Pentecôte</t>
  </si>
  <si>
    <t>Lundi de Pentecôte</t>
  </si>
  <si>
    <t>Fête du Travail</t>
  </si>
  <si>
    <t>Victoire 1945</t>
  </si>
  <si>
    <t>Fête nationale</t>
  </si>
  <si>
    <t xml:space="preserve"> heure d'hiver -1h</t>
  </si>
  <si>
    <t>Saint Étienne</t>
  </si>
  <si>
    <t>Abolition esclavage</t>
  </si>
  <si>
    <t xml:space="preserve"> Fête des mères</t>
  </si>
  <si>
    <t xml:space="preserve"> Fête des pères</t>
  </si>
  <si>
    <t xml:space="preserve"> Fête des grand-mères</t>
  </si>
  <si>
    <t>Épiphanie</t>
  </si>
  <si>
    <t>2e dim après Noël</t>
  </si>
  <si>
    <t>date fixe 6/1</t>
  </si>
  <si>
    <t>Fête-Dieu</t>
  </si>
  <si>
    <t xml:space="preserve"> Mardi gras</t>
  </si>
  <si>
    <t xml:space="preserve"> Cendres</t>
  </si>
  <si>
    <t>mercredi des cendres</t>
  </si>
  <si>
    <t xml:space="preserve"> Mi-Carême</t>
  </si>
  <si>
    <t>Guyane</t>
  </si>
  <si>
    <t>Jour des Défunts</t>
  </si>
  <si>
    <t>Patriotes</t>
  </si>
  <si>
    <t>Fête du Canada</t>
  </si>
  <si>
    <t>Action de grâces</t>
  </si>
  <si>
    <t>Saint Berchtold</t>
  </si>
  <si>
    <t>Instauration de la République</t>
  </si>
  <si>
    <t>Saint Joseph</t>
  </si>
  <si>
    <t xml:space="preserve">Fahrtsfest </t>
  </si>
  <si>
    <t>Jeûne fédéral</t>
  </si>
  <si>
    <t>Jeûne genevois</t>
  </si>
  <si>
    <t xml:space="preserve"> </t>
  </si>
  <si>
    <t>lundi du Jeûne fédéral</t>
  </si>
  <si>
    <t>St Nicolas de Flüe</t>
  </si>
  <si>
    <t>Restauration de la République</t>
  </si>
  <si>
    <t>Arrivée Évangile</t>
  </si>
  <si>
    <t>Polynésie</t>
  </si>
  <si>
    <t>Fête Autonomie</t>
  </si>
  <si>
    <t>Fête citoyenneté</t>
  </si>
  <si>
    <t>Libération SPM</t>
  </si>
  <si>
    <t>Dimanche de Pâques :</t>
  </si>
  <si>
    <t>g</t>
  </si>
  <si>
    <t>c</t>
  </si>
  <si>
    <t>C₄</t>
  </si>
  <si>
    <t>e</t>
  </si>
  <si>
    <t>h</t>
  </si>
  <si>
    <t>k</t>
  </si>
  <si>
    <t>p</t>
  </si>
  <si>
    <t>q</t>
  </si>
  <si>
    <t>i</t>
  </si>
  <si>
    <t>b</t>
  </si>
  <si>
    <t>j1</t>
  </si>
  <si>
    <t>j2</t>
  </si>
  <si>
    <t>r</t>
  </si>
  <si>
    <t>Libellé</t>
  </si>
  <si>
    <t>employer rolot</t>
  </si>
  <si>
    <t>employer CFCAI</t>
  </si>
  <si>
    <t>conges</t>
  </si>
  <si>
    <t>palettte</t>
  </si>
  <si>
    <t>JO</t>
  </si>
  <si>
    <t>Type</t>
  </si>
  <si>
    <t>B</t>
  </si>
  <si>
    <t>C</t>
  </si>
  <si>
    <t>âge</t>
  </si>
  <si>
    <t>emmy</t>
  </si>
  <si>
    <t>déclataion</t>
  </si>
  <si>
    <t/>
  </si>
  <si>
    <t>évènement</t>
  </si>
  <si>
    <t>visite médicale</t>
  </si>
  <si>
    <t>Baptêmes maël</t>
  </si>
  <si>
    <t>Inventaire ROLOT</t>
  </si>
  <si>
    <t>entretient SAGEM</t>
  </si>
  <si>
    <t>guinguette ??</t>
  </si>
  <si>
    <t>louane</t>
  </si>
  <si>
    <t>decelle</t>
  </si>
  <si>
    <t>nelly</t>
  </si>
  <si>
    <t>kylian</t>
  </si>
  <si>
    <t>mica</t>
  </si>
  <si>
    <t>malandin</t>
  </si>
  <si>
    <t>yoann</t>
  </si>
  <si>
    <t>taraud</t>
  </si>
  <si>
    <t>albane</t>
  </si>
  <si>
    <t>antoine</t>
  </si>
  <si>
    <t>emma</t>
  </si>
  <si>
    <t>bejamin</t>
  </si>
  <si>
    <t>laborde</t>
  </si>
  <si>
    <t>marine</t>
  </si>
  <si>
    <t>léna</t>
  </si>
  <si>
    <t>ROLOT</t>
  </si>
  <si>
    <t>date debut</t>
  </si>
  <si>
    <t>date fin</t>
  </si>
  <si>
    <t xml:space="preserve"> CFCAI</t>
  </si>
  <si>
    <t>rdv essai médical prothése</t>
  </si>
  <si>
    <t>type</t>
  </si>
  <si>
    <t>travail</t>
  </si>
  <si>
    <t>autre</t>
  </si>
  <si>
    <t>entretient</t>
  </si>
  <si>
    <t>sortie</t>
  </si>
  <si>
    <t>Colonne1</t>
  </si>
  <si>
    <t>date2</t>
  </si>
  <si>
    <t>date3</t>
  </si>
  <si>
    <t>âge4</t>
  </si>
  <si>
    <t>âge5</t>
  </si>
  <si>
    <t>zodiac6</t>
  </si>
  <si>
    <t>vacances</t>
  </si>
  <si>
    <t>essai-médical</t>
  </si>
  <si>
    <t>jours2</t>
  </si>
  <si>
    <t>Jours1</t>
  </si>
  <si>
    <t>arret</t>
  </si>
  <si>
    <t>maladie</t>
  </si>
  <si>
    <t>ouvrés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</si>
</sst>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3" formatCode="_-* #,##0.00\ _€_-;\-* #,##0.00\ _€_-;_-* &quot;-&quot;??\ _€_-;_-@_-"/>
    <numFmt numFmtId="164" formatCode="ddd\ dd"/>
    <numFmt numFmtId="165" formatCode="_-* #,##0.00\ _F_-;\-* #,##0.00\ _F_-;_-* &quot;-&quot;??\ _F_-;_-@_-"/>
    <numFmt numFmtId="166" formatCode="_-* #,##0.00\ [$€]_-;\-* #,##0.00\ [$€]_-;_-* &quot;-&quot;??\ [$€]_-;_-@_-"/>
    <numFmt numFmtId="167" formatCode="[$-40C]dddd\ d\ mmmm\ yyyy"/>
    <numFmt numFmtId="168" formatCode="[$-F800]dddd\,\ mmmm\ dd\,\ yyyy"/>
    <numFmt numFmtId="169" formatCode="&quot;De&quot;\ mmmm\ yyyy"/>
    <numFmt numFmtId="170" formatCode="&quot;Pour &quot;General&quot; mois&quot;"/>
    <numFmt numFmtId="171" formatCode="&quot;à &quot;\ mmmm\ yyyy"/>
    <numFmt numFmtId="172" formatCode="ddd"/>
    <numFmt numFmtId="173" formatCode="d"/>
    <numFmt numFmtId="174" formatCode="[hh]:mm"/>
    <numFmt numFmtId="175" formatCode="#,##0.00\ &quot;€&quot;"/>
    <numFmt numFmtId="176" formatCode="dd\-mmm\-yyyy"/>
    <numFmt numFmtId="177" formatCode="dd/mm/yy;@"/>
    <numFmt numFmtId="178" formatCode="[$-40C]d\-mmm;@"/>
    <numFmt numFmtId="179" formatCode="mmmm"/>
    <numFmt numFmtId="180" formatCode="dd/mm/yy"/>
    <numFmt numFmtId="181" formatCode="[$-40C]d\-mmm\-yyyy;@"/>
  </numFmts>
  <fonts count="4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Calibri"/>
      <family val="2"/>
    </font>
    <font>
      <b/>
      <sz val="11"/>
      <color indexed="8"/>
      <name val="Calibri"/>
      <family val="2"/>
    </font>
    <font>
      <sz val="8"/>
      <color indexed="8"/>
      <name val="Arial Narrow"/>
      <family val="2"/>
    </font>
    <font>
      <b/>
      <sz val="10"/>
      <color indexed="56"/>
      <name val="Calibri"/>
      <family val="2"/>
    </font>
    <font>
      <sz val="10"/>
      <color indexed="8"/>
      <name val="Calibri"/>
      <family val="2"/>
    </font>
    <font>
      <b/>
      <sz val="10"/>
      <color indexed="10"/>
      <name val="Calibri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MS Sans Serif"/>
      <family val="2"/>
    </font>
    <font>
      <sz val="10"/>
      <name val="MS Sans Serif"/>
    </font>
    <font>
      <sz val="11"/>
      <color indexed="8"/>
      <name val="Arial"/>
      <family val="2"/>
    </font>
    <font>
      <vertAlign val="superscript"/>
      <sz val="11"/>
      <color indexed="8"/>
      <name val="Arial"/>
      <family val="2"/>
    </font>
    <font>
      <sz val="10"/>
      <name val="DejaVu Sans"/>
      <family val="2"/>
    </font>
    <font>
      <b/>
      <sz val="10"/>
      <color indexed="53"/>
      <name val="Arial"/>
      <family val="2"/>
    </font>
    <font>
      <shadow/>
      <sz val="24"/>
      <color indexed="17"/>
      <name val="Arial"/>
      <family val="2"/>
    </font>
    <font>
      <sz val="10"/>
      <color indexed="17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sz val="11"/>
      <color theme="0"/>
      <name val="MV Boli"/>
    </font>
    <font>
      <sz val="10"/>
      <color theme="1"/>
      <name val="Andalus"/>
      <family val="1"/>
    </font>
    <font>
      <sz val="11"/>
      <color theme="1"/>
      <name val="Andalus"/>
      <family val="1"/>
    </font>
    <font>
      <sz val="6"/>
      <color theme="1"/>
      <name val="Andalus"/>
      <family val="1"/>
    </font>
    <font>
      <sz val="10"/>
      <color theme="1"/>
      <name val="Wingdings"/>
      <charset val="2"/>
    </font>
    <font>
      <sz val="10"/>
      <color rgb="FFFF0000"/>
      <name val="Wingdings"/>
      <charset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6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omic Sans MS"/>
      <family val="4"/>
    </font>
    <font>
      <sz val="14"/>
      <color theme="0"/>
      <name val="MV Boli"/>
    </font>
    <font>
      <sz val="16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AECF0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90">
    <border>
      <left/>
      <right/>
      <top/>
      <bottom/>
      <diagonal/>
    </border>
    <border>
      <left style="medium">
        <color indexed="64"/>
      </left>
      <right style="thin">
        <color indexed="55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55"/>
      </left>
      <right style="thin">
        <color indexed="55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dashed">
        <color indexed="10"/>
      </top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thin">
        <color indexed="55"/>
      </top>
      <bottom style="dashed">
        <color indexed="1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55"/>
      </left>
      <right/>
      <top style="medium">
        <color indexed="64"/>
      </top>
      <bottom/>
      <diagonal/>
    </border>
    <border>
      <left style="thin">
        <color indexed="55"/>
      </left>
      <right/>
      <top/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n">
        <color indexed="55"/>
      </right>
      <top style="medium">
        <color indexed="64"/>
      </top>
      <bottom/>
      <diagonal/>
    </border>
    <border>
      <left/>
      <right style="thin">
        <color indexed="55"/>
      </right>
      <top/>
      <bottom/>
      <diagonal/>
    </border>
    <border>
      <left/>
      <right style="thin">
        <color indexed="55"/>
      </right>
      <top/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A2A9B1"/>
      </left>
      <right style="thin">
        <color rgb="FFA2A9B1"/>
      </right>
      <top style="medium">
        <color rgb="FFA2A9B1"/>
      </top>
      <bottom style="medium">
        <color rgb="FFA2A9B1"/>
      </bottom>
      <diagonal/>
    </border>
    <border>
      <left style="thin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 style="medium">
        <color rgb="FFA2A9B1"/>
      </left>
      <right style="medium">
        <color rgb="FFA2A9B1"/>
      </right>
      <top style="dotted">
        <color rgb="FFA2A9B1"/>
      </top>
      <bottom style="medium">
        <color rgb="FFA2A9B1"/>
      </bottom>
      <diagonal/>
    </border>
    <border>
      <left style="medium">
        <color rgb="FFA2A9B1"/>
      </left>
      <right/>
      <top style="medium">
        <color rgb="FFA2A9B1"/>
      </top>
      <bottom style="medium">
        <color rgb="FFA2A9B1"/>
      </bottom>
      <diagonal/>
    </border>
    <border>
      <left/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 style="medium">
        <color rgb="FFA2A9B1"/>
      </left>
      <right/>
      <top/>
      <bottom style="medium">
        <color rgb="FFA2A9B1"/>
      </bottom>
      <diagonal/>
    </border>
    <border>
      <left/>
      <right style="medium">
        <color rgb="FFA2A9B1"/>
      </right>
      <top style="medium">
        <color rgb="FFA2A9B1"/>
      </top>
      <bottom/>
      <diagonal/>
    </border>
    <border>
      <left/>
      <right/>
      <top style="medium">
        <color rgb="FFA2A9B1"/>
      </top>
      <bottom style="medium">
        <color rgb="FFA2A9B1"/>
      </bottom>
      <diagonal/>
    </border>
    <border>
      <left/>
      <right/>
      <top/>
      <bottom style="medium">
        <color rgb="FFA2A9B1"/>
      </bottom>
      <diagonal/>
    </border>
    <border>
      <left style="medium">
        <color rgb="FFA2A9B1"/>
      </left>
      <right style="medium">
        <color rgb="FFA2A9B1"/>
      </right>
      <top/>
      <bottom style="medium">
        <color rgb="FFA2A9B1"/>
      </bottom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55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55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55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55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166" fontId="2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43" fontId="2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13" fillId="0" borderId="0"/>
    <xf numFmtId="0" fontId="12" fillId="0" borderId="0"/>
    <xf numFmtId="0" fontId="1" fillId="0" borderId="0"/>
  </cellStyleXfs>
  <cellXfs count="336">
    <xf numFmtId="0" fontId="0" fillId="0" borderId="0" xfId="0"/>
    <xf numFmtId="0" fontId="3" fillId="6" borderId="0" xfId="8" applyFont="1" applyFill="1" applyAlignment="1" applyProtection="1">
      <alignment horizontal="center" vertical="center"/>
    </xf>
    <xf numFmtId="0" fontId="2" fillId="6" borderId="0" xfId="5" applyFill="1" applyProtection="1"/>
    <xf numFmtId="0" fontId="4" fillId="6" borderId="0" xfId="5" applyFont="1" applyFill="1" applyProtection="1"/>
    <xf numFmtId="0" fontId="2" fillId="2" borderId="1" xfId="5" applyFill="1" applyBorder="1"/>
    <xf numFmtId="0" fontId="2" fillId="2" borderId="2" xfId="5" applyFill="1" applyBorder="1"/>
    <xf numFmtId="0" fontId="5" fillId="0" borderId="3" xfId="5" applyFont="1" applyBorder="1" applyAlignment="1">
      <alignment horizontal="center"/>
    </xf>
    <xf numFmtId="0" fontId="2" fillId="2" borderId="4" xfId="5" applyFill="1" applyBorder="1"/>
    <xf numFmtId="0" fontId="4" fillId="6" borderId="0" xfId="5" applyFont="1" applyFill="1" applyAlignment="1" applyProtection="1">
      <alignment horizontal="center" vertical="center"/>
    </xf>
    <xf numFmtId="0" fontId="2" fillId="6" borderId="0" xfId="5" applyFont="1" applyFill="1" applyBorder="1" applyProtection="1"/>
    <xf numFmtId="0" fontId="6" fillId="6" borderId="0" xfId="5" applyFont="1" applyFill="1" applyBorder="1" applyProtection="1"/>
    <xf numFmtId="0" fontId="2" fillId="2" borderId="5" xfId="5" applyFill="1" applyBorder="1"/>
    <xf numFmtId="0" fontId="2" fillId="2" borderId="0" xfId="5" applyFill="1" applyBorder="1"/>
    <xf numFmtId="0" fontId="7" fillId="0" borderId="6" xfId="5" applyFont="1" applyBorder="1" applyAlignment="1">
      <alignment horizontal="center"/>
    </xf>
    <xf numFmtId="0" fontId="2" fillId="2" borderId="7" xfId="5" applyFill="1" applyBorder="1"/>
    <xf numFmtId="0" fontId="5" fillId="0" borderId="8" xfId="5" applyFont="1" applyBorder="1" applyAlignment="1">
      <alignment vertical="center"/>
    </xf>
    <xf numFmtId="0" fontId="2" fillId="0" borderId="9" xfId="5" applyFont="1" applyBorder="1"/>
    <xf numFmtId="167" fontId="2" fillId="0" borderId="10" xfId="5" applyNumberFormat="1" applyFont="1" applyBorder="1" applyAlignment="1">
      <alignment horizontal="left" indent="1"/>
    </xf>
    <xf numFmtId="0" fontId="5" fillId="0" borderId="6" xfId="5" applyFont="1" applyBorder="1" applyAlignment="1">
      <alignment vertical="center"/>
    </xf>
    <xf numFmtId="167" fontId="2" fillId="0" borderId="11" xfId="5" applyNumberFormat="1" applyFont="1" applyBorder="1" applyAlignment="1">
      <alignment horizontal="left" indent="1"/>
    </xf>
    <xf numFmtId="0" fontId="5" fillId="0" borderId="12" xfId="5" applyFont="1" applyBorder="1" applyAlignment="1">
      <alignment vertical="center"/>
    </xf>
    <xf numFmtId="167" fontId="2" fillId="0" borderId="13" xfId="5" applyNumberFormat="1" applyFont="1" applyBorder="1" applyAlignment="1">
      <alignment horizontal="left" indent="1"/>
    </xf>
    <xf numFmtId="0" fontId="2" fillId="6" borderId="0" xfId="5" applyFill="1" applyAlignment="1" applyProtection="1">
      <alignment horizontal="center" vertical="center"/>
    </xf>
    <xf numFmtId="0" fontId="2" fillId="2" borderId="14" xfId="5" applyFill="1" applyBorder="1"/>
    <xf numFmtId="0" fontId="2" fillId="2" borderId="15" xfId="5" applyFill="1" applyBorder="1"/>
    <xf numFmtId="0" fontId="2" fillId="2" borderId="16" xfId="5" applyFill="1" applyBorder="1"/>
    <xf numFmtId="0" fontId="24" fillId="0" borderId="0" xfId="2" applyAlignment="1" applyProtection="1"/>
    <xf numFmtId="14" fontId="2" fillId="6" borderId="0" xfId="5" applyNumberFormat="1" applyFill="1" applyAlignment="1" applyProtection="1">
      <alignment horizontal="center" vertical="center"/>
    </xf>
    <xf numFmtId="0" fontId="2" fillId="6" borderId="0" xfId="5" quotePrefix="1" applyFill="1" applyProtection="1"/>
    <xf numFmtId="0" fontId="0" fillId="6" borderId="0" xfId="0" applyFill="1" applyAlignment="1" applyProtection="1">
      <alignment horizontal="center" vertical="center"/>
    </xf>
    <xf numFmtId="0" fontId="0" fillId="6" borderId="0" xfId="0" applyFill="1" applyProtection="1"/>
    <xf numFmtId="0" fontId="25" fillId="6" borderId="0" xfId="0" applyFont="1" applyFill="1" applyAlignment="1" applyProtection="1">
      <alignment horizontal="center" vertical="center"/>
    </xf>
    <xf numFmtId="164" fontId="26" fillId="7" borderId="17" xfId="0" applyNumberFormat="1" applyFont="1" applyFill="1" applyBorder="1" applyAlignment="1" applyProtection="1">
      <alignment vertical="center"/>
    </xf>
    <xf numFmtId="0" fontId="0" fillId="6" borderId="0" xfId="0" applyFill="1" applyProtection="1">
      <protection locked="0"/>
    </xf>
    <xf numFmtId="0" fontId="0" fillId="6" borderId="0" xfId="0" applyFill="1" applyAlignment="1" applyProtection="1">
      <alignment horizontal="center" vertical="center"/>
      <protection locked="0"/>
    </xf>
    <xf numFmtId="164" fontId="25" fillId="6" borderId="0" xfId="0" applyNumberFormat="1" applyFont="1" applyFill="1" applyAlignment="1" applyProtection="1">
      <alignment horizontal="right" vertical="center"/>
      <protection locked="0"/>
    </xf>
    <xf numFmtId="0" fontId="0" fillId="8" borderId="0" xfId="0" applyFill="1" applyAlignment="1" applyProtection="1">
      <alignment horizontal="center" vertical="center"/>
    </xf>
    <xf numFmtId="0" fontId="25" fillId="8" borderId="0" xfId="0" applyFont="1" applyFill="1" applyAlignment="1" applyProtection="1">
      <alignment horizontal="center" vertical="center"/>
    </xf>
    <xf numFmtId="14" fontId="2" fillId="6" borderId="0" xfId="5" applyNumberFormat="1" applyFill="1" applyAlignment="1" applyProtection="1">
      <alignment horizontal="center"/>
    </xf>
    <xf numFmtId="168" fontId="25" fillId="6" borderId="0" xfId="0" applyNumberFormat="1" applyFont="1" applyFill="1" applyAlignment="1" applyProtection="1">
      <alignment horizontal="center" vertical="center"/>
    </xf>
    <xf numFmtId="164" fontId="27" fillId="9" borderId="18" xfId="0" applyNumberFormat="1" applyFont="1" applyFill="1" applyBorder="1" applyAlignment="1" applyProtection="1">
      <alignment horizontal="right" vertical="center"/>
    </xf>
    <xf numFmtId="14" fontId="0" fillId="9" borderId="0" xfId="0" applyNumberFormat="1" applyFill="1" applyProtection="1"/>
    <xf numFmtId="164" fontId="27" fillId="9" borderId="19" xfId="0" applyNumberFormat="1" applyFont="1" applyFill="1" applyBorder="1" applyAlignment="1" applyProtection="1">
      <alignment horizontal="right" vertical="center"/>
    </xf>
    <xf numFmtId="0" fontId="28" fillId="9" borderId="18" xfId="0" applyFont="1" applyFill="1" applyBorder="1" applyAlignment="1" applyProtection="1">
      <alignment horizontal="center" vertical="center"/>
    </xf>
    <xf numFmtId="169" fontId="0" fillId="6" borderId="0" xfId="0" applyNumberFormat="1" applyFill="1" applyAlignment="1" applyProtection="1">
      <alignment horizontal="center" vertical="center"/>
    </xf>
    <xf numFmtId="170" fontId="0" fillId="6" borderId="0" xfId="0" applyNumberFormat="1" applyFill="1" applyAlignment="1" applyProtection="1">
      <alignment horizontal="center" vertical="center"/>
    </xf>
    <xf numFmtId="171" fontId="0" fillId="6" borderId="0" xfId="0" applyNumberFormat="1" applyFill="1" applyAlignment="1" applyProtection="1">
      <alignment horizontal="center" vertical="center"/>
    </xf>
    <xf numFmtId="164" fontId="27" fillId="9" borderId="0" xfId="0" applyNumberFormat="1" applyFont="1" applyFill="1" applyBorder="1" applyAlignment="1" applyProtection="1">
      <alignment horizontal="right" vertical="center"/>
    </xf>
    <xf numFmtId="0" fontId="3" fillId="6" borderId="20" xfId="8" applyFont="1" applyFill="1" applyBorder="1" applyAlignment="1" applyProtection="1">
      <alignment horizontal="center" vertical="center"/>
    </xf>
    <xf numFmtId="0" fontId="3" fillId="6" borderId="2" xfId="8" applyFont="1" applyFill="1" applyBorder="1" applyAlignment="1" applyProtection="1">
      <alignment horizontal="center" vertical="center"/>
    </xf>
    <xf numFmtId="0" fontId="3" fillId="6" borderId="4" xfId="8" applyFont="1" applyFill="1" applyBorder="1" applyAlignment="1" applyProtection="1">
      <alignment horizontal="center" vertical="center"/>
    </xf>
    <xf numFmtId="0" fontId="5" fillId="0" borderId="6" xfId="5" applyFont="1" applyBorder="1" applyAlignment="1">
      <alignment horizontal="center"/>
    </xf>
    <xf numFmtId="0" fontId="0" fillId="0" borderId="0" xfId="0" applyBorder="1"/>
    <xf numFmtId="0" fontId="28" fillId="10" borderId="18" xfId="0" applyFont="1" applyFill="1" applyBorder="1" applyAlignment="1" applyProtection="1">
      <alignment horizontal="center" vertical="center"/>
    </xf>
    <xf numFmtId="0" fontId="29" fillId="9" borderId="18" xfId="0" applyFont="1" applyFill="1" applyBorder="1" applyAlignment="1" applyProtection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21" xfId="0" applyBorder="1"/>
    <xf numFmtId="0" fontId="8" fillId="0" borderId="22" xfId="0" applyFont="1" applyBorder="1" applyAlignment="1">
      <alignment horizontal="center" vertical="center"/>
    </xf>
    <xf numFmtId="0" fontId="8" fillId="0" borderId="22" xfId="0" applyFont="1" applyBorder="1"/>
    <xf numFmtId="173" fontId="8" fillId="5" borderId="23" xfId="0" applyNumberFormat="1" applyFont="1" applyFill="1" applyBorder="1" applyAlignment="1">
      <alignment horizontal="center"/>
    </xf>
    <xf numFmtId="20" fontId="8" fillId="0" borderId="24" xfId="0" applyNumberFormat="1" applyFont="1" applyBorder="1"/>
    <xf numFmtId="20" fontId="8" fillId="0" borderId="25" xfId="0" applyNumberFormat="1" applyFont="1" applyBorder="1"/>
    <xf numFmtId="20" fontId="8" fillId="0" borderId="26" xfId="0" applyNumberFormat="1" applyFont="1" applyBorder="1"/>
    <xf numFmtId="172" fontId="8" fillId="2" borderId="27" xfId="0" applyNumberFormat="1" applyFont="1" applyFill="1" applyBorder="1" applyAlignment="1">
      <alignment horizontal="center"/>
    </xf>
    <xf numFmtId="0" fontId="8" fillId="0" borderId="0" xfId="0" applyFont="1"/>
    <xf numFmtId="174" fontId="9" fillId="0" borderId="22" xfId="0" applyNumberFormat="1" applyFont="1" applyBorder="1"/>
    <xf numFmtId="0" fontId="8" fillId="0" borderId="0" xfId="0" applyFont="1" applyBorder="1"/>
    <xf numFmtId="174" fontId="0" fillId="0" borderId="0" xfId="0" applyNumberFormat="1"/>
    <xf numFmtId="175" fontId="0" fillId="0" borderId="0" xfId="0" applyNumberFormat="1"/>
    <xf numFmtId="0" fontId="0" fillId="0" borderId="0" xfId="0" applyNumberFormat="1"/>
    <xf numFmtId="172" fontId="8" fillId="2" borderId="28" xfId="0" applyNumberFormat="1" applyFont="1" applyFill="1" applyBorder="1" applyAlignment="1">
      <alignment horizontal="center"/>
    </xf>
    <xf numFmtId="173" fontId="8" fillId="5" borderId="29" xfId="0" applyNumberFormat="1" applyFont="1" applyFill="1" applyBorder="1" applyAlignment="1">
      <alignment horizontal="center"/>
    </xf>
    <xf numFmtId="20" fontId="8" fillId="0" borderId="30" xfId="0" applyNumberFormat="1" applyFont="1" applyBorder="1"/>
    <xf numFmtId="168" fontId="0" fillId="0" borderId="0" xfId="0" applyNumberFormat="1"/>
    <xf numFmtId="14" fontId="0" fillId="0" borderId="0" xfId="0" applyNumberFormat="1" applyBorder="1"/>
    <xf numFmtId="176" fontId="0" fillId="0" borderId="0" xfId="0" applyNumberFormat="1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30" fillId="9" borderId="18" xfId="0" applyFont="1" applyFill="1" applyBorder="1" applyAlignment="1" applyProtection="1">
      <alignment horizontal="center" vertical="center"/>
    </xf>
    <xf numFmtId="0" fontId="30" fillId="9" borderId="18" xfId="0" applyFont="1" applyFill="1" applyBorder="1" applyAlignment="1" applyProtection="1">
      <alignment horizontal="left" vertical="center"/>
    </xf>
    <xf numFmtId="0" fontId="30" fillId="6" borderId="0" xfId="0" applyFont="1" applyFill="1" applyAlignment="1" applyProtection="1">
      <alignment horizontal="center" vertical="center"/>
    </xf>
    <xf numFmtId="164" fontId="30" fillId="9" borderId="0" xfId="0" applyNumberFormat="1" applyFont="1" applyFill="1" applyBorder="1" applyAlignment="1" applyProtection="1">
      <alignment horizontal="center" vertical="center"/>
    </xf>
    <xf numFmtId="164" fontId="30" fillId="6" borderId="0" xfId="0" applyNumberFormat="1" applyFont="1" applyFill="1" applyAlignment="1" applyProtection="1">
      <alignment horizontal="center" vertical="center"/>
      <protection locked="0"/>
    </xf>
    <xf numFmtId="164" fontId="30" fillId="9" borderId="18" xfId="0" applyNumberFormat="1" applyFont="1" applyFill="1" applyBorder="1" applyAlignment="1" applyProtection="1">
      <alignment horizontal="center" vertical="center"/>
    </xf>
    <xf numFmtId="164" fontId="30" fillId="9" borderId="0" xfId="0" applyNumberFormat="1" applyFont="1" applyFill="1" applyBorder="1" applyAlignment="1" applyProtection="1">
      <alignment horizontal="left" vertical="center"/>
    </xf>
    <xf numFmtId="0" fontId="30" fillId="6" borderId="0" xfId="0" applyFont="1" applyFill="1" applyAlignment="1" applyProtection="1">
      <alignment horizontal="left" vertical="center"/>
    </xf>
    <xf numFmtId="164" fontId="30" fillId="6" borderId="0" xfId="0" applyNumberFormat="1" applyFont="1" applyFill="1" applyAlignment="1" applyProtection="1">
      <alignment horizontal="left" vertical="center"/>
      <protection locked="0"/>
    </xf>
    <xf numFmtId="0" fontId="30" fillId="10" borderId="0" xfId="0" applyFont="1" applyFill="1" applyBorder="1" applyAlignment="1" applyProtection="1">
      <alignment horizontal="left" vertical="center"/>
    </xf>
    <xf numFmtId="164" fontId="30" fillId="9" borderId="18" xfId="0" applyNumberFormat="1" applyFont="1" applyFill="1" applyBorder="1" applyAlignment="1" applyProtection="1">
      <alignment horizontal="left" vertical="center"/>
    </xf>
    <xf numFmtId="0" fontId="30" fillId="8" borderId="0" xfId="0" applyFont="1" applyFill="1" applyAlignment="1" applyProtection="1">
      <alignment horizontal="left" vertical="center"/>
    </xf>
    <xf numFmtId="164" fontId="31" fillId="9" borderId="18" xfId="0" applyNumberFormat="1" applyFont="1" applyFill="1" applyBorder="1" applyAlignment="1" applyProtection="1">
      <alignment horizontal="left" vertical="center"/>
    </xf>
    <xf numFmtId="164" fontId="27" fillId="9" borderId="0" xfId="0" applyNumberFormat="1" applyFont="1" applyFill="1" applyBorder="1" applyAlignment="1" applyProtection="1">
      <alignment horizontal="left" vertical="center"/>
    </xf>
    <xf numFmtId="0" fontId="25" fillId="6" borderId="0" xfId="0" applyFont="1" applyFill="1" applyAlignment="1" applyProtection="1">
      <alignment horizontal="left" vertical="center"/>
    </xf>
    <xf numFmtId="164" fontId="25" fillId="6" borderId="0" xfId="0" applyNumberFormat="1" applyFont="1" applyFill="1" applyAlignment="1" applyProtection="1">
      <alignment horizontal="left" vertical="center"/>
      <protection locked="0"/>
    </xf>
    <xf numFmtId="0" fontId="30" fillId="6" borderId="0" xfId="0" applyFont="1" applyFill="1" applyAlignment="1" applyProtection="1">
      <alignment horizontal="left"/>
    </xf>
    <xf numFmtId="0" fontId="30" fillId="6" borderId="0" xfId="0" applyFont="1" applyFill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10" fillId="0" borderId="0" xfId="0" applyFont="1" applyBorder="1" applyAlignment="1">
      <alignment horizontal="center"/>
    </xf>
    <xf numFmtId="14" fontId="0" fillId="0" borderId="0" xfId="0" applyNumberFormat="1"/>
    <xf numFmtId="0" fontId="2" fillId="0" borderId="0" xfId="0" applyFont="1" applyFill="1" applyAlignment="1">
      <alignment wrapText="1"/>
    </xf>
    <xf numFmtId="178" fontId="2" fillId="0" borderId="0" xfId="0" applyNumberFormat="1" applyFont="1" applyFill="1" applyAlignment="1">
      <alignment horizontal="center" wrapText="1"/>
    </xf>
    <xf numFmtId="178" fontId="10" fillId="0" borderId="0" xfId="0" applyNumberFormat="1" applyFont="1"/>
    <xf numFmtId="178" fontId="0" fillId="0" borderId="0" xfId="0" applyNumberFormat="1"/>
    <xf numFmtId="20" fontId="0" fillId="0" borderId="0" xfId="0" applyNumberFormat="1"/>
    <xf numFmtId="0" fontId="11" fillId="0" borderId="0" xfId="0" applyFont="1"/>
    <xf numFmtId="0" fontId="32" fillId="11" borderId="62" xfId="0" applyFont="1" applyFill="1" applyBorder="1" applyAlignment="1">
      <alignment horizontal="center" vertical="center" wrapText="1"/>
    </xf>
    <xf numFmtId="0" fontId="32" fillId="11" borderId="63" xfId="0" applyFont="1" applyFill="1" applyBorder="1" applyAlignment="1">
      <alignment horizontal="center" vertical="center" wrapText="1"/>
    </xf>
    <xf numFmtId="15" fontId="33" fillId="12" borderId="64" xfId="0" applyNumberFormat="1" applyFont="1" applyFill="1" applyBorder="1" applyAlignment="1">
      <alignment vertical="center" wrapText="1"/>
    </xf>
    <xf numFmtId="0" fontId="33" fillId="12" borderId="65" xfId="0" applyFont="1" applyFill="1" applyBorder="1" applyAlignment="1">
      <alignment vertical="center" wrapText="1"/>
    </xf>
    <xf numFmtId="0" fontId="33" fillId="12" borderId="64" xfId="0" applyFont="1" applyFill="1" applyBorder="1" applyAlignment="1">
      <alignment vertical="center" wrapText="1"/>
    </xf>
    <xf numFmtId="0" fontId="32" fillId="11" borderId="66" xfId="0" applyFont="1" applyFill="1" applyBorder="1" applyAlignment="1">
      <alignment horizontal="center" vertical="center" wrapText="1"/>
    </xf>
    <xf numFmtId="0" fontId="32" fillId="11" borderId="67" xfId="0" applyFont="1" applyFill="1" applyBorder="1" applyAlignment="1">
      <alignment horizontal="center" vertical="center" wrapText="1"/>
    </xf>
    <xf numFmtId="0" fontId="32" fillId="11" borderId="68" xfId="0" applyFont="1" applyFill="1" applyBorder="1" applyAlignment="1">
      <alignment horizontal="center" vertical="center" wrapText="1"/>
    </xf>
    <xf numFmtId="0" fontId="32" fillId="11" borderId="69" xfId="0" applyFont="1" applyFill="1" applyBorder="1" applyAlignment="1">
      <alignment horizontal="center" vertical="center" wrapText="1"/>
    </xf>
    <xf numFmtId="0" fontId="32" fillId="11" borderId="70" xfId="0" applyFont="1" applyFill="1" applyBorder="1" applyAlignment="1">
      <alignment horizontal="center" vertical="center" wrapText="1"/>
    </xf>
    <xf numFmtId="0" fontId="32" fillId="11" borderId="71" xfId="0" applyFont="1" applyFill="1" applyBorder="1" applyAlignment="1">
      <alignment horizontal="center" vertical="center" wrapText="1"/>
    </xf>
    <xf numFmtId="0" fontId="33" fillId="12" borderId="72" xfId="0" applyNumberFormat="1" applyFont="1" applyFill="1" applyBorder="1" applyAlignment="1">
      <alignment horizontal="center" vertical="center" wrapText="1"/>
    </xf>
    <xf numFmtId="164" fontId="27" fillId="9" borderId="0" xfId="0" applyNumberFormat="1" applyFont="1" applyFill="1" applyBorder="1" applyAlignment="1" applyProtection="1">
      <alignment horizontal="right" vertical="center" wrapText="1"/>
    </xf>
    <xf numFmtId="0" fontId="25" fillId="6" borderId="0" xfId="0" applyFont="1" applyFill="1" applyAlignment="1" applyProtection="1">
      <alignment horizontal="center" vertical="center" wrapText="1"/>
    </xf>
    <xf numFmtId="164" fontId="25" fillId="6" borderId="0" xfId="0" applyNumberFormat="1" applyFont="1" applyFill="1" applyAlignment="1" applyProtection="1">
      <alignment horizontal="right" vertical="center" wrapText="1"/>
      <protection locked="0"/>
    </xf>
    <xf numFmtId="164" fontId="29" fillId="9" borderId="0" xfId="0" applyNumberFormat="1" applyFont="1" applyFill="1" applyBorder="1" applyAlignment="1" applyProtection="1">
      <alignment horizontal="right" vertical="center" wrapText="1"/>
    </xf>
    <xf numFmtId="0" fontId="34" fillId="6" borderId="0" xfId="0" applyFont="1" applyFill="1" applyAlignment="1" applyProtection="1">
      <alignment wrapText="1"/>
    </xf>
    <xf numFmtId="0" fontId="34" fillId="6" borderId="0" xfId="0" applyFont="1" applyFill="1" applyAlignment="1" applyProtection="1">
      <alignment wrapText="1"/>
      <protection locked="0"/>
    </xf>
    <xf numFmtId="164" fontId="27" fillId="9" borderId="18" xfId="0" applyNumberFormat="1" applyFont="1" applyFill="1" applyBorder="1" applyAlignment="1" applyProtection="1">
      <alignment horizontal="right" vertical="center" wrapText="1"/>
    </xf>
    <xf numFmtId="164" fontId="29" fillId="9" borderId="18" xfId="0" applyNumberFormat="1" applyFont="1" applyFill="1" applyBorder="1" applyAlignment="1" applyProtection="1">
      <alignment horizontal="right" vertical="center" wrapText="1"/>
    </xf>
    <xf numFmtId="0" fontId="25" fillId="8" borderId="0" xfId="0" applyFont="1" applyFill="1" applyAlignment="1" applyProtection="1">
      <alignment horizontal="center" vertical="center" wrapText="1"/>
    </xf>
    <xf numFmtId="0" fontId="28" fillId="9" borderId="0" xfId="0" applyFont="1" applyFill="1" applyBorder="1" applyAlignment="1" applyProtection="1">
      <alignment horizontal="center" vertical="center" wrapText="1"/>
    </xf>
    <xf numFmtId="168" fontId="25" fillId="6" borderId="0" xfId="0" applyNumberFormat="1" applyFont="1" applyFill="1" applyAlignment="1" applyProtection="1">
      <alignment horizontal="center" vertical="center" wrapText="1"/>
    </xf>
    <xf numFmtId="0" fontId="16" fillId="0" borderId="0" xfId="0" applyFont="1"/>
    <xf numFmtId="0" fontId="28" fillId="10" borderId="0" xfId="0" applyFont="1" applyFill="1" applyBorder="1" applyAlignment="1" applyProtection="1">
      <alignment horizontal="center" vertical="center"/>
    </xf>
    <xf numFmtId="0" fontId="27" fillId="9" borderId="18" xfId="0" applyNumberFormat="1" applyFont="1" applyFill="1" applyBorder="1" applyAlignment="1" applyProtection="1">
      <alignment horizontal="right" vertical="center"/>
    </xf>
    <xf numFmtId="0" fontId="27" fillId="9" borderId="19" xfId="0" applyNumberFormat="1" applyFont="1" applyFill="1" applyBorder="1" applyAlignment="1" applyProtection="1">
      <alignment horizontal="right" vertical="center"/>
    </xf>
    <xf numFmtId="0" fontId="27" fillId="9" borderId="0" xfId="0" applyNumberFormat="1" applyFont="1" applyFill="1" applyBorder="1" applyAlignment="1" applyProtection="1">
      <alignment horizontal="right" vertical="center"/>
    </xf>
    <xf numFmtId="0" fontId="25" fillId="6" borderId="0" xfId="0" applyNumberFormat="1" applyFont="1" applyFill="1" applyAlignment="1" applyProtection="1">
      <alignment horizontal="right" vertical="center"/>
      <protection locked="0"/>
    </xf>
    <xf numFmtId="0" fontId="25" fillId="8" borderId="0" xfId="0" applyNumberFormat="1" applyFont="1" applyFill="1" applyAlignment="1" applyProtection="1">
      <alignment horizontal="center" vertical="center"/>
    </xf>
    <xf numFmtId="0" fontId="25" fillId="6" borderId="0" xfId="0" applyNumberFormat="1" applyFont="1" applyFill="1" applyAlignment="1" applyProtection="1">
      <alignment horizontal="center" vertical="center"/>
    </xf>
    <xf numFmtId="0" fontId="27" fillId="9" borderId="18" xfId="0" applyFont="1" applyFill="1" applyBorder="1" applyAlignment="1" applyProtection="1">
      <alignment horizontal="left" vertical="center"/>
    </xf>
    <xf numFmtId="0" fontId="0" fillId="0" borderId="0" xfId="0" applyAlignment="1">
      <alignment horizontal="left"/>
    </xf>
    <xf numFmtId="0" fontId="17" fillId="0" borderId="0" xfId="0" applyFont="1"/>
    <xf numFmtId="0" fontId="0" fillId="0" borderId="0" xfId="0" applyFont="1" applyAlignment="1">
      <alignment horizontal="right"/>
    </xf>
    <xf numFmtId="0" fontId="19" fillId="0" borderId="0" xfId="0" applyFont="1"/>
    <xf numFmtId="0" fontId="18" fillId="0" borderId="0" xfId="0" applyFont="1"/>
    <xf numFmtId="0" fontId="20" fillId="0" borderId="31" xfId="0" applyFont="1" applyBorder="1" applyAlignment="1">
      <alignment horizontal="center"/>
    </xf>
    <xf numFmtId="173" fontId="21" fillId="0" borderId="32" xfId="0" applyNumberFormat="1" applyFont="1" applyBorder="1" applyAlignment="1">
      <alignment horizontal="left"/>
    </xf>
    <xf numFmtId="0" fontId="0" fillId="0" borderId="33" xfId="0" applyBorder="1" applyAlignment="1">
      <alignment vertical="top" wrapText="1"/>
    </xf>
    <xf numFmtId="0" fontId="0" fillId="6" borderId="0" xfId="0" applyFill="1" applyAlignment="1">
      <alignment horizontal="center"/>
    </xf>
    <xf numFmtId="0" fontId="0" fillId="13" borderId="0" xfId="0" applyFont="1" applyFill="1" applyAlignment="1">
      <alignment horizontal="right"/>
    </xf>
    <xf numFmtId="0" fontId="0" fillId="13" borderId="0" xfId="0" applyNumberFormat="1" applyFill="1" applyAlignment="1">
      <alignment horizontal="left"/>
    </xf>
    <xf numFmtId="180" fontId="0" fillId="13" borderId="0" xfId="0" applyNumberFormat="1" applyFont="1" applyFill="1" applyAlignment="1">
      <alignment horizontal="right"/>
    </xf>
    <xf numFmtId="180" fontId="0" fillId="0" borderId="0" xfId="0" applyNumberFormat="1"/>
    <xf numFmtId="180" fontId="10" fillId="13" borderId="0" xfId="0" applyNumberFormat="1" applyFont="1" applyFill="1" applyAlignment="1">
      <alignment wrapText="1"/>
    </xf>
    <xf numFmtId="0" fontId="10" fillId="13" borderId="0" xfId="0" applyFont="1" applyFill="1" applyAlignment="1">
      <alignment wrapText="1"/>
    </xf>
    <xf numFmtId="0" fontId="10" fillId="13" borderId="0" xfId="0" applyFont="1" applyFill="1"/>
    <xf numFmtId="180" fontId="10" fillId="13" borderId="0" xfId="0" applyNumberFormat="1" applyFont="1" applyFill="1"/>
    <xf numFmtId="0" fontId="0" fillId="0" borderId="0" xfId="0" applyFont="1" applyAlignment="1">
      <alignment horizontal="center" textRotation="90"/>
    </xf>
    <xf numFmtId="177" fontId="0" fillId="0" borderId="0" xfId="0" applyNumberFormat="1" applyAlignment="1">
      <alignment horizontal="center"/>
    </xf>
    <xf numFmtId="0" fontId="0" fillId="0" borderId="0" xfId="0" applyFont="1"/>
    <xf numFmtId="0" fontId="0" fillId="0" borderId="34" xfId="0" applyBorder="1"/>
    <xf numFmtId="0" fontId="0" fillId="0" borderId="0" xfId="0" applyFill="1"/>
    <xf numFmtId="14" fontId="0" fillId="0" borderId="35" xfId="0" applyNumberFormat="1" applyBorder="1"/>
    <xf numFmtId="14" fontId="10" fillId="0" borderId="36" xfId="0" applyNumberFormat="1" applyFont="1" applyBorder="1"/>
    <xf numFmtId="14" fontId="10" fillId="0" borderId="37" xfId="0" applyNumberFormat="1" applyFont="1" applyBorder="1"/>
    <xf numFmtId="0" fontId="10" fillId="0" borderId="38" xfId="0" applyFont="1" applyBorder="1"/>
    <xf numFmtId="14" fontId="0" fillId="14" borderId="39" xfId="0" applyNumberFormat="1" applyFill="1" applyBorder="1"/>
    <xf numFmtId="14" fontId="0" fillId="14" borderId="40" xfId="0" applyNumberFormat="1" applyFill="1" applyBorder="1"/>
    <xf numFmtId="0" fontId="0" fillId="14" borderId="41" xfId="0" applyFill="1" applyBorder="1"/>
    <xf numFmtId="14" fontId="0" fillId="15" borderId="39" xfId="0" applyNumberFormat="1" applyFill="1" applyBorder="1"/>
    <xf numFmtId="14" fontId="0" fillId="15" borderId="40" xfId="0" applyNumberFormat="1" applyFill="1" applyBorder="1"/>
    <xf numFmtId="0" fontId="0" fillId="15" borderId="41" xfId="0" applyFill="1" applyBorder="1"/>
    <xf numFmtId="14" fontId="0" fillId="16" borderId="39" xfId="0" applyNumberFormat="1" applyFill="1" applyBorder="1"/>
    <xf numFmtId="14" fontId="0" fillId="16" borderId="40" xfId="0" applyNumberFormat="1" applyFill="1" applyBorder="1"/>
    <xf numFmtId="0" fontId="0" fillId="16" borderId="41" xfId="0" applyFill="1" applyBorder="1"/>
    <xf numFmtId="14" fontId="0" fillId="17" borderId="39" xfId="0" applyNumberFormat="1" applyFill="1" applyBorder="1"/>
    <xf numFmtId="14" fontId="0" fillId="17" borderId="40" xfId="0" applyNumberFormat="1" applyFill="1" applyBorder="1"/>
    <xf numFmtId="0" fontId="0" fillId="17" borderId="41" xfId="0" applyFill="1" applyBorder="1"/>
    <xf numFmtId="14" fontId="0" fillId="18" borderId="39" xfId="0" applyNumberFormat="1" applyFill="1" applyBorder="1"/>
    <xf numFmtId="14" fontId="0" fillId="18" borderId="40" xfId="0" applyNumberFormat="1" applyFill="1" applyBorder="1"/>
    <xf numFmtId="0" fontId="0" fillId="18" borderId="41" xfId="0" applyFill="1" applyBorder="1"/>
    <xf numFmtId="14" fontId="0" fillId="19" borderId="39" xfId="0" applyNumberFormat="1" applyFill="1" applyBorder="1"/>
    <xf numFmtId="14" fontId="0" fillId="19" borderId="40" xfId="0" applyNumberFormat="1" applyFill="1" applyBorder="1"/>
    <xf numFmtId="0" fontId="0" fillId="19" borderId="41" xfId="0" applyFill="1" applyBorder="1"/>
    <xf numFmtId="14" fontId="0" fillId="20" borderId="39" xfId="0" applyNumberFormat="1" applyFill="1" applyBorder="1"/>
    <xf numFmtId="14" fontId="0" fillId="20" borderId="40" xfId="0" applyNumberFormat="1" applyFill="1" applyBorder="1"/>
    <xf numFmtId="0" fontId="0" fillId="20" borderId="41" xfId="0" applyFill="1" applyBorder="1"/>
    <xf numFmtId="14" fontId="0" fillId="21" borderId="39" xfId="0" applyNumberFormat="1" applyFill="1" applyBorder="1"/>
    <xf numFmtId="14" fontId="0" fillId="21" borderId="40" xfId="0" applyNumberFormat="1" applyFill="1" applyBorder="1"/>
    <xf numFmtId="0" fontId="0" fillId="21" borderId="41" xfId="0" applyFill="1" applyBorder="1"/>
    <xf numFmtId="14" fontId="0" fillId="22" borderId="39" xfId="0" applyNumberFormat="1" applyFill="1" applyBorder="1"/>
    <xf numFmtId="14" fontId="0" fillId="22" borderId="40" xfId="0" applyNumberFormat="1" applyFill="1" applyBorder="1"/>
    <xf numFmtId="0" fontId="0" fillId="22" borderId="41" xfId="0" applyFill="1" applyBorder="1"/>
    <xf numFmtId="14" fontId="0" fillId="23" borderId="39" xfId="0" applyNumberFormat="1" applyFill="1" applyBorder="1"/>
    <xf numFmtId="14" fontId="0" fillId="23" borderId="40" xfId="0" applyNumberFormat="1" applyFill="1" applyBorder="1"/>
    <xf numFmtId="0" fontId="0" fillId="23" borderId="41" xfId="0" applyFill="1" applyBorder="1"/>
    <xf numFmtId="14" fontId="0" fillId="24" borderId="39" xfId="0" applyNumberFormat="1" applyFill="1" applyBorder="1"/>
    <xf numFmtId="14" fontId="0" fillId="24" borderId="40" xfId="0" applyNumberFormat="1" applyFill="1" applyBorder="1"/>
    <xf numFmtId="0" fontId="0" fillId="24" borderId="41" xfId="0" applyFill="1" applyBorder="1"/>
    <xf numFmtId="14" fontId="0" fillId="25" borderId="39" xfId="0" applyNumberFormat="1" applyFill="1" applyBorder="1"/>
    <xf numFmtId="14" fontId="0" fillId="25" borderId="40" xfId="0" applyNumberFormat="1" applyFill="1" applyBorder="1"/>
    <xf numFmtId="0" fontId="0" fillId="25" borderId="41" xfId="0" applyFill="1" applyBorder="1"/>
    <xf numFmtId="14" fontId="0" fillId="26" borderId="39" xfId="0" applyNumberFormat="1" applyFill="1" applyBorder="1"/>
    <xf numFmtId="14" fontId="0" fillId="26" borderId="40" xfId="0" applyNumberFormat="1" applyFill="1" applyBorder="1"/>
    <xf numFmtId="0" fontId="0" fillId="26" borderId="41" xfId="0" applyFill="1" applyBorder="1"/>
    <xf numFmtId="14" fontId="0" fillId="27" borderId="39" xfId="0" applyNumberFormat="1" applyFill="1" applyBorder="1"/>
    <xf numFmtId="14" fontId="0" fillId="27" borderId="40" xfId="0" applyNumberFormat="1" applyFill="1" applyBorder="1"/>
    <xf numFmtId="0" fontId="0" fillId="27" borderId="41" xfId="0" applyFill="1" applyBorder="1"/>
    <xf numFmtId="14" fontId="0" fillId="28" borderId="39" xfId="0" applyNumberFormat="1" applyFill="1" applyBorder="1"/>
    <xf numFmtId="14" fontId="0" fillId="28" borderId="40" xfId="0" applyNumberFormat="1" applyFill="1" applyBorder="1"/>
    <xf numFmtId="0" fontId="0" fillId="28" borderId="41" xfId="0" applyFill="1" applyBorder="1"/>
    <xf numFmtId="14" fontId="0" fillId="29" borderId="39" xfId="0" applyNumberFormat="1" applyFill="1" applyBorder="1"/>
    <xf numFmtId="14" fontId="0" fillId="29" borderId="40" xfId="0" applyNumberFormat="1" applyFill="1" applyBorder="1"/>
    <xf numFmtId="0" fontId="0" fillId="29" borderId="41" xfId="0" applyFill="1" applyBorder="1"/>
    <xf numFmtId="14" fontId="0" fillId="29" borderId="42" xfId="0" applyNumberFormat="1" applyFill="1" applyBorder="1"/>
    <xf numFmtId="14" fontId="0" fillId="29" borderId="43" xfId="0" applyNumberFormat="1" applyFill="1" applyBorder="1"/>
    <xf numFmtId="0" fontId="0" fillId="29" borderId="44" xfId="0" applyFill="1" applyBorder="1"/>
    <xf numFmtId="14" fontId="0" fillId="14" borderId="45" xfId="0" applyNumberFormat="1" applyFill="1" applyBorder="1"/>
    <xf numFmtId="14" fontId="0" fillId="15" borderId="45" xfId="0" applyNumberFormat="1" applyFill="1" applyBorder="1"/>
    <xf numFmtId="14" fontId="0" fillId="16" borderId="45" xfId="0" applyNumberFormat="1" applyFill="1" applyBorder="1"/>
    <xf numFmtId="14" fontId="0" fillId="17" borderId="45" xfId="0" applyNumberFormat="1" applyFill="1" applyBorder="1"/>
    <xf numFmtId="14" fontId="0" fillId="18" borderId="45" xfId="0" applyNumberFormat="1" applyFill="1" applyBorder="1"/>
    <xf numFmtId="14" fontId="0" fillId="19" borderId="45" xfId="0" applyNumberFormat="1" applyFill="1" applyBorder="1"/>
    <xf numFmtId="14" fontId="0" fillId="20" borderId="45" xfId="0" applyNumberFormat="1" applyFill="1" applyBorder="1"/>
    <xf numFmtId="14" fontId="0" fillId="21" borderId="45" xfId="0" applyNumberFormat="1" applyFill="1" applyBorder="1"/>
    <xf numFmtId="14" fontId="0" fillId="22" borderId="45" xfId="0" applyNumberFormat="1" applyFill="1" applyBorder="1"/>
    <xf numFmtId="14" fontId="0" fillId="23" borderId="45" xfId="0" applyNumberFormat="1" applyFill="1" applyBorder="1"/>
    <xf numFmtId="14" fontId="0" fillId="24" borderId="45" xfId="0" applyNumberFormat="1" applyFill="1" applyBorder="1"/>
    <xf numFmtId="14" fontId="0" fillId="25" borderId="45" xfId="0" applyNumberFormat="1" applyFill="1" applyBorder="1"/>
    <xf numFmtId="14" fontId="0" fillId="26" borderId="45" xfId="0" applyNumberFormat="1" applyFill="1" applyBorder="1"/>
    <xf numFmtId="14" fontId="0" fillId="27" borderId="45" xfId="0" applyNumberFormat="1" applyFill="1" applyBorder="1"/>
    <xf numFmtId="14" fontId="0" fillId="28" borderId="45" xfId="0" applyNumberFormat="1" applyFill="1" applyBorder="1"/>
    <xf numFmtId="14" fontId="0" fillId="29" borderId="45" xfId="0" applyNumberFormat="1" applyFill="1" applyBorder="1"/>
    <xf numFmtId="14" fontId="0" fillId="29" borderId="46" xfId="0" applyNumberFormat="1" applyFill="1" applyBorder="1"/>
    <xf numFmtId="0" fontId="22" fillId="0" borderId="33" xfId="0" applyFont="1" applyBorder="1" applyAlignment="1">
      <alignment horizontal="center" vertical="center" wrapText="1"/>
    </xf>
    <xf numFmtId="179" fontId="18" fillId="0" borderId="47" xfId="0" applyNumberFormat="1" applyFont="1" applyBorder="1" applyAlignment="1">
      <alignment horizontal="center"/>
    </xf>
    <xf numFmtId="168" fontId="37" fillId="0" borderId="0" xfId="0" applyNumberFormat="1" applyFont="1" applyBorder="1" applyAlignment="1">
      <alignment horizontal="right"/>
    </xf>
    <xf numFmtId="0" fontId="0" fillId="6" borderId="0" xfId="0" applyFill="1" applyAlignment="1" applyProtection="1">
      <alignment wrapText="1"/>
    </xf>
    <xf numFmtId="0" fontId="0" fillId="6" borderId="0" xfId="0" applyFill="1" applyAlignment="1" applyProtection="1">
      <alignment wrapText="1"/>
      <protection locked="0"/>
    </xf>
    <xf numFmtId="164" fontId="27" fillId="9" borderId="19" xfId="0" applyNumberFormat="1" applyFont="1" applyFill="1" applyBorder="1" applyAlignment="1" applyProtection="1">
      <alignment horizontal="right" vertical="center" wrapText="1"/>
    </xf>
    <xf numFmtId="0" fontId="29" fillId="0" borderId="18" xfId="0" applyFont="1" applyFill="1" applyBorder="1" applyAlignment="1" applyProtection="1">
      <alignment horizontal="center" vertical="center" wrapText="1"/>
    </xf>
    <xf numFmtId="0" fontId="28" fillId="9" borderId="18" xfId="0" applyFont="1" applyFill="1" applyBorder="1" applyAlignment="1" applyProtection="1">
      <alignment horizontal="center" vertical="center" wrapText="1"/>
    </xf>
    <xf numFmtId="0" fontId="28" fillId="0" borderId="18" xfId="0" applyFont="1" applyFill="1" applyBorder="1" applyAlignment="1" applyProtection="1">
      <alignment horizontal="center" vertical="center" wrapText="1"/>
    </xf>
    <xf numFmtId="164" fontId="27" fillId="0" borderId="19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horizontal="center" vertical="center" wrapText="1"/>
    </xf>
    <xf numFmtId="0" fontId="34" fillId="0" borderId="0" xfId="0" applyFont="1" applyFill="1" applyAlignment="1" applyProtection="1">
      <alignment horizontal="center" vertical="center" wrapText="1"/>
      <protection locked="0"/>
    </xf>
    <xf numFmtId="0" fontId="34" fillId="0" borderId="0" xfId="0" applyFont="1" applyFill="1" applyAlignment="1" applyProtection="1">
      <alignment horizontal="center" vertical="center" wrapText="1"/>
    </xf>
    <xf numFmtId="164" fontId="29" fillId="0" borderId="18" xfId="0" applyNumberFormat="1" applyFont="1" applyFill="1" applyBorder="1" applyAlignment="1" applyProtection="1">
      <alignment horizontal="right" vertical="center" wrapText="1"/>
    </xf>
    <xf numFmtId="0" fontId="0" fillId="0" borderId="17" xfId="0" applyFill="1" applyBorder="1" applyAlignment="1">
      <alignment horizontal="center"/>
    </xf>
    <xf numFmtId="168" fontId="40" fillId="0" borderId="74" xfId="0" applyNumberFormat="1" applyFont="1" applyFill="1" applyBorder="1" applyAlignment="1">
      <alignment horizontal="center"/>
    </xf>
    <xf numFmtId="0" fontId="40" fillId="0" borderId="75" xfId="0" applyFont="1" applyFill="1" applyBorder="1" applyAlignment="1">
      <alignment horizontal="center"/>
    </xf>
    <xf numFmtId="0" fontId="0" fillId="0" borderId="76" xfId="0" applyFill="1" applyBorder="1" applyAlignment="1">
      <alignment horizontal="center"/>
    </xf>
    <xf numFmtId="164" fontId="29" fillId="9" borderId="18" xfId="0" applyNumberFormat="1" applyFont="1" applyFill="1" applyBorder="1" applyAlignment="1" applyProtection="1">
      <alignment horizontal="center" vertical="center" wrapText="1"/>
    </xf>
    <xf numFmtId="168" fontId="23" fillId="0" borderId="0" xfId="3" applyNumberFormat="1" applyFont="1"/>
    <xf numFmtId="181" fontId="0" fillId="0" borderId="0" xfId="0" applyNumberFormat="1"/>
    <xf numFmtId="0" fontId="33" fillId="12" borderId="73" xfId="0" applyFont="1" applyFill="1" applyBorder="1" applyAlignment="1">
      <alignment vertical="center" wrapText="1"/>
    </xf>
    <xf numFmtId="0" fontId="33" fillId="12" borderId="73" xfId="0" applyFont="1" applyFill="1" applyBorder="1" applyAlignment="1">
      <alignment vertical="center" wrapText="1"/>
    </xf>
    <xf numFmtId="0" fontId="33" fillId="12" borderId="72" xfId="0" applyFont="1" applyFill="1" applyBorder="1" applyAlignment="1">
      <alignment vertical="center" wrapText="1"/>
    </xf>
    <xf numFmtId="168" fontId="40" fillId="0" borderId="15" xfId="0" applyNumberFormat="1" applyFont="1" applyFill="1" applyBorder="1" applyAlignment="1">
      <alignment horizontal="center"/>
    </xf>
    <xf numFmtId="168" fontId="0" fillId="0" borderId="58" xfId="0" applyNumberFormat="1" applyFill="1" applyBorder="1" applyAlignment="1">
      <alignment horizontal="center"/>
    </xf>
    <xf numFmtId="168" fontId="0" fillId="0" borderId="77" xfId="0" applyNumberFormat="1" applyFill="1" applyBorder="1" applyAlignment="1">
      <alignment horizontal="center"/>
    </xf>
    <xf numFmtId="0" fontId="40" fillId="0" borderId="15" xfId="0" applyNumberFormat="1" applyFont="1" applyFill="1" applyBorder="1" applyAlignment="1">
      <alignment horizontal="center"/>
    </xf>
    <xf numFmtId="0" fontId="0" fillId="33" borderId="0" xfId="0" applyFill="1"/>
    <xf numFmtId="0" fontId="0" fillId="24" borderId="0" xfId="0" applyFill="1"/>
    <xf numFmtId="0" fontId="0" fillId="26" borderId="0" xfId="0" applyFill="1"/>
    <xf numFmtId="0" fontId="0" fillId="25" borderId="0" xfId="0" applyFill="1"/>
    <xf numFmtId="0" fontId="0" fillId="27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2" borderId="0" xfId="0" applyFill="1"/>
    <xf numFmtId="0" fontId="0" fillId="28" borderId="0" xfId="0" applyFill="1"/>
    <xf numFmtId="0" fontId="0" fillId="37" borderId="0" xfId="0" applyFill="1"/>
    <xf numFmtId="0" fontId="0" fillId="31" borderId="0" xfId="0" applyFill="1"/>
    <xf numFmtId="0" fontId="0" fillId="23" borderId="0" xfId="0" applyFill="1"/>
    <xf numFmtId="0" fontId="0" fillId="30" borderId="0" xfId="0" applyFill="1"/>
    <xf numFmtId="0" fontId="0" fillId="38" borderId="0" xfId="0" applyFill="1"/>
    <xf numFmtId="0" fontId="0" fillId="0" borderId="15" xfId="0" applyBorder="1"/>
    <xf numFmtId="167" fontId="2" fillId="0" borderId="79" xfId="5" applyNumberFormat="1" applyFont="1" applyBorder="1" applyAlignment="1">
      <alignment horizontal="left" indent="1"/>
    </xf>
    <xf numFmtId="167" fontId="2" fillId="0" borderId="80" xfId="5" applyNumberFormat="1" applyFont="1" applyBorder="1" applyAlignment="1">
      <alignment horizontal="left" indent="1"/>
    </xf>
    <xf numFmtId="167" fontId="2" fillId="0" borderId="81" xfId="5" applyNumberFormat="1" applyFont="1" applyBorder="1" applyAlignment="1">
      <alignment horizontal="left" indent="1"/>
    </xf>
    <xf numFmtId="167" fontId="2" fillId="0" borderId="82" xfId="5" applyNumberFormat="1" applyFont="1" applyBorder="1" applyAlignment="1">
      <alignment horizontal="left" indent="1"/>
    </xf>
    <xf numFmtId="167" fontId="2" fillId="0" borderId="83" xfId="5" applyNumberFormat="1" applyFont="1" applyBorder="1" applyAlignment="1">
      <alignment horizontal="left" indent="1"/>
    </xf>
    <xf numFmtId="167" fontId="2" fillId="0" borderId="84" xfId="5" applyNumberFormat="1" applyFont="1" applyBorder="1" applyAlignment="1">
      <alignment horizontal="left" indent="1"/>
    </xf>
    <xf numFmtId="0" fontId="0" fillId="15" borderId="0" xfId="0" applyFill="1"/>
    <xf numFmtId="0" fontId="0" fillId="14" borderId="0" xfId="0" applyFill="1"/>
    <xf numFmtId="0" fontId="0" fillId="17" borderId="0" xfId="0" applyFill="1"/>
    <xf numFmtId="0" fontId="0" fillId="16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0" borderId="16" xfId="0" applyFill="1" applyBorder="1" applyAlignment="1">
      <alignment horizontal="center"/>
    </xf>
    <xf numFmtId="0" fontId="0" fillId="0" borderId="88" xfId="0" applyFill="1" applyBorder="1" applyAlignment="1">
      <alignment horizontal="center"/>
    </xf>
    <xf numFmtId="168" fontId="0" fillId="0" borderId="88" xfId="0" applyNumberFormat="1" applyFill="1" applyBorder="1" applyAlignment="1">
      <alignment horizontal="center"/>
    </xf>
    <xf numFmtId="181" fontId="0" fillId="0" borderId="88" xfId="0" applyNumberFormat="1" applyFill="1" applyBorder="1" applyAlignment="1">
      <alignment horizontal="center"/>
    </xf>
    <xf numFmtId="0" fontId="0" fillId="0" borderId="89" xfId="0" applyFill="1" applyBorder="1" applyAlignment="1">
      <alignment horizontal="center"/>
    </xf>
    <xf numFmtId="0" fontId="0" fillId="0" borderId="75" xfId="0" applyFill="1" applyBorder="1" applyAlignment="1">
      <alignment horizontal="center"/>
    </xf>
    <xf numFmtId="0" fontId="0" fillId="0" borderId="7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168" fontId="0" fillId="0" borderId="29" xfId="0" applyNumberFormat="1" applyFill="1" applyBorder="1" applyAlignment="1">
      <alignment horizontal="center"/>
    </xf>
    <xf numFmtId="181" fontId="0" fillId="0" borderId="49" xfId="0" applyNumberFormat="1" applyFill="1" applyBorder="1" applyAlignment="1">
      <alignment horizontal="center"/>
    </xf>
    <xf numFmtId="168" fontId="0" fillId="0" borderId="49" xfId="0" applyNumberFormat="1" applyFill="1" applyBorder="1" applyAlignment="1">
      <alignment horizontal="center"/>
    </xf>
    <xf numFmtId="0" fontId="0" fillId="0" borderId="49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/>
    </xf>
    <xf numFmtId="0" fontId="35" fillId="0" borderId="51" xfId="0" applyFont="1" applyFill="1" applyBorder="1" applyAlignment="1">
      <alignment horizontal="center"/>
    </xf>
    <xf numFmtId="0" fontId="36" fillId="0" borderId="85" xfId="0" applyFont="1" applyFill="1" applyBorder="1" applyAlignment="1">
      <alignment horizontal="center"/>
    </xf>
    <xf numFmtId="0" fontId="0" fillId="0" borderId="86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168" fontId="0" fillId="0" borderId="22" xfId="0" applyNumberFormat="1" applyFill="1" applyBorder="1" applyAlignment="1">
      <alignment horizontal="center"/>
    </xf>
    <xf numFmtId="181" fontId="0" fillId="0" borderId="22" xfId="0" applyNumberFormat="1" applyFill="1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/>
    </xf>
    <xf numFmtId="0" fontId="35" fillId="0" borderId="48" xfId="0" applyFont="1" applyFill="1" applyBorder="1" applyAlignment="1">
      <alignment horizontal="center"/>
    </xf>
    <xf numFmtId="0" fontId="0" fillId="0" borderId="87" xfId="0" applyFill="1" applyBorder="1" applyAlignment="1">
      <alignment horizontal="center"/>
    </xf>
    <xf numFmtId="14" fontId="40" fillId="0" borderId="15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5" fillId="0" borderId="52" xfId="5" applyFont="1" applyBorder="1" applyAlignment="1">
      <alignment horizontal="center" vertical="center" wrapText="1"/>
    </xf>
    <xf numFmtId="0" fontId="5" fillId="0" borderId="53" xfId="5" applyFont="1" applyBorder="1" applyAlignment="1">
      <alignment horizontal="center" vertical="center" wrapText="1"/>
    </xf>
    <xf numFmtId="0" fontId="5" fillId="0" borderId="54" xfId="5" applyFont="1" applyBorder="1" applyAlignment="1">
      <alignment horizontal="center" vertical="center" wrapText="1"/>
    </xf>
    <xf numFmtId="0" fontId="2" fillId="0" borderId="55" xfId="5" applyBorder="1" applyAlignment="1">
      <alignment horizontal="center"/>
    </xf>
    <xf numFmtId="0" fontId="2" fillId="0" borderId="56" xfId="5" applyBorder="1" applyAlignment="1">
      <alignment horizontal="center"/>
    </xf>
    <xf numFmtId="0" fontId="2" fillId="0" borderId="57" xfId="5" applyBorder="1" applyAlignment="1">
      <alignment horizontal="center"/>
    </xf>
    <xf numFmtId="164" fontId="39" fillId="7" borderId="58" xfId="0" applyNumberFormat="1" applyFont="1" applyFill="1" applyBorder="1" applyAlignment="1" applyProtection="1">
      <alignment horizontal="center" vertical="center"/>
    </xf>
    <xf numFmtId="0" fontId="38" fillId="6" borderId="0" xfId="0" applyNumberFormat="1" applyFont="1" applyFill="1" applyBorder="1" applyAlignment="1" applyProtection="1">
      <alignment horizontal="center" vertical="center"/>
    </xf>
    <xf numFmtId="164" fontId="39" fillId="7" borderId="25" xfId="0" applyNumberFormat="1" applyFont="1" applyFill="1" applyBorder="1" applyAlignment="1" applyProtection="1">
      <alignment horizontal="center" vertical="center"/>
    </xf>
    <xf numFmtId="179" fontId="18" fillId="0" borderId="47" xfId="0" applyNumberFormat="1" applyFont="1" applyBorder="1" applyAlignment="1">
      <alignment horizontal="center"/>
    </xf>
    <xf numFmtId="0" fontId="33" fillId="12" borderId="73" xfId="0" applyFont="1" applyFill="1" applyBorder="1" applyAlignment="1">
      <alignment vertical="center" wrapText="1"/>
    </xf>
    <xf numFmtId="0" fontId="33" fillId="12" borderId="72" xfId="0" applyFont="1" applyFill="1" applyBorder="1" applyAlignment="1">
      <alignment vertical="center" wrapText="1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32" borderId="0" xfId="0" applyFill="1" applyAlignment="1">
      <alignment horizontal="center"/>
    </xf>
  </cellXfs>
  <cellStyles count="9">
    <cellStyle name="Euro" xfId="1"/>
    <cellStyle name="Lien hypertexte" xfId="2" builtinId="8"/>
    <cellStyle name="Milliers" xfId="3" builtinId="3"/>
    <cellStyle name="Milliers 2" xfId="4"/>
    <cellStyle name="Normal" xfId="0" builtinId="0"/>
    <cellStyle name="Normal 2" xfId="5"/>
    <cellStyle name="Normal 4" xfId="6"/>
    <cellStyle name="Normal 5" xfId="7"/>
    <cellStyle name="Normal_URSSAF" xfId="8"/>
  </cellStyles>
  <dxfs count="767"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rgb="FFFFFF00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168" formatCode="[$-F800]dddd\,\ mmmm\ dd\,\ 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7" formatCode="[$-40C]dddd\ d\ mmmm\ 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167" formatCode="[$-40C]dddd\ d\ mmmm\ 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auto="1"/>
        </left>
        <right style="medium">
          <color indexed="64"/>
        </right>
        <top style="medium">
          <color auto="1"/>
        </top>
        <bottom style="thin">
          <color indexed="64"/>
        </bottom>
      </border>
    </dxf>
    <dxf>
      <border outline="0"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thin">
          <color indexed="64"/>
        </bottom>
      </border>
    </dxf>
    <dxf>
      <numFmt numFmtId="168" formatCode="[$-F800]dddd\,\ mmmm\ dd\,\ 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81" formatCode="[$-40C]d\-mmm\-yy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68" formatCode="[$-F800]dddd\,\ mmmm\ dd\,\ 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thin">
          <color indexed="64"/>
        </bottom>
      </border>
    </dxf>
    <dxf>
      <numFmt numFmtId="168" formatCode="[$-F800]dddd\,\ mmmm\ dd\,\ 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33CCFF"/>
        </patternFill>
      </fill>
    </dxf>
    <dxf>
      <fill>
        <patternFill patternType="solid">
          <fgColor indexed="27"/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33CCFF"/>
        </patternFill>
      </fill>
    </dxf>
    <dxf>
      <fill>
        <patternFill patternType="solid">
          <fgColor indexed="27"/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33CCFF"/>
        </patternFill>
      </fill>
    </dxf>
    <dxf>
      <fill>
        <patternFill patternType="solid">
          <fgColor indexed="27"/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33CCFF"/>
        </patternFill>
      </fill>
    </dxf>
    <dxf>
      <fill>
        <patternFill patternType="solid">
          <fgColor indexed="27"/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33CCFF"/>
        </patternFill>
      </fill>
    </dxf>
    <dxf>
      <fill>
        <patternFill patternType="solid">
          <fgColor indexed="27"/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33CCFF"/>
        </patternFill>
      </fill>
    </dxf>
    <dxf>
      <fill>
        <patternFill patternType="solid">
          <fgColor indexed="27"/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33CCFF"/>
        </patternFill>
      </fill>
    </dxf>
    <dxf>
      <fill>
        <patternFill patternType="solid">
          <fgColor indexed="27"/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33CCFF"/>
        </patternFill>
      </fill>
    </dxf>
    <dxf>
      <fill>
        <patternFill patternType="solid">
          <fgColor indexed="27"/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33CCFF"/>
        </patternFill>
      </fill>
    </dxf>
    <dxf>
      <fill>
        <patternFill patternType="solid">
          <fgColor indexed="27"/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CC66FF"/>
        </patternFill>
      </fill>
    </dxf>
    <dxf>
      <fill>
        <patternFill>
          <bgColor rgb="FFFF7C80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33CC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33CC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33CC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33CC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33CC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33CCFF"/>
        </patternFill>
      </fill>
    </dxf>
    <dxf>
      <fill>
        <patternFill>
          <bgColor rgb="FF33CCFF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33CCFF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7C80"/>
        </patternFill>
      </fill>
    </dxf>
    <dxf>
      <fill>
        <patternFill>
          <bgColor rgb="FF33CC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right style="hair">
          <color indexed="64"/>
        </right>
        <bottom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right style="hair">
          <color indexed="64"/>
        </right>
        <bottom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7C8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  <border>
        <right style="hair">
          <color indexed="64"/>
        </right>
        <bottom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right style="hair">
          <color indexed="64"/>
        </right>
        <bottom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indexed="64"/>
        </right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indexed="64"/>
        </right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indexed="64"/>
        </right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indexed="64"/>
        </right>
        <bottom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indexed="64"/>
        </right>
        <bottom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indexed="64"/>
        </right>
        <bottom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indexed="64"/>
        </right>
        <bottom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hair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theme="0" tint="-0.14996795556505021"/>
        </patternFill>
      </fill>
      <border>
        <right style="hair">
          <color indexed="64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theme="0" tint="-0.14996795556505021"/>
        </patternFill>
      </fill>
      <border>
        <right style="hair">
          <color indexed="64"/>
        </right>
      </border>
    </dxf>
    <dxf>
      <fill>
        <patternFill>
          <bgColor theme="0" tint="-0.14996795556505021"/>
        </patternFill>
      </fill>
      <border>
        <right style="hair">
          <color indexed="64"/>
        </right>
        <bottom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theme="0" tint="-0.14996795556505021"/>
        </patternFill>
      </fill>
      <border>
        <right style="hair">
          <color indexed="64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indexed="64"/>
        </left>
        <right style="hair">
          <color indexed="64"/>
        </right>
        <bottom style="thin">
          <color indexed="64"/>
        </bottom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8" tint="0.39994506668294322"/>
        </patternFill>
      </fill>
      <border>
        <left style="medium">
          <color auto="1"/>
        </left>
        <right style="medium">
          <color auto="1"/>
        </right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9" tint="0.39994506668294322"/>
        </patternFill>
      </fill>
      <border>
        <left style="medium">
          <color auto="1"/>
        </left>
        <right style="medium">
          <color auto="1"/>
        </right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00B0F0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ill>
        <patternFill>
          <bgColor theme="9" tint="0.39994506668294322"/>
        </patternFill>
      </fill>
      <border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3" tint="0.39994506668294322"/>
        </patternFill>
      </fill>
      <border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8" tint="0.59996337778862885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8" tint="0.39994506668294322"/>
        </patternFill>
      </fill>
      <border>
        <left style="medium">
          <color auto="1"/>
        </left>
        <right style="medium">
          <color auto="1"/>
        </right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9" tint="0.39994506668294322"/>
        </patternFill>
      </fill>
      <border>
        <left style="medium">
          <color auto="1"/>
        </left>
        <right style="medium">
          <color auto="1"/>
        </right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bgColor rgb="FF33CCFF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2"/>
        </patternFill>
      </fill>
      <border>
        <horizontal/>
      </border>
    </dxf>
    <dxf>
      <font>
        <b/>
        <i val="0"/>
        <color theme="3" tint="9.9948118533890809E-2"/>
      </font>
      <border>
        <horizontal/>
      </border>
    </dxf>
    <dxf>
      <font>
        <b val="0"/>
        <i val="0"/>
        <color theme="3" tint="9.9917600024414813E-2"/>
      </font>
      <border diagonalUp="0" diagonalDown="0">
        <left/>
        <right/>
        <top/>
        <bottom/>
        <vertical/>
        <horizontal/>
      </border>
    </dxf>
    <dxf>
      <font>
        <b/>
        <i val="0"/>
        <color theme="3" tint="9.9948118533890809E-2"/>
      </font>
      <border>
        <top style="thick">
          <color theme="0"/>
        </top>
        <bottom style="thick">
          <color theme="0"/>
        </bottom>
        <vertical style="thick">
          <color theme="0"/>
        </vertical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2"/>
        </patternFill>
      </fill>
      <border>
        <horizontal/>
      </border>
    </dxf>
    <dxf>
      <font>
        <b/>
        <i val="0"/>
        <color theme="3" tint="9.9948118533890809E-2"/>
      </font>
      <border>
        <horizontal/>
      </border>
    </dxf>
    <dxf>
      <font>
        <b val="0"/>
        <i val="0"/>
        <color theme="3" tint="9.9917600024414813E-2"/>
      </font>
      <border diagonalUp="0" diagonalDown="0">
        <left/>
        <right/>
        <top/>
        <bottom/>
        <vertical/>
        <horizontal/>
      </border>
    </dxf>
    <dxf>
      <font>
        <b/>
        <i val="0"/>
        <color theme="3" tint="9.9948118533890809E-2"/>
      </font>
      <border>
        <top style="thick">
          <color theme="0"/>
        </top>
        <bottom style="thick">
          <color theme="0"/>
        </bottom>
        <vertical style="thick">
          <color theme="0"/>
        </vertical>
      </border>
    </dxf>
  </dxfs>
  <tableStyles count="5" defaultTableStyle="TableStyleMedium2" defaultPivotStyle="PivotStyleLight16">
    <tableStyle name="Daily Schedule" pivot="0" count="5">
      <tableStyleElement type="wholeTable" dxfId="766"/>
      <tableStyleElement type="headerRow" dxfId="765"/>
      <tableStyleElement type="firstColumn" dxfId="764"/>
      <tableStyleElement type="firstRowStripe" dxfId="763"/>
      <tableStyleElement type="firstColumnStripe" dxfId="762"/>
    </tableStyle>
    <tableStyle name="Daily Schedule 2" pivot="0" count="5">
      <tableStyleElement type="wholeTable" dxfId="761"/>
      <tableStyleElement type="headerRow" dxfId="760"/>
      <tableStyleElement type="firstColumn" dxfId="759"/>
      <tableStyleElement type="firstRowStripe" dxfId="758"/>
      <tableStyleElement type="firstColumnStripe" dxfId="757"/>
    </tableStyle>
    <tableStyle name="Style de tableau 1" pivot="0" count="3">
      <tableStyleElement type="headerRow" dxfId="756"/>
      <tableStyleElement type="firstRowStripe" dxfId="755"/>
      <tableStyleElement type="secondRowStripe" dxfId="754"/>
    </tableStyle>
    <tableStyle name="Style de tableau 2" pivot="0" count="3">
      <tableStyleElement type="headerRow" dxfId="753"/>
      <tableStyleElement type="firstRowStripe" dxfId="752"/>
      <tableStyleElement type="secondRowStripe" dxfId="751"/>
    </tableStyle>
    <tableStyle name="Style de tableau croisé dynamique 1" table="0" count="3">
      <tableStyleElement type="headerRow" dxfId="750"/>
      <tableStyleElement type="firstRowStripe" dxfId="749"/>
      <tableStyleElement type="secondRowStripe" dxfId="748"/>
    </tableStyle>
  </tableStyles>
  <colors>
    <mruColors>
      <color rgb="FF00FFFF"/>
      <color rgb="FF99FF33"/>
      <color rgb="FFFF7C80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C$1" max="3000" min="2010" page="10" val="2017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47625</xdr:rowOff>
    </xdr:from>
    <xdr:to>
      <xdr:col>1</xdr:col>
      <xdr:colOff>390525</xdr:colOff>
      <xdr:row>1</xdr:row>
      <xdr:rowOff>152400</xdr:rowOff>
    </xdr:to>
    <xdr:sp macro="" textlink="">
      <xdr:nvSpPr>
        <xdr:cNvPr id="1026" name="Spinner 1" hidden="1"/>
        <xdr:cNvSpPr>
          <a:spLocks noChangeArrowheads="1"/>
        </xdr:cNvSpPr>
      </xdr:nvSpPr>
      <xdr:spPr bwMode="auto">
        <a:xfrm>
          <a:off x="142875" y="47625"/>
          <a:ext cx="361950" cy="495300"/>
        </a:xfrm>
        <a:prstGeom prst="rect">
          <a:avLst/>
        </a:prstGeom>
        <a:solidFill>
          <a:srgbClr val="FFFFFF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28575</xdr:colOff>
      <xdr:row>0</xdr:row>
      <xdr:rowOff>47625</xdr:rowOff>
    </xdr:from>
    <xdr:to>
      <xdr:col>1</xdr:col>
      <xdr:colOff>390525</xdr:colOff>
      <xdr:row>1</xdr:row>
      <xdr:rowOff>152400</xdr:rowOff>
    </xdr:to>
    <xdr:sp macro="" textlink="">
      <xdr:nvSpPr>
        <xdr:cNvPr id="1027" name="Spinner 1" hidden="1"/>
        <xdr:cNvSpPr>
          <a:spLocks noChangeArrowheads="1"/>
        </xdr:cNvSpPr>
      </xdr:nvSpPr>
      <xdr:spPr bwMode="auto">
        <a:xfrm>
          <a:off x="142875" y="47625"/>
          <a:ext cx="361950" cy="495300"/>
        </a:xfrm>
        <a:prstGeom prst="rect">
          <a:avLst/>
        </a:prstGeom>
        <a:solidFill>
          <a:srgbClr val="FFFFFF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0</xdr:row>
          <xdr:rowOff>95250</xdr:rowOff>
        </xdr:from>
        <xdr:to>
          <xdr:col>1</xdr:col>
          <xdr:colOff>409575</xdr:colOff>
          <xdr:row>1</xdr:row>
          <xdr:rowOff>200025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295275</xdr:colOff>
      <xdr:row>13</xdr:row>
      <xdr:rowOff>38100</xdr:rowOff>
    </xdr:from>
    <xdr:to>
      <xdr:col>7</xdr:col>
      <xdr:colOff>371475</xdr:colOff>
      <xdr:row>14</xdr:row>
      <xdr:rowOff>66675</xdr:rowOff>
    </xdr:to>
    <xdr:sp macro="" textlink="">
      <xdr:nvSpPr>
        <xdr:cNvPr id="19457" name="Text Box 57"/>
        <xdr:cNvSpPr txBox="1">
          <a:spLocks noChangeArrowheads="1"/>
        </xdr:cNvSpPr>
      </xdr:nvSpPr>
      <xdr:spPr bwMode="auto">
        <a:xfrm>
          <a:off x="5295900" y="26289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295275</xdr:colOff>
      <xdr:row>13</xdr:row>
      <xdr:rowOff>38100</xdr:rowOff>
    </xdr:from>
    <xdr:to>
      <xdr:col>7</xdr:col>
      <xdr:colOff>371475</xdr:colOff>
      <xdr:row>14</xdr:row>
      <xdr:rowOff>66675</xdr:rowOff>
    </xdr:to>
    <xdr:sp macro="" textlink="">
      <xdr:nvSpPr>
        <xdr:cNvPr id="19458" name="Text Box 57"/>
        <xdr:cNvSpPr txBox="1">
          <a:spLocks noChangeArrowheads="1"/>
        </xdr:cNvSpPr>
      </xdr:nvSpPr>
      <xdr:spPr bwMode="auto">
        <a:xfrm>
          <a:off x="5295900" y="26289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295275</xdr:colOff>
      <xdr:row>18</xdr:row>
      <xdr:rowOff>38100</xdr:rowOff>
    </xdr:from>
    <xdr:to>
      <xdr:col>7</xdr:col>
      <xdr:colOff>371475</xdr:colOff>
      <xdr:row>19</xdr:row>
      <xdr:rowOff>66675</xdr:rowOff>
    </xdr:to>
    <xdr:sp macro="" textlink="">
      <xdr:nvSpPr>
        <xdr:cNvPr id="19459" name="Text Box 57"/>
        <xdr:cNvSpPr txBox="1">
          <a:spLocks noChangeArrowheads="1"/>
        </xdr:cNvSpPr>
      </xdr:nvSpPr>
      <xdr:spPr bwMode="auto">
        <a:xfrm>
          <a:off x="5295900" y="36290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295275</xdr:colOff>
      <xdr:row>23</xdr:row>
      <xdr:rowOff>38100</xdr:rowOff>
    </xdr:from>
    <xdr:to>
      <xdr:col>7</xdr:col>
      <xdr:colOff>371475</xdr:colOff>
      <xdr:row>24</xdr:row>
      <xdr:rowOff>66675</xdr:rowOff>
    </xdr:to>
    <xdr:sp macro="" textlink="">
      <xdr:nvSpPr>
        <xdr:cNvPr id="19460" name="Text Box 57"/>
        <xdr:cNvSpPr txBox="1">
          <a:spLocks noChangeArrowheads="1"/>
        </xdr:cNvSpPr>
      </xdr:nvSpPr>
      <xdr:spPr bwMode="auto">
        <a:xfrm>
          <a:off x="5295900" y="46291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295275</xdr:colOff>
      <xdr:row>28</xdr:row>
      <xdr:rowOff>38100</xdr:rowOff>
    </xdr:from>
    <xdr:to>
      <xdr:col>7</xdr:col>
      <xdr:colOff>371475</xdr:colOff>
      <xdr:row>29</xdr:row>
      <xdr:rowOff>66675</xdr:rowOff>
    </xdr:to>
    <xdr:sp macro="" textlink="">
      <xdr:nvSpPr>
        <xdr:cNvPr id="19461" name="Text Box 57"/>
        <xdr:cNvSpPr txBox="1">
          <a:spLocks noChangeArrowheads="1"/>
        </xdr:cNvSpPr>
      </xdr:nvSpPr>
      <xdr:spPr bwMode="auto">
        <a:xfrm>
          <a:off x="5295900" y="562927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295275</xdr:colOff>
      <xdr:row>33</xdr:row>
      <xdr:rowOff>38100</xdr:rowOff>
    </xdr:from>
    <xdr:to>
      <xdr:col>7</xdr:col>
      <xdr:colOff>371475</xdr:colOff>
      <xdr:row>34</xdr:row>
      <xdr:rowOff>66675</xdr:rowOff>
    </xdr:to>
    <xdr:sp macro="" textlink="">
      <xdr:nvSpPr>
        <xdr:cNvPr id="19462" name="Text Box 57"/>
        <xdr:cNvSpPr txBox="1">
          <a:spLocks noChangeArrowheads="1"/>
        </xdr:cNvSpPr>
      </xdr:nvSpPr>
      <xdr:spPr bwMode="auto">
        <a:xfrm>
          <a:off x="5295900" y="6629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genda%20quotidien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nniversair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ication"/>
      <sheetName val="Saisie de données"/>
      <sheetName val="Recherche de nom"/>
      <sheetName val="Agenda quotidien1"/>
    </sheetNames>
    <sheetDataSet>
      <sheetData sheetId="0" refreshError="1"/>
      <sheetData sheetId="1"/>
      <sheetData sheetId="2">
        <row r="2">
          <cell r="B2" t="str">
            <v>NUMÉRO DE LIGNE</v>
          </cell>
        </row>
        <row r="3">
          <cell r="A3" t="str">
            <v>Anna</v>
          </cell>
          <cell r="B3">
            <v>3</v>
          </cell>
        </row>
        <row r="4">
          <cell r="B4">
            <v>4</v>
          </cell>
        </row>
        <row r="5">
          <cell r="B5" t="str">
            <v/>
          </cell>
        </row>
        <row r="6">
          <cell r="B6" t="str">
            <v/>
          </cell>
        </row>
        <row r="7">
          <cell r="B7" t="str">
            <v/>
          </cell>
        </row>
        <row r="8">
          <cell r="B8" t="str">
            <v/>
          </cell>
        </row>
        <row r="9">
          <cell r="B9" t="str">
            <v/>
          </cell>
        </row>
        <row r="10">
          <cell r="B10" t="str">
            <v/>
          </cell>
        </row>
        <row r="11">
          <cell r="B11" t="str">
            <v/>
          </cell>
        </row>
        <row r="12">
          <cell r="B12" t="str">
            <v/>
          </cell>
        </row>
        <row r="13">
          <cell r="B13" t="str">
            <v/>
          </cell>
        </row>
        <row r="14">
          <cell r="B14" t="str">
            <v/>
          </cell>
        </row>
        <row r="15">
          <cell r="B15" t="str">
            <v/>
          </cell>
        </row>
        <row r="16">
          <cell r="B16" t="str">
            <v/>
          </cell>
        </row>
        <row r="17">
          <cell r="B17" t="str">
            <v/>
          </cell>
        </row>
        <row r="18">
          <cell r="B18" t="str">
            <v/>
          </cell>
        </row>
        <row r="19">
          <cell r="B19" t="str">
            <v/>
          </cell>
        </row>
        <row r="20">
          <cell r="B20" t="str">
            <v/>
          </cell>
        </row>
        <row r="21">
          <cell r="B21" t="str">
            <v/>
          </cell>
        </row>
        <row r="22">
          <cell r="B22" t="str">
            <v/>
          </cell>
        </row>
        <row r="23">
          <cell r="B23" t="str">
            <v/>
          </cell>
        </row>
        <row r="24">
          <cell r="B24" t="str">
            <v/>
          </cell>
        </row>
        <row r="25">
          <cell r="B25" t="str">
            <v/>
          </cell>
        </row>
        <row r="26">
          <cell r="B26" t="str">
            <v/>
          </cell>
        </row>
        <row r="27">
          <cell r="B27" t="str">
            <v/>
          </cell>
        </row>
        <row r="28">
          <cell r="B28" t="str">
            <v/>
          </cell>
        </row>
        <row r="29">
          <cell r="B29" t="str">
            <v/>
          </cell>
        </row>
        <row r="30">
          <cell r="B30" t="str">
            <v/>
          </cell>
        </row>
        <row r="31">
          <cell r="B31" t="str">
            <v/>
          </cell>
        </row>
        <row r="32">
          <cell r="B32" t="str">
            <v/>
          </cell>
        </row>
        <row r="33">
          <cell r="B33" t="str">
            <v/>
          </cell>
        </row>
        <row r="34">
          <cell r="B34" t="str">
            <v/>
          </cell>
        </row>
        <row r="35">
          <cell r="B35" t="str">
            <v/>
          </cell>
        </row>
        <row r="36">
          <cell r="B36" t="str">
            <v/>
          </cell>
        </row>
        <row r="37">
          <cell r="B37" t="str">
            <v/>
          </cell>
        </row>
        <row r="38">
          <cell r="B38" t="str">
            <v/>
          </cell>
        </row>
        <row r="39">
          <cell r="B39" t="str">
            <v/>
          </cell>
        </row>
        <row r="40">
          <cell r="B40" t="str">
            <v/>
          </cell>
        </row>
        <row r="41">
          <cell r="B41" t="str">
            <v/>
          </cell>
        </row>
        <row r="42">
          <cell r="B42" t="str">
            <v/>
          </cell>
        </row>
        <row r="43">
          <cell r="B43" t="str">
            <v/>
          </cell>
        </row>
        <row r="44">
          <cell r="B44" t="str">
            <v/>
          </cell>
        </row>
        <row r="45">
          <cell r="B45" t="str">
            <v/>
          </cell>
        </row>
        <row r="46">
          <cell r="B46" t="str">
            <v/>
          </cell>
        </row>
        <row r="47">
          <cell r="B47" t="str">
            <v/>
          </cell>
        </row>
        <row r="48">
          <cell r="B48" t="str">
            <v/>
          </cell>
        </row>
        <row r="49">
          <cell r="B49" t="str">
            <v/>
          </cell>
        </row>
        <row r="50">
          <cell r="B50" t="str">
            <v/>
          </cell>
        </row>
        <row r="51">
          <cell r="B51" t="str">
            <v/>
          </cell>
        </row>
        <row r="52">
          <cell r="B52" t="str">
            <v/>
          </cell>
        </row>
        <row r="53">
          <cell r="B53" t="str">
            <v/>
          </cell>
        </row>
        <row r="54">
          <cell r="B54" t="str">
            <v/>
          </cell>
        </row>
        <row r="55">
          <cell r="B55" t="str">
            <v/>
          </cell>
        </row>
        <row r="56">
          <cell r="B56" t="str">
            <v/>
          </cell>
        </row>
        <row r="57">
          <cell r="B57" t="str">
            <v/>
          </cell>
        </row>
        <row r="58">
          <cell r="B58" t="str">
            <v/>
          </cell>
        </row>
        <row r="59">
          <cell r="B59" t="str">
            <v/>
          </cell>
        </row>
        <row r="60">
          <cell r="B60" t="str">
            <v/>
          </cell>
        </row>
        <row r="61">
          <cell r="B61" t="str">
            <v/>
          </cell>
        </row>
        <row r="62">
          <cell r="B62" t="str">
            <v/>
          </cell>
        </row>
        <row r="63">
          <cell r="B63" t="str">
            <v/>
          </cell>
        </row>
        <row r="64">
          <cell r="B64" t="str">
            <v/>
          </cell>
        </row>
        <row r="65">
          <cell r="B65" t="str">
            <v/>
          </cell>
        </row>
        <row r="66">
          <cell r="B66" t="str">
            <v/>
          </cell>
        </row>
        <row r="67">
          <cell r="B67" t="str">
            <v/>
          </cell>
        </row>
        <row r="68">
          <cell r="B68" t="str">
            <v/>
          </cell>
        </row>
        <row r="69">
          <cell r="B69" t="str">
            <v/>
          </cell>
        </row>
        <row r="70">
          <cell r="B70" t="str">
            <v/>
          </cell>
        </row>
        <row r="71">
          <cell r="B71" t="str">
            <v/>
          </cell>
        </row>
        <row r="72">
          <cell r="B72" t="str">
            <v/>
          </cell>
        </row>
        <row r="73">
          <cell r="B73" t="str">
            <v/>
          </cell>
        </row>
        <row r="74">
          <cell r="B74" t="str">
            <v/>
          </cell>
        </row>
        <row r="75">
          <cell r="B75" t="str">
            <v/>
          </cell>
        </row>
        <row r="76">
          <cell r="B76" t="str">
            <v/>
          </cell>
        </row>
        <row r="77">
          <cell r="B77" t="str">
            <v/>
          </cell>
        </row>
        <row r="78">
          <cell r="B78" t="str">
            <v/>
          </cell>
        </row>
        <row r="79">
          <cell r="B79" t="str">
            <v/>
          </cell>
        </row>
        <row r="80">
          <cell r="B80" t="str">
            <v/>
          </cell>
        </row>
        <row r="81">
          <cell r="B81" t="str">
            <v/>
          </cell>
        </row>
        <row r="82">
          <cell r="B82" t="str">
            <v/>
          </cell>
        </row>
        <row r="83">
          <cell r="B83" t="str">
            <v/>
          </cell>
        </row>
        <row r="84">
          <cell r="B84" t="str">
            <v/>
          </cell>
        </row>
        <row r="85">
          <cell r="B85" t="str">
            <v/>
          </cell>
        </row>
        <row r="86">
          <cell r="B86" t="str">
            <v/>
          </cell>
        </row>
        <row r="87">
          <cell r="B87" t="str">
            <v/>
          </cell>
        </row>
        <row r="88">
          <cell r="B88" t="str">
            <v/>
          </cell>
        </row>
        <row r="89">
          <cell r="B89" t="str">
            <v/>
          </cell>
        </row>
        <row r="90">
          <cell r="B90" t="str">
            <v/>
          </cell>
        </row>
        <row r="91">
          <cell r="B91" t="str">
            <v/>
          </cell>
        </row>
        <row r="92">
          <cell r="B92" t="str">
            <v/>
          </cell>
        </row>
        <row r="93">
          <cell r="B93" t="str">
            <v/>
          </cell>
        </row>
        <row r="94">
          <cell r="B94" t="str">
            <v/>
          </cell>
        </row>
        <row r="95">
          <cell r="B95" t="str">
            <v/>
          </cell>
        </row>
        <row r="96">
          <cell r="B96" t="str">
            <v/>
          </cell>
        </row>
        <row r="97">
          <cell r="B97" t="str">
            <v/>
          </cell>
        </row>
        <row r="98">
          <cell r="B98" t="str">
            <v/>
          </cell>
        </row>
        <row r="99">
          <cell r="B99" t="str">
            <v/>
          </cell>
        </row>
        <row r="100">
          <cell r="B100" t="str">
            <v/>
          </cell>
        </row>
        <row r="101">
          <cell r="B101" t="str">
            <v/>
          </cell>
        </row>
        <row r="102">
          <cell r="B102" t="str">
            <v/>
          </cell>
        </row>
        <row r="103">
          <cell r="B103" t="str">
            <v/>
          </cell>
        </row>
        <row r="104">
          <cell r="B104" t="str">
            <v/>
          </cell>
        </row>
        <row r="105">
          <cell r="B105" t="str">
            <v/>
          </cell>
        </row>
        <row r="106">
          <cell r="B106" t="str">
            <v/>
          </cell>
        </row>
        <row r="107">
          <cell r="B107" t="str">
            <v/>
          </cell>
        </row>
        <row r="108">
          <cell r="B108" t="str">
            <v/>
          </cell>
        </row>
        <row r="109">
          <cell r="B109" t="str">
            <v/>
          </cell>
        </row>
        <row r="110">
          <cell r="B110" t="str">
            <v/>
          </cell>
        </row>
        <row r="111">
          <cell r="B111" t="str">
            <v/>
          </cell>
        </row>
        <row r="112">
          <cell r="B112" t="str">
            <v/>
          </cell>
        </row>
        <row r="113">
          <cell r="B113" t="str">
            <v/>
          </cell>
        </row>
        <row r="114">
          <cell r="B114" t="str">
            <v/>
          </cell>
        </row>
        <row r="115">
          <cell r="B115" t="str">
            <v/>
          </cell>
        </row>
        <row r="116">
          <cell r="B116" t="str">
            <v/>
          </cell>
        </row>
        <row r="117">
          <cell r="B117" t="str">
            <v/>
          </cell>
        </row>
        <row r="118">
          <cell r="B118" t="str">
            <v/>
          </cell>
        </row>
        <row r="119">
          <cell r="B119" t="str">
            <v/>
          </cell>
        </row>
        <row r="120">
          <cell r="B120" t="str">
            <v/>
          </cell>
        </row>
        <row r="121">
          <cell r="B121" t="str">
            <v/>
          </cell>
        </row>
        <row r="122">
          <cell r="B122" t="str">
            <v/>
          </cell>
        </row>
        <row r="123">
          <cell r="B123" t="str">
            <v/>
          </cell>
        </row>
        <row r="124">
          <cell r="B124" t="str">
            <v/>
          </cell>
        </row>
        <row r="125">
          <cell r="B125" t="str">
            <v/>
          </cell>
        </row>
        <row r="126">
          <cell r="B126" t="str">
            <v/>
          </cell>
        </row>
        <row r="127">
          <cell r="B127" t="str">
            <v/>
          </cell>
        </row>
        <row r="128">
          <cell r="B128" t="str">
            <v/>
          </cell>
        </row>
        <row r="129">
          <cell r="B129" t="str">
            <v/>
          </cell>
        </row>
        <row r="130">
          <cell r="B130" t="str">
            <v/>
          </cell>
        </row>
        <row r="131">
          <cell r="B131" t="str">
            <v/>
          </cell>
        </row>
        <row r="132">
          <cell r="B132" t="str">
            <v/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Data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2" name="Tableau2" displayName="Tableau2" ref="A1:N100" totalsRowShown="0" headerRowDxfId="70" dataDxfId="68" headerRowBorderDxfId="69" tableBorderDxfId="67">
  <autoFilter ref="A1:N100"/>
  <tableColumns count="14">
    <tableColumn id="1" name="Nom" dataDxfId="66"/>
    <tableColumn id="2" name="Prénom" dataDxfId="65"/>
    <tableColumn id="3" name="Nom Prénom" dataDxfId="64">
      <calculatedColumnFormula>CONCATENATE(A2,"  ",B2)</calculatedColumnFormula>
    </tableColumn>
    <tableColumn id="4" name="Colonne1" dataDxfId="63">
      <calculatedColumnFormula>CONCATENATE(C2,"  ",K2)</calculatedColumnFormula>
    </tableColumn>
    <tableColumn id="5" name="date" dataDxfId="62"/>
    <tableColumn id="6" name="date2" dataDxfId="61">
      <calculatedColumnFormula>IF(E2&lt;1/1/1900,"",E2)</calculatedColumnFormula>
    </tableColumn>
    <tableColumn id="7" name="date3" dataDxfId="60">
      <calculatedColumnFormula>IF(E2&lt;1/1/2000,"",DATE(YEAR(TODAY()),MONTH(E2),DAY(F2)))</calculatedColumnFormula>
    </tableColumn>
    <tableColumn id="8" name="comentaire" dataDxfId="59"/>
    <tableColumn id="9" name="âge" dataDxfId="58">
      <calculatedColumnFormula>IF(E2&gt;$AB$1,"",IF(B2="","",IF(H2&lt;&gt;"naissance",IF(F2&lt;1/1/19000," ",DATEDIF(F2,TODAY(),"y")),"")))</calculatedColumnFormula>
    </tableColumn>
    <tableColumn id="10" name="âge4" dataDxfId="57">
      <calculatedColumnFormula>IF(H2="naissance",IF(F2&lt;1/1/19000," ",DATEDIF(F2,TODAY(),"y")),"")</calculatedColumnFormula>
    </tableColumn>
    <tableColumn id="11" name="âge5" dataDxfId="56">
      <calculatedColumnFormula>CONCATENATE(I2,"  ",J2)</calculatedColumnFormula>
    </tableColumn>
    <tableColumn id="12" name="zodiac" dataDxfId="55">
      <calculatedColumnFormula>IF(H2="naissance",IF(E2="","",INDEX({"Capricorne";"Verseau";"Poisson";"Bélier";"Taureau";"Gémeaux";"Cancer";"Lion";"Vierge";"Balance";"Scorpion";"Sagittaire";"Capricorne";""},MATCH(DATE(,MONTH(E2),DAY(E2)),{0;20;51;81;111;142;173;205;237;267;297;327;357},1))),"")</calculatedColumnFormula>
    </tableColumn>
    <tableColumn id="13" name="zodiac6" dataDxfId="54">
      <calculatedColumnFormula>IF(H2="naissance",IF(F2="","",INDEX({"g";"h";"i";"^";"_";"z";"a";"b";"c";"d";"e";"f";"g";""},MATCH(DATE(,MONTH(F2),DAY(F2)),{0;20;51;81;111;142;173;205;237;267;297;327;357},1))),"")</calculatedColumnFormula>
    </tableColumn>
    <tableColumn id="14" name="signe chinois" dataDxfId="53">
      <calculatedColumnFormula>IF(H2="naissance",OFFSET($U$3,MATCH(E2,$S$4:$S$123,1)+1,),"")</calculatedColumnFormula>
    </tableColumn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I190" totalsRowShown="0" headerRowBorderDxfId="52" tableBorderDxfId="51" totalsRowBorderDxfId="50">
  <autoFilter ref="A2:I190"/>
  <tableColumns count="9">
    <tableColumn id="1" name="date debut" dataDxfId="49"/>
    <tableColumn id="3" name="date fin" dataDxfId="48"/>
    <tableColumn id="2" name="évènement" dataDxfId="47"/>
    <tableColumn id="6" name="type" dataDxfId="46"/>
    <tableColumn id="4" name="Jours1" dataDxfId="45">
      <calculatedColumnFormula>IF(Tableau1[[#This Row],[date debut]]=0,"",IF(Tableau1[[#This Row],[date fin]]=0,"",Tableau1[[#This Row],[Colonne1]]-Tableau1[[#This Row],[date debut]]+1))</calculatedColumnFormula>
    </tableColumn>
    <tableColumn id="8" name="jours2" dataDxfId="44">
      <calculatedColumnFormula>IF(Tableau1[[#This Row],[date debut]]=0,"",IF(Tableau1[[#This Row],[date fin]]=0,IF(Tableau1[[#This Row],[type]]="travail",Tableau1[[#This Row],[Colonne1]]-Tableau1[[#This Row],[date debut]]+1,""),""))</calculatedColumnFormula>
    </tableColumn>
    <tableColumn id="7" name="Jours" dataDxfId="43">
      <calculatedColumnFormula>CONCATENATE(Tableau1[[#This Row],[Jours1]],"",Tableau1[[#This Row],[jours2]])</calculatedColumnFormula>
    </tableColumn>
    <tableColumn id="9" name="ouvrés" dataDxfId="42">
      <calculatedColumnFormula>IF(I3="","",NETWORKDAYS(A3,I3))</calculatedColumnFormula>
    </tableColumn>
    <tableColumn id="5" name="Colonne1" dataDxfId="41">
      <calculatedColumnFormula>IF(Tableau1[[#This Row],[date fin]]&lt;&gt;0,Tableau1[[#This Row],[date fin]],IF(Tableau1[[#This Row],[type]]="travail",TODAY(),""))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ducation.gouv.fr/pid25058/le-calendrier-scolaire.html?annee=108&amp;zone=0&amp;search_input=%A0D%E9partement%2C+Code+postal+ou+vill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AE58"/>
  <sheetViews>
    <sheetView zoomScaleNormal="100" workbookViewId="0">
      <pane xSplit="2" ySplit="4" topLeftCell="C21" activePane="bottomRight" state="frozen"/>
      <selection pane="topRight" activeCell="C1" sqref="C1"/>
      <selection pane="bottomLeft" activeCell="A5" sqref="A5"/>
      <selection pane="bottomRight" activeCell="E5" sqref="E5:E38"/>
    </sheetView>
  </sheetViews>
  <sheetFormatPr baseColWidth="10" defaultRowHeight="12.75"/>
  <cols>
    <col min="1" max="1" width="0.7109375" style="2" customWidth="1"/>
    <col min="2" max="2" width="10.28515625" style="2" customWidth="1"/>
    <col min="3" max="3" width="10" style="2" customWidth="1"/>
    <col min="4" max="4" width="0.7109375" style="2" customWidth="1"/>
    <col min="5" max="5" width="26.28515625" style="2" customWidth="1"/>
    <col min="6" max="6" width="0.7109375" style="2" customWidth="1"/>
    <col min="7" max="7" width="26.28515625" style="2" customWidth="1"/>
    <col min="8" max="8" width="0.7109375" style="2" customWidth="1"/>
    <col min="9" max="9" width="11.42578125" style="2" customWidth="1"/>
    <col min="10" max="11" width="11.42578125" style="2"/>
    <col min="12" max="12" width="4.140625" style="2" customWidth="1"/>
    <col min="13" max="14" width="11.42578125" style="2"/>
    <col min="15" max="15" width="2.5703125" style="2" customWidth="1"/>
    <col min="16" max="16" width="24.42578125" style="2" bestFit="1" customWidth="1"/>
    <col min="17" max="17" width="3" style="2" customWidth="1"/>
    <col min="18" max="18" width="26" style="2" bestFit="1" customWidth="1"/>
    <col min="19" max="16384" width="11.42578125" style="2"/>
  </cols>
  <sheetData>
    <row r="1" spans="1:31" ht="9.9499999999999993" customHeight="1" thickBot="1">
      <c r="A1" s="48"/>
      <c r="B1" s="49"/>
      <c r="C1" s="49"/>
      <c r="D1" s="49"/>
      <c r="E1" s="49"/>
      <c r="F1" s="49"/>
      <c r="G1" s="49"/>
      <c r="H1" s="5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5.75" customHeight="1">
      <c r="A2" s="4"/>
      <c r="B2" s="320" t="s">
        <v>1</v>
      </c>
      <c r="C2" s="323"/>
      <c r="D2" s="5"/>
      <c r="E2" s="6" t="s">
        <v>2</v>
      </c>
      <c r="F2" s="5"/>
      <c r="G2" s="6" t="s">
        <v>3</v>
      </c>
      <c r="H2" s="7"/>
      <c r="K2" s="26" t="s">
        <v>6</v>
      </c>
      <c r="L2" s="3"/>
      <c r="M2" s="3"/>
      <c r="N2" s="3"/>
      <c r="O2" s="3"/>
      <c r="P2" s="3"/>
      <c r="Q2" s="3"/>
      <c r="R2" s="3"/>
      <c r="S2" s="8"/>
      <c r="T2" s="8"/>
      <c r="U2" s="8"/>
      <c r="V2" s="8"/>
      <c r="W2" s="8"/>
      <c r="X2" s="8"/>
      <c r="Y2" s="3"/>
      <c r="Z2" s="9"/>
      <c r="AA2" s="10"/>
      <c r="AB2" s="10"/>
      <c r="AC2" s="10"/>
    </row>
    <row r="3" spans="1:31" ht="15.75" customHeight="1">
      <c r="A3" s="11"/>
      <c r="B3" s="321"/>
      <c r="C3" s="324"/>
      <c r="D3" s="12"/>
      <c r="E3" s="51" t="s">
        <v>7</v>
      </c>
      <c r="F3" s="12"/>
      <c r="G3" s="51" t="s">
        <v>7</v>
      </c>
      <c r="H3" s="14"/>
      <c r="K3" s="26"/>
      <c r="L3" s="3"/>
      <c r="M3" s="3"/>
      <c r="N3" s="3"/>
      <c r="O3" s="3"/>
      <c r="P3" s="3"/>
      <c r="Q3" s="3"/>
      <c r="R3" s="3"/>
      <c r="S3" s="8"/>
      <c r="T3" s="8"/>
      <c r="U3" s="8"/>
      <c r="V3" s="8"/>
      <c r="W3" s="8"/>
      <c r="X3" s="8"/>
      <c r="Y3" s="3"/>
      <c r="Z3" s="9"/>
      <c r="AA3" s="10"/>
      <c r="AB3" s="10"/>
      <c r="AC3" s="10"/>
    </row>
    <row r="4" spans="1:31" ht="26.25" customHeight="1">
      <c r="A4" s="11"/>
      <c r="B4" s="322"/>
      <c r="C4" s="325"/>
      <c r="D4" s="12"/>
      <c r="E4" s="13" t="s">
        <v>9</v>
      </c>
      <c r="F4" s="12"/>
      <c r="G4" s="13" t="s">
        <v>10</v>
      </c>
      <c r="H4" s="14"/>
      <c r="K4" s="28"/>
    </row>
    <row r="5" spans="1:31" ht="26.25" customHeight="1">
      <c r="A5" s="11"/>
      <c r="B5" s="15" t="s">
        <v>12</v>
      </c>
      <c r="C5" s="16" t="s">
        <v>13</v>
      </c>
      <c r="D5" s="12"/>
      <c r="E5" s="17">
        <v>41265</v>
      </c>
      <c r="F5" s="12"/>
      <c r="G5" s="17">
        <v>41280</v>
      </c>
      <c r="H5" s="14"/>
      <c r="I5" s="2" t="s">
        <v>0</v>
      </c>
      <c r="J5" s="22" t="s">
        <v>5</v>
      </c>
    </row>
    <row r="6" spans="1:31" ht="15" customHeight="1">
      <c r="A6" s="11"/>
      <c r="B6" s="18"/>
      <c r="C6" s="16" t="s">
        <v>15</v>
      </c>
      <c r="D6" s="12"/>
      <c r="E6" s="17">
        <v>41328</v>
      </c>
      <c r="F6" s="12"/>
      <c r="G6" s="17">
        <v>41343</v>
      </c>
      <c r="H6" s="14"/>
      <c r="I6" s="2" t="s">
        <v>4</v>
      </c>
      <c r="J6" s="27">
        <f>DATE(calendriers!An-1,1,1)</f>
        <v>42370</v>
      </c>
    </row>
    <row r="7" spans="1:31" ht="15" customHeight="1">
      <c r="A7" s="11"/>
      <c r="B7" s="18"/>
      <c r="C7" s="16" t="s">
        <v>17</v>
      </c>
      <c r="D7" s="12"/>
      <c r="E7" s="19">
        <v>41384</v>
      </c>
      <c r="F7" s="12"/>
      <c r="G7" s="19">
        <v>41399</v>
      </c>
      <c r="H7" s="14"/>
      <c r="I7" s="2" t="s">
        <v>8</v>
      </c>
      <c r="J7" s="27">
        <f>ROUND(DATE(calendriers!An-1,4,MOD(234-11*MOD(calendriers!An-1,19),30))/7,0)*7-6+1</f>
        <v>42457</v>
      </c>
    </row>
    <row r="8" spans="1:31" ht="15" customHeight="1">
      <c r="A8" s="11"/>
      <c r="B8" s="18"/>
      <c r="C8" s="16" t="s">
        <v>19</v>
      </c>
      <c r="D8" s="12"/>
      <c r="E8" s="19">
        <v>41461</v>
      </c>
      <c r="F8" s="12"/>
      <c r="G8" s="19">
        <v>41518</v>
      </c>
      <c r="H8" s="14"/>
      <c r="I8" s="2" t="s">
        <v>11</v>
      </c>
      <c r="J8" s="27">
        <f>DATE(calendriers!An-1,5,1)</f>
        <v>42491</v>
      </c>
    </row>
    <row r="9" spans="1:31" ht="15" customHeight="1">
      <c r="A9" s="11"/>
      <c r="B9" s="18"/>
      <c r="C9" s="16" t="s">
        <v>21</v>
      </c>
      <c r="D9" s="12"/>
      <c r="E9" s="19">
        <v>41566</v>
      </c>
      <c r="F9" s="12"/>
      <c r="G9" s="19">
        <v>41581</v>
      </c>
      <c r="H9" s="14"/>
      <c r="I9" s="2" t="s">
        <v>14</v>
      </c>
      <c r="J9" s="27">
        <f>DATE(calendriers!An-1,5,8)</f>
        <v>42498</v>
      </c>
    </row>
    <row r="10" spans="1:31" ht="15" customHeight="1">
      <c r="A10" s="11"/>
      <c r="B10" s="20"/>
      <c r="C10" s="16" t="s">
        <v>13</v>
      </c>
      <c r="D10" s="12"/>
      <c r="E10" s="21">
        <v>41629</v>
      </c>
      <c r="F10" s="12"/>
      <c r="G10" s="21">
        <v>41644</v>
      </c>
      <c r="H10" s="14"/>
      <c r="I10" s="2" t="s">
        <v>16</v>
      </c>
      <c r="J10" s="27">
        <f>J7+38</f>
        <v>42495</v>
      </c>
    </row>
    <row r="11" spans="1:31" ht="15" customHeight="1">
      <c r="A11" s="11"/>
      <c r="B11" s="12"/>
      <c r="C11" s="12"/>
      <c r="D11" s="12"/>
      <c r="E11" s="12"/>
      <c r="F11" s="12"/>
      <c r="G11" s="12"/>
      <c r="H11" s="14"/>
      <c r="I11" s="2" t="s">
        <v>18</v>
      </c>
      <c r="J11" s="27">
        <f>J7+49</f>
        <v>42506</v>
      </c>
    </row>
    <row r="12" spans="1:31" ht="15" customHeight="1">
      <c r="A12" s="11"/>
      <c r="B12" s="15" t="str">
        <f>IF(E12="","",YEAR(E12)&amp;"/"&amp;YEAR(G16))</f>
        <v>2014/2015</v>
      </c>
      <c r="C12" s="16" t="s">
        <v>15</v>
      </c>
      <c r="D12" s="12"/>
      <c r="E12" s="17">
        <v>41699</v>
      </c>
      <c r="F12" s="12"/>
      <c r="G12" s="17">
        <v>41714</v>
      </c>
      <c r="H12" s="14"/>
      <c r="I12" s="2" t="s">
        <v>20</v>
      </c>
      <c r="J12" s="27">
        <f>DATE(calendriers!An-1,7,14)</f>
        <v>42565</v>
      </c>
    </row>
    <row r="13" spans="1:31" ht="15" customHeight="1">
      <c r="A13" s="11"/>
      <c r="B13" s="18"/>
      <c r="C13" s="16" t="s">
        <v>17</v>
      </c>
      <c r="D13" s="12"/>
      <c r="E13" s="19">
        <v>41755</v>
      </c>
      <c r="F13" s="12"/>
      <c r="G13" s="19">
        <v>41770</v>
      </c>
      <c r="H13" s="14"/>
      <c r="I13" s="2" t="s">
        <v>22</v>
      </c>
      <c r="J13" s="27">
        <f>DATE(calendriers!An-1,8,15)</f>
        <v>42597</v>
      </c>
    </row>
    <row r="14" spans="1:31" ht="15" customHeight="1">
      <c r="A14" s="11"/>
      <c r="B14" s="18"/>
      <c r="C14" s="16" t="s">
        <v>19</v>
      </c>
      <c r="D14" s="12"/>
      <c r="E14" s="19">
        <v>41825</v>
      </c>
      <c r="F14" s="12"/>
      <c r="G14" s="19">
        <v>41882</v>
      </c>
      <c r="H14" s="14"/>
      <c r="I14" s="2" t="s">
        <v>23</v>
      </c>
      <c r="J14" s="27">
        <f>DATE(calendriers!An-1,11,1)</f>
        <v>42675</v>
      </c>
    </row>
    <row r="15" spans="1:31" ht="15" customHeight="1">
      <c r="A15" s="11"/>
      <c r="B15" s="18"/>
      <c r="C15" s="16" t="s">
        <v>21</v>
      </c>
      <c r="D15" s="12"/>
      <c r="E15" s="19">
        <v>41930</v>
      </c>
      <c r="F15" s="12"/>
      <c r="G15" s="19">
        <v>41945</v>
      </c>
      <c r="H15" s="14"/>
      <c r="I15" s="2" t="s">
        <v>24</v>
      </c>
      <c r="J15" s="27">
        <f>DATE(calendriers!An-1,11,11)</f>
        <v>42685</v>
      </c>
    </row>
    <row r="16" spans="1:31" ht="15" customHeight="1">
      <c r="A16" s="11"/>
      <c r="B16" s="20"/>
      <c r="C16" s="16" t="s">
        <v>13</v>
      </c>
      <c r="D16" s="12"/>
      <c r="E16" s="21">
        <v>41993</v>
      </c>
      <c r="F16" s="12"/>
      <c r="G16" s="21">
        <v>42008</v>
      </c>
      <c r="H16" s="14"/>
      <c r="I16" s="2" t="s">
        <v>25</v>
      </c>
      <c r="J16" s="27">
        <f>DATE(calendriers!An-1,12,25)</f>
        <v>42729</v>
      </c>
    </row>
    <row r="17" spans="1:10" ht="15" customHeight="1">
      <c r="A17" s="11"/>
      <c r="B17" s="12"/>
      <c r="C17" s="12"/>
      <c r="D17" s="12"/>
      <c r="E17" s="12"/>
      <c r="F17" s="12"/>
      <c r="G17" s="12"/>
      <c r="H17" s="14"/>
      <c r="J17" s="27">
        <f>DATE(calendriers!An,1,1)</f>
        <v>42736</v>
      </c>
    </row>
    <row r="18" spans="1:10" ht="15" customHeight="1">
      <c r="A18" s="11"/>
      <c r="B18" s="15" t="str">
        <f>IF(E18="","",YEAR(E18)&amp;"/"&amp;YEAR(G22))</f>
        <v>2015/2016</v>
      </c>
      <c r="C18" s="16" t="s">
        <v>15</v>
      </c>
      <c r="D18" s="12"/>
      <c r="E18" s="17">
        <v>42042</v>
      </c>
      <c r="F18" s="12"/>
      <c r="G18" s="17">
        <v>42057</v>
      </c>
      <c r="H18" s="14"/>
      <c r="J18" s="27">
        <f>ROUND(DATE(calendriers!An,4,MOD(234-11*MOD(calendriers!An,19),30))/7,0)*7-6+1</f>
        <v>42842</v>
      </c>
    </row>
    <row r="19" spans="1:10" ht="15" customHeight="1">
      <c r="A19" s="11"/>
      <c r="B19" s="18"/>
      <c r="C19" s="16" t="s">
        <v>17</v>
      </c>
      <c r="D19" s="12"/>
      <c r="E19" s="19">
        <v>42105</v>
      </c>
      <c r="F19" s="12"/>
      <c r="G19" s="19">
        <v>42120</v>
      </c>
      <c r="H19" s="14"/>
      <c r="J19" s="27">
        <f>DATE(calendriers!An,5,1)</f>
        <v>42856</v>
      </c>
    </row>
    <row r="20" spans="1:10" ht="15" customHeight="1">
      <c r="A20" s="11"/>
      <c r="B20" s="18"/>
      <c r="C20" s="16" t="s">
        <v>19</v>
      </c>
      <c r="D20" s="12"/>
      <c r="E20" s="19">
        <v>42189</v>
      </c>
      <c r="F20" s="12"/>
      <c r="G20" s="19">
        <v>42246</v>
      </c>
      <c r="H20" s="14"/>
      <c r="J20" s="27">
        <f>DATE(calendriers!An,5,8)</f>
        <v>42863</v>
      </c>
    </row>
    <row r="21" spans="1:10" ht="15">
      <c r="A21" s="11"/>
      <c r="B21" s="18"/>
      <c r="C21" s="16" t="s">
        <v>21</v>
      </c>
      <c r="D21" s="12"/>
      <c r="E21" s="19">
        <v>42294</v>
      </c>
      <c r="F21" s="12"/>
      <c r="G21" s="19">
        <v>42309</v>
      </c>
      <c r="H21" s="14"/>
      <c r="J21" s="27">
        <f>J18+38</f>
        <v>42880</v>
      </c>
    </row>
    <row r="22" spans="1:10" ht="15">
      <c r="A22" s="11"/>
      <c r="B22" s="20"/>
      <c r="C22" s="16" t="s">
        <v>13</v>
      </c>
      <c r="D22" s="12"/>
      <c r="E22" s="21">
        <v>42357</v>
      </c>
      <c r="F22" s="12"/>
      <c r="G22" s="21">
        <v>42372</v>
      </c>
      <c r="H22" s="14"/>
      <c r="J22" s="27">
        <f>J18+49</f>
        <v>42891</v>
      </c>
    </row>
    <row r="23" spans="1:10">
      <c r="A23" s="11"/>
      <c r="B23" s="12"/>
      <c r="C23" s="12"/>
      <c r="D23" s="12"/>
      <c r="E23" s="12"/>
      <c r="F23" s="12"/>
      <c r="G23" s="12"/>
      <c r="H23" s="14"/>
      <c r="J23" s="27">
        <f>DATE(calendriers!An,7,14)</f>
        <v>42930</v>
      </c>
    </row>
    <row r="24" spans="1:10" ht="15">
      <c r="A24" s="11"/>
      <c r="B24" s="15" t="str">
        <f>IF(E24="","",YEAR(E24)&amp;"/"&amp;YEAR(G28))</f>
        <v>2016/2017</v>
      </c>
      <c r="C24" s="16" t="s">
        <v>15</v>
      </c>
      <c r="D24" s="12"/>
      <c r="E24" s="17">
        <v>42418</v>
      </c>
      <c r="F24" s="12"/>
      <c r="G24" s="17">
        <v>42435</v>
      </c>
      <c r="H24" s="14"/>
      <c r="J24" s="27">
        <f>DATE(calendriers!An,8,15)</f>
        <v>42962</v>
      </c>
    </row>
    <row r="25" spans="1:10" ht="15">
      <c r="A25" s="11"/>
      <c r="B25" s="18"/>
      <c r="C25" s="16" t="s">
        <v>17</v>
      </c>
      <c r="D25" s="12"/>
      <c r="E25" s="19">
        <v>42475</v>
      </c>
      <c r="F25" s="12"/>
      <c r="G25" s="19">
        <v>42492</v>
      </c>
      <c r="H25" s="14"/>
      <c r="J25" s="27">
        <f>DATE(calendriers!An,11,1)</f>
        <v>43040</v>
      </c>
    </row>
    <row r="26" spans="1:10" ht="15">
      <c r="A26" s="11"/>
      <c r="B26" s="18"/>
      <c r="C26" s="16" t="s">
        <v>19</v>
      </c>
      <c r="D26" s="12"/>
      <c r="E26" s="19">
        <v>42559</v>
      </c>
      <c r="F26" s="12"/>
      <c r="G26" s="19">
        <v>42614</v>
      </c>
      <c r="H26" s="14"/>
      <c r="J26" s="27">
        <f>DATE(calendriers!An,11,11)</f>
        <v>43050</v>
      </c>
    </row>
    <row r="27" spans="1:10" ht="15">
      <c r="A27" s="11"/>
      <c r="B27" s="18"/>
      <c r="C27" s="16" t="s">
        <v>21</v>
      </c>
      <c r="D27" s="12"/>
      <c r="E27" s="19">
        <v>42662</v>
      </c>
      <c r="F27" s="12"/>
      <c r="G27" s="19">
        <v>42677</v>
      </c>
      <c r="H27" s="14"/>
      <c r="J27" s="27">
        <f>DATE(calendriers!An,12,25)</f>
        <v>43094</v>
      </c>
    </row>
    <row r="28" spans="1:10" ht="15">
      <c r="A28" s="11"/>
      <c r="B28" s="20"/>
      <c r="C28" s="16" t="s">
        <v>13</v>
      </c>
      <c r="D28" s="12"/>
      <c r="E28" s="21">
        <v>42721</v>
      </c>
      <c r="F28" s="12"/>
      <c r="G28" s="21">
        <v>42738</v>
      </c>
      <c r="H28" s="14"/>
      <c r="J28" s="38">
        <f>DATE(calendriers!An+1,1,1)</f>
        <v>43101</v>
      </c>
    </row>
    <row r="29" spans="1:10">
      <c r="A29" s="11"/>
      <c r="B29" s="12"/>
      <c r="C29" s="12"/>
      <c r="D29" s="12"/>
      <c r="E29" s="12"/>
      <c r="F29" s="12"/>
      <c r="G29" s="12"/>
      <c r="H29" s="14"/>
      <c r="J29" s="27">
        <f>ROUND(DATE(calendriers!An+1,4,MOD(234-11*MOD(calendriers!An+1,19),30))/7,0)*7-6+1</f>
        <v>43192</v>
      </c>
    </row>
    <row r="30" spans="1:10" ht="15">
      <c r="A30" s="11"/>
      <c r="B30" s="15" t="str">
        <f>IF(E30="","",YEAR(E30)&amp;"/"&amp;YEAR(G34))</f>
        <v>2017/2018</v>
      </c>
      <c r="C30" s="16" t="s">
        <v>15</v>
      </c>
      <c r="D30" s="12"/>
      <c r="E30" s="17">
        <v>42776</v>
      </c>
      <c r="F30" s="12"/>
      <c r="G30" s="17">
        <v>42792</v>
      </c>
      <c r="H30" s="14"/>
      <c r="J30" s="27">
        <f>DATE(calendriers!An+1,5,1)</f>
        <v>43221</v>
      </c>
    </row>
    <row r="31" spans="1:10" ht="15">
      <c r="A31" s="11"/>
      <c r="B31" s="18"/>
      <c r="C31" s="16" t="s">
        <v>17</v>
      </c>
      <c r="D31" s="12"/>
      <c r="E31" s="19">
        <v>42832</v>
      </c>
      <c r="F31" s="12"/>
      <c r="G31" s="19">
        <v>42848</v>
      </c>
      <c r="H31" s="14"/>
      <c r="J31" s="27">
        <f>DATE(calendriers!An+1,5,8)</f>
        <v>43228</v>
      </c>
    </row>
    <row r="32" spans="1:10" ht="15">
      <c r="A32" s="11"/>
      <c r="B32" s="18"/>
      <c r="C32" s="16" t="s">
        <v>19</v>
      </c>
      <c r="D32" s="12"/>
      <c r="E32" s="19">
        <v>42923</v>
      </c>
      <c r="F32" s="12"/>
      <c r="G32" s="19">
        <v>42979</v>
      </c>
      <c r="H32" s="14"/>
      <c r="J32" s="27">
        <f>J29+38</f>
        <v>43230</v>
      </c>
    </row>
    <row r="33" spans="1:10" ht="15">
      <c r="A33" s="11"/>
      <c r="B33" s="18"/>
      <c r="C33" s="16" t="s">
        <v>21</v>
      </c>
      <c r="D33" s="12"/>
      <c r="E33" s="19">
        <v>43029</v>
      </c>
      <c r="F33" s="12"/>
      <c r="G33" s="19">
        <v>43044</v>
      </c>
      <c r="H33" s="14"/>
      <c r="J33" s="27">
        <f>J29+49</f>
        <v>43241</v>
      </c>
    </row>
    <row r="34" spans="1:10" ht="15">
      <c r="A34" s="11"/>
      <c r="B34" s="20"/>
      <c r="C34" s="16" t="s">
        <v>13</v>
      </c>
      <c r="D34" s="12"/>
      <c r="E34" s="21">
        <v>43092</v>
      </c>
      <c r="F34" s="12"/>
      <c r="G34" s="21">
        <v>43108</v>
      </c>
      <c r="H34" s="14"/>
      <c r="J34" s="27">
        <f>DATE(calendriers!An+1,7,14)</f>
        <v>43295</v>
      </c>
    </row>
    <row r="35" spans="1:10">
      <c r="A35" s="11"/>
      <c r="B35" s="12"/>
      <c r="C35" s="12"/>
      <c r="D35" s="12"/>
      <c r="E35" s="12"/>
      <c r="F35" s="12"/>
      <c r="G35" s="12"/>
      <c r="H35" s="14"/>
      <c r="J35" s="27">
        <f>DATE(calendriers!An+1,8,15)</f>
        <v>43327</v>
      </c>
    </row>
    <row r="36" spans="1:10" ht="15">
      <c r="A36" s="11"/>
      <c r="B36" s="15" t="str">
        <f>IF(E36="","",YEAR(E36)&amp;"/"&amp;YEAR(G40))</f>
        <v>2018/2013</v>
      </c>
      <c r="C36" s="16" t="s">
        <v>15</v>
      </c>
      <c r="D36" s="12"/>
      <c r="E36" s="17">
        <v>43141</v>
      </c>
      <c r="F36" s="12"/>
      <c r="G36" s="17">
        <v>43157</v>
      </c>
      <c r="H36" s="14"/>
      <c r="J36" s="27">
        <f>DATE(calendriers!An+1,11,1)</f>
        <v>43405</v>
      </c>
    </row>
    <row r="37" spans="1:10" ht="15">
      <c r="A37" s="11"/>
      <c r="B37" s="18"/>
      <c r="C37" s="16" t="s">
        <v>17</v>
      </c>
      <c r="D37" s="12"/>
      <c r="E37" s="19">
        <v>43197</v>
      </c>
      <c r="F37" s="12"/>
      <c r="G37" s="19">
        <v>43213</v>
      </c>
      <c r="H37" s="14"/>
      <c r="J37" s="27">
        <f>DATE(calendriers!An+1,11,11)</f>
        <v>43415</v>
      </c>
    </row>
    <row r="38" spans="1:10" ht="15">
      <c r="A38" s="11"/>
      <c r="B38" s="18"/>
      <c r="C38" s="16" t="s">
        <v>19</v>
      </c>
      <c r="D38" s="12"/>
      <c r="E38" s="19">
        <v>43288</v>
      </c>
      <c r="F38" s="12"/>
      <c r="G38" s="19">
        <v>43345</v>
      </c>
      <c r="H38" s="14"/>
      <c r="J38" s="27">
        <f>DATE(calendriers!An+1,12,25)</f>
        <v>43459</v>
      </c>
    </row>
    <row r="39" spans="1:10" ht="15">
      <c r="A39" s="11"/>
      <c r="B39" s="18"/>
      <c r="C39" s="16" t="s">
        <v>21</v>
      </c>
      <c r="D39" s="12"/>
      <c r="E39" s="19"/>
      <c r="F39" s="12"/>
      <c r="G39" s="17">
        <v>41280</v>
      </c>
      <c r="H39" s="14"/>
      <c r="J39" s="27"/>
    </row>
    <row r="40" spans="1:10" ht="15">
      <c r="A40" s="11"/>
      <c r="B40" s="20"/>
      <c r="C40" s="16" t="s">
        <v>13</v>
      </c>
      <c r="D40" s="12"/>
      <c r="E40" s="21"/>
      <c r="F40" s="12"/>
      <c r="G40" s="17">
        <v>41343</v>
      </c>
      <c r="H40" s="14"/>
      <c r="J40" s="27"/>
    </row>
    <row r="41" spans="1:10" ht="13.5" thickBot="1">
      <c r="A41" s="23"/>
      <c r="B41" s="24"/>
      <c r="C41" s="24"/>
      <c r="D41" s="24"/>
      <c r="E41" s="24"/>
      <c r="F41" s="24"/>
      <c r="G41" s="24"/>
      <c r="H41" s="25"/>
      <c r="J41" s="27"/>
    </row>
    <row r="42" spans="1:10">
      <c r="J42" s="27"/>
    </row>
    <row r="43" spans="1:10">
      <c r="J43" s="27"/>
    </row>
    <row r="44" spans="1:10">
      <c r="J44" s="27"/>
    </row>
    <row r="45" spans="1:10">
      <c r="J45" s="27"/>
    </row>
    <row r="46" spans="1:10">
      <c r="J46" s="27"/>
    </row>
    <row r="47" spans="1:10">
      <c r="J47" s="38"/>
    </row>
    <row r="48" spans="1:10">
      <c r="J48" s="27"/>
    </row>
    <row r="49" spans="10:10">
      <c r="J49" s="27"/>
    </row>
    <row r="50" spans="10:10">
      <c r="J50" s="27"/>
    </row>
    <row r="51" spans="10:10">
      <c r="J51" s="27"/>
    </row>
    <row r="52" spans="10:10">
      <c r="J52" s="27"/>
    </row>
    <row r="53" spans="10:10">
      <c r="J53" s="27"/>
    </row>
    <row r="54" spans="10:10">
      <c r="J54" s="27"/>
    </row>
    <row r="55" spans="10:10">
      <c r="J55" s="27"/>
    </row>
    <row r="56" spans="10:10">
      <c r="J56" s="27"/>
    </row>
    <row r="57" spans="10:10">
      <c r="J57" s="27"/>
    </row>
    <row r="58" spans="10:10">
      <c r="J58" s="38"/>
    </row>
  </sheetData>
  <mergeCells count="2">
    <mergeCell ref="B2:B4"/>
    <mergeCell ref="C2:C4"/>
  </mergeCells>
  <hyperlinks>
    <hyperlink ref="K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F0"/>
    <pageSetUpPr fitToPage="1"/>
  </sheetPr>
  <dimension ref="A1:EJ41"/>
  <sheetViews>
    <sheetView showGridLines="0" tabSelected="1" topLeftCell="AE1" zoomScaleNormal="100" workbookViewId="0">
      <selection activeCell="AU7" sqref="AU7"/>
    </sheetView>
  </sheetViews>
  <sheetFormatPr baseColWidth="10" defaultColWidth="0" defaultRowHeight="0" customHeight="1" zeroHeight="1"/>
  <cols>
    <col min="1" max="1" width="1.7109375" style="34" customWidth="1"/>
    <col min="2" max="2" width="7" style="34" customWidth="1"/>
    <col min="3" max="3" width="1.28515625" style="34" customWidth="1"/>
    <col min="4" max="4" width="6.85546875" style="35" customWidth="1"/>
    <col min="5" max="5" width="2.140625" style="35" bestFit="1" customWidth="1"/>
    <col min="6" max="6" width="4.7109375" style="87" customWidth="1"/>
    <col min="7" max="8" width="12" style="120" customWidth="1"/>
    <col min="9" max="10" width="12" style="120" hidden="1" customWidth="1"/>
    <col min="11" max="11" width="9.7109375" style="242" customWidth="1"/>
    <col min="12" max="12" width="1.28515625" style="34" customWidth="1"/>
    <col min="13" max="13" width="6.85546875" style="35" customWidth="1"/>
    <col min="14" max="14" width="2.140625" style="134" bestFit="1" customWidth="1"/>
    <col min="15" max="15" width="4.7109375" style="87" customWidth="1"/>
    <col min="16" max="17" width="12" style="120" customWidth="1"/>
    <col min="18" max="19" width="12" style="120" hidden="1" customWidth="1"/>
    <col min="20" max="20" width="9.7109375" style="242" customWidth="1"/>
    <col min="21" max="21" width="1.28515625" style="34" customWidth="1"/>
    <col min="22" max="22" width="6.85546875" style="35" customWidth="1"/>
    <col min="23" max="23" width="3" style="134" bestFit="1" customWidth="1"/>
    <col min="24" max="24" width="4.7109375" style="87" customWidth="1"/>
    <col min="25" max="26" width="12" style="120" customWidth="1"/>
    <col min="27" max="28" width="12" style="120" hidden="1" customWidth="1"/>
    <col min="29" max="29" width="9.7109375" style="245" customWidth="1"/>
    <col min="30" max="30" width="1.28515625" style="34" customWidth="1"/>
    <col min="31" max="31" width="6.85546875" style="35" customWidth="1"/>
    <col min="32" max="32" width="3" style="35" bestFit="1" customWidth="1"/>
    <col min="33" max="33" width="4.7109375" style="87" customWidth="1"/>
    <col min="34" max="35" width="12" style="120" customWidth="1"/>
    <col min="36" max="37" width="12" style="120" hidden="1" customWidth="1"/>
    <col min="38" max="38" width="9.7109375" style="245" customWidth="1"/>
    <col min="39" max="39" width="1.28515625" style="34" customWidth="1"/>
    <col min="40" max="40" width="7.42578125" style="35" bestFit="1" customWidth="1"/>
    <col min="41" max="41" width="3.28515625" style="35" bestFit="1" customWidth="1"/>
    <col min="42" max="42" width="4.7109375" style="83" customWidth="1"/>
    <col min="43" max="44" width="12" style="120" customWidth="1"/>
    <col min="45" max="46" width="12" style="120" hidden="1" customWidth="1"/>
    <col min="47" max="47" width="9.7109375" style="245" customWidth="1"/>
    <col min="48" max="48" width="1.28515625" style="34" customWidth="1"/>
    <col min="49" max="49" width="7.42578125" style="35" bestFit="1" customWidth="1"/>
    <col min="50" max="50" width="3.28515625" style="35" bestFit="1" customWidth="1"/>
    <col min="51" max="51" width="4.7109375" style="83" customWidth="1"/>
    <col min="52" max="53" width="12" style="120" customWidth="1"/>
    <col min="54" max="55" width="12" style="120" hidden="1" customWidth="1"/>
    <col min="56" max="56" width="9.7109375" style="245" customWidth="1"/>
    <col min="57" max="57" width="1.28515625" style="34" customWidth="1"/>
    <col min="58" max="58" width="6.85546875" style="35" customWidth="1"/>
    <col min="59" max="59" width="3.28515625" style="35" bestFit="1" customWidth="1"/>
    <col min="60" max="60" width="4.7109375" style="87" customWidth="1"/>
    <col min="61" max="62" width="12" style="120" customWidth="1"/>
    <col min="63" max="64" width="12" style="120" hidden="1" customWidth="1"/>
    <col min="65" max="65" width="9.7109375" style="245" customWidth="1"/>
    <col min="66" max="66" width="1.28515625" style="34" customWidth="1"/>
    <col min="67" max="67" width="6.85546875" style="35" customWidth="1"/>
    <col min="68" max="68" width="3.28515625" style="35" bestFit="1" customWidth="1"/>
    <col min="69" max="69" width="4.7109375" style="94" customWidth="1"/>
    <col min="70" max="71" width="12" style="120" customWidth="1"/>
    <col min="72" max="73" width="12" style="120" hidden="1" customWidth="1"/>
    <col min="74" max="74" width="9.7109375" style="245" customWidth="1"/>
    <col min="75" max="75" width="1.28515625" style="34" customWidth="1"/>
    <col min="76" max="76" width="6.85546875" style="35" customWidth="1"/>
    <col min="77" max="77" width="3.28515625" style="35" bestFit="1" customWidth="1"/>
    <col min="78" max="78" width="4.7109375" style="87" customWidth="1"/>
    <col min="79" max="80" width="12" style="120" customWidth="1"/>
    <col min="81" max="82" width="12" style="120" hidden="1" customWidth="1"/>
    <col min="83" max="83" width="9.7109375" style="245" customWidth="1"/>
    <col min="84" max="84" width="1.28515625" style="34" customWidth="1"/>
    <col min="85" max="85" width="6.85546875" style="35" customWidth="1"/>
    <col min="86" max="86" width="3.28515625" style="35" bestFit="1" customWidth="1"/>
    <col min="87" max="87" width="4.7109375" style="87" customWidth="1"/>
    <col min="88" max="89" width="12" style="120" customWidth="1"/>
    <col min="90" max="91" width="12" style="120" hidden="1" customWidth="1"/>
    <col min="92" max="92" width="9.7109375" style="245" customWidth="1"/>
    <col min="93" max="93" width="1.28515625" style="34" customWidth="1"/>
    <col min="94" max="94" width="7.42578125" style="35" bestFit="1" customWidth="1"/>
    <col min="95" max="95" width="3.28515625" style="35" bestFit="1" customWidth="1"/>
    <col min="96" max="96" width="4.7109375" style="87" customWidth="1"/>
    <col min="97" max="98" width="12" style="120" customWidth="1"/>
    <col min="99" max="100" width="12" style="120" hidden="1" customWidth="1"/>
    <col min="101" max="101" width="9.7109375" style="245" customWidth="1"/>
    <col min="102" max="102" width="1.28515625" style="34" customWidth="1"/>
    <col min="103" max="103" width="7.42578125" style="35" bestFit="1" customWidth="1"/>
    <col min="104" max="104" width="3.28515625" style="35" bestFit="1" customWidth="1"/>
    <col min="105" max="105" width="4.7109375" style="87" customWidth="1"/>
    <col min="106" max="107" width="12" style="120" customWidth="1"/>
    <col min="108" max="109" width="12" style="120" hidden="1" customWidth="1"/>
    <col min="110" max="110" width="9.7109375" style="245" customWidth="1"/>
    <col min="111" max="111" width="1.28515625" style="33" customWidth="1"/>
    <col min="112" max="112" width="6.85546875" style="33" customWidth="1"/>
    <col min="113" max="113" width="2.42578125" style="33" customWidth="1"/>
    <col min="114" max="114" width="4.7109375" style="96" customWidth="1"/>
    <col min="115" max="115" width="12" style="236" customWidth="1"/>
    <col min="116" max="116" width="12" style="123" customWidth="1"/>
    <col min="117" max="118" width="12" style="120" hidden="1" customWidth="1"/>
    <col min="119" max="119" width="9.7109375" style="245" customWidth="1"/>
    <col min="120" max="120" width="6.85546875" style="34" customWidth="1"/>
    <col min="121" max="140" width="0" style="34" hidden="1" customWidth="1"/>
    <col min="141" max="16384" width="6.85546875" style="34" hidden="1"/>
  </cols>
  <sheetData>
    <row r="1" spans="2:119" ht="30.75" customHeight="1">
      <c r="B1" s="29"/>
      <c r="C1" s="327">
        <v>2017</v>
      </c>
      <c r="D1" s="327"/>
      <c r="E1" s="327"/>
      <c r="F1" s="327"/>
      <c r="G1" s="327"/>
      <c r="H1" s="327"/>
      <c r="I1" s="327"/>
      <c r="J1" s="327"/>
      <c r="K1" s="327"/>
      <c r="L1" s="327" t="str">
        <f>IF(MONTH(1&amp;M2)=1,An+1,"")</f>
        <v/>
      </c>
      <c r="M1" s="327"/>
      <c r="N1" s="327"/>
      <c r="O1" s="327"/>
      <c r="P1" s="327"/>
      <c r="Q1" s="327"/>
      <c r="R1" s="327"/>
      <c r="S1" s="327"/>
      <c r="T1" s="327"/>
      <c r="U1" s="327" t="str">
        <f>IF(MONTH(1&amp;V2)=1,An+1,"")</f>
        <v/>
      </c>
      <c r="V1" s="327"/>
      <c r="W1" s="327"/>
      <c r="X1" s="327"/>
      <c r="Y1" s="327"/>
      <c r="Z1" s="327"/>
      <c r="AA1" s="327"/>
      <c r="AB1" s="327"/>
      <c r="AC1" s="327"/>
      <c r="AD1" s="327" t="str">
        <f>IF(MONTH(1&amp;AE2)=1,An+1,"")</f>
        <v/>
      </c>
      <c r="AE1" s="327"/>
      <c r="AF1" s="327"/>
      <c r="AG1" s="327"/>
      <c r="AH1" s="327"/>
      <c r="AI1" s="327"/>
      <c r="AJ1" s="327"/>
      <c r="AK1" s="327"/>
      <c r="AL1" s="327"/>
      <c r="AM1" s="327" t="str">
        <f>IF(MONTH(1&amp;AN2)=1,An+1,"")</f>
        <v/>
      </c>
      <c r="AN1" s="327"/>
      <c r="AO1" s="327"/>
      <c r="AP1" s="327"/>
      <c r="AQ1" s="327"/>
      <c r="AR1" s="327"/>
      <c r="AS1" s="327"/>
      <c r="AT1" s="327"/>
      <c r="AU1" s="327"/>
      <c r="AV1" s="327" t="str">
        <f>IF(MONTH(1&amp;AW2)=1,An+1,"")</f>
        <v/>
      </c>
      <c r="AW1" s="327"/>
      <c r="AX1" s="327"/>
      <c r="AY1" s="327"/>
      <c r="AZ1" s="327"/>
      <c r="BA1" s="327"/>
      <c r="BB1" s="327"/>
      <c r="BC1" s="327"/>
      <c r="BD1" s="327"/>
      <c r="BE1" s="327" t="str">
        <f>IF(MONTH(1&amp;BF2)=1,An+1,"")</f>
        <v/>
      </c>
      <c r="BF1" s="327"/>
      <c r="BG1" s="327"/>
      <c r="BH1" s="327"/>
      <c r="BI1" s="327"/>
      <c r="BJ1" s="327"/>
      <c r="BK1" s="327"/>
      <c r="BL1" s="327"/>
      <c r="BM1" s="327"/>
      <c r="BN1" s="327" t="str">
        <f>IF(MONTH(1&amp;BO2)=1,An+1,"")</f>
        <v/>
      </c>
      <c r="BO1" s="327"/>
      <c r="BP1" s="327"/>
      <c r="BQ1" s="327"/>
      <c r="BR1" s="327"/>
      <c r="BS1" s="327"/>
      <c r="BT1" s="327"/>
      <c r="BU1" s="327"/>
      <c r="BV1" s="327"/>
      <c r="BW1" s="327" t="str">
        <f>IF(MONTH(1&amp;BX2)=1,An+1,"")</f>
        <v/>
      </c>
      <c r="BX1" s="327"/>
      <c r="BY1" s="327"/>
      <c r="BZ1" s="327"/>
      <c r="CA1" s="327"/>
      <c r="CB1" s="327"/>
      <c r="CC1" s="327"/>
      <c r="CD1" s="327"/>
      <c r="CE1" s="327"/>
      <c r="CF1" s="327" t="str">
        <f>IF(MONTH(1&amp;CG2)=1,An+1,"")</f>
        <v/>
      </c>
      <c r="CG1" s="327"/>
      <c r="CH1" s="327"/>
      <c r="CI1" s="327"/>
      <c r="CJ1" s="327"/>
      <c r="CK1" s="327"/>
      <c r="CL1" s="327"/>
      <c r="CM1" s="327"/>
      <c r="CN1" s="327"/>
      <c r="CO1" s="327" t="str">
        <f>IF(MONTH(1&amp;CP2)=1,An+1,"")</f>
        <v/>
      </c>
      <c r="CP1" s="327"/>
      <c r="CQ1" s="327"/>
      <c r="CR1" s="327"/>
      <c r="CS1" s="327"/>
      <c r="CT1" s="327"/>
      <c r="CU1" s="327"/>
      <c r="CV1" s="327"/>
      <c r="CW1" s="327"/>
      <c r="CX1" s="327" t="str">
        <f>IF(MONTH(1&amp;CY2)=1,An+1,"")</f>
        <v/>
      </c>
      <c r="CY1" s="327"/>
      <c r="CZ1" s="327"/>
      <c r="DA1" s="327"/>
      <c r="DB1" s="327"/>
      <c r="DC1" s="327"/>
      <c r="DD1" s="327"/>
      <c r="DE1" s="327"/>
      <c r="DF1" s="327"/>
      <c r="DG1" s="327">
        <f>IF(MONTH(1&amp;DH2)=1,An+1,"")</f>
        <v>2018</v>
      </c>
      <c r="DH1" s="327"/>
      <c r="DI1" s="327"/>
      <c r="DJ1" s="327"/>
      <c r="DK1" s="327"/>
      <c r="DL1" s="327"/>
      <c r="DM1" s="327"/>
      <c r="DN1" s="327"/>
      <c r="DO1" s="327"/>
    </row>
    <row r="2" spans="2:119" ht="35.25" customHeight="1">
      <c r="C2" s="32">
        <f>MONTH(1&amp;D2)</f>
        <v>1</v>
      </c>
      <c r="D2" s="326" t="s">
        <v>0</v>
      </c>
      <c r="E2" s="326"/>
      <c r="F2" s="326"/>
      <c r="G2" s="326"/>
      <c r="H2" s="326"/>
      <c r="I2" s="326"/>
      <c r="J2" s="326"/>
      <c r="K2" s="326"/>
      <c r="L2" s="32">
        <f>MONTH(1&amp;M2)</f>
        <v>2</v>
      </c>
      <c r="M2" s="326" t="str">
        <f>CHOOSE(IF(MONTH(1&amp;D2)=12,1,MONTH(1&amp;D2)+1),"Janvier","Février","Mars","Avril","Mai","Juin","Juillet","Août","Septembre","Octobre","Novembre","Décembre")</f>
        <v>Février</v>
      </c>
      <c r="N2" s="326"/>
      <c r="O2" s="326"/>
      <c r="P2" s="326"/>
      <c r="Q2" s="326"/>
      <c r="R2" s="326"/>
      <c r="S2" s="326"/>
      <c r="T2" s="328"/>
      <c r="U2" s="32">
        <f>MONTH(1&amp;V2)</f>
        <v>3</v>
      </c>
      <c r="V2" s="326" t="str">
        <f>CHOOSE(IF(MONTH(1&amp;M2)=12,1,MONTH(1&amp;M2)+1),"Janvier","Février","Mars","Avril","Mai","Juin","Juillet","Août","Septembre","Octobre","Novembre","Décembre")</f>
        <v>Mars</v>
      </c>
      <c r="W2" s="326"/>
      <c r="X2" s="326"/>
      <c r="Y2" s="326"/>
      <c r="Z2" s="326"/>
      <c r="AA2" s="326"/>
      <c r="AB2" s="326"/>
      <c r="AC2" s="326"/>
      <c r="AD2" s="32">
        <f>MONTH(1&amp;AE2)</f>
        <v>4</v>
      </c>
      <c r="AE2" s="326" t="str">
        <f>CHOOSE(IF(MONTH(1&amp;V2)=12,1,MONTH(1&amp;V2)+1),"Janvier","Février","Mars","Avril","Mai","Juin","Juillet","Août","Septembre","Octobre","Novembre","Décembre")</f>
        <v>Avril</v>
      </c>
      <c r="AF2" s="326"/>
      <c r="AG2" s="326"/>
      <c r="AH2" s="326"/>
      <c r="AI2" s="326"/>
      <c r="AJ2" s="326"/>
      <c r="AK2" s="326"/>
      <c r="AL2" s="328"/>
      <c r="AM2" s="32">
        <f>MONTH(1&amp;AN2)</f>
        <v>5</v>
      </c>
      <c r="AN2" s="326" t="str">
        <f>CHOOSE(IF(MONTH(1&amp;AE2)=12,1,MONTH(1&amp;AE2)+1),"Janvier","Février","Mars","Avril","Mai","Juin","Juillet","Août","Septembre","Octobre","Novembre","Décembre")</f>
        <v>Mai</v>
      </c>
      <c r="AO2" s="326"/>
      <c r="AP2" s="326"/>
      <c r="AQ2" s="326"/>
      <c r="AR2" s="326"/>
      <c r="AS2" s="326"/>
      <c r="AT2" s="326"/>
      <c r="AU2" s="326"/>
      <c r="AV2" s="32">
        <f>MONTH(1&amp;AW2)</f>
        <v>6</v>
      </c>
      <c r="AW2" s="326" t="str">
        <f>CHOOSE(IF(MONTH(1&amp;AN2)=12,1,MONTH(1&amp;AN2)+1),"Janvier","Février","Mars","Avril","Mai","Juin","Juillet","Août","Septembre","Octobre","Novembre","Décembre")</f>
        <v>Juin</v>
      </c>
      <c r="AX2" s="326"/>
      <c r="AY2" s="326"/>
      <c r="AZ2" s="326"/>
      <c r="BA2" s="326"/>
      <c r="BB2" s="326"/>
      <c r="BC2" s="326"/>
      <c r="BD2" s="326"/>
      <c r="BE2" s="32">
        <f>MONTH(1&amp;BF2)</f>
        <v>7</v>
      </c>
      <c r="BF2" s="326" t="str">
        <f>CHOOSE(IF(MONTH(1&amp;AW2)=12,1,MONTH(1&amp;AW2)+1),"Janvier","Février","Mars","Avril","Mai","Juin","Juillet","Août","Septembre","Octobre","Novembre","Décembre")</f>
        <v>Juillet</v>
      </c>
      <c r="BG2" s="326"/>
      <c r="BH2" s="326"/>
      <c r="BI2" s="326"/>
      <c r="BJ2" s="326"/>
      <c r="BK2" s="326"/>
      <c r="BL2" s="326"/>
      <c r="BM2" s="326"/>
      <c r="BN2" s="32">
        <f>MONTH(1&amp;BO2)</f>
        <v>8</v>
      </c>
      <c r="BO2" s="326" t="str">
        <f>CHOOSE(IF(MONTH(1&amp;BF2)=12,1,MONTH(1&amp;BF2)+1),"Janvier","Février","Mars","Avril","Mai","Juin","Juillet","Août","Septembre","Octobre","Novembre","Décembre")</f>
        <v>Août</v>
      </c>
      <c r="BP2" s="326"/>
      <c r="BQ2" s="326"/>
      <c r="BR2" s="326"/>
      <c r="BS2" s="326"/>
      <c r="BT2" s="326"/>
      <c r="BU2" s="326"/>
      <c r="BV2" s="326"/>
      <c r="BW2" s="32">
        <f>MONTH(1&amp;BX2)</f>
        <v>9</v>
      </c>
      <c r="BX2" s="326" t="str">
        <f>CHOOSE(IF(MONTH(1&amp;BO2)=12,1,MONTH(1&amp;BO2)+1),"Janvier","Février","Mars","Avril","Mai","Juin","Juillet","Août","Septembre","Octobre","Novembre","Décembre")</f>
        <v>Septembre</v>
      </c>
      <c r="BY2" s="326"/>
      <c r="BZ2" s="326"/>
      <c r="CA2" s="326"/>
      <c r="CB2" s="326"/>
      <c r="CC2" s="326"/>
      <c r="CD2" s="326"/>
      <c r="CE2" s="328"/>
      <c r="CF2" s="32">
        <f>MONTH(1&amp;CG2)</f>
        <v>10</v>
      </c>
      <c r="CG2" s="326" t="str">
        <f>CHOOSE(IF(MONTH(1&amp;BX2)=12,1,MONTH(1&amp;BX2)+1),"Janvier","Février","Mars","Avril","Mai","Juin","Juillet","Août","Septembre","Octobre","Novembre","Décembre")</f>
        <v>Octobre</v>
      </c>
      <c r="CH2" s="326"/>
      <c r="CI2" s="326"/>
      <c r="CJ2" s="326"/>
      <c r="CK2" s="326"/>
      <c r="CL2" s="326"/>
      <c r="CM2" s="326"/>
      <c r="CN2" s="326"/>
      <c r="CO2" s="32">
        <f>MONTH(1&amp;CP2)</f>
        <v>11</v>
      </c>
      <c r="CP2" s="326" t="str">
        <f>CHOOSE(IF(MONTH(1&amp;CG2)=12,1,MONTH(1&amp;CG2)+1),"Janvier","Février","Mars","Avril","Mai","Juin","Juillet","Août","Septembre","Octobre","Novembre","Décembre")</f>
        <v>Novembre</v>
      </c>
      <c r="CQ2" s="326"/>
      <c r="CR2" s="326"/>
      <c r="CS2" s="326"/>
      <c r="CT2" s="326"/>
      <c r="CU2" s="326"/>
      <c r="CV2" s="326"/>
      <c r="CW2" s="326"/>
      <c r="CX2" s="32">
        <f>MONTH(1&amp;CY2)</f>
        <v>12</v>
      </c>
      <c r="CY2" s="326" t="str">
        <f>CHOOSE(IF(MONTH(1&amp;CP2)=12,1,MONTH(1&amp;CP2)+1),"Janvier","Février","Mars","Avril","Mai","Juin","Juillet","Août","Septembre","Octobre","Novembre","Décembre")</f>
        <v>Décembre</v>
      </c>
      <c r="CZ2" s="326"/>
      <c r="DA2" s="326"/>
      <c r="DB2" s="326"/>
      <c r="DC2" s="326"/>
      <c r="DD2" s="326"/>
      <c r="DE2" s="326"/>
      <c r="DF2" s="326"/>
      <c r="DG2" s="32">
        <f>MONTH(1&amp;DH2)</f>
        <v>1</v>
      </c>
      <c r="DH2" s="326" t="str">
        <f>CHOOSE(IF(MONTH(1&amp;CY2)=12,1,MONTH(1&amp;CY2)+1),"Janvier","Février","Mars","Avril","Mai","Juin","Juillet","Août","Septembre","Octobre","Novembre","Décembre")</f>
        <v>Janvier</v>
      </c>
      <c r="DI2" s="326"/>
      <c r="DJ2" s="326"/>
      <c r="DK2" s="326"/>
      <c r="DL2" s="326"/>
      <c r="DM2" s="326"/>
      <c r="DN2" s="326"/>
      <c r="DO2" s="326"/>
    </row>
    <row r="3" spans="2:119" ht="15" customHeight="1">
      <c r="B3" s="44"/>
      <c r="C3" s="41">
        <f>D3</f>
        <v>42736</v>
      </c>
      <c r="D3" s="40">
        <f>DATE(An,MONTH(1&amp;D$2),1)</f>
        <v>42736</v>
      </c>
      <c r="E3" s="131" t="str">
        <f>IF(D3="","",IF(ISERROR(MATCH(D3,Lune!$A$1:$A$1000,0)),IF(WEEKDAY(D3)=5,INT((D3-DATE(YEAR(D3),1,1))/7+1),IF(AND(WEEKDAY(D3)=4,NOT( ISERROR(MATCH(D3+1,Lune!$A$1:$A$1000,0)))),INT((D3+1-DATE(YEAR(D3+1),1,1))/7+1),"")),INDEX(Lune!$B$1:$B$1000,MATCH(D3,Lune!$A$1:$A$1000,0),1)))</f>
        <v/>
      </c>
      <c r="F3" s="91" t="str">
        <f t="shared" ref="F3:F33" ca="1" si="0">IF(G3="",""," '")</f>
        <v/>
      </c>
      <c r="G3" s="125" t="str">
        <f ca="1">IF(ISERROR(VLOOKUP(D3,anniversaire!$X$2:$Z$100,2,0)),"",VLOOKUP(D3,anniversaire!$X$2:$Z$100,2,0))</f>
        <v/>
      </c>
      <c r="H3" s="54" t="str">
        <f>IF(ISERROR(VLOOKUP(D3,fête!$B$2:$C$367,2,0)),"",VLOOKUP(D3,fête!$B$2:$C$367,2,0))</f>
        <v>Jour de l'an</v>
      </c>
      <c r="I3" s="239" t="str">
        <f>IF(ISERROR(VLOOKUP(D3,évènements!$A$3:$D$200,3,0)),"",VLOOKUP(D3,évènements!$A$3:$D$200,3,0))</f>
        <v/>
      </c>
      <c r="J3" s="239" t="str">
        <f>IF(ISERROR(VLOOKUP(D3,évènements!$B$3:$D$200,2,0)),"",VLOOKUP(D3,évènements!$B$3:$D$200,2,0))</f>
        <v/>
      </c>
      <c r="K3" s="239" t="str">
        <f t="shared" ref="K3:K21" si="1">CONCATENATE(I3,"  ",J3)</f>
        <v xml:space="preserve">  </v>
      </c>
      <c r="L3" s="41">
        <f>M3</f>
        <v>42767</v>
      </c>
      <c r="M3" s="42">
        <f>DATE(IF(MONTH(1&amp;M$2)=1,An+1,An),MONTH(1&amp;M$2),1)</f>
        <v>42767</v>
      </c>
      <c r="N3" s="131" t="str">
        <f>IF(M3="","",IF(ISERROR(MATCH(M3,Lune!$A$1:$A$1000,0)),IF(WEEKDAY(M3)=5,INT((M3-DATE(YEAR(M3),1,1))/7+1),IF(AND(WEEKDAY(M3)=4,NOT( ISERROR(MATCH(M3+1,Lune!$A$1:$A$1000,0)))),INT((M3+1-DATE(YEAR(M3+1),1,1))/7+1),"")),INDEX(Lune!$B$1:$B$1000,MATCH(M3,Lune!$A$1:$A$1000,0),1)))</f>
        <v/>
      </c>
      <c r="O3" s="80" t="str">
        <f t="shared" ref="O3:O14" ca="1" si="2">IF(P3="",""," '")</f>
        <v/>
      </c>
      <c r="P3" s="54" t="str">
        <f ca="1">IF(ISERROR(VLOOKUP(M3,anniversaire!$X$2:$Z$100,2,0)),"",VLOOKUP(M3,anniversaire!$X$2:$Z$100,2,0))</f>
        <v/>
      </c>
      <c r="Q3" s="54" t="str">
        <f>IF(ISERROR(VLOOKUP(M3,fête!$B$2:$C$367,2,0)),"",VLOOKUP(M3,fête!$B$2:$C$367,2,0))</f>
        <v>Ella</v>
      </c>
      <c r="R3" s="54" t="str">
        <f>IF(ISERROR(VLOOKUP(M3,évènements!$A$3:$D$200,3,0)),"",VLOOKUP(M3,évènements!$A$3:$D$200,3,0))</f>
        <v/>
      </c>
      <c r="S3" s="54" t="str">
        <f>IF(ISERROR(VLOOKUP(M3,évènements!$B$3:$D$200,2,0)),"",VLOOKUP(M3,évènements!$B$3:$D$200,2,0))</f>
        <v/>
      </c>
      <c r="T3" s="54" t="str">
        <f t="shared" ref="T3:T31" si="3">CONCATENATE(R3,"  ",S3)</f>
        <v xml:space="preserve">  </v>
      </c>
      <c r="U3" s="41">
        <f>V3</f>
        <v>42795</v>
      </c>
      <c r="V3" s="42">
        <f>DATE(IF(MONTH(1&amp;M$2)&lt;MONTH(1&amp;V$2),YEAR(M3),An+1),MONTH(1&amp;V$2),1)</f>
        <v>42795</v>
      </c>
      <c r="W3" s="132" t="str">
        <f>IF(V3="","",IF(ISERROR(MATCH(V3,Lune!$A$1:$A$1000,0)),IF(WEEKDAY(V3)=5,INT((V3-DATE(YEAR(V3),1,1))/7+1),IF(AND(WEEKDAY(V3)=4,NOT( ISERROR(MATCH(V3+1,Lune!$A$1:$A$1000,0)))),INT((V3+1-DATE(YEAR(V3+1),1,1))/7+1),"")),INDEX(Lune!$B$1:$B$1000,MATCH(V3,Lune!$A$1:$A$1000,0),1)))</f>
        <v/>
      </c>
      <c r="X3" s="89" t="str">
        <f t="shared" ref="X3:X31" ca="1" si="4">IF(Y3="",""," '")</f>
        <v/>
      </c>
      <c r="Y3" s="125" t="str">
        <f ca="1">IF(ISERROR(VLOOKUP(V3,anniversaire!$X$2:$Z$100,2,0)),"",VLOOKUP(V3,anniversaire!$X$2:$Z$100,2,0))</f>
        <v/>
      </c>
      <c r="Z3" s="54" t="str">
        <f>IF(ISERROR(VLOOKUP(V3,fête!$B$2:$C$367,2,0)),"",VLOOKUP(V3,fête!$B$2:$C$367,2,0))</f>
        <v>Auguste</v>
      </c>
      <c r="AA3" s="54" t="str">
        <f>IF(ISERROR(VLOOKUP(V3,évènements!$A$3:$D$200,3,0)),"",VLOOKUP(V3,évènements!$A$3:$D$200,3,0))</f>
        <v/>
      </c>
      <c r="AB3" s="54" t="str">
        <f>IF(ISERROR(VLOOKUP(V3,évènements!$B$3:$D$200,2,0)),"",VLOOKUP(V3,évènements!$B$3:$D$200,2,0))</f>
        <v/>
      </c>
      <c r="AC3" s="54" t="str">
        <f t="shared" ref="AC3:AC19" si="5">CONCATENATE(AA3,"  ",AB3)</f>
        <v xml:space="preserve">  </v>
      </c>
      <c r="AD3" s="41">
        <f>AE3</f>
        <v>42826</v>
      </c>
      <c r="AE3" s="42">
        <f>DATE(IF(MONTH(1&amp;V$2)&lt;MONTH(1&amp;AE$2),YEAR(V3),An+1),MONTH(1&amp;AE$2),1)</f>
        <v>42826</v>
      </c>
      <c r="AF3" s="137" t="str">
        <f>IF(AE3="","",IF(ISERROR(MATCH(AE3,Lune!$A$1:$A$1000,0)),IF(WEEKDAY(AE3)=5,INT((AE3-DATE(YEAR(AE3),1,1))/7+1),IF(AND(WEEKDAY(AE3)=4,NOT( ISERROR(MATCH(AE3+1,Lune!$A$1:$A$1000,0)))),INT((AE3+1-DATE(YEAR(AE3+1),1,1))/7+1),"")),INDEX(Lune!$B$1:$B$1000,MATCH(AE3,Lune!$A$1:$A$1000,0),1)))</f>
        <v/>
      </c>
      <c r="AG3" s="80" t="str">
        <f t="shared" ref="AG3:AG32" ca="1" si="6">IF(AH3="",""," '")</f>
        <v/>
      </c>
      <c r="AH3" s="54" t="str">
        <f ca="1">IF(ISERROR(VLOOKUP(AE3,anniversaire!$X$2:$Z$100,2,0)),"",VLOOKUP(AE3,anniversaire!$X$2:$Z$100,2,0))</f>
        <v/>
      </c>
      <c r="AI3" s="54" t="str">
        <f>IF(ISERROR(VLOOKUP(AE3,fête!$B$2:$C$367,2,0)),"",VLOOKUP(AE3,fête!$B$2:$C$367,2,0))</f>
        <v>Hugues</v>
      </c>
      <c r="AJ3" s="54" t="str">
        <f>IF(ISERROR(VLOOKUP(AE3,évènements!$A$3:$D$200,3,0)),"",VLOOKUP(AE3,évènements!$A$3:$D$200,3,0))</f>
        <v/>
      </c>
      <c r="AK3" s="54" t="str">
        <f>IF(ISERROR(VLOOKUP(AE3,évènements!$B$3:$D$200,2,0)),"",VLOOKUP(AE3,évènements!$B$3:$D$200,2,0))</f>
        <v/>
      </c>
      <c r="AL3" s="238" t="str">
        <f t="shared" ref="AL3:AL15" si="7">CONCATENATE(AJ3,"  ",AK3)</f>
        <v xml:space="preserve">  </v>
      </c>
      <c r="AM3" s="41">
        <f>AN3</f>
        <v>42856</v>
      </c>
      <c r="AN3" s="42">
        <f>DATE(IF(MONTH(1&amp;AE$2)&lt;MONTH(1&amp;AN$2),YEAR(AE3),An+1),MONTH(1&amp;AN$2),1)</f>
        <v>42856</v>
      </c>
      <c r="AO3" s="43" t="str">
        <f>IF(AN3="","",IF(ISERROR(MATCH(AN3,Lune!$A$1:$A$1000,0)),IF(WEEKDAY(AN3)=5,INT((AN3-DATE(YEAR(AN3),1,1))/7+1),IF(AND(WEEKDAY(AN3)=4,NOT( ISERROR(MATCH(AN3+1,Lune!$A$1:$A$1000,0)))),INT((AN3+1-DATE(YEAR(AN3+1),1,1))/7+1),"")),INDEX(Lune!$B$1:$B$1000,MATCH(AN3,Lune!$A$1:$A$1000,0),1)))</f>
        <v/>
      </c>
      <c r="AP3" s="79" t="str">
        <f t="shared" ref="AP3:AP33" ca="1" si="8">IF(AQ3="","","'")</f>
        <v/>
      </c>
      <c r="AQ3" s="54" t="str">
        <f ca="1">IF(ISERROR(VLOOKUP(AN3,anniversaire!$X$2:$Z$100,2,0)),"",VLOOKUP(AN3,anniversaire!$X$2:$Z$100,2,0))</f>
        <v/>
      </c>
      <c r="AR3" s="54" t="str">
        <f>IF(ISERROR(VLOOKUP(AN3,fête!$B$2:$C$367,2,0)),"",VLOOKUP(AN3,fête!$B$2:$C$367,2,0))</f>
        <v>Fête du travail</v>
      </c>
      <c r="AS3" s="238" t="str">
        <f>IF(ISERROR(VLOOKUP(AN3,évènements!$A$3:$D$200,3,0)),"",VLOOKUP(AN3,évènements!$A$3:$D$200,3,0))</f>
        <v/>
      </c>
      <c r="AT3" s="238" t="str">
        <f>IF(ISERROR(VLOOKUP(AN3,évènements!$B$3:$D$200,2,0)),"",VLOOKUP(AN3,évènements!$B$3:$D$200,2,0))</f>
        <v/>
      </c>
      <c r="AU3" s="238" t="str">
        <f t="shared" ref="AU3:AU33" si="9">CONCATENATE(AS3,"  ",AT3)</f>
        <v xml:space="preserve">  </v>
      </c>
      <c r="AV3" s="41">
        <f>AW3</f>
        <v>42887</v>
      </c>
      <c r="AW3" s="42">
        <f>DATE(IF(MONTH(1&amp;AN$2)&lt;MONTH(1&amp;AW$2),YEAR(AN3),An+1),MONTH(1&amp;AW$2),1)</f>
        <v>42887</v>
      </c>
      <c r="AX3" s="43" t="str">
        <f>IF(AW3="","",IF(ISERROR(MATCH(AW3,Lune!$A$1:$A$1000,0)),IF(WEEKDAY(AW3)=5,INT((AW3-DATE(YEAR(AW3),1,1))/7+1),IF(AND(WEEKDAY(AW3)=4,NOT( ISERROR(MATCH(AW3+1,Lune!$A$1:$A$1000,0)))),INT((AW3+1-DATE(YEAR(AW3+1),1,1))/7+1),"")),INDEX(Lune!$B$1:$B$1000,MATCH(AW3,Lune!$A$1:$A$1000,0),1)))</f>
        <v>◐</v>
      </c>
      <c r="AY3" s="79" t="str">
        <f t="shared" ref="AY3:AY32" ca="1" si="10">IF(AZ3="",""," '")</f>
        <v/>
      </c>
      <c r="AZ3" s="54" t="str">
        <f ca="1">IF(ISERROR(VLOOKUP(AW3,anniversaire!$X$2:$Z$100,2,0)),"",VLOOKUP(AW3,anniversaire!$X$2:$Z$100,2,0))</f>
        <v/>
      </c>
      <c r="BA3" s="54" t="str">
        <f>IF(ISERROR(VLOOKUP(AW3,fête!$B$2:$C$367,2,0)),"",VLOOKUP(AW3,fête!$B$2:$C$367,2,0))</f>
        <v>Justin</v>
      </c>
      <c r="BB3" s="54" t="str">
        <f>IF(ISERROR(VLOOKUP(AW3,évènements!$A$3:$D$200,3,0)),"",VLOOKUP(AW3,évènements!$A$3:$D$200,3,0))</f>
        <v/>
      </c>
      <c r="BC3" s="54" t="str">
        <f>IF(ISERROR(VLOOKUP(AW3,évènements!$B$3:$D$200,2,0)),"",VLOOKUP(AW3,évènements!$B$3:$D$200,2,0))</f>
        <v/>
      </c>
      <c r="BD3" s="54" t="str">
        <f t="shared" ref="BD3:BD15" si="11">CONCATENATE(BB3,"  ",BC3)</f>
        <v xml:space="preserve">  </v>
      </c>
      <c r="BE3" s="41">
        <f>BF3</f>
        <v>42917</v>
      </c>
      <c r="BF3" s="42">
        <f>DATE(IF(MONTH(1&amp;AW$2)&lt;MONTH(1&amp;BF$2),YEAR(AW3),An+1),MONTH(1&amp;BF$2),1)</f>
        <v>42917</v>
      </c>
      <c r="BG3" s="43" t="str">
        <f>IF(BF3="","",IF(ISERROR(MATCH(BF3,Lune!$A$1:$A$1000,0)),IF(WEEKDAY(BF3)=5,INT((BF3-DATE(YEAR(BF3),1,1))/7+1),IF(AND(WEEKDAY(BF3)=4,NOT( ISERROR(MATCH(BF3+1,Lune!$A$1:$A$1000,0)))),INT((BF3+1-DATE(YEAR(BF3+1),1,1))/7+1),"")),INDEX(Lune!$B$1:$B$1000,MATCH(BF3,Lune!$A$1:$A$1000,0),1)))</f>
        <v>◐</v>
      </c>
      <c r="BH3" s="80" t="str">
        <f t="shared" ref="BH3:BH33" ca="1" si="12">IF(BI3="",""," '")</f>
        <v/>
      </c>
      <c r="BI3" s="54" t="str">
        <f ca="1">IF(ISERROR(VLOOKUP(BF3,anniversaire!$X$2:$Z$100,2,0)),"",VLOOKUP(BF3,anniversaire!$X$2:$Z$100,2,0))</f>
        <v/>
      </c>
      <c r="BJ3" s="54" t="str">
        <f>IF(ISERROR(VLOOKUP(BF3,fête!$B$2:$C$367,2,0)),"",VLOOKUP(BF3,fête!$B$2:$C$367,2,0))</f>
        <v>Thierry</v>
      </c>
      <c r="BK3" s="54" t="str">
        <f>IF(ISERROR(VLOOKUP(BF3,évènements!$A$3:$D$200,3,0)),"",VLOOKUP(BF3,évènements!$A$3:$D$200,3,0))</f>
        <v/>
      </c>
      <c r="BL3" s="54" t="str">
        <f>IF(ISERROR(VLOOKUP(BF3,évènements!$B$3:$D$200,2,0)),"",VLOOKUP(BF3,évènements!$B$3:$D$200,2,0))</f>
        <v/>
      </c>
      <c r="BM3" s="54" t="str">
        <f>CONCATENATE(BK3,"  ",BL3)</f>
        <v xml:space="preserve">  </v>
      </c>
      <c r="BN3" s="41">
        <f>BO3</f>
        <v>42948</v>
      </c>
      <c r="BO3" s="42">
        <f>DATE(IF(MONTH(1&amp;BF$2)&lt;MONTH(1&amp;BO$2),YEAR(BF3),An+1),MONTH(1&amp;BO$2),1)</f>
        <v>42948</v>
      </c>
      <c r="BP3" s="43" t="str">
        <f>IF(BO3="","",IF(ISERROR(MATCH(BO3,Lune!$A$1:$A$1000,0)),IF(WEEKDAY(BO3)=5,INT((BO3-DATE(YEAR(BO3),1,1))/7+1),IF(AND(WEEKDAY(BO3)=4,NOT( ISERROR(MATCH(BO3+1,Lune!$A$1:$A$1000,0)))),INT((BO3+1-DATE(YEAR(BO3+1),1,1))/7+1),"")),INDEX(Lune!$B$1:$B$1000,MATCH(BO3,Lune!$A$1:$A$1000,0),1)))</f>
        <v/>
      </c>
      <c r="BQ3" s="80" t="str">
        <f t="shared" ref="BQ3:BQ33" ca="1" si="13">IF(BR3="",""," '")</f>
        <v/>
      </c>
      <c r="BR3" s="54" t="str">
        <f ca="1">IF(ISERROR(VLOOKUP(BO3,anniversaire!$X$2:$Z$100,2,0)),"",VLOOKUP(BO3,anniversaire!$X$2:$Z$100,2,0))</f>
        <v/>
      </c>
      <c r="BS3" s="54" t="str">
        <f>IF(ISERROR(VLOOKUP(BO3,fête!$B$2:$C$367,2,0)),"",VLOOKUP(BO3,fête!$B$2:$C$367,2,0))</f>
        <v>Alphonse</v>
      </c>
      <c r="BT3" s="54" t="str">
        <f>IF(ISERROR(VLOOKUP(BO3,évènements!$A$3:$D$200,3,0)),"",VLOOKUP(BO3,évènements!$A$3:$D$200,3,0))</f>
        <v/>
      </c>
      <c r="BU3" s="54" t="str">
        <f>IF(ISERROR(VLOOKUP(BO3,évènements!$B$3:$D$200,2,0)),"",VLOOKUP(BO3,évènements!$B$3:$D$200,2,0))</f>
        <v/>
      </c>
      <c r="BV3" s="54" t="str">
        <f t="shared" ref="BV3:BV33" si="14">CONCATENATE(BT3,"  ",BU3)</f>
        <v xml:space="preserve">  </v>
      </c>
      <c r="BW3" s="41">
        <f>BX3</f>
        <v>42979</v>
      </c>
      <c r="BX3" s="42">
        <f>DATE(IF(MONTH(1&amp;BO$2)&lt;MONTH(1&amp;BX$2),YEAR(BO3),An+1),MONTH(1&amp;BX$2),1)</f>
        <v>42979</v>
      </c>
      <c r="BY3" s="43" t="str">
        <f>IF(BX3="","",IF(ISERROR(MATCH(BX3,Lune!$A$1:$A$1000,0)),IF(WEEKDAY(BX3)=5,INT((BX3-DATE(YEAR(BX3),1,1))/7+1),IF(AND(WEEKDAY(BX3)=4,NOT( ISERROR(MATCH(BX3+1,Lune!$A$1:$A$1000,0)))),INT((BX3+1-DATE(YEAR(BX3+1),1,1))/7+1),"")),INDEX(Lune!$B$1:$B$1000,MATCH(BX3,Lune!$A$1:$A$1000,0),1)))</f>
        <v/>
      </c>
      <c r="BZ3" s="80" t="str">
        <f t="shared" ref="BZ3:BZ32" ca="1" si="15">IF(CA3="",""," '")</f>
        <v/>
      </c>
      <c r="CA3" s="54" t="str">
        <f ca="1">IF(ISERROR(VLOOKUP(BX3,anniversaire!$X$2:$Z$100,2,0)),"",VLOOKUP(BX3,anniversaire!$X$2:$Z$100,2,0))</f>
        <v/>
      </c>
      <c r="CB3" s="54" t="str">
        <f>IF(ISERROR(VLOOKUP(BX3,fête!$B$2:$C$367,2,0)),"",VLOOKUP(BX3,fête!$B$2:$C$367,2,0))</f>
        <v>Gilles</v>
      </c>
      <c r="CC3" s="54" t="str">
        <f>IF(ISERROR(VLOOKUP(BX3,évènements!$A$3:$D$200,3,0)),"",VLOOKUP(BX3,évènements!$A$3:$D$200,3,0))</f>
        <v/>
      </c>
      <c r="CD3" s="54" t="str">
        <f>IF(ISERROR(VLOOKUP(BX3,évènements!$B$3:$D$200,2,0)),"",VLOOKUP(BX3,évènements!$B$3:$D$200,2,0))</f>
        <v/>
      </c>
      <c r="CE3" s="54" t="str">
        <f t="shared" ref="CE3:CE33" si="16">CONCATENATE(CC3,"  ",CD3)</f>
        <v xml:space="preserve">  </v>
      </c>
      <c r="CF3" s="41">
        <f>CG3</f>
        <v>43009</v>
      </c>
      <c r="CG3" s="42">
        <f>DATE(IF(MONTH(1&amp;BX$2)&lt;MONTH(1&amp;CG$2),YEAR(BX3),An+1),MONTH(1&amp;CG$2),1)</f>
        <v>43009</v>
      </c>
      <c r="CH3" s="43" t="str">
        <f>IF(CG3="","",IF(ISERROR(MATCH(CG3,Lune!$A$1:$A$1000,0)),IF(WEEKDAY(CG3)=5,INT((CG3-DATE(YEAR(CG3),1,1))/7+1),IF(AND(WEEKDAY(CG3)=4,NOT( ISERROR(MATCH(CG3+1,Lune!$A$1:$A$1000,0)))),INT((CG3+1-DATE(YEAR(CG3+1),1,1))/7+1),"")),INDEX(Lune!$B$1:$B$1000,MATCH(CG3,Lune!$A$1:$A$1000,0),1)))</f>
        <v/>
      </c>
      <c r="CI3" s="80" t="str">
        <f t="shared" ref="CI3:CI33" ca="1" si="17">IF(CJ3="",""," '")</f>
        <v/>
      </c>
      <c r="CJ3" s="54" t="str">
        <f ca="1">IF(ISERROR(VLOOKUP(CG3,anniversaire!$X$2:$Z$100,2,0)),"",VLOOKUP(CG3,anniversaire!$X$2:$Z$100,2,0))</f>
        <v/>
      </c>
      <c r="CK3" s="54" t="str">
        <f>IF(ISERROR(VLOOKUP(CG3,fête!$B$2:$C$367,2,0)),"",VLOOKUP(CG3,fête!$B$2:$C$367,2,0))</f>
        <v>Thérèse de l'Enfant Jésus</v>
      </c>
      <c r="CL3" s="54" t="str">
        <f>IF(ISERROR(VLOOKUP(CG3,évènements!$A$3:$D$200,3,0)),"",VLOOKUP(CG3,évènements!$A$3:$D$200,3,0))</f>
        <v/>
      </c>
      <c r="CM3" s="54" t="str">
        <f>IF(ISERROR(VLOOKUP(CG3,évènements!$B$3:$D$200,2,0)),"",VLOOKUP(CG3,évènements!$B$3:$D$200,2,0))</f>
        <v/>
      </c>
      <c r="CN3" s="54" t="str">
        <f t="shared" ref="CN3:CN33" si="18">CONCATENATE(CL3,"  ",CM3)</f>
        <v xml:space="preserve">  </v>
      </c>
      <c r="CO3" s="41">
        <f>CP3</f>
        <v>43040</v>
      </c>
      <c r="CP3" s="42">
        <f>DATE(IF(MONTH(1&amp;CG$2)&lt;MONTH(1&amp;CP$2),YEAR(CG3),An+1),MONTH(1&amp;CP$2),1)</f>
        <v>43040</v>
      </c>
      <c r="CQ3" s="43" t="str">
        <f>IF(CP3="","",IF(ISERROR(MATCH(CP3,Lune!$A$1:$A$1000,0)),IF(WEEKDAY(CP3)=5,INT((CP3-DATE(YEAR(CP3),1,1))/7+1),IF(AND(WEEKDAY(CP3)=4,NOT( ISERROR(MATCH(CP3+1,Lune!$A$1:$A$1000,0)))),INT((CP3+1-DATE(YEAR(CP3+1),1,1))/7+1),"")),INDEX(Lune!$B$1:$B$1000,MATCH(CP3,Lune!$A$1:$A$1000,0),1)))</f>
        <v/>
      </c>
      <c r="CR3" s="80" t="str">
        <f t="shared" ref="CR3:CR32" ca="1" si="19">IF(CS3="",""," '")</f>
        <v/>
      </c>
      <c r="CS3" s="54" t="str">
        <f ca="1">IF(ISERROR(VLOOKUP(CP3,anniversaire!$X$2:$Z$100,2,0)),"",VLOOKUP(CP3,anniversaire!$X$2:$Z$100,2,0))</f>
        <v/>
      </c>
      <c r="CT3" s="54" t="str">
        <f>IF(ISERROR(VLOOKUP(CP3,fête!$B$2:$C$367,2,0)),"",VLOOKUP(CP3,fête!$B$2:$C$367,2,0))</f>
        <v>Toussaint</v>
      </c>
      <c r="CU3" s="54" t="str">
        <f>IF(ISERROR(VLOOKUP(CP3,évènements!$A$3:$D$200,3,0)),"",VLOOKUP(CP3,évènements!$A$3:$D$200,3,0))</f>
        <v/>
      </c>
      <c r="CV3" s="54" t="str">
        <f>IF(ISERROR(VLOOKUP(CP3,évènements!$B$3:$D$200,2,0)),"",VLOOKUP(CP3,évènements!$B$3:$D$200,2,0))</f>
        <v/>
      </c>
      <c r="CW3" s="54" t="str">
        <f t="shared" ref="CW3:CW33" si="20">CONCATENATE(CU3,"  ",CV3)</f>
        <v xml:space="preserve">  </v>
      </c>
      <c r="CX3" s="41">
        <f>CY3</f>
        <v>43070</v>
      </c>
      <c r="CY3" s="42">
        <f>DATE(IF(MONTH(1&amp;CP$2)&lt;MONTH(1&amp;CY$2),YEAR(CP3),An+1),MONTH(1&amp;CY$2),1)</f>
        <v>43070</v>
      </c>
      <c r="CZ3" s="43" t="str">
        <f>IF(CY3="","",IF(ISERROR(MATCH(CY3,Lune!$A$1:$A$1000,0)),IF(WEEKDAY(CY3)=5,INT((CY3-DATE(YEAR(CY3),1,1))/7+1),IF(AND(WEEKDAY(CY3)=4,NOT( ISERROR(MATCH(CY3+1,Lune!$A$1:$A$1000,0)))),INT((CY3+1-DATE(YEAR(CY3+1),1,1))/7+1),"")),INDEX(Lune!$B$1:$B$1000,MATCH(CY3,Lune!$A$1:$A$1000,0),1)))</f>
        <v/>
      </c>
      <c r="DA3" s="80" t="str">
        <f t="shared" ref="DA3:DA33" ca="1" si="21">IF(DB3="",""," '")</f>
        <v/>
      </c>
      <c r="DB3" s="54" t="str">
        <f ca="1">IF(ISERROR(VLOOKUP(CY3,anniversaire!$X$2:$Z$100,2,0)),"",VLOOKUP(CY3,anniversaire!$X$2:$Z$100,2,0))</f>
        <v/>
      </c>
      <c r="DC3" s="54" t="str">
        <f>IF(ISERROR(VLOOKUP(CY3,fête!$B$2:$C$367,2,0)),"",VLOOKUP(CY3,fête!$B$2:$C$367,2,0))</f>
        <v>Florence</v>
      </c>
      <c r="DD3" s="54" t="str">
        <f>IF(ISERROR(VLOOKUP(CY3,évènements!$A$3:$D$200,3,0)),"",VLOOKUP(CY3,évènements!$A$3:$D$200,3,0))</f>
        <v/>
      </c>
      <c r="DE3" s="54" t="str">
        <f>IF(ISERROR(VLOOKUP(CY3,évènements!$B$3:$D$200,2,0)),"",VLOOKUP(CY3,évènements!$B$3:$D$200,2,0))</f>
        <v/>
      </c>
      <c r="DF3" s="54" t="str">
        <f t="shared" ref="DF3:DF33" si="22">CONCATENATE(DD3,"  ",DE3)</f>
        <v xml:space="preserve">  </v>
      </c>
      <c r="DG3" s="41">
        <f>DH3</f>
        <v>43101</v>
      </c>
      <c r="DH3" s="42">
        <f>DATE(IF(MONTH(1&amp;CY$2)&lt;MONTH(1&amp;DH$2),YEAR(CY3),YEAR(CY3)+1),MONTH(1&amp;DH$2),1)</f>
        <v>43101</v>
      </c>
      <c r="DI3" s="43" t="str">
        <f>IF(DH3="","",IF(ISERROR(MATCH(DH3,Lune!$A$1:$A$1000,0)),IF(WEEKDAY(DH3)=5,INT((DH3-DATE(YEAR(DH3),1,1))/7+1),IF(AND(WEEKDAY(DH3)=4,NOT( ISERROR(MATCH(DH3+1,Lune!$A$1:$A$1000,0)))),INT((DH3+1-DATE(YEAR(DH3+1),1,1))/7+1),"")),INDEX(Lune!$B$1:$B$1000,MATCH(DH3,Lune!$A$1:$A$1000,0),1)))</f>
        <v/>
      </c>
      <c r="DJ3" s="89" t="str">
        <f t="shared" ref="DJ3:DJ33" ca="1" si="23">F3</f>
        <v/>
      </c>
      <c r="DK3" s="252" t="str">
        <f t="shared" ref="DK3:DK33" ca="1" si="24">G3</f>
        <v/>
      </c>
      <c r="DL3" s="252" t="str">
        <f t="shared" ref="DL3:DL33" si="25">H3</f>
        <v>Jour de l'an</v>
      </c>
      <c r="DM3" s="252" t="str">
        <f>IF(ISERROR(VLOOKUP(DH3,évènements!$A$3:$D$200,3,0)),"",VLOOKUP(DH3,évènements!$A$3:$D$200,3,0))</f>
        <v/>
      </c>
      <c r="DN3" s="252" t="str">
        <f>IF(ISERROR(VLOOKUP(DH3,évènements!$B$3:$D$200,2,0)),"",VLOOKUP(DH3,évènements!$B$3:$D$200,2,0))</f>
        <v/>
      </c>
      <c r="DO3" s="252" t="str">
        <f t="shared" ref="DO3:DO33" si="26">CONCATENATE(DM3,"  ",DN3)</f>
        <v xml:space="preserve">  </v>
      </c>
    </row>
    <row r="4" spans="2:119" ht="15" customHeight="1">
      <c r="B4" s="45"/>
      <c r="C4" s="41">
        <f t="shared" ref="C4:C33" si="27">D4</f>
        <v>42737</v>
      </c>
      <c r="D4" s="40">
        <f>D3+1</f>
        <v>42737</v>
      </c>
      <c r="E4" s="131" t="str">
        <f>IF(D4="","",IF(ISERROR(MATCH(D4,Lune!$A$1:$A$1000,0)),IF(WEEKDAY(D4)=5,INT((D4-DATE(YEAR(D4),1,1))/7+1),IF(AND(WEEKDAY(D4)=4,NOT( ISERROR(MATCH(D4+1,Lune!$A$1:$A$1000,0)))),INT((D4+1-DATE(YEAR(D4+1),1,1))/7+1),"")),INDEX(Lune!$B$1:$B$1000,MATCH(D4,Lune!$A$1:$A$1000,0),1)))</f>
        <v/>
      </c>
      <c r="F4" s="89" t="str">
        <f t="shared" ca="1" si="0"/>
        <v xml:space="preserve"> '</v>
      </c>
      <c r="G4" s="125" t="str">
        <f ca="1">IF(ISERROR(VLOOKUP(D4,anniversaire!$X$2:$Z$100,2,0)),"",VLOOKUP(D4,anniversaire!$X$2:$Z$100,2,0))</f>
        <v>boireau  louane    1</v>
      </c>
      <c r="H4" s="54" t="str">
        <f>IF(ISERROR(VLOOKUP(D4,fête!$B$2:$C$367,2,0)),"",VLOOKUP(D4,fête!$B$2:$C$367,2,0))</f>
        <v>Basile</v>
      </c>
      <c r="I4" s="239" t="str">
        <f>IF(ISERROR(VLOOKUP(D4,évènements!$A$3:$D$200,3,0)),"",VLOOKUP(D4,évènements!$A$3:$D$200,3,0))</f>
        <v/>
      </c>
      <c r="J4" s="239" t="str">
        <f>IF(ISERROR(VLOOKUP(D4,évènements!$B$3:$D$200,2,0)),"",VLOOKUP(D4,évènements!$B$3:$D$200,2,0))</f>
        <v/>
      </c>
      <c r="K4" s="239" t="str">
        <f t="shared" si="1"/>
        <v xml:space="preserve">  </v>
      </c>
      <c r="L4" s="41">
        <f t="shared" ref="L4:L33" si="28">M4</f>
        <v>42768</v>
      </c>
      <c r="M4" s="42">
        <f>M3+1</f>
        <v>42768</v>
      </c>
      <c r="N4" s="131">
        <f>IF(M4="","",IF(ISERROR(MATCH(M4,Lune!$A$1:$A$1000,0)),IF(WEEKDAY(M4)=5,INT((M4-DATE(YEAR(M4),1,1))/7+1),IF(AND(WEEKDAY(M4)=4,NOT( ISERROR(MATCH(M4+1,Lune!$A$1:$A$1000,0)))),INT((M4+1-DATE(YEAR(M4+1),1,1))/7+1),"")),INDEX(Lune!$B$1:$B$1000,MATCH(M4,Lune!$A$1:$A$1000,0),1)))</f>
        <v>5</v>
      </c>
      <c r="O4" s="80" t="str">
        <f t="shared" ca="1" si="2"/>
        <v/>
      </c>
      <c r="P4" s="54" t="str">
        <f ca="1">IF(ISERROR(VLOOKUP(M4,anniversaire!$X$2:$Z$100,2,0)),"",VLOOKUP(M4,anniversaire!$X$2:$Z$100,2,0))</f>
        <v/>
      </c>
      <c r="Q4" s="54" t="str">
        <f>IF(ISERROR(VLOOKUP(M4,fête!$B$2:$C$367,2,0)),"",VLOOKUP(M4,fête!$B$2:$C$367,2,0))</f>
        <v>Présentation</v>
      </c>
      <c r="R4" s="54" t="str">
        <f>IF(ISERROR(VLOOKUP(M4,évènements!$A$3:$D$200,3,0)),"",VLOOKUP(M4,évènements!$A$3:$D$200,3,0))</f>
        <v/>
      </c>
      <c r="S4" s="54" t="str">
        <f>IF(ISERROR(VLOOKUP(M4,évènements!$B$3:$D$200,2,0)),"",VLOOKUP(M4,évènements!$B$3:$D$200,2,0))</f>
        <v/>
      </c>
      <c r="T4" s="54" t="str">
        <f t="shared" si="3"/>
        <v xml:space="preserve">  </v>
      </c>
      <c r="U4" s="41">
        <f t="shared" ref="U4:U33" si="29">V4</f>
        <v>42796</v>
      </c>
      <c r="V4" s="42">
        <f>V3+1</f>
        <v>42796</v>
      </c>
      <c r="W4" s="132">
        <f>IF(V4="","",IF(ISERROR(MATCH(V4,Lune!$A$1:$A$1000,0)),IF(WEEKDAY(V4)=5,INT((V4-DATE(YEAR(V4),1,1))/7+1),IF(AND(WEEKDAY(V4)=4,NOT( ISERROR(MATCH(V4+1,Lune!$A$1:$A$1000,0)))),INT((V4+1-DATE(YEAR(V4+1),1,1))/7+1),"")),INDEX(Lune!$B$1:$B$1000,MATCH(V4,Lune!$A$1:$A$1000,0),1)))</f>
        <v>9</v>
      </c>
      <c r="X4" s="89" t="str">
        <f t="shared" ca="1" si="4"/>
        <v/>
      </c>
      <c r="Y4" s="125" t="str">
        <f ca="1">IF(ISERROR(VLOOKUP(V4,anniversaire!$X$2:$Z$100,2,0)),"",VLOOKUP(V4,anniversaire!$X$2:$Z$100,2,0))</f>
        <v/>
      </c>
      <c r="Z4" s="54" t="str">
        <f>IF(ISERROR(VLOOKUP(V4,fête!$B$2:$C$367,2,0)),"",VLOOKUP(V4,fête!$B$2:$C$367,2,0))</f>
        <v>Charles le Bon</v>
      </c>
      <c r="AA4" s="54" t="str">
        <f>IF(ISERROR(VLOOKUP(V4,évènements!$A$3:$D$200,3,0)),"",VLOOKUP(V4,évènements!$A$3:$D$200,3,0))</f>
        <v/>
      </c>
      <c r="AB4" s="54" t="str">
        <f>IF(ISERROR(VLOOKUP(V4,évènements!$B$3:$D$200,2,0)),"",VLOOKUP(V4,évènements!$B$3:$D$200,2,0))</f>
        <v/>
      </c>
      <c r="AC4" s="54" t="str">
        <f t="shared" si="5"/>
        <v xml:space="preserve">  </v>
      </c>
      <c r="AD4" s="41">
        <f t="shared" ref="AD4:AD33" si="30">AE4</f>
        <v>42827</v>
      </c>
      <c r="AE4" s="42">
        <f>AE3+1</f>
        <v>42827</v>
      </c>
      <c r="AF4" s="137" t="str">
        <f>IF(AE4="","",IF(ISERROR(MATCH(AE4,Lune!$A$1:$A$1000,0)),IF(WEEKDAY(AE4)=5,INT((AE4-DATE(YEAR(AE4),1,1))/7+1),IF(AND(WEEKDAY(AE4)=4,NOT( ISERROR(MATCH(AE4+1,Lune!$A$1:$A$1000,0)))),INT((AE4+1-DATE(YEAR(AE4+1),1,1))/7+1),"")),INDEX(Lune!$B$1:$B$1000,MATCH(AE4,Lune!$A$1:$A$1000,0),1)))</f>
        <v/>
      </c>
      <c r="AG4" s="80" t="str">
        <f t="shared" ca="1" si="6"/>
        <v/>
      </c>
      <c r="AH4" s="54" t="str">
        <f ca="1">IF(ISERROR(VLOOKUP(AE4,anniversaire!$X$2:$Z$100,2,0)),"",VLOOKUP(AE4,anniversaire!$X$2:$Z$100,2,0))</f>
        <v/>
      </c>
      <c r="AI4" s="54" t="str">
        <f>IF(ISERROR(VLOOKUP(AE4,fête!$B$2:$C$367,2,0)),"",VLOOKUP(AE4,fête!$B$2:$C$367,2,0))</f>
        <v>Sandrine</v>
      </c>
      <c r="AJ4" s="54" t="str">
        <f>IF(ISERROR(VLOOKUP(AE4,évènements!$A$3:$D$200,3,0)),"",VLOOKUP(AE4,évènements!$A$3:$D$200,3,0))</f>
        <v/>
      </c>
      <c r="AK4" s="54" t="str">
        <f>IF(ISERROR(VLOOKUP(AE4,évènements!$B$3:$D$200,2,0)),"",VLOOKUP(AE4,évènements!$B$3:$D$200,2,0))</f>
        <v/>
      </c>
      <c r="AL4" s="238" t="str">
        <f t="shared" si="7"/>
        <v xml:space="preserve">  </v>
      </c>
      <c r="AM4" s="41">
        <f t="shared" ref="AM4:AM33" si="31">AN4</f>
        <v>42857</v>
      </c>
      <c r="AN4" s="42">
        <f>AN3+1</f>
        <v>42857</v>
      </c>
      <c r="AO4" s="43" t="str">
        <f>IF(AN4="","",IF(ISERROR(MATCH(AN4,Lune!$A$1:$A$1000,0)),IF(WEEKDAY(AN4)=5,INT((AN4-DATE(YEAR(AN4),1,1))/7+1),IF(AND(WEEKDAY(AN4)=4,NOT( ISERROR(MATCH(AN4+1,Lune!$A$1:$A$1000,0)))),INT((AN4+1-DATE(YEAR(AN4+1),1,1))/7+1),"")),INDEX(Lune!$B$1:$B$1000,MATCH(AN4,Lune!$A$1:$A$1000,0),1)))</f>
        <v/>
      </c>
      <c r="AP4" s="79" t="str">
        <f t="shared" ca="1" si="8"/>
        <v/>
      </c>
      <c r="AQ4" s="54" t="str">
        <f ca="1">IF(ISERROR(VLOOKUP(AN4,anniversaire!$X$2:$Z$100,2,0)),"",VLOOKUP(AN4,anniversaire!$X$2:$Z$100,2,0))</f>
        <v/>
      </c>
      <c r="AR4" s="54" t="str">
        <f>IF(ISERROR(VLOOKUP(AN4,fête!$B$2:$C$367,2,0)),"",VLOOKUP(AN4,fête!$B$2:$C$367,2,0))</f>
        <v>Boris</v>
      </c>
      <c r="AS4" s="238" t="str">
        <f>IF(ISERROR(VLOOKUP(AN4,évènements!$A$3:$D$200,3,0)),"",VLOOKUP(AN4,évènements!$A$3:$D$200,3,0))</f>
        <v/>
      </c>
      <c r="AT4" s="238" t="str">
        <f>IF(ISERROR(VLOOKUP(AN4,évènements!$B$3:$D$200,2,0)),"",VLOOKUP(AN4,évènements!$B$3:$D$200,2,0))</f>
        <v/>
      </c>
      <c r="AU4" s="238" t="str">
        <f t="shared" si="9"/>
        <v xml:space="preserve">  </v>
      </c>
      <c r="AV4" s="41">
        <f t="shared" ref="AV4:AV33" si="32">AW4</f>
        <v>42888</v>
      </c>
      <c r="AW4" s="42">
        <f>AW3+1</f>
        <v>42888</v>
      </c>
      <c r="AX4" s="43" t="str">
        <f>IF(AW4="","",IF(ISERROR(MATCH(AW4,Lune!$A$1:$A$1000,0)),IF(WEEKDAY(AW4)=5,INT((AW4-DATE(YEAR(AW4),1,1))/7+1),IF(AND(WEEKDAY(AW4)=4,NOT( ISERROR(MATCH(AW4+1,Lune!$A$1:$A$1000,0)))),INT((AW4+1-DATE(YEAR(AW4+1),1,1))/7+1),"")),INDEX(Lune!$B$1:$B$1000,MATCH(AW4,Lune!$A$1:$A$1000,0),1)))</f>
        <v/>
      </c>
      <c r="AY4" s="79" t="str">
        <f t="shared" ca="1" si="10"/>
        <v/>
      </c>
      <c r="AZ4" s="54" t="str">
        <f ca="1">IF(ISERROR(VLOOKUP(AW4,anniversaire!$X$2:$Z$100,2,0)),"",VLOOKUP(AW4,anniversaire!$X$2:$Z$100,2,0))</f>
        <v/>
      </c>
      <c r="BA4" s="54" t="str">
        <f>IF(ISERROR(VLOOKUP(AW4,fête!$B$2:$C$367,2,0)),"",VLOOKUP(AW4,fête!$B$2:$C$367,2,0))</f>
        <v>Blandine</v>
      </c>
      <c r="BB4" s="54" t="str">
        <f>IF(ISERROR(VLOOKUP(AW4,évènements!$A$3:$D$200,3,0)),"",VLOOKUP(AW4,évènements!$A$3:$D$200,3,0))</f>
        <v/>
      </c>
      <c r="BC4" s="54" t="str">
        <f>IF(ISERROR(VLOOKUP(AW4,évènements!$B$3:$D$200,2,0)),"",VLOOKUP(AW4,évènements!$B$3:$D$200,2,0))</f>
        <v/>
      </c>
      <c r="BD4" s="54" t="str">
        <f t="shared" si="11"/>
        <v xml:space="preserve">  </v>
      </c>
      <c r="BE4" s="41">
        <f t="shared" ref="BE4:BE33" si="33">BF4</f>
        <v>42918</v>
      </c>
      <c r="BF4" s="42">
        <f>BF3+1</f>
        <v>42918</v>
      </c>
      <c r="BG4" s="43" t="str">
        <f>IF(BF4="","",IF(ISERROR(MATCH(BF4,Lune!$A$1:$A$1000,0)),IF(WEEKDAY(BF4)=5,INT((BF4-DATE(YEAR(BF4),1,1))/7+1),IF(AND(WEEKDAY(BF4)=4,NOT( ISERROR(MATCH(BF4+1,Lune!$A$1:$A$1000,0)))),INT((BF4+1-DATE(YEAR(BF4+1),1,1))/7+1),"")),INDEX(Lune!$B$1:$B$1000,MATCH(BF4,Lune!$A$1:$A$1000,0),1)))</f>
        <v/>
      </c>
      <c r="BH4" s="80" t="str">
        <f t="shared" ca="1" si="12"/>
        <v/>
      </c>
      <c r="BI4" s="54" t="str">
        <f ca="1">IF(ISERROR(VLOOKUP(BF4,anniversaire!$X$2:$Z$100,2,0)),"",VLOOKUP(BF4,anniversaire!$X$2:$Z$100,2,0))</f>
        <v/>
      </c>
      <c r="BJ4" s="54" t="str">
        <f>IF(ISERROR(VLOOKUP(BF4,fête!$B$2:$C$367,2,0)),"",VLOOKUP(BF4,fête!$B$2:$C$367,2,0))</f>
        <v>Martinien</v>
      </c>
      <c r="BK4" s="54" t="str">
        <f>IF(ISERROR(VLOOKUP(BF4,évènements!$A$3:$D$200,3,0)),"",VLOOKUP(BF4,évènements!$A$3:$D$200,3,0))</f>
        <v/>
      </c>
      <c r="BL4" s="54" t="str">
        <f>IF(ISERROR(VLOOKUP(BF4,évènements!$B$3:$D$200,2,0)),"",VLOOKUP(BF4,évènements!$B$3:$D$200,2,0))</f>
        <v/>
      </c>
      <c r="BM4" s="54" t="str">
        <f t="shared" ref="BM4:BM33" si="34">CONCATENATE(BK4,"  ",BL4)</f>
        <v xml:space="preserve">  </v>
      </c>
      <c r="BN4" s="41">
        <f t="shared" ref="BN4:BN33" si="35">BO4</f>
        <v>42949</v>
      </c>
      <c r="BO4" s="42">
        <f>BO3+1</f>
        <v>42949</v>
      </c>
      <c r="BP4" s="43" t="str">
        <f>IF(BO4="","",IF(ISERROR(MATCH(BO4,Lune!$A$1:$A$1000,0)),IF(WEEKDAY(BO4)=5,INT((BO4-DATE(YEAR(BO4),1,1))/7+1),IF(AND(WEEKDAY(BO4)=4,NOT( ISERROR(MATCH(BO4+1,Lune!$A$1:$A$1000,0)))),INT((BO4+1-DATE(YEAR(BO4+1),1,1))/7+1),"")),INDEX(Lune!$B$1:$B$1000,MATCH(BO4,Lune!$A$1:$A$1000,0),1)))</f>
        <v/>
      </c>
      <c r="BQ4" s="80" t="str">
        <f t="shared" ca="1" si="13"/>
        <v/>
      </c>
      <c r="BR4" s="54" t="str">
        <f ca="1">IF(ISERROR(VLOOKUP(BO4,anniversaire!$X$2:$Z$100,2,0)),"",VLOOKUP(BO4,anniversaire!$X$2:$Z$100,2,0))</f>
        <v/>
      </c>
      <c r="BS4" s="54" t="str">
        <f>IF(ISERROR(VLOOKUP(BO4,fête!$B$2:$C$367,2,0)),"",VLOOKUP(BO4,fête!$B$2:$C$367,2,0))</f>
        <v>Julien Eymard</v>
      </c>
      <c r="BT4" s="54" t="str">
        <f>IF(ISERROR(VLOOKUP(BO4,évènements!$A$3:$D$200,3,0)),"",VLOOKUP(BO4,évènements!$A$3:$D$200,3,0))</f>
        <v/>
      </c>
      <c r="BU4" s="54" t="str">
        <f>IF(ISERROR(VLOOKUP(BO4,évènements!$B$3:$D$200,2,0)),"",VLOOKUP(BO4,évènements!$B$3:$D$200,2,0))</f>
        <v/>
      </c>
      <c r="BV4" s="54" t="str">
        <f t="shared" si="14"/>
        <v xml:space="preserve">  </v>
      </c>
      <c r="BW4" s="41">
        <f t="shared" ref="BW4:BW33" si="36">BX4</f>
        <v>42980</v>
      </c>
      <c r="BX4" s="42">
        <f>BX3+1</f>
        <v>42980</v>
      </c>
      <c r="BY4" s="43" t="str">
        <f>IF(BX4="","",IF(ISERROR(MATCH(BX4,Lune!$A$1:$A$1000,0)),IF(WEEKDAY(BX4)=5,INT((BX4-DATE(YEAR(BX4),1,1))/7+1),IF(AND(WEEKDAY(BX4)=4,NOT( ISERROR(MATCH(BX4+1,Lune!$A$1:$A$1000,0)))),INT((BX4+1-DATE(YEAR(BX4+1),1,1))/7+1),"")),INDEX(Lune!$B$1:$B$1000,MATCH(BX4,Lune!$A$1:$A$1000,0),1)))</f>
        <v/>
      </c>
      <c r="BZ4" s="80" t="str">
        <f t="shared" ca="1" si="15"/>
        <v/>
      </c>
      <c r="CA4" s="54" t="str">
        <f ca="1">IF(ISERROR(VLOOKUP(BX4,anniversaire!$X$2:$Z$100,2,0)),"",VLOOKUP(BX4,anniversaire!$X$2:$Z$100,2,0))</f>
        <v/>
      </c>
      <c r="CB4" s="54" t="str">
        <f>IF(ISERROR(VLOOKUP(BX4,fête!$B$2:$C$367,2,0)),"",VLOOKUP(BX4,fête!$B$2:$C$367,2,0))</f>
        <v>Ingrid</v>
      </c>
      <c r="CC4" s="54" t="str">
        <f>IF(ISERROR(VLOOKUP(BX4,évènements!$A$3:$D$200,3,0)),"",VLOOKUP(BX4,évènements!$A$3:$D$200,3,0))</f>
        <v/>
      </c>
      <c r="CD4" s="54" t="str">
        <f>IF(ISERROR(VLOOKUP(BX4,évènements!$B$3:$D$200,2,0)),"",VLOOKUP(BX4,évènements!$B$3:$D$200,2,0))</f>
        <v/>
      </c>
      <c r="CE4" s="54" t="str">
        <f t="shared" si="16"/>
        <v xml:space="preserve">  </v>
      </c>
      <c r="CF4" s="41">
        <f t="shared" ref="CF4:CF33" si="37">CG4</f>
        <v>43010</v>
      </c>
      <c r="CG4" s="42">
        <f>CG3+1</f>
        <v>43010</v>
      </c>
      <c r="CH4" s="43" t="str">
        <f>IF(CG4="","",IF(ISERROR(MATCH(CG4,Lune!$A$1:$A$1000,0)),IF(WEEKDAY(CG4)=5,INT((CG4-DATE(YEAR(CG4),1,1))/7+1),IF(AND(WEEKDAY(CG4)=4,NOT( ISERROR(MATCH(CG4+1,Lune!$A$1:$A$1000,0)))),INT((CG4+1-DATE(YEAR(CG4+1),1,1))/7+1),"")),INDEX(Lune!$B$1:$B$1000,MATCH(CG4,Lune!$A$1:$A$1000,0),1)))</f>
        <v/>
      </c>
      <c r="CI4" s="80" t="str">
        <f t="shared" ca="1" si="17"/>
        <v/>
      </c>
      <c r="CJ4" s="54" t="str">
        <f ca="1">IF(ISERROR(VLOOKUP(CG4,anniversaire!$X$2:$Z$100,2,0)),"",VLOOKUP(CG4,anniversaire!$X$2:$Z$100,2,0))</f>
        <v/>
      </c>
      <c r="CK4" s="54" t="str">
        <f>IF(ISERROR(VLOOKUP(CG4,fête!$B$2:$C$367,2,0)),"",VLOOKUP(CG4,fête!$B$2:$C$367,2,0))</f>
        <v>Léger</v>
      </c>
      <c r="CL4" s="54" t="str">
        <f>IF(ISERROR(VLOOKUP(CG4,évènements!$A$3:$D$200,3,0)),"",VLOOKUP(CG4,évènements!$A$3:$D$200,3,0))</f>
        <v/>
      </c>
      <c r="CM4" s="54" t="str">
        <f>IF(ISERROR(VLOOKUP(CG4,évènements!$B$3:$D$200,2,0)),"",VLOOKUP(CG4,évènements!$B$3:$D$200,2,0))</f>
        <v/>
      </c>
      <c r="CN4" s="54" t="str">
        <f t="shared" si="18"/>
        <v xml:space="preserve">  </v>
      </c>
      <c r="CO4" s="41">
        <f t="shared" ref="CO4:CO33" si="38">CP4</f>
        <v>43041</v>
      </c>
      <c r="CP4" s="42">
        <f>CP3+1</f>
        <v>43041</v>
      </c>
      <c r="CQ4" s="43">
        <f>IF(CP4="","",IF(ISERROR(MATCH(CP4,Lune!$A$1:$A$1000,0)),IF(WEEKDAY(CP4)=5,INT((CP4-DATE(YEAR(CP4),1,1))/7+1),IF(AND(WEEKDAY(CP4)=4,NOT( ISERROR(MATCH(CP4+1,Lune!$A$1:$A$1000,0)))),INT((CP4+1-DATE(YEAR(CP4+1),1,1))/7+1),"")),INDEX(Lune!$B$1:$B$1000,MATCH(CP4,Lune!$A$1:$A$1000,0),1)))</f>
        <v>44</v>
      </c>
      <c r="CR4" s="80" t="str">
        <f t="shared" ca="1" si="19"/>
        <v/>
      </c>
      <c r="CS4" s="54" t="str">
        <f ca="1">IF(ISERROR(VLOOKUP(CP4,anniversaire!$X$2:$Z$100,2,0)),"",VLOOKUP(CP4,anniversaire!$X$2:$Z$100,2,0))</f>
        <v/>
      </c>
      <c r="CT4" s="54" t="str">
        <f>IF(ISERROR(VLOOKUP(CP4,fête!$B$2:$C$367,2,0)),"",VLOOKUP(CP4,fête!$B$2:$C$367,2,0))</f>
        <v>Défunts</v>
      </c>
      <c r="CU4" s="54" t="str">
        <f>IF(ISERROR(VLOOKUP(CP4,évènements!$A$3:$D$200,3,0)),"",VLOOKUP(CP4,évènements!$A$3:$D$200,3,0))</f>
        <v/>
      </c>
      <c r="CV4" s="54" t="str">
        <f>IF(ISERROR(VLOOKUP(CP4,évènements!$B$3:$D$200,2,0)),"",VLOOKUP(CP4,évènements!$B$3:$D$200,2,0))</f>
        <v/>
      </c>
      <c r="CW4" s="54" t="str">
        <f t="shared" si="20"/>
        <v xml:space="preserve">  </v>
      </c>
      <c r="CX4" s="41">
        <f t="shared" ref="CX4:CX33" si="39">CY4</f>
        <v>43071</v>
      </c>
      <c r="CY4" s="42">
        <f>CY3+1</f>
        <v>43071</v>
      </c>
      <c r="CZ4" s="43" t="str">
        <f>IF(CY4="","",IF(ISERROR(MATCH(CY4,Lune!$A$1:$A$1000,0)),IF(WEEKDAY(CY4)=5,INT((CY4-DATE(YEAR(CY4),1,1))/7+1),IF(AND(WEEKDAY(CY4)=4,NOT( ISERROR(MATCH(CY4+1,Lune!$A$1:$A$1000,0)))),INT((CY4+1-DATE(YEAR(CY4+1),1,1))/7+1),"")),INDEX(Lune!$B$1:$B$1000,MATCH(CY4,Lune!$A$1:$A$1000,0),1)))</f>
        <v/>
      </c>
      <c r="DA4" s="80" t="str">
        <f t="shared" ca="1" si="21"/>
        <v/>
      </c>
      <c r="DB4" s="54" t="str">
        <f ca="1">IF(ISERROR(VLOOKUP(CY4,anniversaire!$X$2:$Z$100,2,0)),"",VLOOKUP(CY4,anniversaire!$X$2:$Z$100,2,0))</f>
        <v/>
      </c>
      <c r="DC4" s="54" t="str">
        <f>IF(ISERROR(VLOOKUP(CY4,fête!$B$2:$C$367,2,0)),"",VLOOKUP(CY4,fête!$B$2:$C$367,2,0))</f>
        <v>Viviane</v>
      </c>
      <c r="DD4" s="54" t="str">
        <f>IF(ISERROR(VLOOKUP(CY4,évènements!$A$3:$D$200,3,0)),"",VLOOKUP(CY4,évènements!$A$3:$D$200,3,0))</f>
        <v/>
      </c>
      <c r="DE4" s="54" t="str">
        <f>IF(ISERROR(VLOOKUP(CY4,évènements!$B$3:$D$200,2,0)),"",VLOOKUP(CY4,évènements!$B$3:$D$200,2,0))</f>
        <v/>
      </c>
      <c r="DF4" s="54" t="str">
        <f t="shared" si="22"/>
        <v xml:space="preserve">  </v>
      </c>
      <c r="DG4" s="41">
        <f t="shared" ref="DG4:DG33" si="40">DH4</f>
        <v>43102</v>
      </c>
      <c r="DH4" s="42">
        <f>DH3+1</f>
        <v>43102</v>
      </c>
      <c r="DI4" s="43" t="str">
        <f>IF(DH4="","",IF(ISERROR(MATCH(DH4,Lune!$A$1:$A$1000,0)),IF(WEEKDAY(DH4)=5,INT((DH4-DATE(YEAR(DH4),1,1))/7+1),IF(AND(WEEKDAY(DH4)=4,NOT( ISERROR(MATCH(DH4+1,Lune!$A$1:$A$1000,0)))),INT((DH4+1-DATE(YEAR(DH4+1),1,1))/7+1),"")),INDEX(Lune!$B$1:$B$1000,MATCH(DH4,Lune!$A$1:$A$1000,0),1)))</f>
        <v>○</v>
      </c>
      <c r="DJ4" s="89" t="str">
        <f t="shared" ca="1" si="23"/>
        <v xml:space="preserve"> '</v>
      </c>
      <c r="DK4" s="252" t="str">
        <f t="shared" ca="1" si="24"/>
        <v>boireau  louane    1</v>
      </c>
      <c r="DL4" s="252" t="str">
        <f t="shared" si="25"/>
        <v>Basile</v>
      </c>
      <c r="DM4" s="252" t="str">
        <f>IF(ISERROR(VLOOKUP(DH4,évènements!$A$3:$D$200,3,0)),"",VLOOKUP(DH4,évènements!$A$3:$D$200,3,0))</f>
        <v/>
      </c>
      <c r="DN4" s="252" t="str">
        <f>IF(ISERROR(VLOOKUP(DH4,évènements!$B$3:$D$200,2,0)),"",VLOOKUP(DH4,évènements!$B$3:$D$200,2,0))</f>
        <v/>
      </c>
      <c r="DO4" s="252" t="str">
        <f t="shared" si="26"/>
        <v xml:space="preserve">  </v>
      </c>
    </row>
    <row r="5" spans="2:119" ht="15" customHeight="1">
      <c r="B5" s="46"/>
      <c r="C5" s="41">
        <f t="shared" si="27"/>
        <v>42738</v>
      </c>
      <c r="D5" s="40">
        <f t="shared" ref="D5:D30" si="41">D4+1</f>
        <v>42738</v>
      </c>
      <c r="E5" s="131" t="str">
        <f>IF(D5="","",IF(ISERROR(MATCH(D5,Lune!$A$1:$A$1000,0)),IF(WEEKDAY(D5)=5,INT((D5-DATE(YEAR(D5),1,1))/7+1),IF(AND(WEEKDAY(D5)=4,NOT( ISERROR(MATCH(D5+1,Lune!$A$1:$A$1000,0)))),INT((D5+1-DATE(YEAR(D5+1),1,1))/7+1),"")),INDEX(Lune!$B$1:$B$1000,MATCH(D5,Lune!$A$1:$A$1000,0),1)))</f>
        <v/>
      </c>
      <c r="F5" s="89" t="str">
        <f t="shared" ca="1" si="0"/>
        <v/>
      </c>
      <c r="G5" s="125" t="str">
        <f ca="1">IF(ISERROR(VLOOKUP(D5,anniversaire!$X$2:$Z$100,2,0)),"",VLOOKUP(D5,anniversaire!$X$2:$Z$100,2,0))</f>
        <v/>
      </c>
      <c r="H5" s="54" t="str">
        <f>IF(ISERROR(VLOOKUP(D5,fête!$B$2:$C$367,2,0)),"",VLOOKUP(D5,fête!$B$2:$C$367,2,0))</f>
        <v>Geneviève</v>
      </c>
      <c r="I5" s="239" t="str">
        <f>IF(ISERROR(VLOOKUP(D5,évènements!$A$3:$D$200,3,0)),"",VLOOKUP(D5,évènements!$A$3:$D$200,3,0))</f>
        <v/>
      </c>
      <c r="J5" s="239" t="str">
        <f>IF(ISERROR(VLOOKUP(D5,évènements!$B$3:$D$200,2,0)),"",VLOOKUP(D5,évènements!$B$3:$D$200,2,0))</f>
        <v/>
      </c>
      <c r="K5" s="239" t="str">
        <f t="shared" si="1"/>
        <v xml:space="preserve">  </v>
      </c>
      <c r="L5" s="41">
        <f t="shared" si="28"/>
        <v>42769</v>
      </c>
      <c r="M5" s="42">
        <f t="shared" ref="M5:M30" si="42">M4+1</f>
        <v>42769</v>
      </c>
      <c r="N5" s="131" t="str">
        <f>IF(M5="","",IF(ISERROR(MATCH(M5,Lune!$A$1:$A$1000,0)),IF(WEEKDAY(M5)=5,INT((M5-DATE(YEAR(M5),1,1))/7+1),IF(AND(WEEKDAY(M5)=4,NOT( ISERROR(MATCH(M5+1,Lune!$A$1:$A$1000,0)))),INT((M5+1-DATE(YEAR(M5+1),1,1))/7+1),"")),INDEX(Lune!$B$1:$B$1000,MATCH(M5,Lune!$A$1:$A$1000,0),1)))</f>
        <v/>
      </c>
      <c r="O5" s="80" t="str">
        <f t="shared" ca="1" si="2"/>
        <v/>
      </c>
      <c r="P5" s="54" t="str">
        <f ca="1">IF(ISERROR(VLOOKUP(M5,anniversaire!$X$2:$Z$100,2,0)),"",VLOOKUP(M5,anniversaire!$X$2:$Z$100,2,0))</f>
        <v/>
      </c>
      <c r="Q5" s="54" t="str">
        <f>IF(ISERROR(VLOOKUP(M5,fête!$B$2:$C$367,2,0)),"",VLOOKUP(M5,fête!$B$2:$C$367,2,0))</f>
        <v>Blaise</v>
      </c>
      <c r="R5" s="54" t="str">
        <f>IF(ISERROR(VLOOKUP(M5,évènements!$A$3:$D$200,3,0)),"",VLOOKUP(M5,évènements!$A$3:$D$200,3,0))</f>
        <v/>
      </c>
      <c r="S5" s="54" t="str">
        <f>IF(ISERROR(VLOOKUP(M5,évènements!$B$3:$D$200,2,0)),"",VLOOKUP(M5,évènements!$B$3:$D$200,2,0))</f>
        <v/>
      </c>
      <c r="T5" s="54" t="str">
        <f t="shared" si="3"/>
        <v xml:space="preserve">  </v>
      </c>
      <c r="U5" s="41">
        <f t="shared" si="29"/>
        <v>42797</v>
      </c>
      <c r="V5" s="42">
        <f t="shared" ref="V5:V30" si="43">V4+1</f>
        <v>42797</v>
      </c>
      <c r="W5" s="132" t="str">
        <f>IF(V5="","",IF(ISERROR(MATCH(V5,Lune!$A$1:$A$1000,0)),IF(WEEKDAY(V5)=5,INT((V5-DATE(YEAR(V5),1,1))/7+1),IF(AND(WEEKDAY(V5)=4,NOT( ISERROR(MATCH(V5+1,Lune!$A$1:$A$1000,0)))),INT((V5+1-DATE(YEAR(V5+1),1,1))/7+1),"")),INDEX(Lune!$B$1:$B$1000,MATCH(V5,Lune!$A$1:$A$1000,0),1)))</f>
        <v/>
      </c>
      <c r="X5" s="89" t="str">
        <f t="shared" ca="1" si="4"/>
        <v xml:space="preserve"> '</v>
      </c>
      <c r="Y5" s="125" t="str">
        <f ca="1">IF(ISERROR(VLOOKUP(V5,anniversaire!$X$2:$Z$100,2,0)),"",VLOOKUP(V5,anniversaire!$X$2:$Z$100,2,0))</f>
        <v>Taraud  stéphanie    38</v>
      </c>
      <c r="Z5" s="54" t="str">
        <f>IF(ISERROR(VLOOKUP(V5,fête!$B$2:$C$367,2,0)),"",VLOOKUP(V5,fête!$B$2:$C$367,2,0))</f>
        <v>Guénolé</v>
      </c>
      <c r="AA5" s="54" t="str">
        <f>IF(ISERROR(VLOOKUP(V5,évènements!$A$3:$D$200,3,0)),"",VLOOKUP(V5,évènements!$A$3:$D$200,3,0))</f>
        <v/>
      </c>
      <c r="AB5" s="54" t="str">
        <f>IF(ISERROR(VLOOKUP(V5,évènements!$B$3:$D$200,2,0)),"",VLOOKUP(V5,évènements!$B$3:$D$200,2,0))</f>
        <v/>
      </c>
      <c r="AC5" s="54" t="str">
        <f t="shared" si="5"/>
        <v xml:space="preserve">  </v>
      </c>
      <c r="AD5" s="41">
        <f t="shared" si="30"/>
        <v>42828</v>
      </c>
      <c r="AE5" s="42">
        <f t="shared" ref="AE5:AE30" si="44">AE4+1</f>
        <v>42828</v>
      </c>
      <c r="AF5" s="137" t="str">
        <f>IF(AE5="","",IF(ISERROR(MATCH(AE5,Lune!$A$1:$A$1000,0)),IF(WEEKDAY(AE5)=5,INT((AE5-DATE(YEAR(AE5),1,1))/7+1),IF(AND(WEEKDAY(AE5)=4,NOT( ISERROR(MATCH(AE5+1,Lune!$A$1:$A$1000,0)))),INT((AE5+1-DATE(YEAR(AE5+1),1,1))/7+1),"")),INDEX(Lune!$B$1:$B$1000,MATCH(AE5,Lune!$A$1:$A$1000,0),1)))</f>
        <v>◐</v>
      </c>
      <c r="AG5" s="80" t="str">
        <f t="shared" ca="1" si="6"/>
        <v/>
      </c>
      <c r="AH5" s="54" t="str">
        <f ca="1">IF(ISERROR(VLOOKUP(AE5,anniversaire!$X$2:$Z$100,2,0)),"",VLOOKUP(AE5,anniversaire!$X$2:$Z$100,2,0))</f>
        <v/>
      </c>
      <c r="AI5" s="54" t="str">
        <f>IF(ISERROR(VLOOKUP(AE5,fête!$B$2:$C$367,2,0)),"",VLOOKUP(AE5,fête!$B$2:$C$367,2,0))</f>
        <v>Richard</v>
      </c>
      <c r="AJ5" s="54" t="str">
        <f>IF(ISERROR(VLOOKUP(AE5,évènements!$A$3:$D$200,3,0)),"",VLOOKUP(AE5,évènements!$A$3:$D$200,3,0))</f>
        <v/>
      </c>
      <c r="AK5" s="54" t="str">
        <f>IF(ISERROR(VLOOKUP(AE5,évènements!$B$3:$D$200,2,0)),"",VLOOKUP(AE5,évènements!$B$3:$D$200,2,0))</f>
        <v/>
      </c>
      <c r="AL5" s="238" t="str">
        <f t="shared" si="7"/>
        <v xml:space="preserve">  </v>
      </c>
      <c r="AM5" s="41">
        <f t="shared" si="31"/>
        <v>42858</v>
      </c>
      <c r="AN5" s="42">
        <f t="shared" ref="AN5:AN30" si="45">AN4+1</f>
        <v>42858</v>
      </c>
      <c r="AO5" s="43" t="str">
        <f>IF(AN5="","",IF(ISERROR(MATCH(AN5,Lune!$A$1:$A$1000,0)),IF(WEEKDAY(AN5)=5,INT((AN5-DATE(YEAR(AN5),1,1))/7+1),IF(AND(WEEKDAY(AN5)=4,NOT( ISERROR(MATCH(AN5+1,Lune!$A$1:$A$1000,0)))),INT((AN5+1-DATE(YEAR(AN5+1),1,1))/7+1),"")),INDEX(Lune!$B$1:$B$1000,MATCH(AN5,Lune!$A$1:$A$1000,0),1)))</f>
        <v>◐</v>
      </c>
      <c r="AP5" s="79" t="str">
        <f t="shared" ca="1" si="8"/>
        <v/>
      </c>
      <c r="AQ5" s="54" t="str">
        <f ca="1">IF(ISERROR(VLOOKUP(AN5,anniversaire!$X$2:$Z$100,2,0)),"",VLOOKUP(AN5,anniversaire!$X$2:$Z$100,2,0))</f>
        <v/>
      </c>
      <c r="AR5" s="54" t="str">
        <f>IF(ISERROR(VLOOKUP(AN5,fête!$B$2:$C$367,2,0)),"",VLOOKUP(AN5,fête!$B$2:$C$367,2,0))</f>
        <v>Philippe, Jacques</v>
      </c>
      <c r="AS5" s="238" t="str">
        <f>IF(ISERROR(VLOOKUP(AN5,évènements!$A$3:$D$200,3,0)),"",VLOOKUP(AN5,évènements!$A$3:$D$200,3,0))</f>
        <v/>
      </c>
      <c r="AT5" s="238" t="str">
        <f>IF(ISERROR(VLOOKUP(AN5,évènements!$B$3:$D$200,2,0)),"",VLOOKUP(AN5,évènements!$B$3:$D$200,2,0))</f>
        <v/>
      </c>
      <c r="AU5" s="238" t="str">
        <f t="shared" si="9"/>
        <v xml:space="preserve">  </v>
      </c>
      <c r="AV5" s="41">
        <f t="shared" si="32"/>
        <v>42889</v>
      </c>
      <c r="AW5" s="42">
        <f t="shared" ref="AW5:AW30" si="46">AW4+1</f>
        <v>42889</v>
      </c>
      <c r="AX5" s="43" t="str">
        <f>IF(AW5="","",IF(ISERROR(MATCH(AW5,Lune!$A$1:$A$1000,0)),IF(WEEKDAY(AW5)=5,INT((AW5-DATE(YEAR(AW5),1,1))/7+1),IF(AND(WEEKDAY(AW5)=4,NOT( ISERROR(MATCH(AW5+1,Lune!$A$1:$A$1000,0)))),INT((AW5+1-DATE(YEAR(AW5+1),1,1))/7+1),"")),INDEX(Lune!$B$1:$B$1000,MATCH(AW5,Lune!$A$1:$A$1000,0),1)))</f>
        <v/>
      </c>
      <c r="AY5" s="79" t="str">
        <f t="shared" ca="1" si="10"/>
        <v/>
      </c>
      <c r="AZ5" s="54" t="str">
        <f ca="1">IF(ISERROR(VLOOKUP(AW5,anniversaire!$X$2:$Z$100,2,0)),"",VLOOKUP(AW5,anniversaire!$X$2:$Z$100,2,0))</f>
        <v/>
      </c>
      <c r="BA5" s="54" t="str">
        <f>IF(ISERROR(VLOOKUP(AW5,fête!$B$2:$C$367,2,0)),"",VLOOKUP(AW5,fête!$B$2:$C$367,2,0))</f>
        <v>Kévin</v>
      </c>
      <c r="BB5" s="54" t="str">
        <f>IF(ISERROR(VLOOKUP(AW5,évènements!$A$3:$D$200,3,0)),"",VLOOKUP(AW5,évènements!$A$3:$D$200,3,0))</f>
        <v/>
      </c>
      <c r="BC5" s="54" t="str">
        <f>IF(ISERROR(VLOOKUP(AW5,évènements!$B$3:$D$200,2,0)),"",VLOOKUP(AW5,évènements!$B$3:$D$200,2,0))</f>
        <v/>
      </c>
      <c r="BD5" s="54" t="str">
        <f t="shared" si="11"/>
        <v xml:space="preserve">  </v>
      </c>
      <c r="BE5" s="41">
        <f t="shared" si="33"/>
        <v>42919</v>
      </c>
      <c r="BF5" s="42">
        <f t="shared" ref="BF5:BF30" si="47">BF4+1</f>
        <v>42919</v>
      </c>
      <c r="BG5" s="43" t="str">
        <f>IF(BF5="","",IF(ISERROR(MATCH(BF5,Lune!$A$1:$A$1000,0)),IF(WEEKDAY(BF5)=5,INT((BF5-DATE(YEAR(BF5),1,1))/7+1),IF(AND(WEEKDAY(BF5)=4,NOT( ISERROR(MATCH(BF5+1,Lune!$A$1:$A$1000,0)))),INT((BF5+1-DATE(YEAR(BF5+1),1,1))/7+1),"")),INDEX(Lune!$B$1:$B$1000,MATCH(BF5,Lune!$A$1:$A$1000,0),1)))</f>
        <v/>
      </c>
      <c r="BH5" s="80" t="str">
        <f t="shared" ca="1" si="12"/>
        <v/>
      </c>
      <c r="BI5" s="54" t="str">
        <f ca="1">IF(ISERROR(VLOOKUP(BF5,anniversaire!$X$2:$Z$100,2,0)),"",VLOOKUP(BF5,anniversaire!$X$2:$Z$100,2,0))</f>
        <v/>
      </c>
      <c r="BJ5" s="54" t="str">
        <f>IF(ISERROR(VLOOKUP(BF5,fête!$B$2:$C$367,2,0)),"",VLOOKUP(BF5,fête!$B$2:$C$367,2,0))</f>
        <v>Thomas</v>
      </c>
      <c r="BK5" s="54" t="str">
        <f>IF(ISERROR(VLOOKUP(BF5,évènements!$A$3:$D$200,3,0)),"",VLOOKUP(BF5,évènements!$A$3:$D$200,3,0))</f>
        <v/>
      </c>
      <c r="BL5" s="54" t="str">
        <f>IF(ISERROR(VLOOKUP(BF5,évènements!$B$3:$D$200,2,0)),"",VLOOKUP(BF5,évènements!$B$3:$D$200,2,0))</f>
        <v/>
      </c>
      <c r="BM5" s="54" t="str">
        <f t="shared" si="34"/>
        <v xml:space="preserve">  </v>
      </c>
      <c r="BN5" s="41">
        <f t="shared" si="35"/>
        <v>42950</v>
      </c>
      <c r="BO5" s="42">
        <f t="shared" ref="BO5:BO30" si="48">BO4+1</f>
        <v>42950</v>
      </c>
      <c r="BP5" s="43">
        <f>IF(BO5="","",IF(ISERROR(MATCH(BO5,Lune!$A$1:$A$1000,0)),IF(WEEKDAY(BO5)=5,INT((BO5-DATE(YEAR(BO5),1,1))/7+1),IF(AND(WEEKDAY(BO5)=4,NOT( ISERROR(MATCH(BO5+1,Lune!$A$1:$A$1000,0)))),INT((BO5+1-DATE(YEAR(BO5+1),1,1))/7+1),"")),INDEX(Lune!$B$1:$B$1000,MATCH(BO5,Lune!$A$1:$A$1000,0),1)))</f>
        <v>31</v>
      </c>
      <c r="BQ5" s="80" t="str">
        <f t="shared" ca="1" si="13"/>
        <v/>
      </c>
      <c r="BR5" s="54" t="str">
        <f ca="1">IF(ISERROR(VLOOKUP(BO5,anniversaire!$X$2:$Z$100,2,0)),"",VLOOKUP(BO5,anniversaire!$X$2:$Z$100,2,0))</f>
        <v/>
      </c>
      <c r="BS5" s="54" t="str">
        <f>IF(ISERROR(VLOOKUP(BO5,fête!$B$2:$C$367,2,0)),"",VLOOKUP(BO5,fête!$B$2:$C$367,2,0))</f>
        <v>Lydie</v>
      </c>
      <c r="BT5" s="54" t="str">
        <f>IF(ISERROR(VLOOKUP(BO5,évènements!$A$3:$D$200,3,0)),"",VLOOKUP(BO5,évènements!$A$3:$D$200,3,0))</f>
        <v/>
      </c>
      <c r="BU5" s="54" t="str">
        <f>IF(ISERROR(VLOOKUP(BO5,évènements!$B$3:$D$200,2,0)),"",VLOOKUP(BO5,évènements!$B$3:$D$200,2,0))</f>
        <v/>
      </c>
      <c r="BV5" s="54" t="str">
        <f t="shared" si="14"/>
        <v xml:space="preserve">  </v>
      </c>
      <c r="BW5" s="41">
        <f t="shared" si="36"/>
        <v>42981</v>
      </c>
      <c r="BX5" s="42">
        <f t="shared" ref="BX5:BX30" si="49">BX4+1</f>
        <v>42981</v>
      </c>
      <c r="BY5" s="43" t="str">
        <f>IF(BX5="","",IF(ISERROR(MATCH(BX5,Lune!$A$1:$A$1000,0)),IF(WEEKDAY(BX5)=5,INT((BX5-DATE(YEAR(BX5),1,1))/7+1),IF(AND(WEEKDAY(BX5)=4,NOT( ISERROR(MATCH(BX5+1,Lune!$A$1:$A$1000,0)))),INT((BX5+1-DATE(YEAR(BX5+1),1,1))/7+1),"")),INDEX(Lune!$B$1:$B$1000,MATCH(BX5,Lune!$A$1:$A$1000,0),1)))</f>
        <v/>
      </c>
      <c r="BZ5" s="80" t="str">
        <f t="shared" ca="1" si="15"/>
        <v/>
      </c>
      <c r="CA5" s="54" t="str">
        <f ca="1">IF(ISERROR(VLOOKUP(BX5,anniversaire!$X$2:$Z$100,2,0)),"",VLOOKUP(BX5,anniversaire!$X$2:$Z$100,2,0))</f>
        <v/>
      </c>
      <c r="CB5" s="54" t="str">
        <f>IF(ISERROR(VLOOKUP(BX5,fête!$B$2:$C$367,2,0)),"",VLOOKUP(BX5,fête!$B$2:$C$367,2,0))</f>
        <v>Grégoire</v>
      </c>
      <c r="CC5" s="54" t="str">
        <f>IF(ISERROR(VLOOKUP(BX5,évènements!$A$3:$D$200,3,0)),"",VLOOKUP(BX5,évènements!$A$3:$D$200,3,0))</f>
        <v/>
      </c>
      <c r="CD5" s="54" t="str">
        <f>IF(ISERROR(VLOOKUP(BX5,évènements!$B$3:$D$200,2,0)),"",VLOOKUP(BX5,évènements!$B$3:$D$200,2,0))</f>
        <v/>
      </c>
      <c r="CE5" s="54" t="str">
        <f t="shared" si="16"/>
        <v xml:space="preserve">  </v>
      </c>
      <c r="CF5" s="41">
        <f t="shared" si="37"/>
        <v>43011</v>
      </c>
      <c r="CG5" s="42">
        <f t="shared" ref="CG5:CG30" si="50">CG4+1</f>
        <v>43011</v>
      </c>
      <c r="CH5" s="43" t="str">
        <f>IF(CG5="","",IF(ISERROR(MATCH(CG5,Lune!$A$1:$A$1000,0)),IF(WEEKDAY(CG5)=5,INT((CG5-DATE(YEAR(CG5),1,1))/7+1),IF(AND(WEEKDAY(CG5)=4,NOT( ISERROR(MATCH(CG5+1,Lune!$A$1:$A$1000,0)))),INT((CG5+1-DATE(YEAR(CG5+1),1,1))/7+1),"")),INDEX(Lune!$B$1:$B$1000,MATCH(CG5,Lune!$A$1:$A$1000,0),1)))</f>
        <v/>
      </c>
      <c r="CI5" s="80" t="str">
        <f t="shared" ca="1" si="17"/>
        <v/>
      </c>
      <c r="CJ5" s="54" t="str">
        <f ca="1">IF(ISERROR(VLOOKUP(CG5,anniversaire!$X$2:$Z$100,2,0)),"",VLOOKUP(CG5,anniversaire!$X$2:$Z$100,2,0))</f>
        <v/>
      </c>
      <c r="CK5" s="54" t="str">
        <f>IF(ISERROR(VLOOKUP(CG5,fête!$B$2:$C$367,2,0)),"",VLOOKUP(CG5,fête!$B$2:$C$367,2,0))</f>
        <v>Gérard</v>
      </c>
      <c r="CL5" s="54" t="str">
        <f>IF(ISERROR(VLOOKUP(CG5,évènements!$A$3:$D$200,3,0)),"",VLOOKUP(CG5,évènements!$A$3:$D$200,3,0))</f>
        <v/>
      </c>
      <c r="CM5" s="54" t="str">
        <f>IF(ISERROR(VLOOKUP(CG5,évènements!$B$3:$D$200,2,0)),"",VLOOKUP(CG5,évènements!$B$3:$D$200,2,0))</f>
        <v/>
      </c>
      <c r="CN5" s="54" t="str">
        <f t="shared" si="18"/>
        <v xml:space="preserve">  </v>
      </c>
      <c r="CO5" s="41">
        <f t="shared" si="38"/>
        <v>43042</v>
      </c>
      <c r="CP5" s="42">
        <f t="shared" ref="CP5:CP30" si="51">CP4+1</f>
        <v>43042</v>
      </c>
      <c r="CQ5" s="43" t="str">
        <f>IF(CP5="","",IF(ISERROR(MATCH(CP5,Lune!$A$1:$A$1000,0)),IF(WEEKDAY(CP5)=5,INT((CP5-DATE(YEAR(CP5),1,1))/7+1),IF(AND(WEEKDAY(CP5)=4,NOT( ISERROR(MATCH(CP5+1,Lune!$A$1:$A$1000,0)))),INT((CP5+1-DATE(YEAR(CP5+1),1,1))/7+1),"")),INDEX(Lune!$B$1:$B$1000,MATCH(CP5,Lune!$A$1:$A$1000,0),1)))</f>
        <v/>
      </c>
      <c r="CR5" s="80" t="str">
        <f t="shared" ca="1" si="19"/>
        <v xml:space="preserve"> '</v>
      </c>
      <c r="CS5" s="54" t="str">
        <f ca="1">IF(ISERROR(VLOOKUP(CP5,anniversaire!$X$2:$Z$100,2,0)),"",VLOOKUP(CP5,anniversaire!$X$2:$Z$100,2,0))</f>
        <v>Taraud  audrey    36</v>
      </c>
      <c r="CT5" s="54" t="str">
        <f>IF(ISERROR(VLOOKUP(CP5,fête!$B$2:$C$367,2,0)),"",VLOOKUP(CP5,fête!$B$2:$C$367,2,0))</f>
        <v>Hubert</v>
      </c>
      <c r="CU5" s="54" t="str">
        <f>IF(ISERROR(VLOOKUP(CP5,évènements!$A$3:$D$200,3,0)),"",VLOOKUP(CP5,évènements!$A$3:$D$200,3,0))</f>
        <v/>
      </c>
      <c r="CV5" s="54" t="str">
        <f>IF(ISERROR(VLOOKUP(CP5,évènements!$B$3:$D$200,2,0)),"",VLOOKUP(CP5,évènements!$B$3:$D$200,2,0))</f>
        <v/>
      </c>
      <c r="CW5" s="54" t="str">
        <f t="shared" si="20"/>
        <v xml:space="preserve">  </v>
      </c>
      <c r="CX5" s="41">
        <f t="shared" si="39"/>
        <v>43072</v>
      </c>
      <c r="CY5" s="42">
        <f t="shared" ref="CY5:CY30" si="52">CY4+1</f>
        <v>43072</v>
      </c>
      <c r="CZ5" s="43" t="str">
        <f>IF(CY5="","",IF(ISERROR(MATCH(CY5,Lune!$A$1:$A$1000,0)),IF(WEEKDAY(CY5)=5,INT((CY5-DATE(YEAR(CY5),1,1))/7+1),IF(AND(WEEKDAY(CY5)=4,NOT( ISERROR(MATCH(CY5+1,Lune!$A$1:$A$1000,0)))),INT((CY5+1-DATE(YEAR(CY5+1),1,1))/7+1),"")),INDEX(Lune!$B$1:$B$1000,MATCH(CY5,Lune!$A$1:$A$1000,0),1)))</f>
        <v>○</v>
      </c>
      <c r="DA5" s="80" t="str">
        <f t="shared" ca="1" si="21"/>
        <v/>
      </c>
      <c r="DB5" s="54" t="str">
        <f ca="1">IF(ISERROR(VLOOKUP(CY5,anniversaire!$X$2:$Z$100,2,0)),"",VLOOKUP(CY5,anniversaire!$X$2:$Z$100,2,0))</f>
        <v/>
      </c>
      <c r="DC5" s="54" t="str">
        <f>IF(ISERROR(VLOOKUP(CY5,fête!$B$2:$C$367,2,0)),"",VLOOKUP(CY5,fête!$B$2:$C$367,2,0))</f>
        <v>François-Xavier</v>
      </c>
      <c r="DD5" s="54" t="str">
        <f>IF(ISERROR(VLOOKUP(CY5,évènements!$A$3:$D$200,3,0)),"",VLOOKUP(CY5,évènements!$A$3:$D$200,3,0))</f>
        <v/>
      </c>
      <c r="DE5" s="54" t="str">
        <f>IF(ISERROR(VLOOKUP(CY5,évènements!$B$3:$D$200,2,0)),"",VLOOKUP(CY5,évènements!$B$3:$D$200,2,0))</f>
        <v/>
      </c>
      <c r="DF5" s="54" t="str">
        <f t="shared" si="22"/>
        <v xml:space="preserve">  </v>
      </c>
      <c r="DG5" s="41">
        <f t="shared" si="40"/>
        <v>43103</v>
      </c>
      <c r="DH5" s="42">
        <f t="shared" ref="DH5:DH30" si="53">DH4+1</f>
        <v>43103</v>
      </c>
      <c r="DI5" s="43" t="str">
        <f>IF(DH5="","",IF(ISERROR(MATCH(DH5,Lune!$A$1:$A$1000,0)),IF(WEEKDAY(DH5)=5,INT((DH5-DATE(YEAR(DH5),1,1))/7+1),IF(AND(WEEKDAY(DH5)=4,NOT( ISERROR(MATCH(DH5+1,Lune!$A$1:$A$1000,0)))),INT((DH5+1-DATE(YEAR(DH5+1),1,1))/7+1),"")),INDEX(Lune!$B$1:$B$1000,MATCH(DH5,Lune!$A$1:$A$1000,0),1)))</f>
        <v/>
      </c>
      <c r="DJ5" s="89" t="str">
        <f t="shared" ca="1" si="23"/>
        <v/>
      </c>
      <c r="DK5" s="252" t="str">
        <f t="shared" ca="1" si="24"/>
        <v/>
      </c>
      <c r="DL5" s="252" t="str">
        <f t="shared" si="25"/>
        <v>Geneviève</v>
      </c>
      <c r="DM5" s="252" t="str">
        <f>IF(ISERROR(VLOOKUP(DH5,évènements!$A$3:$D$200,3,0)),"",VLOOKUP(DH5,évènements!$A$3:$D$200,3,0))</f>
        <v/>
      </c>
      <c r="DN5" s="252" t="str">
        <f>IF(ISERROR(VLOOKUP(DH5,évènements!$B$3:$D$200,2,0)),"",VLOOKUP(DH5,évènements!$B$3:$D$200,2,0))</f>
        <v/>
      </c>
      <c r="DO5" s="252" t="str">
        <f t="shared" si="26"/>
        <v xml:space="preserve">  </v>
      </c>
    </row>
    <row r="6" spans="2:119" ht="15" customHeight="1">
      <c r="C6" s="41">
        <f t="shared" si="27"/>
        <v>42739</v>
      </c>
      <c r="D6" s="40">
        <f t="shared" si="41"/>
        <v>42739</v>
      </c>
      <c r="E6" s="131">
        <f>IF(D6="","",IF(ISERROR(MATCH(D6,Lune!$A$1:$A$1000,0)),IF(WEEKDAY(D6)=5,INT((D6-DATE(YEAR(D6),1,1))/7+1),IF(AND(WEEKDAY(D6)=4,NOT( ISERROR(MATCH(D6+1,Lune!$A$1:$A$1000,0)))),INT((D6+1-DATE(YEAR(D6+1),1,1))/7+1),"")),INDEX(Lune!$B$1:$B$1000,MATCH(D6,Lune!$A$1:$A$1000,0),1)))</f>
        <v>1</v>
      </c>
      <c r="F6" s="89" t="str">
        <f t="shared" ca="1" si="0"/>
        <v/>
      </c>
      <c r="G6" s="125" t="str">
        <f ca="1">IF(ISERROR(VLOOKUP(D6,anniversaire!$X$2:$Z$100,2,0)),"",VLOOKUP(D6,anniversaire!$X$2:$Z$100,2,0))</f>
        <v/>
      </c>
      <c r="H6" s="54" t="str">
        <f>IF(ISERROR(VLOOKUP(D6,fête!$B$2:$C$367,2,0)),"",VLOOKUP(D6,fête!$B$2:$C$367,2,0))</f>
        <v>Odilon</v>
      </c>
      <c r="I6" s="239" t="str">
        <f>IF(ISERROR(VLOOKUP(D6,évènements!$A$3:$D$200,3,0)),"",VLOOKUP(D6,évènements!$A$3:$D$200,3,0))</f>
        <v/>
      </c>
      <c r="J6" s="239" t="str">
        <f>IF(ISERROR(VLOOKUP(D6,évènements!$B$3:$D$200,2,0)),"",VLOOKUP(D6,évènements!$B$3:$D$200,2,0))</f>
        <v/>
      </c>
      <c r="K6" s="239" t="str">
        <f t="shared" si="1"/>
        <v xml:space="preserve">  </v>
      </c>
      <c r="L6" s="41">
        <f t="shared" si="28"/>
        <v>42770</v>
      </c>
      <c r="M6" s="42">
        <f t="shared" si="42"/>
        <v>42770</v>
      </c>
      <c r="N6" s="131" t="str">
        <f>IF(M6="","",IF(ISERROR(MATCH(M6,Lune!$A$1:$A$1000,0)),IF(WEEKDAY(M6)=5,INT((M6-DATE(YEAR(M6),1,1))/7+1),IF(AND(WEEKDAY(M6)=4,NOT( ISERROR(MATCH(M6+1,Lune!$A$1:$A$1000,0)))),INT((M6+1-DATE(YEAR(M6+1),1,1))/7+1),"")),INDEX(Lune!$B$1:$B$1000,MATCH(M6,Lune!$A$1:$A$1000,0),1)))</f>
        <v>◐</v>
      </c>
      <c r="O6" s="80" t="str">
        <f t="shared" ca="1" si="2"/>
        <v/>
      </c>
      <c r="P6" s="54" t="str">
        <f ca="1">IF(ISERROR(VLOOKUP(M6,anniversaire!$X$2:$Z$100,2,0)),"",VLOOKUP(M6,anniversaire!$X$2:$Z$100,2,0))</f>
        <v/>
      </c>
      <c r="Q6" s="54" t="str">
        <f>IF(ISERROR(VLOOKUP(M6,fête!$B$2:$C$367,2,0)),"",VLOOKUP(M6,fête!$B$2:$C$367,2,0))</f>
        <v>Véronique</v>
      </c>
      <c r="R6" s="54" t="str">
        <f>IF(ISERROR(VLOOKUP(M6,évènements!$A$3:$D$200,3,0)),"",VLOOKUP(M6,évènements!$A$3:$D$200,3,0))</f>
        <v/>
      </c>
      <c r="S6" s="54" t="str">
        <f>IF(ISERROR(VLOOKUP(M6,évènements!$B$3:$D$200,2,0)),"",VLOOKUP(M6,évènements!$B$3:$D$200,2,0))</f>
        <v/>
      </c>
      <c r="T6" s="54" t="str">
        <f t="shared" si="3"/>
        <v xml:space="preserve">  </v>
      </c>
      <c r="U6" s="41">
        <f t="shared" si="29"/>
        <v>42798</v>
      </c>
      <c r="V6" s="42">
        <f t="shared" si="43"/>
        <v>42798</v>
      </c>
      <c r="W6" s="132" t="str">
        <f>IF(V6="","",IF(ISERROR(MATCH(V6,Lune!$A$1:$A$1000,0)),IF(WEEKDAY(V6)=5,INT((V6-DATE(YEAR(V6),1,1))/7+1),IF(AND(WEEKDAY(V6)=4,NOT( ISERROR(MATCH(V6+1,Lune!$A$1:$A$1000,0)))),INT((V6+1-DATE(YEAR(V6+1),1,1))/7+1),"")),INDEX(Lune!$B$1:$B$1000,MATCH(V6,Lune!$A$1:$A$1000,0),1)))</f>
        <v/>
      </c>
      <c r="X6" s="89" t="str">
        <f t="shared" ca="1" si="4"/>
        <v xml:space="preserve"> '</v>
      </c>
      <c r="Y6" s="125" t="str">
        <f ca="1">IF(ISERROR(VLOOKUP(V6,anniversaire!$X$2:$Z$100,2,0)),"",VLOOKUP(V6,anniversaire!$X$2:$Z$100,2,0))</f>
        <v>boireau   andrée    82</v>
      </c>
      <c r="Z6" s="54" t="str">
        <f>IF(ISERROR(VLOOKUP(V6,fête!$B$2:$C$367,2,0)),"",VLOOKUP(V6,fête!$B$2:$C$367,2,0))</f>
        <v>Casimir</v>
      </c>
      <c r="AA6" s="54" t="str">
        <f>IF(ISERROR(VLOOKUP(V6,évènements!$A$3:$D$200,3,0)),"",VLOOKUP(V6,évènements!$A$3:$D$200,3,0))</f>
        <v/>
      </c>
      <c r="AB6" s="54" t="str">
        <f>IF(ISERROR(VLOOKUP(V6,évènements!$B$3:$D$200,2,0)),"",VLOOKUP(V6,évènements!$B$3:$D$200,2,0))</f>
        <v/>
      </c>
      <c r="AC6" s="54" t="str">
        <f t="shared" si="5"/>
        <v xml:space="preserve">  </v>
      </c>
      <c r="AD6" s="41">
        <f t="shared" si="30"/>
        <v>42829</v>
      </c>
      <c r="AE6" s="42">
        <f t="shared" si="44"/>
        <v>42829</v>
      </c>
      <c r="AF6" s="137" t="str">
        <f>IF(AE6="","",IF(ISERROR(MATCH(AE6,Lune!$A$1:$A$1000,0)),IF(WEEKDAY(AE6)=5,INT((AE6-DATE(YEAR(AE6),1,1))/7+1),IF(AND(WEEKDAY(AE6)=4,NOT( ISERROR(MATCH(AE6+1,Lune!$A$1:$A$1000,0)))),INT((AE6+1-DATE(YEAR(AE6+1),1,1))/7+1),"")),INDEX(Lune!$B$1:$B$1000,MATCH(AE6,Lune!$A$1:$A$1000,0),1)))</f>
        <v/>
      </c>
      <c r="AG6" s="80" t="str">
        <f t="shared" ca="1" si="6"/>
        <v/>
      </c>
      <c r="AH6" s="54" t="str">
        <f ca="1">IF(ISERROR(VLOOKUP(AE6,anniversaire!$X$2:$Z$100,2,0)),"",VLOOKUP(AE6,anniversaire!$X$2:$Z$100,2,0))</f>
        <v/>
      </c>
      <c r="AI6" s="54" t="str">
        <f>IF(ISERROR(VLOOKUP(AE6,fête!$B$2:$C$367,2,0)),"",VLOOKUP(AE6,fête!$B$2:$C$367,2,0))</f>
        <v>Isidore</v>
      </c>
      <c r="AJ6" s="54" t="str">
        <f>IF(ISERROR(VLOOKUP(AE6,évènements!$A$3:$D$200,3,0)),"",VLOOKUP(AE6,évènements!$A$3:$D$200,3,0))</f>
        <v/>
      </c>
      <c r="AK6" s="54" t="str">
        <f>IF(ISERROR(VLOOKUP(AE6,évènements!$B$3:$D$200,2,0)),"",VLOOKUP(AE6,évènements!$B$3:$D$200,2,0))</f>
        <v/>
      </c>
      <c r="AL6" s="238" t="str">
        <f t="shared" si="7"/>
        <v xml:space="preserve">  </v>
      </c>
      <c r="AM6" s="41">
        <f t="shared" si="31"/>
        <v>42859</v>
      </c>
      <c r="AN6" s="42">
        <f t="shared" si="45"/>
        <v>42859</v>
      </c>
      <c r="AO6" s="43">
        <f>IF(AN6="","",IF(ISERROR(MATCH(AN6,Lune!$A$1:$A$1000,0)),IF(WEEKDAY(AN6)=5,INT((AN6-DATE(YEAR(AN6),1,1))/7+1),IF(AND(WEEKDAY(AN6)=4,NOT( ISERROR(MATCH(AN6+1,Lune!$A$1:$A$1000,0)))),INT((AN6+1-DATE(YEAR(AN6+1),1,1))/7+1),"")),INDEX(Lune!$B$1:$B$1000,MATCH(AN6,Lune!$A$1:$A$1000,0),1)))</f>
        <v>18</v>
      </c>
      <c r="AP6" s="79" t="str">
        <f t="shared" ca="1" si="8"/>
        <v/>
      </c>
      <c r="AQ6" s="54" t="str">
        <f ca="1">IF(ISERROR(VLOOKUP(AN6,anniversaire!$X$2:$Z$100,2,0)),"",VLOOKUP(AN6,anniversaire!$X$2:$Z$100,2,0))</f>
        <v/>
      </c>
      <c r="AR6" s="54" t="str">
        <f>IF(ISERROR(VLOOKUP(AN6,fête!$B$2:$C$367,2,0)),"",VLOOKUP(AN6,fête!$B$2:$C$367,2,0))</f>
        <v>Sylvain</v>
      </c>
      <c r="AS6" s="238" t="str">
        <f>IF(ISERROR(VLOOKUP(AN6,évènements!$A$3:$D$200,3,0)),"",VLOOKUP(AN6,évènements!$A$3:$D$200,3,0))</f>
        <v/>
      </c>
      <c r="AT6" s="238" t="str">
        <f>IF(ISERROR(VLOOKUP(AN6,évènements!$B$3:$D$200,2,0)),"",VLOOKUP(AN6,évènements!$B$3:$D$200,2,0))</f>
        <v/>
      </c>
      <c r="AU6" s="238" t="str">
        <f t="shared" si="9"/>
        <v xml:space="preserve">  </v>
      </c>
      <c r="AV6" s="41">
        <f t="shared" si="32"/>
        <v>42890</v>
      </c>
      <c r="AW6" s="42">
        <f t="shared" si="46"/>
        <v>42890</v>
      </c>
      <c r="AX6" s="43" t="str">
        <f>IF(AW6="","",IF(ISERROR(MATCH(AW6,Lune!$A$1:$A$1000,0)),IF(WEEKDAY(AW6)=5,INT((AW6-DATE(YEAR(AW6),1,1))/7+1),IF(AND(WEEKDAY(AW6)=4,NOT( ISERROR(MATCH(AW6+1,Lune!$A$1:$A$1000,0)))),INT((AW6+1-DATE(YEAR(AW6+1),1,1))/7+1),"")),INDEX(Lune!$B$1:$B$1000,MATCH(AW6,Lune!$A$1:$A$1000,0),1)))</f>
        <v/>
      </c>
      <c r="AY6" s="79" t="str">
        <f t="shared" ca="1" si="10"/>
        <v/>
      </c>
      <c r="AZ6" s="54" t="str">
        <f ca="1">IF(ISERROR(VLOOKUP(AW6,anniversaire!$X$2:$Z$100,2,0)),"",VLOOKUP(AW6,anniversaire!$X$2:$Z$100,2,0))</f>
        <v/>
      </c>
      <c r="BA6" s="54" t="str">
        <f>IF(ISERROR(VLOOKUP(AW6,fête!$B$2:$C$367,2,0)),"",VLOOKUP(AW6,fête!$B$2:$C$367,2,0))</f>
        <v>Clotilde</v>
      </c>
      <c r="BB6" s="54" t="str">
        <f>IF(ISERROR(VLOOKUP(AW6,évènements!$A$3:$D$200,3,0)),"",VLOOKUP(AW6,évènements!$A$3:$D$200,3,0))</f>
        <v/>
      </c>
      <c r="BC6" s="54" t="str">
        <f>IF(ISERROR(VLOOKUP(AW6,évènements!$B$3:$D$200,2,0)),"",VLOOKUP(AW6,évènements!$B$3:$D$200,2,0))</f>
        <v/>
      </c>
      <c r="BD6" s="54" t="str">
        <f t="shared" si="11"/>
        <v xml:space="preserve">  </v>
      </c>
      <c r="BE6" s="41">
        <f t="shared" si="33"/>
        <v>42920</v>
      </c>
      <c r="BF6" s="42">
        <f t="shared" si="47"/>
        <v>42920</v>
      </c>
      <c r="BG6" s="43" t="str">
        <f>IF(BF6="","",IF(ISERROR(MATCH(BF6,Lune!$A$1:$A$1000,0)),IF(WEEKDAY(BF6)=5,INT((BF6-DATE(YEAR(BF6),1,1))/7+1),IF(AND(WEEKDAY(BF6)=4,NOT( ISERROR(MATCH(BF6+1,Lune!$A$1:$A$1000,0)))),INT((BF6+1-DATE(YEAR(BF6+1),1,1))/7+1),"")),INDEX(Lune!$B$1:$B$1000,MATCH(BF6,Lune!$A$1:$A$1000,0),1)))</f>
        <v/>
      </c>
      <c r="BH6" s="80" t="str">
        <f t="shared" ca="1" si="12"/>
        <v/>
      </c>
      <c r="BI6" s="54" t="str">
        <f ca="1">IF(ISERROR(VLOOKUP(BF6,anniversaire!$X$2:$Z$100,2,0)),"",VLOOKUP(BF6,anniversaire!$X$2:$Z$100,2,0))</f>
        <v/>
      </c>
      <c r="BJ6" s="54" t="str">
        <f>IF(ISERROR(VLOOKUP(BF6,fête!$B$2:$C$367,2,0)),"",VLOOKUP(BF6,fête!$B$2:$C$367,2,0))</f>
        <v>Florent</v>
      </c>
      <c r="BK6" s="54" t="str">
        <f>IF(ISERROR(VLOOKUP(BF6,évènements!$A$3:$D$200,3,0)),"",VLOOKUP(BF6,évènements!$A$3:$D$200,3,0))</f>
        <v/>
      </c>
      <c r="BL6" s="54" t="str">
        <f>IF(ISERROR(VLOOKUP(BF6,évènements!$B$3:$D$200,2,0)),"",VLOOKUP(BF6,évènements!$B$3:$D$200,2,0))</f>
        <v/>
      </c>
      <c r="BM6" s="54" t="str">
        <f t="shared" si="34"/>
        <v xml:space="preserve">  </v>
      </c>
      <c r="BN6" s="41">
        <f t="shared" si="35"/>
        <v>42951</v>
      </c>
      <c r="BO6" s="42">
        <f t="shared" si="48"/>
        <v>42951</v>
      </c>
      <c r="BP6" s="43" t="str">
        <f>IF(BO6="","",IF(ISERROR(MATCH(BO6,Lune!$A$1:$A$1000,0)),IF(WEEKDAY(BO6)=5,INT((BO6-DATE(YEAR(BO6),1,1))/7+1),IF(AND(WEEKDAY(BO6)=4,NOT( ISERROR(MATCH(BO6+1,Lune!$A$1:$A$1000,0)))),INT((BO6+1-DATE(YEAR(BO6+1),1,1))/7+1),"")),INDEX(Lune!$B$1:$B$1000,MATCH(BO6,Lune!$A$1:$A$1000,0),1)))</f>
        <v/>
      </c>
      <c r="BQ6" s="80" t="str">
        <f t="shared" ca="1" si="13"/>
        <v/>
      </c>
      <c r="BR6" s="54" t="str">
        <f ca="1">IF(ISERROR(VLOOKUP(BO6,anniversaire!$X$2:$Z$100,2,0)),"",VLOOKUP(BO6,anniversaire!$X$2:$Z$100,2,0))</f>
        <v/>
      </c>
      <c r="BS6" s="54" t="str">
        <f>IF(ISERROR(VLOOKUP(BO6,fête!$B$2:$C$367,2,0)),"",VLOOKUP(BO6,fête!$B$2:$C$367,2,0))</f>
        <v>Jean-Marie Vianney</v>
      </c>
      <c r="BT6" s="54" t="str">
        <f>IF(ISERROR(VLOOKUP(BO6,évènements!$A$3:$D$200,3,0)),"",VLOOKUP(BO6,évènements!$A$3:$D$200,3,0))</f>
        <v/>
      </c>
      <c r="BU6" s="54" t="str">
        <f>IF(ISERROR(VLOOKUP(BO6,évènements!$B$3:$D$200,2,0)),"",VLOOKUP(BO6,évènements!$B$3:$D$200,2,0))</f>
        <v/>
      </c>
      <c r="BV6" s="54" t="str">
        <f t="shared" si="14"/>
        <v xml:space="preserve">  </v>
      </c>
      <c r="BW6" s="41">
        <f t="shared" si="36"/>
        <v>42982</v>
      </c>
      <c r="BX6" s="42">
        <f t="shared" si="49"/>
        <v>42982</v>
      </c>
      <c r="BY6" s="43" t="str">
        <f>IF(BX6="","",IF(ISERROR(MATCH(BX6,Lune!$A$1:$A$1000,0)),IF(WEEKDAY(BX6)=5,INT((BX6-DATE(YEAR(BX6),1,1))/7+1),IF(AND(WEEKDAY(BX6)=4,NOT( ISERROR(MATCH(BX6+1,Lune!$A$1:$A$1000,0)))),INT((BX6+1-DATE(YEAR(BX6+1),1,1))/7+1),"")),INDEX(Lune!$B$1:$B$1000,MATCH(BX6,Lune!$A$1:$A$1000,0),1)))</f>
        <v/>
      </c>
      <c r="BZ6" s="80" t="str">
        <f t="shared" ca="1" si="15"/>
        <v/>
      </c>
      <c r="CA6" s="54" t="str">
        <f ca="1">IF(ISERROR(VLOOKUP(BX6,anniversaire!$X$2:$Z$100,2,0)),"",VLOOKUP(BX6,anniversaire!$X$2:$Z$100,2,0))</f>
        <v/>
      </c>
      <c r="CB6" s="54" t="str">
        <f>IF(ISERROR(VLOOKUP(BX6,fête!$B$2:$C$367,2,0)),"",VLOOKUP(BX6,fête!$B$2:$C$367,2,0))</f>
        <v>Rosalie</v>
      </c>
      <c r="CC6" s="54" t="str">
        <f>IF(ISERROR(VLOOKUP(BX6,évènements!$A$3:$D$200,3,0)),"",VLOOKUP(BX6,évènements!$A$3:$D$200,3,0))</f>
        <v/>
      </c>
      <c r="CD6" s="54" t="str">
        <f>IF(ISERROR(VLOOKUP(BX6,évènements!$B$3:$D$200,2,0)),"",VLOOKUP(BX6,évènements!$B$3:$D$200,2,0))</f>
        <v/>
      </c>
      <c r="CE6" s="54" t="str">
        <f t="shared" si="16"/>
        <v xml:space="preserve">  </v>
      </c>
      <c r="CF6" s="41">
        <f t="shared" si="37"/>
        <v>43012</v>
      </c>
      <c r="CG6" s="42">
        <f t="shared" si="50"/>
        <v>43012</v>
      </c>
      <c r="CH6" s="43">
        <f>IF(CG6="","",IF(ISERROR(MATCH(CG6,Lune!$A$1:$A$1000,0)),IF(WEEKDAY(CG6)=5,INT((CG6-DATE(YEAR(CG6),1,1))/7+1),IF(AND(WEEKDAY(CG6)=4,NOT( ISERROR(MATCH(CG6+1,Lune!$A$1:$A$1000,0)))),INT((CG6+1-DATE(YEAR(CG6+1),1,1))/7+1),"")),INDEX(Lune!$B$1:$B$1000,MATCH(CG6,Lune!$A$1:$A$1000,0),1)))</f>
        <v>40</v>
      </c>
      <c r="CI6" s="80" t="str">
        <f t="shared" ca="1" si="17"/>
        <v/>
      </c>
      <c r="CJ6" s="54" t="str">
        <f ca="1">IF(ISERROR(VLOOKUP(CG6,anniversaire!$X$2:$Z$100,2,0)),"",VLOOKUP(CG6,anniversaire!$X$2:$Z$100,2,0))</f>
        <v/>
      </c>
      <c r="CK6" s="54" t="str">
        <f>IF(ISERROR(VLOOKUP(CG6,fête!$B$2:$C$367,2,0)),"",VLOOKUP(CG6,fête!$B$2:$C$367,2,0))</f>
        <v>François d'Assise</v>
      </c>
      <c r="CL6" s="54" t="str">
        <f>IF(ISERROR(VLOOKUP(CG6,évènements!$A$3:$D$200,3,0)),"",VLOOKUP(CG6,évènements!$A$3:$D$200,3,0))</f>
        <v/>
      </c>
      <c r="CM6" s="54" t="str">
        <f>IF(ISERROR(VLOOKUP(CG6,évènements!$B$3:$D$200,2,0)),"",VLOOKUP(CG6,évènements!$B$3:$D$200,2,0))</f>
        <v/>
      </c>
      <c r="CN6" s="54" t="str">
        <f t="shared" si="18"/>
        <v xml:space="preserve">  </v>
      </c>
      <c r="CO6" s="41">
        <f t="shared" si="38"/>
        <v>43043</v>
      </c>
      <c r="CP6" s="42">
        <f t="shared" si="51"/>
        <v>43043</v>
      </c>
      <c r="CQ6" s="43" t="str">
        <f>IF(CP6="","",IF(ISERROR(MATCH(CP6,Lune!$A$1:$A$1000,0)),IF(WEEKDAY(CP6)=5,INT((CP6-DATE(YEAR(CP6),1,1))/7+1),IF(AND(WEEKDAY(CP6)=4,NOT( ISERROR(MATCH(CP6+1,Lune!$A$1:$A$1000,0)))),INT((CP6+1-DATE(YEAR(CP6+1),1,1))/7+1),"")),INDEX(Lune!$B$1:$B$1000,MATCH(CP6,Lune!$A$1:$A$1000,0),1)))</f>
        <v>○</v>
      </c>
      <c r="CR6" s="80" t="str">
        <f t="shared" ca="1" si="19"/>
        <v/>
      </c>
      <c r="CS6" s="54" t="str">
        <f ca="1">IF(ISERROR(VLOOKUP(CP6,anniversaire!$X$2:$Z$100,2,0)),"",VLOOKUP(CP6,anniversaire!$X$2:$Z$100,2,0))</f>
        <v/>
      </c>
      <c r="CT6" s="54" t="str">
        <f>IF(ISERROR(VLOOKUP(CP6,fête!$B$2:$C$367,2,0)),"",VLOOKUP(CP6,fête!$B$2:$C$367,2,0))</f>
        <v>Charles</v>
      </c>
      <c r="CU6" s="54" t="str">
        <f>IF(ISERROR(VLOOKUP(CP6,évènements!$A$3:$D$200,3,0)),"",VLOOKUP(CP6,évènements!$A$3:$D$200,3,0))</f>
        <v/>
      </c>
      <c r="CV6" s="54" t="str">
        <f>IF(ISERROR(VLOOKUP(CP6,évènements!$B$3:$D$200,2,0)),"",VLOOKUP(CP6,évènements!$B$3:$D$200,2,0))</f>
        <v/>
      </c>
      <c r="CW6" s="54" t="str">
        <f t="shared" si="20"/>
        <v xml:space="preserve">  </v>
      </c>
      <c r="CX6" s="41">
        <f t="shared" si="39"/>
        <v>43073</v>
      </c>
      <c r="CY6" s="42">
        <f t="shared" si="52"/>
        <v>43073</v>
      </c>
      <c r="CZ6" s="43" t="str">
        <f>IF(CY6="","",IF(ISERROR(MATCH(CY6,Lune!$A$1:$A$1000,0)),IF(WEEKDAY(CY6)=5,INT((CY6-DATE(YEAR(CY6),1,1))/7+1),IF(AND(WEEKDAY(CY6)=4,NOT( ISERROR(MATCH(CY6+1,Lune!$A$1:$A$1000,0)))),INT((CY6+1-DATE(YEAR(CY6+1),1,1))/7+1),"")),INDEX(Lune!$B$1:$B$1000,MATCH(CY6,Lune!$A$1:$A$1000,0),1)))</f>
        <v/>
      </c>
      <c r="DA6" s="80" t="str">
        <f t="shared" ca="1" si="21"/>
        <v/>
      </c>
      <c r="DB6" s="54" t="str">
        <f ca="1">IF(ISERROR(VLOOKUP(CY6,anniversaire!$X$2:$Z$100,2,0)),"",VLOOKUP(CY6,anniversaire!$X$2:$Z$100,2,0))</f>
        <v/>
      </c>
      <c r="DC6" s="54" t="str">
        <f>IF(ISERROR(VLOOKUP(CY6,fête!$B$2:$C$367,2,0)),"",VLOOKUP(CY6,fête!$B$2:$C$367,2,0))</f>
        <v>Barbara</v>
      </c>
      <c r="DD6" s="54" t="str">
        <f>IF(ISERROR(VLOOKUP(CY6,évènements!$A$3:$D$200,3,0)),"",VLOOKUP(CY6,évènements!$A$3:$D$200,3,0))</f>
        <v/>
      </c>
      <c r="DE6" s="54" t="str">
        <f>IF(ISERROR(VLOOKUP(CY6,évènements!$B$3:$D$200,2,0)),"",VLOOKUP(CY6,évènements!$B$3:$D$200,2,0))</f>
        <v/>
      </c>
      <c r="DF6" s="54" t="str">
        <f>CONCATENATE(DD6,"  ",DE6)</f>
        <v xml:space="preserve">  </v>
      </c>
      <c r="DG6" s="41">
        <f t="shared" si="40"/>
        <v>43104</v>
      </c>
      <c r="DH6" s="42">
        <f t="shared" si="53"/>
        <v>43104</v>
      </c>
      <c r="DI6" s="43">
        <f>IF(DH6="","",IF(ISERROR(MATCH(DH6,Lune!$A$1:$A$1000,0)),IF(WEEKDAY(DH6)=5,INT((DH6-DATE(YEAR(DH6),1,1))/7+1),IF(AND(WEEKDAY(DH6)=4,NOT( ISERROR(MATCH(DH6+1,Lune!$A$1:$A$1000,0)))),INT((DH6+1-DATE(YEAR(DH6+1),1,1))/7+1),"")),INDEX(Lune!$B$1:$B$1000,MATCH(DH6,Lune!$A$1:$A$1000,0),1)))</f>
        <v>1</v>
      </c>
      <c r="DJ6" s="89" t="str">
        <f t="shared" ca="1" si="23"/>
        <v/>
      </c>
      <c r="DK6" s="252" t="str">
        <f t="shared" ca="1" si="24"/>
        <v/>
      </c>
      <c r="DL6" s="252" t="str">
        <f t="shared" si="25"/>
        <v>Odilon</v>
      </c>
      <c r="DM6" s="252" t="str">
        <f>IF(ISERROR(VLOOKUP(DH6,évènements!$A$3:$D$200,3,0)),"",VLOOKUP(DH6,évènements!$A$3:$D$200,3,0))</f>
        <v/>
      </c>
      <c r="DN6" s="252" t="str">
        <f>IF(ISERROR(VLOOKUP(DH6,évènements!$B$3:$D$200,2,0)),"",VLOOKUP(DH6,évènements!$B$3:$D$200,2,0))</f>
        <v/>
      </c>
      <c r="DO6" s="252" t="str">
        <f>CONCATENATE(DM6,"  ",DN6)</f>
        <v xml:space="preserve">  </v>
      </c>
    </row>
    <row r="7" spans="2:119" ht="15" customHeight="1">
      <c r="B7" s="29"/>
      <c r="C7" s="41">
        <f t="shared" si="27"/>
        <v>42740</v>
      </c>
      <c r="D7" s="40">
        <f t="shared" si="41"/>
        <v>42740</v>
      </c>
      <c r="E7" s="131" t="str">
        <f>IF(D7="","",IF(ISERROR(MATCH(D7,Lune!$A$1:$A$1000,0)),IF(WEEKDAY(D7)=5,INT((D7-DATE(YEAR(D7),1,1))/7+1),IF(AND(WEEKDAY(D7)=4,NOT( ISERROR(MATCH(D7+1,Lune!$A$1:$A$1000,0)))),INT((D7+1-DATE(YEAR(D7+1),1,1))/7+1),"")),INDEX(Lune!$B$1:$B$1000,MATCH(D7,Lune!$A$1:$A$1000,0),1)))</f>
        <v>◐</v>
      </c>
      <c r="F7" s="89" t="str">
        <f t="shared" ca="1" si="0"/>
        <v/>
      </c>
      <c r="G7" s="125" t="str">
        <f ca="1">IF(ISERROR(VLOOKUP(D7,anniversaire!$X$2:$Z$100,2,0)),"",VLOOKUP(D7,anniversaire!$X$2:$Z$100,2,0))</f>
        <v/>
      </c>
      <c r="H7" s="54" t="str">
        <f>IF(ISERROR(VLOOKUP(D7,fête!$B$2:$C$367,2,0)),"",VLOOKUP(D7,fête!$B$2:$C$367,2,0))</f>
        <v>Edouard</v>
      </c>
      <c r="I7" s="239" t="str">
        <f>IF(ISERROR(VLOOKUP(D7,évènements!$A$3:$D$200,3,0)),"",VLOOKUP(D7,évènements!$A$3:$D$200,3,0))</f>
        <v/>
      </c>
      <c r="J7" s="239" t="str">
        <f>IF(ISERROR(VLOOKUP(D7,évènements!$B$3:$D$200,2,0)),"",VLOOKUP(D7,évènements!$B$3:$D$200,2,0))</f>
        <v/>
      </c>
      <c r="K7" s="239" t="str">
        <f t="shared" si="1"/>
        <v xml:space="preserve">  </v>
      </c>
      <c r="L7" s="41">
        <f t="shared" si="28"/>
        <v>42771</v>
      </c>
      <c r="M7" s="42">
        <f t="shared" si="42"/>
        <v>42771</v>
      </c>
      <c r="N7" s="131" t="str">
        <f>IF(M7="","",IF(ISERROR(MATCH(M7,Lune!$A$1:$A$1000,0)),IF(WEEKDAY(M7)=5,INT((M7-DATE(YEAR(M7),1,1))/7+1),IF(AND(WEEKDAY(M7)=4,NOT( ISERROR(MATCH(M7+1,Lune!$A$1:$A$1000,0)))),INT((M7+1-DATE(YEAR(M7+1),1,1))/7+1),"")),INDEX(Lune!$B$1:$B$1000,MATCH(M7,Lune!$A$1:$A$1000,0),1)))</f>
        <v/>
      </c>
      <c r="O7" s="80" t="str">
        <f t="shared" ca="1" si="2"/>
        <v/>
      </c>
      <c r="P7" s="54" t="str">
        <f ca="1">IF(ISERROR(VLOOKUP(M7,anniversaire!$X$2:$Z$100,2,0)),"",VLOOKUP(M7,anniversaire!$X$2:$Z$100,2,0))</f>
        <v/>
      </c>
      <c r="Q7" s="54" t="str">
        <f>IF(ISERROR(VLOOKUP(M7,fête!$B$2:$C$367,2,0)),"",VLOOKUP(M7,fête!$B$2:$C$367,2,0))</f>
        <v>Agathe</v>
      </c>
      <c r="R7" s="54" t="str">
        <f>IF(ISERROR(VLOOKUP(M7,évènements!$A$3:$D$200,3,0)),"",VLOOKUP(M7,évènements!$A$3:$D$200,3,0))</f>
        <v/>
      </c>
      <c r="S7" s="54" t="str">
        <f>IF(ISERROR(VLOOKUP(M7,évènements!$B$3:$D$200,2,0)),"",VLOOKUP(M7,évènements!$B$3:$D$200,2,0))</f>
        <v/>
      </c>
      <c r="T7" s="54" t="str">
        <f t="shared" si="3"/>
        <v xml:space="preserve">  </v>
      </c>
      <c r="U7" s="41">
        <f t="shared" si="29"/>
        <v>42799</v>
      </c>
      <c r="V7" s="42">
        <f t="shared" si="43"/>
        <v>42799</v>
      </c>
      <c r="W7" s="132" t="str">
        <f>IF(V7="","",IF(ISERROR(MATCH(V7,Lune!$A$1:$A$1000,0)),IF(WEEKDAY(V7)=5,INT((V7-DATE(YEAR(V7),1,1))/7+1),IF(AND(WEEKDAY(V7)=4,NOT( ISERROR(MATCH(V7+1,Lune!$A$1:$A$1000,0)))),INT((V7+1-DATE(YEAR(V7+1),1,1))/7+1),"")),INDEX(Lune!$B$1:$B$1000,MATCH(V7,Lune!$A$1:$A$1000,0),1)))</f>
        <v>◐</v>
      </c>
      <c r="X7" s="89" t="str">
        <f t="shared" ca="1" si="4"/>
        <v/>
      </c>
      <c r="Y7" s="125" t="str">
        <f ca="1">IF(ISERROR(VLOOKUP(V7,anniversaire!$X$2:$Z$100,2,0)),"",VLOOKUP(V7,anniversaire!$X$2:$Z$100,2,0))</f>
        <v/>
      </c>
      <c r="Z7" s="54" t="str">
        <f>IF(ISERROR(VLOOKUP(V7,fête!$B$2:$C$367,2,0)),"",VLOOKUP(V7,fête!$B$2:$C$367,2,0))</f>
        <v>Olive</v>
      </c>
      <c r="AA7" s="54" t="str">
        <f>IF(ISERROR(VLOOKUP(V7,évènements!$A$3:$D$200,3,0)),"",VLOOKUP(V7,évènements!$A$3:$D$200,3,0))</f>
        <v/>
      </c>
      <c r="AB7" s="54" t="str">
        <f>IF(ISERROR(VLOOKUP(V7,évènements!$B$3:$D$200,2,0)),"",VLOOKUP(V7,évènements!$B$3:$D$200,2,0))</f>
        <v/>
      </c>
      <c r="AC7" s="54" t="str">
        <f t="shared" si="5"/>
        <v xml:space="preserve">  </v>
      </c>
      <c r="AD7" s="41">
        <f t="shared" si="30"/>
        <v>42830</v>
      </c>
      <c r="AE7" s="42">
        <f t="shared" si="44"/>
        <v>42830</v>
      </c>
      <c r="AF7" s="137" t="str">
        <f>IF(AE7="","",IF(ISERROR(MATCH(AE7,Lune!$A$1:$A$1000,0)),IF(WEEKDAY(AE7)=5,INT((AE7-DATE(YEAR(AE7),1,1))/7+1),IF(AND(WEEKDAY(AE7)=4,NOT( ISERROR(MATCH(AE7+1,Lune!$A$1:$A$1000,0)))),INT((AE7+1-DATE(YEAR(AE7+1),1,1))/7+1),"")),INDEX(Lune!$B$1:$B$1000,MATCH(AE7,Lune!$A$1:$A$1000,0),1)))</f>
        <v/>
      </c>
      <c r="AG7" s="80" t="str">
        <f t="shared" ca="1" si="6"/>
        <v/>
      </c>
      <c r="AH7" s="54" t="str">
        <f ca="1">IF(ISERROR(VLOOKUP(AE7,anniversaire!$X$2:$Z$100,2,0)),"",VLOOKUP(AE7,anniversaire!$X$2:$Z$100,2,0))</f>
        <v/>
      </c>
      <c r="AI7" s="54" t="str">
        <f>IF(ISERROR(VLOOKUP(AE7,fête!$B$2:$C$367,2,0)),"",VLOOKUP(AE7,fête!$B$2:$C$367,2,0))</f>
        <v>Irène</v>
      </c>
      <c r="AJ7" s="54" t="str">
        <f>IF(ISERROR(VLOOKUP(AE7,évènements!$A$3:$D$200,3,0)),"",VLOOKUP(AE7,évènements!$A$3:$D$200,3,0))</f>
        <v/>
      </c>
      <c r="AK7" s="54" t="str">
        <f>IF(ISERROR(VLOOKUP(AE7,évènements!$B$3:$D$200,2,0)),"",VLOOKUP(AE7,évènements!$B$3:$D$200,2,0))</f>
        <v/>
      </c>
      <c r="AL7" s="238" t="str">
        <f t="shared" si="7"/>
        <v xml:space="preserve">  </v>
      </c>
      <c r="AM7" s="41">
        <f t="shared" si="31"/>
        <v>42860</v>
      </c>
      <c r="AN7" s="42">
        <f t="shared" si="45"/>
        <v>42860</v>
      </c>
      <c r="AO7" s="43" t="str">
        <f>IF(AN7="","",IF(ISERROR(MATCH(AN7,Lune!$A$1:$A$1000,0)),IF(WEEKDAY(AN7)=5,INT((AN7-DATE(YEAR(AN7),1,1))/7+1),IF(AND(WEEKDAY(AN7)=4,NOT( ISERROR(MATCH(AN7+1,Lune!$A$1:$A$1000,0)))),INT((AN7+1-DATE(YEAR(AN7+1),1,1))/7+1),"")),INDEX(Lune!$B$1:$B$1000,MATCH(AN7,Lune!$A$1:$A$1000,0),1)))</f>
        <v/>
      </c>
      <c r="AP7" s="79" t="str">
        <f t="shared" ca="1" si="8"/>
        <v/>
      </c>
      <c r="AQ7" s="54" t="str">
        <f ca="1">IF(ISERROR(VLOOKUP(AN7,anniversaire!$X$2:$Z$100,2,0)),"",VLOOKUP(AN7,anniversaire!$X$2:$Z$100,2,0))</f>
        <v/>
      </c>
      <c r="AR7" s="54" t="str">
        <f>IF(ISERROR(VLOOKUP(AN7,fête!$B$2:$C$367,2,0)),"",VLOOKUP(AN7,fête!$B$2:$C$367,2,0))</f>
        <v>Judith</v>
      </c>
      <c r="AS7" s="238" t="str">
        <f>IF(ISERROR(VLOOKUP(AN7,évènements!$A$3:$D$200,3,0)),"",VLOOKUP(AN7,évènements!$A$3:$D$200,3,0))</f>
        <v>rdv essai médical prothése</v>
      </c>
      <c r="AT7" s="238" t="str">
        <f>IF(ISERROR(VLOOKUP(AN7,évènements!$B$3:$D$200,2,0)),"",VLOOKUP(AN7,évènements!$B$3:$D$200,2,0))</f>
        <v/>
      </c>
      <c r="AU7" s="238" t="str">
        <f t="shared" si="9"/>
        <v xml:space="preserve">rdv essai médical prothése  </v>
      </c>
      <c r="AV7" s="41">
        <f t="shared" si="32"/>
        <v>42891</v>
      </c>
      <c r="AW7" s="42">
        <f t="shared" si="46"/>
        <v>42891</v>
      </c>
      <c r="AX7" s="43" t="str">
        <f>IF(AW7="","",IF(ISERROR(MATCH(AW7,Lune!$A$1:$A$1000,0)),IF(WEEKDAY(AW7)=5,INT((AW7-DATE(YEAR(AW7),1,1))/7+1),IF(AND(WEEKDAY(AW7)=4,NOT( ISERROR(MATCH(AW7+1,Lune!$A$1:$A$1000,0)))),INT((AW7+1-DATE(YEAR(AW7+1),1,1))/7+1),"")),INDEX(Lune!$B$1:$B$1000,MATCH(AW7,Lune!$A$1:$A$1000,0),1)))</f>
        <v/>
      </c>
      <c r="AY7" s="79" t="str">
        <f t="shared" ca="1" si="10"/>
        <v/>
      </c>
      <c r="AZ7" s="54" t="str">
        <f ca="1">IF(ISERROR(VLOOKUP(AW7,anniversaire!$X$2:$Z$100,2,0)),"",VLOOKUP(AW7,anniversaire!$X$2:$Z$100,2,0))</f>
        <v/>
      </c>
      <c r="BA7" s="54" t="str">
        <f>IF(ISERROR(VLOOKUP(AW7,fête!$B$2:$C$367,2,0)),"",VLOOKUP(AW7,fête!$B$2:$C$367,2,0))</f>
        <v>Igor</v>
      </c>
      <c r="BB7" s="54" t="str">
        <f>IF(ISERROR(VLOOKUP(AW7,évènements!$A$3:$D$200,3,0)),"",VLOOKUP(AW7,évènements!$A$3:$D$200,3,0))</f>
        <v/>
      </c>
      <c r="BC7" s="54" t="str">
        <f>IF(ISERROR(VLOOKUP(AW7,évènements!$B$3:$D$200,2,0)),"",VLOOKUP(AW7,évènements!$B$3:$D$200,2,0))</f>
        <v/>
      </c>
      <c r="BD7" s="54" t="str">
        <f t="shared" si="11"/>
        <v xml:space="preserve">  </v>
      </c>
      <c r="BE7" s="41">
        <f t="shared" si="33"/>
        <v>42921</v>
      </c>
      <c r="BF7" s="42">
        <f t="shared" si="47"/>
        <v>42921</v>
      </c>
      <c r="BG7" s="43" t="str">
        <f>IF(BF7="","",IF(ISERROR(MATCH(BF7,Lune!$A$1:$A$1000,0)),IF(WEEKDAY(BF7)=5,INT((BF7-DATE(YEAR(BF7),1,1))/7+1),IF(AND(WEEKDAY(BF7)=4,NOT( ISERROR(MATCH(BF7+1,Lune!$A$1:$A$1000,0)))),INT((BF7+1-DATE(YEAR(BF7+1),1,1))/7+1),"")),INDEX(Lune!$B$1:$B$1000,MATCH(BF7,Lune!$A$1:$A$1000,0),1)))</f>
        <v/>
      </c>
      <c r="BH7" s="80" t="str">
        <f t="shared" ca="1" si="12"/>
        <v/>
      </c>
      <c r="BI7" s="54" t="str">
        <f ca="1">IF(ISERROR(VLOOKUP(BF7,anniversaire!$X$2:$Z$100,2,0)),"",VLOOKUP(BF7,anniversaire!$X$2:$Z$100,2,0))</f>
        <v/>
      </c>
      <c r="BJ7" s="54" t="str">
        <f>IF(ISERROR(VLOOKUP(BF7,fête!$B$2:$C$367,2,0)),"",VLOOKUP(BF7,fête!$B$2:$C$367,2,0))</f>
        <v>Antoine</v>
      </c>
      <c r="BK7" s="54" t="str">
        <f>IF(ISERROR(VLOOKUP(BF7,évènements!$A$3:$D$200,3,0)),"",VLOOKUP(BF7,évènements!$A$3:$D$200,3,0))</f>
        <v/>
      </c>
      <c r="BL7" s="54" t="str">
        <f>IF(ISERROR(VLOOKUP(BF7,évènements!$B$3:$D$200,2,0)),"",VLOOKUP(BF7,évènements!$B$3:$D$200,2,0))</f>
        <v/>
      </c>
      <c r="BM7" s="54" t="str">
        <f t="shared" si="34"/>
        <v xml:space="preserve">  </v>
      </c>
      <c r="BN7" s="41">
        <f t="shared" si="35"/>
        <v>42952</v>
      </c>
      <c r="BO7" s="42">
        <f t="shared" si="48"/>
        <v>42952</v>
      </c>
      <c r="BP7" s="43" t="str">
        <f>IF(BO7="","",IF(ISERROR(MATCH(BO7,Lune!$A$1:$A$1000,0)),IF(WEEKDAY(BO7)=5,INT((BO7-DATE(YEAR(BO7),1,1))/7+1),IF(AND(WEEKDAY(BO7)=4,NOT( ISERROR(MATCH(BO7+1,Lune!$A$1:$A$1000,0)))),INT((BO7+1-DATE(YEAR(BO7+1),1,1))/7+1),"")),INDEX(Lune!$B$1:$B$1000,MATCH(BO7,Lune!$A$1:$A$1000,0),1)))</f>
        <v/>
      </c>
      <c r="BQ7" s="80" t="str">
        <f t="shared" ca="1" si="13"/>
        <v/>
      </c>
      <c r="BR7" s="54" t="str">
        <f ca="1">IF(ISERROR(VLOOKUP(BO7,anniversaire!$X$2:$Z$100,2,0)),"",VLOOKUP(BO7,anniversaire!$X$2:$Z$100,2,0))</f>
        <v/>
      </c>
      <c r="BS7" s="54" t="str">
        <f>IF(ISERROR(VLOOKUP(BO7,fête!$B$2:$C$367,2,0)),"",VLOOKUP(BO7,fête!$B$2:$C$367,2,0))</f>
        <v>Abel</v>
      </c>
      <c r="BT7" s="54" t="str">
        <f>IF(ISERROR(VLOOKUP(BO7,évènements!$A$3:$D$200,3,0)),"",VLOOKUP(BO7,évènements!$A$3:$D$200,3,0))</f>
        <v/>
      </c>
      <c r="BU7" s="54" t="str">
        <f>IF(ISERROR(VLOOKUP(BO7,évènements!$B$3:$D$200,2,0)),"",VLOOKUP(BO7,évènements!$B$3:$D$200,2,0))</f>
        <v/>
      </c>
      <c r="BV7" s="54" t="str">
        <f t="shared" si="14"/>
        <v xml:space="preserve">  </v>
      </c>
      <c r="BW7" s="41">
        <f t="shared" si="36"/>
        <v>42983</v>
      </c>
      <c r="BX7" s="42">
        <f t="shared" si="49"/>
        <v>42983</v>
      </c>
      <c r="BY7" s="43" t="str">
        <f>IF(BX7="","",IF(ISERROR(MATCH(BX7,Lune!$A$1:$A$1000,0)),IF(WEEKDAY(BX7)=5,INT((BX7-DATE(YEAR(BX7),1,1))/7+1),IF(AND(WEEKDAY(BX7)=4,NOT( ISERROR(MATCH(BX7+1,Lune!$A$1:$A$1000,0)))),INT((BX7+1-DATE(YEAR(BX7+1),1,1))/7+1),"")),INDEX(Lune!$B$1:$B$1000,MATCH(BX7,Lune!$A$1:$A$1000,0),1)))</f>
        <v/>
      </c>
      <c r="BZ7" s="80" t="str">
        <f t="shared" ca="1" si="15"/>
        <v/>
      </c>
      <c r="CA7" s="54" t="str">
        <f ca="1">IF(ISERROR(VLOOKUP(BX7,anniversaire!$X$2:$Z$100,2,0)),"",VLOOKUP(BX7,anniversaire!$X$2:$Z$100,2,0))</f>
        <v/>
      </c>
      <c r="CB7" s="54" t="str">
        <f>IF(ISERROR(VLOOKUP(BX7,fête!$B$2:$C$367,2,0)),"",VLOOKUP(BX7,fête!$B$2:$C$367,2,0))</f>
        <v>Raïssa</v>
      </c>
      <c r="CC7" s="54" t="str">
        <f>IF(ISERROR(VLOOKUP(BX7,évènements!$A$3:$D$200,3,0)),"",VLOOKUP(BX7,évènements!$A$3:$D$200,3,0))</f>
        <v/>
      </c>
      <c r="CD7" s="54" t="str">
        <f>IF(ISERROR(VLOOKUP(BX7,évènements!$B$3:$D$200,2,0)),"",VLOOKUP(BX7,évènements!$B$3:$D$200,2,0))</f>
        <v/>
      </c>
      <c r="CE7" s="54" t="str">
        <f>CONCATENATE(CC7,"  ",CD7)</f>
        <v xml:space="preserve">  </v>
      </c>
      <c r="CF7" s="41">
        <f t="shared" si="37"/>
        <v>43013</v>
      </c>
      <c r="CG7" s="42">
        <f t="shared" si="50"/>
        <v>43013</v>
      </c>
      <c r="CH7" s="43" t="str">
        <f>IF(CG7="","",IF(ISERROR(MATCH(CG7,Lune!$A$1:$A$1000,0)),IF(WEEKDAY(CG7)=5,INT((CG7-DATE(YEAR(CG7),1,1))/7+1),IF(AND(WEEKDAY(CG7)=4,NOT( ISERROR(MATCH(CG7+1,Lune!$A$1:$A$1000,0)))),INT((CG7+1-DATE(YEAR(CG7+1),1,1))/7+1),"")),INDEX(Lune!$B$1:$B$1000,MATCH(CG7,Lune!$A$1:$A$1000,0),1)))</f>
        <v>○</v>
      </c>
      <c r="CI7" s="80" t="str">
        <f t="shared" ca="1" si="17"/>
        <v xml:space="preserve"> '</v>
      </c>
      <c r="CJ7" s="54" t="str">
        <f ca="1">IF(ISERROR(VLOOKUP(CG7,anniversaire!$X$2:$Z$100,2,0)),"",VLOOKUP(CG7,anniversaire!$X$2:$Z$100,2,0))</f>
        <v>Virely  Maël    3</v>
      </c>
      <c r="CK7" s="54" t="str">
        <f>IF(ISERROR(VLOOKUP(CG7,fête!$B$2:$C$367,2,0)),"",VLOOKUP(CG7,fête!$B$2:$C$367,2,0))</f>
        <v>Fleur</v>
      </c>
      <c r="CL7" s="54" t="str">
        <f>IF(ISERROR(VLOOKUP(CG7,évènements!$A$3:$D$200,3,0)),"",VLOOKUP(CG7,évènements!$A$3:$D$200,3,0))</f>
        <v/>
      </c>
      <c r="CM7" s="54" t="str">
        <f>IF(ISERROR(VLOOKUP(CG7,évènements!$B$3:$D$200,2,0)),"",VLOOKUP(CG7,évènements!$B$3:$D$200,2,0))</f>
        <v/>
      </c>
      <c r="CN7" s="54" t="str">
        <f>CONCATENATE(CL7,"  ",CM7)</f>
        <v xml:space="preserve">  </v>
      </c>
      <c r="CO7" s="41">
        <f t="shared" si="38"/>
        <v>43044</v>
      </c>
      <c r="CP7" s="42">
        <f t="shared" si="51"/>
        <v>43044</v>
      </c>
      <c r="CQ7" s="43" t="str">
        <f>IF(CP7="","",IF(ISERROR(MATCH(CP7,Lune!$A$1:$A$1000,0)),IF(WEEKDAY(CP7)=5,INT((CP7-DATE(YEAR(CP7),1,1))/7+1),IF(AND(WEEKDAY(CP7)=4,NOT( ISERROR(MATCH(CP7+1,Lune!$A$1:$A$1000,0)))),INT((CP7+1-DATE(YEAR(CP7+1),1,1))/7+1),"")),INDEX(Lune!$B$1:$B$1000,MATCH(CP7,Lune!$A$1:$A$1000,0),1)))</f>
        <v/>
      </c>
      <c r="CR7" s="80" t="str">
        <f t="shared" ca="1" si="19"/>
        <v/>
      </c>
      <c r="CS7" s="54" t="str">
        <f ca="1">IF(ISERROR(VLOOKUP(CP7,anniversaire!$X$2:$Z$100,2,0)),"",VLOOKUP(CP7,anniversaire!$X$2:$Z$100,2,0))</f>
        <v/>
      </c>
      <c r="CT7" s="54" t="str">
        <f>IF(ISERROR(VLOOKUP(CP7,fête!$B$2:$C$367,2,0)),"",VLOOKUP(CP7,fête!$B$2:$C$367,2,0))</f>
        <v>Sylvie</v>
      </c>
      <c r="CU7" s="54" t="str">
        <f>IF(ISERROR(VLOOKUP(CP7,évènements!$A$3:$D$200,3,0)),"",VLOOKUP(CP7,évènements!$A$3:$D$200,3,0))</f>
        <v/>
      </c>
      <c r="CV7" s="54" t="str">
        <f>IF(ISERROR(VLOOKUP(CP7,évènements!$B$3:$D$200,2,0)),"",VLOOKUP(CP7,évènements!$B$3:$D$200,2,0))</f>
        <v/>
      </c>
      <c r="CW7" s="54" t="str">
        <f t="shared" si="20"/>
        <v xml:space="preserve">  </v>
      </c>
      <c r="CX7" s="41">
        <f t="shared" si="39"/>
        <v>43074</v>
      </c>
      <c r="CY7" s="42">
        <f t="shared" si="52"/>
        <v>43074</v>
      </c>
      <c r="CZ7" s="43" t="str">
        <f>IF(CY7="","",IF(ISERROR(MATCH(CY7,Lune!$A$1:$A$1000,0)),IF(WEEKDAY(CY7)=5,INT((CY7-DATE(YEAR(CY7),1,1))/7+1),IF(AND(WEEKDAY(CY7)=4,NOT( ISERROR(MATCH(CY7+1,Lune!$A$1:$A$1000,0)))),INT((CY7+1-DATE(YEAR(CY7+1),1,1))/7+1),"")),INDEX(Lune!$B$1:$B$1000,MATCH(CY7,Lune!$A$1:$A$1000,0),1)))</f>
        <v/>
      </c>
      <c r="DA7" s="80" t="str">
        <f t="shared" ca="1" si="21"/>
        <v/>
      </c>
      <c r="DB7" s="54" t="str">
        <f ca="1">IF(ISERROR(VLOOKUP(CY7,anniversaire!$X$2:$Z$100,2,0)),"",VLOOKUP(CY7,anniversaire!$X$2:$Z$100,2,0))</f>
        <v/>
      </c>
      <c r="DC7" s="54" t="str">
        <f>IF(ISERROR(VLOOKUP(CY7,fête!$B$2:$C$367,2,0)),"",VLOOKUP(CY7,fête!$B$2:$C$367,2,0))</f>
        <v>Gérald</v>
      </c>
      <c r="DD7" s="54" t="str">
        <f>IF(ISERROR(VLOOKUP(CY7,évènements!$A$3:$D$200,3,0)),"",VLOOKUP(CY7,évènements!$A$3:$D$200,3,0))</f>
        <v/>
      </c>
      <c r="DE7" s="54" t="str">
        <f>IF(ISERROR(VLOOKUP(CY7,évènements!$B$3:$D$200,2,0)),"",VLOOKUP(CY7,évènements!$B$3:$D$200,2,0))</f>
        <v/>
      </c>
      <c r="DF7" s="54" t="str">
        <f t="shared" si="22"/>
        <v xml:space="preserve">  </v>
      </c>
      <c r="DG7" s="41">
        <f t="shared" si="40"/>
        <v>43105</v>
      </c>
      <c r="DH7" s="42">
        <f t="shared" si="53"/>
        <v>43105</v>
      </c>
      <c r="DI7" s="43" t="str">
        <f>IF(DH7="","",IF(ISERROR(MATCH(DH7,Lune!$A$1:$A$1000,0)),IF(WEEKDAY(DH7)=5,INT((DH7-DATE(YEAR(DH7),1,1))/7+1),IF(AND(WEEKDAY(DH7)=4,NOT( ISERROR(MATCH(DH7+1,Lune!$A$1:$A$1000,0)))),INT((DH7+1-DATE(YEAR(DH7+1),1,1))/7+1),"")),INDEX(Lune!$B$1:$B$1000,MATCH(DH7,Lune!$A$1:$A$1000,0),1)))</f>
        <v/>
      </c>
      <c r="DJ7" s="89" t="str">
        <f t="shared" ca="1" si="23"/>
        <v/>
      </c>
      <c r="DK7" s="252" t="str">
        <f t="shared" ca="1" si="24"/>
        <v/>
      </c>
      <c r="DL7" s="252" t="str">
        <f t="shared" si="25"/>
        <v>Edouard</v>
      </c>
      <c r="DM7" s="252" t="str">
        <f>IF(ISERROR(VLOOKUP(DH7,évènements!$A$3:$D$200,3,0)),"",VLOOKUP(DH7,évènements!$A$3:$D$200,3,0))</f>
        <v/>
      </c>
      <c r="DN7" s="252" t="str">
        <f>IF(ISERROR(VLOOKUP(DH7,évènements!$B$3:$D$200,2,0)),"",VLOOKUP(DH7,évènements!$B$3:$D$200,2,0))</f>
        <v/>
      </c>
      <c r="DO7" s="252" t="str">
        <f t="shared" si="26"/>
        <v xml:space="preserve">  </v>
      </c>
    </row>
    <row r="8" spans="2:119" ht="15" customHeight="1">
      <c r="B8" s="29"/>
      <c r="C8" s="41">
        <f t="shared" si="27"/>
        <v>42741</v>
      </c>
      <c r="D8" s="40">
        <f t="shared" si="41"/>
        <v>42741</v>
      </c>
      <c r="E8" s="131" t="str">
        <f>IF(D8="","",IF(ISERROR(MATCH(D8,Lune!$A$1:$A$1000,0)),IF(WEEKDAY(D8)=5,INT((D8-DATE(YEAR(D8),1,1))/7+1),IF(AND(WEEKDAY(D8)=4,NOT( ISERROR(MATCH(D8+1,Lune!$A$1:$A$1000,0)))),INT((D8+1-DATE(YEAR(D8+1),1,1))/7+1),"")),INDEX(Lune!$B$1:$B$1000,MATCH(D8,Lune!$A$1:$A$1000,0),1)))</f>
        <v/>
      </c>
      <c r="F8" s="89" t="str">
        <f t="shared" ca="1" si="0"/>
        <v/>
      </c>
      <c r="G8" s="125" t="str">
        <f ca="1">IF(ISERROR(VLOOKUP(D8,anniversaire!$X$2:$Z$100,2,0)),"",VLOOKUP(D8,anniversaire!$X$2:$Z$100,2,0))</f>
        <v/>
      </c>
      <c r="H8" s="54" t="str">
        <f>IF(ISERROR(VLOOKUP(D8,fête!$B$2:$C$367,2,0)),"",VLOOKUP(D8,fête!$B$2:$C$367,2,0))</f>
        <v>Mélaine</v>
      </c>
      <c r="I8" s="239" t="str">
        <f>IF(ISERROR(VLOOKUP(D8,évènements!$A$3:$D$200,3,0)),"",VLOOKUP(D8,évènements!$A$3:$D$200,3,0))</f>
        <v/>
      </c>
      <c r="J8" s="239" t="str">
        <f>IF(ISERROR(VLOOKUP(D8,évènements!$B$3:$D$200,2,0)),"",VLOOKUP(D8,évènements!$B$3:$D$200,2,0))</f>
        <v/>
      </c>
      <c r="K8" s="239" t="str">
        <f t="shared" si="1"/>
        <v xml:space="preserve">  </v>
      </c>
      <c r="L8" s="41">
        <f t="shared" si="28"/>
        <v>42772</v>
      </c>
      <c r="M8" s="42">
        <f t="shared" si="42"/>
        <v>42772</v>
      </c>
      <c r="N8" s="131" t="str">
        <f>IF(M8="","",IF(ISERROR(MATCH(M8,Lune!$A$1:$A$1000,0)),IF(WEEKDAY(M8)=5,INT((M8-DATE(YEAR(M8),1,1))/7+1),IF(AND(WEEKDAY(M8)=4,NOT( ISERROR(MATCH(M8+1,Lune!$A$1:$A$1000,0)))),INT((M8+1-DATE(YEAR(M8+1),1,1))/7+1),"")),INDEX(Lune!$B$1:$B$1000,MATCH(M8,Lune!$A$1:$A$1000,0),1)))</f>
        <v/>
      </c>
      <c r="O8" s="80" t="str">
        <f t="shared" ca="1" si="2"/>
        <v/>
      </c>
      <c r="P8" s="54" t="str">
        <f ca="1">IF(ISERROR(VLOOKUP(M8,anniversaire!$X$2:$Z$100,2,0)),"",VLOOKUP(M8,anniversaire!$X$2:$Z$100,2,0))</f>
        <v/>
      </c>
      <c r="Q8" s="54" t="str">
        <f>IF(ISERROR(VLOOKUP(M8,fête!$B$2:$C$367,2,0)),"",VLOOKUP(M8,fête!$B$2:$C$367,2,0))</f>
        <v>Gaston</v>
      </c>
      <c r="R8" s="54" t="str">
        <f>IF(ISERROR(VLOOKUP(M8,évènements!$A$3:$D$200,3,0)),"",VLOOKUP(M8,évènements!$A$3:$D$200,3,0))</f>
        <v/>
      </c>
      <c r="S8" s="54" t="str">
        <f>IF(ISERROR(VLOOKUP(M8,évènements!$B$3:$D$200,2,0)),"",VLOOKUP(M8,évènements!$B$3:$D$200,2,0))</f>
        <v/>
      </c>
      <c r="T8" s="54" t="str">
        <f t="shared" si="3"/>
        <v xml:space="preserve">  </v>
      </c>
      <c r="U8" s="41">
        <f t="shared" si="29"/>
        <v>42800</v>
      </c>
      <c r="V8" s="42">
        <f t="shared" si="43"/>
        <v>42800</v>
      </c>
      <c r="W8" s="132" t="str">
        <f>IF(V8="","",IF(ISERROR(MATCH(V8,Lune!$A$1:$A$1000,0)),IF(WEEKDAY(V8)=5,INT((V8-DATE(YEAR(V8),1,1))/7+1),IF(AND(WEEKDAY(V8)=4,NOT( ISERROR(MATCH(V8+1,Lune!$A$1:$A$1000,0)))),INT((V8+1-DATE(YEAR(V8+1),1,1))/7+1),"")),INDEX(Lune!$B$1:$B$1000,MATCH(V8,Lune!$A$1:$A$1000,0),1)))</f>
        <v/>
      </c>
      <c r="X8" s="89" t="str">
        <f t="shared" ca="1" si="4"/>
        <v/>
      </c>
      <c r="Y8" s="125" t="str">
        <f ca="1">IF(ISERROR(VLOOKUP(V8,anniversaire!$X$2:$Z$100,2,0)),"",VLOOKUP(V8,anniversaire!$X$2:$Z$100,2,0))</f>
        <v/>
      </c>
      <c r="Z8" s="54" t="str">
        <f>IF(ISERROR(VLOOKUP(V8,fête!$B$2:$C$367,2,0)),"",VLOOKUP(V8,fête!$B$2:$C$367,2,0))</f>
        <v>Colette</v>
      </c>
      <c r="AA8" s="54" t="str">
        <f>IF(ISERROR(VLOOKUP(V8,évènements!$A$3:$D$200,3,0)),"",VLOOKUP(V8,évènements!$A$3:$D$200,3,0))</f>
        <v/>
      </c>
      <c r="AB8" s="54" t="str">
        <f>IF(ISERROR(VLOOKUP(V8,évènements!$B$3:$D$200,2,0)),"",VLOOKUP(V8,évènements!$B$3:$D$200,2,0))</f>
        <v/>
      </c>
      <c r="AC8" s="54" t="str">
        <f t="shared" si="5"/>
        <v xml:space="preserve">  </v>
      </c>
      <c r="AD8" s="41">
        <f t="shared" si="30"/>
        <v>42831</v>
      </c>
      <c r="AE8" s="42">
        <f t="shared" si="44"/>
        <v>42831</v>
      </c>
      <c r="AF8" s="137">
        <f>IF(AE8="","",IF(ISERROR(MATCH(AE8,Lune!$A$1:$A$1000,0)),IF(WEEKDAY(AE8)=5,INT((AE8-DATE(YEAR(AE8),1,1))/7+1),IF(AND(WEEKDAY(AE8)=4,NOT( ISERROR(MATCH(AE8+1,Lune!$A$1:$A$1000,0)))),INT((AE8+1-DATE(YEAR(AE8+1),1,1))/7+1),"")),INDEX(Lune!$B$1:$B$1000,MATCH(AE8,Lune!$A$1:$A$1000,0),1)))</f>
        <v>14</v>
      </c>
      <c r="AG8" s="80" t="str">
        <f t="shared" ca="1" si="6"/>
        <v/>
      </c>
      <c r="AH8" s="54" t="str">
        <f ca="1">IF(ISERROR(VLOOKUP(AE8,anniversaire!$X$2:$Z$100,2,0)),"",VLOOKUP(AE8,anniversaire!$X$2:$Z$100,2,0))</f>
        <v/>
      </c>
      <c r="AI8" s="54" t="str">
        <f>IF(ISERROR(VLOOKUP(AE8,fête!$B$2:$C$367,2,0)),"",VLOOKUP(AE8,fête!$B$2:$C$367,2,0))</f>
        <v>Marcellin</v>
      </c>
      <c r="AJ8" s="54" t="str">
        <f>IF(ISERROR(VLOOKUP(AE8,évènements!$A$3:$D$200,3,0)),"",VLOOKUP(AE8,évènements!$A$3:$D$200,3,0))</f>
        <v/>
      </c>
      <c r="AK8" s="54" t="str">
        <f>IF(ISERROR(VLOOKUP(AE8,évènements!$B$3:$D$200,2,0)),"",VLOOKUP(AE8,évènements!$B$3:$D$200,2,0))</f>
        <v/>
      </c>
      <c r="AL8" s="238" t="str">
        <f t="shared" si="7"/>
        <v xml:space="preserve">  </v>
      </c>
      <c r="AM8" s="41">
        <f t="shared" si="31"/>
        <v>42861</v>
      </c>
      <c r="AN8" s="42">
        <f t="shared" si="45"/>
        <v>42861</v>
      </c>
      <c r="AO8" s="43" t="str">
        <f>IF(AN8="","",IF(ISERROR(MATCH(AN8,Lune!$A$1:$A$1000,0)),IF(WEEKDAY(AN8)=5,INT((AN8-DATE(YEAR(AN8),1,1))/7+1),IF(AND(WEEKDAY(AN8)=4,NOT( ISERROR(MATCH(AN8+1,Lune!$A$1:$A$1000,0)))),INT((AN8+1-DATE(YEAR(AN8+1),1,1))/7+1),"")),INDEX(Lune!$B$1:$B$1000,MATCH(AN8,Lune!$A$1:$A$1000,0),1)))</f>
        <v/>
      </c>
      <c r="AP8" s="79" t="str">
        <f t="shared" ca="1" si="8"/>
        <v/>
      </c>
      <c r="AQ8" s="54" t="str">
        <f ca="1">IF(ISERROR(VLOOKUP(AN8,anniversaire!$X$2:$Z$100,2,0)),"",VLOOKUP(AN8,anniversaire!$X$2:$Z$100,2,0))</f>
        <v/>
      </c>
      <c r="AR8" s="54" t="str">
        <f>IF(ISERROR(VLOOKUP(AN8,fête!$B$2:$C$367,2,0)),"",VLOOKUP(AN8,fête!$B$2:$C$367,2,0))</f>
        <v>Prudence</v>
      </c>
      <c r="AS8" s="238" t="str">
        <f>IF(ISERROR(VLOOKUP(AN8,évènements!$A$3:$D$200,3,0)),"",VLOOKUP(AN8,évènements!$A$3:$D$200,3,0))</f>
        <v/>
      </c>
      <c r="AT8" s="238" t="str">
        <f>IF(ISERROR(VLOOKUP(AN8,évènements!$B$3:$D$200,2,0)),"",VLOOKUP(AN8,évènements!$B$3:$D$200,2,0))</f>
        <v/>
      </c>
      <c r="AU8" s="238" t="str">
        <f t="shared" si="9"/>
        <v xml:space="preserve">  </v>
      </c>
      <c r="AV8" s="41">
        <f t="shared" si="32"/>
        <v>42892</v>
      </c>
      <c r="AW8" s="42">
        <f t="shared" si="46"/>
        <v>42892</v>
      </c>
      <c r="AX8" s="43" t="str">
        <f>IF(AW8="","",IF(ISERROR(MATCH(AW8,Lune!$A$1:$A$1000,0)),IF(WEEKDAY(AW8)=5,INT((AW8-DATE(YEAR(AW8),1,1))/7+1),IF(AND(WEEKDAY(AW8)=4,NOT( ISERROR(MATCH(AW8+1,Lune!$A$1:$A$1000,0)))),INT((AW8+1-DATE(YEAR(AW8+1),1,1))/7+1),"")),INDEX(Lune!$B$1:$B$1000,MATCH(AW8,Lune!$A$1:$A$1000,0),1)))</f>
        <v/>
      </c>
      <c r="AY8" s="79" t="str">
        <f t="shared" ca="1" si="10"/>
        <v/>
      </c>
      <c r="AZ8" s="54" t="str">
        <f ca="1">IF(ISERROR(VLOOKUP(AW8,anniversaire!$X$2:$Z$100,2,0)),"",VLOOKUP(AW8,anniversaire!$X$2:$Z$100,2,0))</f>
        <v/>
      </c>
      <c r="BA8" s="54" t="str">
        <f>IF(ISERROR(VLOOKUP(AW8,fête!$B$2:$C$367,2,0)),"",VLOOKUP(AW8,fête!$B$2:$C$367,2,0))</f>
        <v>Norbert</v>
      </c>
      <c r="BB8" s="54" t="str">
        <f>IF(ISERROR(VLOOKUP(AW8,évènements!$A$3:$D$200,3,0)),"",VLOOKUP(AW8,évènements!$A$3:$D$200,3,0))</f>
        <v/>
      </c>
      <c r="BC8" s="54" t="str">
        <f>IF(ISERROR(VLOOKUP(AW8,évènements!$B$3:$D$200,2,0)),"",VLOOKUP(AW8,évènements!$B$3:$D$200,2,0))</f>
        <v/>
      </c>
      <c r="BD8" s="54" t="str">
        <f t="shared" si="11"/>
        <v xml:space="preserve">  </v>
      </c>
      <c r="BE8" s="41">
        <f t="shared" si="33"/>
        <v>42922</v>
      </c>
      <c r="BF8" s="42">
        <f t="shared" si="47"/>
        <v>42922</v>
      </c>
      <c r="BG8" s="43">
        <f>IF(BF8="","",IF(ISERROR(MATCH(BF8,Lune!$A$1:$A$1000,0)),IF(WEEKDAY(BF8)=5,INT((BF8-DATE(YEAR(BF8),1,1))/7+1),IF(AND(WEEKDAY(BF8)=4,NOT( ISERROR(MATCH(BF8+1,Lune!$A$1:$A$1000,0)))),INT((BF8+1-DATE(YEAR(BF8+1),1,1))/7+1),"")),INDEX(Lune!$B$1:$B$1000,MATCH(BF8,Lune!$A$1:$A$1000,0),1)))</f>
        <v>27</v>
      </c>
      <c r="BH8" s="80" t="str">
        <f t="shared" ca="1" si="12"/>
        <v/>
      </c>
      <c r="BI8" s="54" t="str">
        <f ca="1">IF(ISERROR(VLOOKUP(BF8,anniversaire!$X$2:$Z$100,2,0)),"",VLOOKUP(BF8,anniversaire!$X$2:$Z$100,2,0))</f>
        <v/>
      </c>
      <c r="BJ8" s="54" t="str">
        <f>IF(ISERROR(VLOOKUP(BF8,fête!$B$2:$C$367,2,0)),"",VLOOKUP(BF8,fête!$B$2:$C$367,2,0))</f>
        <v>Mariette</v>
      </c>
      <c r="BK8" s="54" t="str">
        <f>IF(ISERROR(VLOOKUP(BF8,évènements!$A$3:$D$200,3,0)),"",VLOOKUP(BF8,évènements!$A$3:$D$200,3,0))</f>
        <v/>
      </c>
      <c r="BL8" s="54" t="str">
        <f>IF(ISERROR(VLOOKUP(BF8,évènements!$B$3:$D$200,2,0)),"",VLOOKUP(BF8,évènements!$B$3:$D$200,2,0))</f>
        <v/>
      </c>
      <c r="BM8" s="54" t="str">
        <f t="shared" si="34"/>
        <v xml:space="preserve">  </v>
      </c>
      <c r="BN8" s="41">
        <f t="shared" si="35"/>
        <v>42953</v>
      </c>
      <c r="BO8" s="42">
        <f t="shared" si="48"/>
        <v>42953</v>
      </c>
      <c r="BP8" s="43" t="str">
        <f>IF(BO8="","",IF(ISERROR(MATCH(BO8,Lune!$A$1:$A$1000,0)),IF(WEEKDAY(BO8)=5,INT((BO8-DATE(YEAR(BO8),1,1))/7+1),IF(AND(WEEKDAY(BO8)=4,NOT( ISERROR(MATCH(BO8+1,Lune!$A$1:$A$1000,0)))),INT((BO8+1-DATE(YEAR(BO8+1),1,1))/7+1),"")),INDEX(Lune!$B$1:$B$1000,MATCH(BO8,Lune!$A$1:$A$1000,0),1)))</f>
        <v/>
      </c>
      <c r="BQ8" s="80" t="str">
        <f t="shared" ca="1" si="13"/>
        <v/>
      </c>
      <c r="BR8" s="54" t="str">
        <f ca="1">IF(ISERROR(VLOOKUP(BO8,anniversaire!$X$2:$Z$100,2,0)),"",VLOOKUP(BO8,anniversaire!$X$2:$Z$100,2,0))</f>
        <v/>
      </c>
      <c r="BS8" s="54" t="str">
        <f>IF(ISERROR(VLOOKUP(BO8,fête!$B$2:$C$367,2,0)),"",VLOOKUP(BO8,fête!$B$2:$C$367,2,0))</f>
        <v>Transfiguration</v>
      </c>
      <c r="BT8" s="54" t="str">
        <f>IF(ISERROR(VLOOKUP(BO8,évènements!$A$3:$D$200,3,0)),"",VLOOKUP(BO8,évènements!$A$3:$D$200,3,0))</f>
        <v/>
      </c>
      <c r="BU8" s="54" t="str">
        <f>IF(ISERROR(VLOOKUP(BO8,évènements!$B$3:$D$200,2,0)),"",VLOOKUP(BO8,évènements!$B$3:$D$200,2,0))</f>
        <v/>
      </c>
      <c r="BV8" s="54" t="str">
        <f t="shared" si="14"/>
        <v xml:space="preserve">  </v>
      </c>
      <c r="BW8" s="41">
        <f t="shared" si="36"/>
        <v>42984</v>
      </c>
      <c r="BX8" s="42">
        <f t="shared" si="49"/>
        <v>42984</v>
      </c>
      <c r="BY8" s="43" t="str">
        <f>IF(BX8="","",IF(ISERROR(MATCH(BX8,Lune!$A$1:$A$1000,0)),IF(WEEKDAY(BX8)=5,INT((BX8-DATE(YEAR(BX8),1,1))/7+1),IF(AND(WEEKDAY(BX8)=4,NOT( ISERROR(MATCH(BX8+1,Lune!$A$1:$A$1000,0)))),INT((BX8+1-DATE(YEAR(BX8+1),1,1))/7+1),"")),INDEX(Lune!$B$1:$B$1000,MATCH(BX8,Lune!$A$1:$A$1000,0),1)))</f>
        <v>○</v>
      </c>
      <c r="BZ8" s="80" t="str">
        <f t="shared" ca="1" si="15"/>
        <v/>
      </c>
      <c r="CA8" s="54" t="str">
        <f ca="1">IF(ISERROR(VLOOKUP(BX8,anniversaire!$X$2:$Z$100,2,0)),"",VLOOKUP(BX8,anniversaire!$X$2:$Z$100,2,0))</f>
        <v/>
      </c>
      <c r="CB8" s="54" t="str">
        <f>IF(ISERROR(VLOOKUP(BX8,fête!$B$2:$C$367,2,0)),"",VLOOKUP(BX8,fête!$B$2:$C$367,2,0))</f>
        <v>Bertrand</v>
      </c>
      <c r="CC8" s="54" t="str">
        <f>IF(ISERROR(VLOOKUP(BX8,évènements!$A$3:$D$200,3,0)),"",VLOOKUP(BX8,évènements!$A$3:$D$200,3,0))</f>
        <v/>
      </c>
      <c r="CD8" s="54" t="str">
        <f>IF(ISERROR(VLOOKUP(BX8,évènements!$B$3:$D$200,2,0)),"",VLOOKUP(BX8,évènements!$B$3:$D$200,2,0))</f>
        <v/>
      </c>
      <c r="CE8" s="54" t="str">
        <f t="shared" si="16"/>
        <v xml:space="preserve">  </v>
      </c>
      <c r="CF8" s="41">
        <f t="shared" si="37"/>
        <v>43014</v>
      </c>
      <c r="CG8" s="42">
        <f t="shared" si="50"/>
        <v>43014</v>
      </c>
      <c r="CH8" s="43" t="str">
        <f>IF(CG8="","",IF(ISERROR(MATCH(CG8,Lune!$A$1:$A$1000,0)),IF(WEEKDAY(CG8)=5,INT((CG8-DATE(YEAR(CG8),1,1))/7+1),IF(AND(WEEKDAY(CG8)=4,NOT( ISERROR(MATCH(CG8+1,Lune!$A$1:$A$1000,0)))),INT((CG8+1-DATE(YEAR(CG8+1),1,1))/7+1),"")),INDEX(Lune!$B$1:$B$1000,MATCH(CG8,Lune!$A$1:$A$1000,0),1)))</f>
        <v/>
      </c>
      <c r="CI8" s="80" t="str">
        <f t="shared" ca="1" si="17"/>
        <v/>
      </c>
      <c r="CJ8" s="54" t="str">
        <f ca="1">IF(ISERROR(VLOOKUP(CG8,anniversaire!$X$2:$Z$100,2,0)),"",VLOOKUP(CG8,anniversaire!$X$2:$Z$100,2,0))</f>
        <v/>
      </c>
      <c r="CK8" s="54" t="str">
        <f>IF(ISERROR(VLOOKUP(CG8,fête!$B$2:$C$367,2,0)),"",VLOOKUP(CG8,fête!$B$2:$C$367,2,0))</f>
        <v>Bruno</v>
      </c>
      <c r="CL8" s="54" t="str">
        <f>IF(ISERROR(VLOOKUP(CG8,évènements!$A$3:$D$200,3,0)),"",VLOOKUP(CG8,évènements!$A$3:$D$200,3,0))</f>
        <v/>
      </c>
      <c r="CM8" s="54" t="str">
        <f>IF(ISERROR(VLOOKUP(CG8,évènements!$B$3:$D$200,2,0)),"",VLOOKUP(CG8,évènements!$B$3:$D$200,2,0))</f>
        <v/>
      </c>
      <c r="CN8" s="54" t="str">
        <f t="shared" si="18"/>
        <v xml:space="preserve">  </v>
      </c>
      <c r="CO8" s="41">
        <f t="shared" si="38"/>
        <v>43045</v>
      </c>
      <c r="CP8" s="42">
        <f t="shared" si="51"/>
        <v>43045</v>
      </c>
      <c r="CQ8" s="43" t="str">
        <f>IF(CP8="","",IF(ISERROR(MATCH(CP8,Lune!$A$1:$A$1000,0)),IF(WEEKDAY(CP8)=5,INT((CP8-DATE(YEAR(CP8),1,1))/7+1),IF(AND(WEEKDAY(CP8)=4,NOT( ISERROR(MATCH(CP8+1,Lune!$A$1:$A$1000,0)))),INT((CP8+1-DATE(YEAR(CP8+1),1,1))/7+1),"")),INDEX(Lune!$B$1:$B$1000,MATCH(CP8,Lune!$A$1:$A$1000,0),1)))</f>
        <v/>
      </c>
      <c r="CR8" s="80" t="str">
        <f t="shared" ca="1" si="19"/>
        <v/>
      </c>
      <c r="CS8" s="54" t="str">
        <f ca="1">IF(ISERROR(VLOOKUP(CP8,anniversaire!$X$2:$Z$100,2,0)),"",VLOOKUP(CP8,anniversaire!$X$2:$Z$100,2,0))</f>
        <v/>
      </c>
      <c r="CT8" s="54" t="str">
        <f>IF(ISERROR(VLOOKUP(CP8,fête!$B$2:$C$367,2,0)),"",VLOOKUP(CP8,fête!$B$2:$C$367,2,0))</f>
        <v>Bertille</v>
      </c>
      <c r="CU8" s="54" t="str">
        <f>IF(ISERROR(VLOOKUP(CP8,évènements!$A$3:$D$200,3,0)),"",VLOOKUP(CP8,évènements!$A$3:$D$200,3,0))</f>
        <v/>
      </c>
      <c r="CV8" s="54" t="str">
        <f>IF(ISERROR(VLOOKUP(CP8,évènements!$B$3:$D$200,2,0)),"",VLOOKUP(CP8,évènements!$B$3:$D$200,2,0))</f>
        <v/>
      </c>
      <c r="CW8" s="54" t="str">
        <f>CONCATENATE(CU8,"  ",CV8)</f>
        <v xml:space="preserve">  </v>
      </c>
      <c r="CX8" s="41">
        <f t="shared" si="39"/>
        <v>43075</v>
      </c>
      <c r="CY8" s="42">
        <f t="shared" si="52"/>
        <v>43075</v>
      </c>
      <c r="CZ8" s="43" t="str">
        <f>IF(CY8="","",IF(ISERROR(MATCH(CY8,Lune!$A$1:$A$1000,0)),IF(WEEKDAY(CY8)=5,INT((CY8-DATE(YEAR(CY8),1,1))/7+1),IF(AND(WEEKDAY(CY8)=4,NOT( ISERROR(MATCH(CY8+1,Lune!$A$1:$A$1000,0)))),INT((CY8+1-DATE(YEAR(CY8+1),1,1))/7+1),"")),INDEX(Lune!$B$1:$B$1000,MATCH(CY8,Lune!$A$1:$A$1000,0),1)))</f>
        <v/>
      </c>
      <c r="DA8" s="80" t="str">
        <f t="shared" ca="1" si="21"/>
        <v/>
      </c>
      <c r="DB8" s="54" t="str">
        <f ca="1">IF(ISERROR(VLOOKUP(CY8,anniversaire!$X$2:$Z$100,2,0)),"",VLOOKUP(CY8,anniversaire!$X$2:$Z$100,2,0))</f>
        <v/>
      </c>
      <c r="DC8" s="54" t="str">
        <f>IF(ISERROR(VLOOKUP(CY8,fête!$B$2:$C$367,2,0)),"",VLOOKUP(CY8,fête!$B$2:$C$367,2,0))</f>
        <v>Nicolas</v>
      </c>
      <c r="DD8" s="54" t="str">
        <f>IF(ISERROR(VLOOKUP(CY8,évènements!$A$3:$D$200,3,0)),"",VLOOKUP(CY8,évènements!$A$3:$D$200,3,0))</f>
        <v/>
      </c>
      <c r="DE8" s="54" t="str">
        <f>IF(ISERROR(VLOOKUP(CY8,évènements!$B$3:$D$200,2,0)),"",VLOOKUP(CY8,évènements!$B$3:$D$200,2,0))</f>
        <v/>
      </c>
      <c r="DF8" s="54" t="str">
        <f>CONCATENATE(DD8,"  ",DE8)</f>
        <v xml:space="preserve">  </v>
      </c>
      <c r="DG8" s="41">
        <f t="shared" si="40"/>
        <v>43106</v>
      </c>
      <c r="DH8" s="42">
        <f t="shared" si="53"/>
        <v>43106</v>
      </c>
      <c r="DI8" s="43" t="str">
        <f>IF(DH8="","",IF(ISERROR(MATCH(DH8,Lune!$A$1:$A$1000,0)),IF(WEEKDAY(DH8)=5,INT((DH8-DATE(YEAR(DH8),1,1))/7+1),IF(AND(WEEKDAY(DH8)=4,NOT( ISERROR(MATCH(DH8+1,Lune!$A$1:$A$1000,0)))),INT((DH8+1-DATE(YEAR(DH8+1),1,1))/7+1),"")),INDEX(Lune!$B$1:$B$1000,MATCH(DH8,Lune!$A$1:$A$1000,0),1)))</f>
        <v/>
      </c>
      <c r="DJ8" s="89" t="str">
        <f t="shared" ca="1" si="23"/>
        <v/>
      </c>
      <c r="DK8" s="252" t="str">
        <f t="shared" ca="1" si="24"/>
        <v/>
      </c>
      <c r="DL8" s="252" t="str">
        <f t="shared" si="25"/>
        <v>Mélaine</v>
      </c>
      <c r="DM8" s="252" t="str">
        <f>IF(ISERROR(VLOOKUP(DH8,évènements!$A$3:$D$200,3,0)),"",VLOOKUP(DH8,évènements!$A$3:$D$200,3,0))</f>
        <v/>
      </c>
      <c r="DN8" s="252" t="str">
        <f>IF(ISERROR(VLOOKUP(DH8,évènements!$B$3:$D$200,2,0)),"",VLOOKUP(DH8,évènements!$B$3:$D$200,2,0))</f>
        <v/>
      </c>
      <c r="DO8" s="252" t="str">
        <f t="shared" si="26"/>
        <v xml:space="preserve">  </v>
      </c>
    </row>
    <row r="9" spans="2:119" ht="15" customHeight="1">
      <c r="B9" s="29"/>
      <c r="C9" s="41">
        <f t="shared" si="27"/>
        <v>42742</v>
      </c>
      <c r="D9" s="40">
        <f t="shared" si="41"/>
        <v>42742</v>
      </c>
      <c r="E9" s="131" t="str">
        <f>IF(D9="","",IF(ISERROR(MATCH(D9,Lune!$A$1:$A$1000,0)),IF(WEEKDAY(D9)=5,INT((D9-DATE(YEAR(D9),1,1))/7+1),IF(AND(WEEKDAY(D9)=4,NOT( ISERROR(MATCH(D9+1,Lune!$A$1:$A$1000,0)))),INT((D9+1-DATE(YEAR(D9+1),1,1))/7+1),"")),INDEX(Lune!$B$1:$B$1000,MATCH(D9,Lune!$A$1:$A$1000,0),1)))</f>
        <v/>
      </c>
      <c r="F9" s="89" t="str">
        <f t="shared" ca="1" si="0"/>
        <v/>
      </c>
      <c r="G9" s="125" t="str">
        <f ca="1">IF(ISERROR(VLOOKUP(D9,anniversaire!$X$2:$Z$100,2,0)),"",VLOOKUP(D9,anniversaire!$X$2:$Z$100,2,0))</f>
        <v/>
      </c>
      <c r="H9" s="54" t="str">
        <f>IF(ISERROR(VLOOKUP(D9,fête!$B$2:$C$367,2,0)),"",VLOOKUP(D9,fête!$B$2:$C$367,2,0))</f>
        <v>Raymond</v>
      </c>
      <c r="I9" s="239" t="str">
        <f>IF(ISERROR(VLOOKUP(D9,évènements!$A$3:$D$200,3,0)),"",VLOOKUP(D9,évènements!$A$3:$D$200,3,0))</f>
        <v/>
      </c>
      <c r="J9" s="239" t="str">
        <f>IF(ISERROR(VLOOKUP(D9,évènements!$B$3:$D$200,2,0)),"",VLOOKUP(D9,évènements!$B$3:$D$200,2,0))</f>
        <v/>
      </c>
      <c r="K9" s="239" t="str">
        <f t="shared" si="1"/>
        <v xml:space="preserve">  </v>
      </c>
      <c r="L9" s="41">
        <f t="shared" si="28"/>
        <v>42773</v>
      </c>
      <c r="M9" s="42">
        <f t="shared" si="42"/>
        <v>42773</v>
      </c>
      <c r="N9" s="131" t="str">
        <f>IF(M9="","",IF(ISERROR(MATCH(M9,Lune!$A$1:$A$1000,0)),IF(WEEKDAY(M9)=5,INT((M9-DATE(YEAR(M9),1,1))/7+1),IF(AND(WEEKDAY(M9)=4,NOT( ISERROR(MATCH(M9+1,Lune!$A$1:$A$1000,0)))),INT((M9+1-DATE(YEAR(M9+1),1,1))/7+1),"")),INDEX(Lune!$B$1:$B$1000,MATCH(M9,Lune!$A$1:$A$1000,0),1)))</f>
        <v/>
      </c>
      <c r="O9" s="80" t="str">
        <f t="shared" ca="1" si="2"/>
        <v/>
      </c>
      <c r="P9" s="54" t="str">
        <f ca="1">IF(ISERROR(VLOOKUP(M9,anniversaire!$X$2:$Z$100,2,0)),"",VLOOKUP(M9,anniversaire!$X$2:$Z$100,2,0))</f>
        <v/>
      </c>
      <c r="Q9" s="54" t="str">
        <f>IF(ISERROR(VLOOKUP(M9,fête!$B$2:$C$367,2,0)),"",VLOOKUP(M9,fête!$B$2:$C$367,2,0))</f>
        <v>Eugènie</v>
      </c>
      <c r="R9" s="54" t="str">
        <f>IF(ISERROR(VLOOKUP(M9,évènements!$A$3:$D$200,3,0)),"",VLOOKUP(M9,évènements!$A$3:$D$200,3,0))</f>
        <v/>
      </c>
      <c r="S9" s="54" t="str">
        <f>IF(ISERROR(VLOOKUP(M9,évènements!$B$3:$D$200,2,0)),"",VLOOKUP(M9,évènements!$B$3:$D$200,2,0))</f>
        <v/>
      </c>
      <c r="T9" s="54" t="str">
        <f t="shared" si="3"/>
        <v xml:space="preserve">  </v>
      </c>
      <c r="U9" s="41">
        <f t="shared" si="29"/>
        <v>42801</v>
      </c>
      <c r="V9" s="42">
        <f t="shared" si="43"/>
        <v>42801</v>
      </c>
      <c r="W9" s="132" t="str">
        <f>IF(V9="","",IF(ISERROR(MATCH(V9,Lune!$A$1:$A$1000,0)),IF(WEEKDAY(V9)=5,INT((V9-DATE(YEAR(V9),1,1))/7+1),IF(AND(WEEKDAY(V9)=4,NOT( ISERROR(MATCH(V9+1,Lune!$A$1:$A$1000,0)))),INT((V9+1-DATE(YEAR(V9+1),1,1))/7+1),"")),INDEX(Lune!$B$1:$B$1000,MATCH(V9,Lune!$A$1:$A$1000,0),1)))</f>
        <v/>
      </c>
      <c r="X9" s="89" t="str">
        <f t="shared" ca="1" si="4"/>
        <v/>
      </c>
      <c r="Y9" s="125" t="str">
        <f ca="1">IF(ISERROR(VLOOKUP(V9,anniversaire!$X$2:$Z$100,2,0)),"",VLOOKUP(V9,anniversaire!$X$2:$Z$100,2,0))</f>
        <v/>
      </c>
      <c r="Z9" s="54" t="str">
        <f>IF(ISERROR(VLOOKUP(V9,fête!$B$2:$C$367,2,0)),"",VLOOKUP(V9,fête!$B$2:$C$367,2,0))</f>
        <v>Félicité</v>
      </c>
      <c r="AA9" s="54" t="str">
        <f>IF(ISERROR(VLOOKUP(V9,évènements!$A$3:$D$200,3,0)),"",VLOOKUP(V9,évènements!$A$3:$D$200,3,0))</f>
        <v/>
      </c>
      <c r="AB9" s="54" t="str">
        <f>IF(ISERROR(VLOOKUP(V9,évènements!$B$3:$D$200,2,0)),"",VLOOKUP(V9,évènements!$B$3:$D$200,2,0))</f>
        <v/>
      </c>
      <c r="AC9" s="54" t="str">
        <f t="shared" si="5"/>
        <v xml:space="preserve">  </v>
      </c>
      <c r="AD9" s="41">
        <f t="shared" si="30"/>
        <v>42832</v>
      </c>
      <c r="AE9" s="42">
        <f t="shared" si="44"/>
        <v>42832</v>
      </c>
      <c r="AF9" s="137" t="str">
        <f>IF(AE9="","",IF(ISERROR(MATCH(AE9,Lune!$A$1:$A$1000,0)),IF(WEEKDAY(AE9)=5,INT((AE9-DATE(YEAR(AE9),1,1))/7+1),IF(AND(WEEKDAY(AE9)=4,NOT( ISERROR(MATCH(AE9+1,Lune!$A$1:$A$1000,0)))),INT((AE9+1-DATE(YEAR(AE9+1),1,1))/7+1),"")),INDEX(Lune!$B$1:$B$1000,MATCH(AE9,Lune!$A$1:$A$1000,0),1)))</f>
        <v/>
      </c>
      <c r="AG9" s="80" t="str">
        <f t="shared" ca="1" si="6"/>
        <v/>
      </c>
      <c r="AH9" s="54" t="str">
        <f ca="1">IF(ISERROR(VLOOKUP(AE9,anniversaire!$X$2:$Z$100,2,0)),"",VLOOKUP(AE9,anniversaire!$X$2:$Z$100,2,0))</f>
        <v/>
      </c>
      <c r="AI9" s="54" t="str">
        <f>IF(ISERROR(VLOOKUP(AE9,fête!$B$2:$C$367,2,0)),"",VLOOKUP(AE9,fête!$B$2:$C$367,2,0))</f>
        <v>Jean-Baptiste de la Salle</v>
      </c>
      <c r="AJ9" s="54" t="str">
        <f>IF(ISERROR(VLOOKUP(AE9,évènements!$A$3:$D$200,3,0)),"",VLOOKUP(AE9,évènements!$A$3:$D$200,3,0))</f>
        <v/>
      </c>
      <c r="AK9" s="54" t="str">
        <f>IF(ISERROR(VLOOKUP(AE9,évènements!$B$3:$D$200,2,0)),"",VLOOKUP(AE9,évènements!$B$3:$D$200,2,0))</f>
        <v/>
      </c>
      <c r="AL9" s="238" t="str">
        <f t="shared" si="7"/>
        <v xml:space="preserve">  </v>
      </c>
      <c r="AM9" s="41">
        <f t="shared" si="31"/>
        <v>42862</v>
      </c>
      <c r="AN9" s="42">
        <f t="shared" si="45"/>
        <v>42862</v>
      </c>
      <c r="AO9" s="43" t="str">
        <f>IF(AN9="","",IF(ISERROR(MATCH(AN9,Lune!$A$1:$A$1000,0)),IF(WEEKDAY(AN9)=5,INT((AN9-DATE(YEAR(AN9),1,1))/7+1),IF(AND(WEEKDAY(AN9)=4,NOT( ISERROR(MATCH(AN9+1,Lune!$A$1:$A$1000,0)))),INT((AN9+1-DATE(YEAR(AN9+1),1,1))/7+1),"")),INDEX(Lune!$B$1:$B$1000,MATCH(AN9,Lune!$A$1:$A$1000,0),1)))</f>
        <v/>
      </c>
      <c r="AP9" s="79" t="str">
        <f t="shared" ca="1" si="8"/>
        <v>'</v>
      </c>
      <c r="AQ9" s="54" t="str">
        <f ca="1">IF(ISERROR(VLOOKUP(AN9,anniversaire!$X$2:$Z$100,2,0)),"",VLOOKUP(AN9,anniversaire!$X$2:$Z$100,2,0))</f>
        <v>chedeville  phillipe    33</v>
      </c>
      <c r="AR9" s="54" t="str">
        <f>IF(ISERROR(VLOOKUP(AN9,fête!$B$2:$C$367,2,0)),"",VLOOKUP(AN9,fête!$B$2:$C$367,2,0))</f>
        <v>Gisèle</v>
      </c>
      <c r="AS9" s="238" t="str">
        <f>IF(ISERROR(VLOOKUP(AN9,évènements!$A$3:$D$200,3,0)),"",VLOOKUP(AN9,évènements!$A$3:$D$200,3,0))</f>
        <v/>
      </c>
      <c r="AT9" s="238" t="str">
        <f>IF(ISERROR(VLOOKUP(AN9,évènements!$B$3:$D$200,2,0)),"",VLOOKUP(AN9,évènements!$B$3:$D$200,2,0))</f>
        <v/>
      </c>
      <c r="AU9" s="238" t="str">
        <f t="shared" si="9"/>
        <v xml:space="preserve">  </v>
      </c>
      <c r="AV9" s="41">
        <f t="shared" si="32"/>
        <v>42893</v>
      </c>
      <c r="AW9" s="42">
        <f t="shared" si="46"/>
        <v>42893</v>
      </c>
      <c r="AX9" s="43" t="str">
        <f>IF(AW9="","",IF(ISERROR(MATCH(AW9,Lune!$A$1:$A$1000,0)),IF(WEEKDAY(AW9)=5,INT((AW9-DATE(YEAR(AW9),1,1))/7+1),IF(AND(WEEKDAY(AW9)=4,NOT( ISERROR(MATCH(AW9+1,Lune!$A$1:$A$1000,0)))),INT((AW9+1-DATE(YEAR(AW9+1),1,1))/7+1),"")),INDEX(Lune!$B$1:$B$1000,MATCH(AW9,Lune!$A$1:$A$1000,0),1)))</f>
        <v/>
      </c>
      <c r="AY9" s="79" t="str">
        <f t="shared" ca="1" si="10"/>
        <v/>
      </c>
      <c r="AZ9" s="54" t="str">
        <f ca="1">IF(ISERROR(VLOOKUP(AW9,anniversaire!$X$2:$Z$100,2,0)),"",VLOOKUP(AW9,anniversaire!$X$2:$Z$100,2,0))</f>
        <v/>
      </c>
      <c r="BA9" s="54" t="str">
        <f>IF(ISERROR(VLOOKUP(AW9,fête!$B$2:$C$367,2,0)),"",VLOOKUP(AW9,fête!$B$2:$C$367,2,0))</f>
        <v>Gilbert</v>
      </c>
      <c r="BB9" s="54" t="str">
        <f>IF(ISERROR(VLOOKUP(AW9,évènements!$A$3:$D$200,3,0)),"",VLOOKUP(AW9,évènements!$A$3:$D$200,3,0))</f>
        <v/>
      </c>
      <c r="BC9" s="54" t="str">
        <f>IF(ISERROR(VLOOKUP(AW9,évènements!$B$3:$D$200,2,0)),"",VLOOKUP(AW9,évènements!$B$3:$D$200,2,0))</f>
        <v/>
      </c>
      <c r="BD9" s="54" t="str">
        <f t="shared" si="11"/>
        <v xml:space="preserve">  </v>
      </c>
      <c r="BE9" s="41">
        <f t="shared" si="33"/>
        <v>42923</v>
      </c>
      <c r="BF9" s="42">
        <f t="shared" si="47"/>
        <v>42923</v>
      </c>
      <c r="BG9" s="43" t="str">
        <f>IF(BF9="","",IF(ISERROR(MATCH(BF9,Lune!$A$1:$A$1000,0)),IF(WEEKDAY(BF9)=5,INT((BF9-DATE(YEAR(BF9),1,1))/7+1),IF(AND(WEEKDAY(BF9)=4,NOT( ISERROR(MATCH(BF9+1,Lune!$A$1:$A$1000,0)))),INT((BF9+1-DATE(YEAR(BF9+1),1,1))/7+1),"")),INDEX(Lune!$B$1:$B$1000,MATCH(BF9,Lune!$A$1:$A$1000,0),1)))</f>
        <v/>
      </c>
      <c r="BH9" s="80" t="str">
        <f t="shared" ca="1" si="12"/>
        <v xml:space="preserve"> '</v>
      </c>
      <c r="BI9" s="54" t="str">
        <f ca="1">IF(ISERROR(VLOOKUP(BF9,anniversaire!$X$2:$Z$100,2,0)),"",VLOOKUP(BF9,anniversaire!$X$2:$Z$100,2,0))</f>
        <v>Boireau  estelle    28</v>
      </c>
      <c r="BJ9" s="54" t="str">
        <f>IF(ISERROR(VLOOKUP(BF9,fête!$B$2:$C$367,2,0)),"",VLOOKUP(BF9,fête!$B$2:$C$367,2,0))</f>
        <v>Raoul</v>
      </c>
      <c r="BK9" s="54" t="str">
        <f>IF(ISERROR(VLOOKUP(BF9,évènements!$A$3:$D$200,3,0)),"",VLOOKUP(BF9,évènements!$A$3:$D$200,3,0))</f>
        <v/>
      </c>
      <c r="BL9" s="54" t="str">
        <f>IF(ISERROR(VLOOKUP(BF9,évènements!$B$3:$D$200,2,0)),"",VLOOKUP(BF9,évènements!$B$3:$D$200,2,0))</f>
        <v/>
      </c>
      <c r="BM9" s="54" t="str">
        <f t="shared" si="34"/>
        <v xml:space="preserve">  </v>
      </c>
      <c r="BN9" s="41">
        <f t="shared" si="35"/>
        <v>42954</v>
      </c>
      <c r="BO9" s="42">
        <f t="shared" si="48"/>
        <v>42954</v>
      </c>
      <c r="BP9" s="43" t="str">
        <f>IF(BO9="","",IF(ISERROR(MATCH(BO9,Lune!$A$1:$A$1000,0)),IF(WEEKDAY(BO9)=5,INT((BO9-DATE(YEAR(BO9),1,1))/7+1),IF(AND(WEEKDAY(BO9)=4,NOT( ISERROR(MATCH(BO9+1,Lune!$A$1:$A$1000,0)))),INT((BO9+1-DATE(YEAR(BO9+1),1,1))/7+1),"")),INDEX(Lune!$B$1:$B$1000,MATCH(BO9,Lune!$A$1:$A$1000,0),1)))</f>
        <v>○</v>
      </c>
      <c r="BQ9" s="80" t="str">
        <f t="shared" ca="1" si="13"/>
        <v/>
      </c>
      <c r="BR9" s="54" t="str">
        <f ca="1">IF(ISERROR(VLOOKUP(BO9,anniversaire!$X$2:$Z$100,2,0)),"",VLOOKUP(BO9,anniversaire!$X$2:$Z$100,2,0))</f>
        <v/>
      </c>
      <c r="BS9" s="54" t="str">
        <f>IF(ISERROR(VLOOKUP(BO9,fête!$B$2:$C$367,2,0)),"",VLOOKUP(BO9,fête!$B$2:$C$367,2,0))</f>
        <v>Gaétan</v>
      </c>
      <c r="BT9" s="54" t="str">
        <f>IF(ISERROR(VLOOKUP(BO9,évènements!$A$3:$D$200,3,0)),"",VLOOKUP(BO9,évènements!$A$3:$D$200,3,0))</f>
        <v/>
      </c>
      <c r="BU9" s="54" t="str">
        <f>IF(ISERROR(VLOOKUP(BO9,évènements!$B$3:$D$200,2,0)),"",VLOOKUP(BO9,évènements!$B$3:$D$200,2,0))</f>
        <v/>
      </c>
      <c r="BV9" s="54" t="str">
        <f t="shared" si="14"/>
        <v xml:space="preserve">  </v>
      </c>
      <c r="BW9" s="41">
        <f t="shared" si="36"/>
        <v>42985</v>
      </c>
      <c r="BX9" s="42">
        <f t="shared" si="49"/>
        <v>42985</v>
      </c>
      <c r="BY9" s="43">
        <f>IF(BX9="","",IF(ISERROR(MATCH(BX9,Lune!$A$1:$A$1000,0)),IF(WEEKDAY(BX9)=5,INT((BX9-DATE(YEAR(BX9),1,1))/7+1),IF(AND(WEEKDAY(BX9)=4,NOT( ISERROR(MATCH(BX9+1,Lune!$A$1:$A$1000,0)))),INT((BX9+1-DATE(YEAR(BX9+1),1,1))/7+1),"")),INDEX(Lune!$B$1:$B$1000,MATCH(BX9,Lune!$A$1:$A$1000,0),1)))</f>
        <v>36</v>
      </c>
      <c r="BZ9" s="80" t="str">
        <f t="shared" ca="1" si="15"/>
        <v/>
      </c>
      <c r="CA9" s="54" t="str">
        <f ca="1">IF(ISERROR(VLOOKUP(BX9,anniversaire!$X$2:$Z$100,2,0)),"",VLOOKUP(BX9,anniversaire!$X$2:$Z$100,2,0))</f>
        <v/>
      </c>
      <c r="CB9" s="54" t="str">
        <f>IF(ISERROR(VLOOKUP(BX9,fête!$B$2:$C$367,2,0)),"",VLOOKUP(BX9,fête!$B$2:$C$367,2,0))</f>
        <v>Reine</v>
      </c>
      <c r="CC9" s="54" t="str">
        <f>IF(ISERROR(VLOOKUP(BX9,évènements!$A$3:$D$200,3,0)),"",VLOOKUP(BX9,évènements!$A$3:$D$200,3,0))</f>
        <v/>
      </c>
      <c r="CD9" s="54" t="str">
        <f>IF(ISERROR(VLOOKUP(BX9,évènements!$B$3:$D$200,2,0)),"",VLOOKUP(BX9,évènements!$B$3:$D$200,2,0))</f>
        <v/>
      </c>
      <c r="CE9" s="54" t="str">
        <f t="shared" si="16"/>
        <v xml:space="preserve">  </v>
      </c>
      <c r="CF9" s="41">
        <f t="shared" si="37"/>
        <v>43015</v>
      </c>
      <c r="CG9" s="42">
        <f t="shared" si="50"/>
        <v>43015</v>
      </c>
      <c r="CH9" s="43" t="str">
        <f>IF(CG9="","",IF(ISERROR(MATCH(CG9,Lune!$A$1:$A$1000,0)),IF(WEEKDAY(CG9)=5,INT((CG9-DATE(YEAR(CG9),1,1))/7+1),IF(AND(WEEKDAY(CG9)=4,NOT( ISERROR(MATCH(CG9+1,Lune!$A$1:$A$1000,0)))),INT((CG9+1-DATE(YEAR(CG9+1),1,1))/7+1),"")),INDEX(Lune!$B$1:$B$1000,MATCH(CG9,Lune!$A$1:$A$1000,0),1)))</f>
        <v/>
      </c>
      <c r="CI9" s="80" t="str">
        <f t="shared" ca="1" si="17"/>
        <v/>
      </c>
      <c r="CJ9" s="54" t="str">
        <f ca="1">IF(ISERROR(VLOOKUP(CG9,anniversaire!$X$2:$Z$100,2,0)),"",VLOOKUP(CG9,anniversaire!$X$2:$Z$100,2,0))</f>
        <v/>
      </c>
      <c r="CK9" s="54" t="str">
        <f>IF(ISERROR(VLOOKUP(CG9,fête!$B$2:$C$367,2,0)),"",VLOOKUP(CG9,fête!$B$2:$C$367,2,0))</f>
        <v>Serge</v>
      </c>
      <c r="CL9" s="54" t="str">
        <f>IF(ISERROR(VLOOKUP(CG9,évènements!$A$3:$D$200,3,0)),"",VLOOKUP(CG9,évènements!$A$3:$D$200,3,0))</f>
        <v/>
      </c>
      <c r="CM9" s="54" t="str">
        <f>IF(ISERROR(VLOOKUP(CG9,évènements!$B$3:$D$200,2,0)),"",VLOOKUP(CG9,évènements!$B$3:$D$200,2,0))</f>
        <v/>
      </c>
      <c r="CN9" s="54" t="str">
        <f t="shared" si="18"/>
        <v xml:space="preserve">  </v>
      </c>
      <c r="CO9" s="41">
        <f t="shared" si="38"/>
        <v>43046</v>
      </c>
      <c r="CP9" s="42">
        <f t="shared" si="51"/>
        <v>43046</v>
      </c>
      <c r="CQ9" s="43" t="str">
        <f>IF(CP9="","",IF(ISERROR(MATCH(CP9,Lune!$A$1:$A$1000,0)),IF(WEEKDAY(CP9)=5,INT((CP9-DATE(YEAR(CP9),1,1))/7+1),IF(AND(WEEKDAY(CP9)=4,NOT( ISERROR(MATCH(CP9+1,Lune!$A$1:$A$1000,0)))),INT((CP9+1-DATE(YEAR(CP9+1),1,1))/7+1),"")),INDEX(Lune!$B$1:$B$1000,MATCH(CP9,Lune!$A$1:$A$1000,0),1)))</f>
        <v/>
      </c>
      <c r="CR9" s="80" t="str">
        <f t="shared" ca="1" si="19"/>
        <v/>
      </c>
      <c r="CS9" s="54" t="str">
        <f ca="1">IF(ISERROR(VLOOKUP(CP9,anniversaire!$X$2:$Z$100,2,0)),"",VLOOKUP(CP9,anniversaire!$X$2:$Z$100,2,0))</f>
        <v/>
      </c>
      <c r="CT9" s="54" t="str">
        <f>IF(ISERROR(VLOOKUP(CP9,fête!$B$2:$C$367,2,0)),"",VLOOKUP(CP9,fête!$B$2:$C$367,2,0))</f>
        <v>Carine</v>
      </c>
      <c r="CU9" s="54" t="str">
        <f>IF(ISERROR(VLOOKUP(CP9,évènements!$A$3:$D$200,3,0)),"",VLOOKUP(CP9,évènements!$A$3:$D$200,3,0))</f>
        <v/>
      </c>
      <c r="CV9" s="54" t="str">
        <f>IF(ISERROR(VLOOKUP(CP9,évènements!$B$3:$D$200,2,0)),"",VLOOKUP(CP9,évènements!$B$3:$D$200,2,0))</f>
        <v/>
      </c>
      <c r="CW9" s="54" t="str">
        <f t="shared" si="20"/>
        <v xml:space="preserve">  </v>
      </c>
      <c r="CX9" s="41">
        <f t="shared" si="39"/>
        <v>43076</v>
      </c>
      <c r="CY9" s="42">
        <f t="shared" si="52"/>
        <v>43076</v>
      </c>
      <c r="CZ9" s="43">
        <f>IF(CY9="","",IF(ISERROR(MATCH(CY9,Lune!$A$1:$A$1000,0)),IF(WEEKDAY(CY9)=5,INT((CY9-DATE(YEAR(CY9),1,1))/7+1),IF(AND(WEEKDAY(CY9)=4,NOT( ISERROR(MATCH(CY9+1,Lune!$A$1:$A$1000,0)))),INT((CY9+1-DATE(YEAR(CY9+1),1,1))/7+1),"")),INDEX(Lune!$B$1:$B$1000,MATCH(CY9,Lune!$A$1:$A$1000,0),1)))</f>
        <v>49</v>
      </c>
      <c r="DA9" s="80" t="str">
        <f t="shared" ca="1" si="21"/>
        <v/>
      </c>
      <c r="DB9" s="54" t="str">
        <f ca="1">IF(ISERROR(VLOOKUP(CY9,anniversaire!$X$2:$Z$100,2,0)),"",VLOOKUP(CY9,anniversaire!$X$2:$Z$100,2,0))</f>
        <v/>
      </c>
      <c r="DC9" s="54" t="str">
        <f>IF(ISERROR(VLOOKUP(CY9,fête!$B$2:$C$367,2,0)),"",VLOOKUP(CY9,fête!$B$2:$C$367,2,0))</f>
        <v>Ambroise</v>
      </c>
      <c r="DD9" s="54" t="str">
        <f>IF(ISERROR(VLOOKUP(CY9,évènements!$A$3:$D$200,3,0)),"",VLOOKUP(CY9,évènements!$A$3:$D$200,3,0))</f>
        <v/>
      </c>
      <c r="DE9" s="54" t="str">
        <f>IF(ISERROR(VLOOKUP(CY9,évènements!$B$3:$D$200,2,0)),"",VLOOKUP(CY9,évènements!$B$3:$D$200,2,0))</f>
        <v/>
      </c>
      <c r="DF9" s="54" t="str">
        <f t="shared" si="22"/>
        <v xml:space="preserve">  </v>
      </c>
      <c r="DG9" s="41">
        <f t="shared" si="40"/>
        <v>43107</v>
      </c>
      <c r="DH9" s="42">
        <f t="shared" si="53"/>
        <v>43107</v>
      </c>
      <c r="DI9" s="43" t="str">
        <f>IF(DH9="","",IF(ISERROR(MATCH(DH9,Lune!$A$1:$A$1000,0)),IF(WEEKDAY(DH9)=5,INT((DH9-DATE(YEAR(DH9),1,1))/7+1),IF(AND(WEEKDAY(DH9)=4,NOT( ISERROR(MATCH(DH9+1,Lune!$A$1:$A$1000,0)))),INT((DH9+1-DATE(YEAR(DH9+1),1,1))/7+1),"")),INDEX(Lune!$B$1:$B$1000,MATCH(DH9,Lune!$A$1:$A$1000,0),1)))</f>
        <v/>
      </c>
      <c r="DJ9" s="89" t="str">
        <f t="shared" ca="1" si="23"/>
        <v/>
      </c>
      <c r="DK9" s="252" t="str">
        <f t="shared" ca="1" si="24"/>
        <v/>
      </c>
      <c r="DL9" s="252" t="str">
        <f t="shared" si="25"/>
        <v>Raymond</v>
      </c>
      <c r="DM9" s="252" t="str">
        <f>IF(ISERROR(VLOOKUP(DH9,évènements!$A$3:$D$200,3,0)),"",VLOOKUP(DH9,évènements!$A$3:$D$200,3,0))</f>
        <v/>
      </c>
      <c r="DN9" s="252" t="str">
        <f>IF(ISERROR(VLOOKUP(DH9,évènements!$B$3:$D$200,2,0)),"",VLOOKUP(DH9,évènements!$B$3:$D$200,2,0))</f>
        <v/>
      </c>
      <c r="DO9" s="252" t="str">
        <f t="shared" si="26"/>
        <v xml:space="preserve">  </v>
      </c>
    </row>
    <row r="10" spans="2:119" ht="15" customHeight="1">
      <c r="B10" s="29"/>
      <c r="C10" s="41">
        <f t="shared" si="27"/>
        <v>42743</v>
      </c>
      <c r="D10" s="40">
        <f t="shared" si="41"/>
        <v>42743</v>
      </c>
      <c r="E10" s="131" t="str">
        <f>IF(D10="","",IF(ISERROR(MATCH(D10,Lune!$A$1:$A$1000,0)),IF(WEEKDAY(D10)=5,INT((D10-DATE(YEAR(D10),1,1))/7+1),IF(AND(WEEKDAY(D10)=4,NOT( ISERROR(MATCH(D10+1,Lune!$A$1:$A$1000,0)))),INT((D10+1-DATE(YEAR(D10+1),1,1))/7+1),"")),INDEX(Lune!$B$1:$B$1000,MATCH(D10,Lune!$A$1:$A$1000,0),1)))</f>
        <v/>
      </c>
      <c r="F10" s="89" t="str">
        <f t="shared" ca="1" si="0"/>
        <v/>
      </c>
      <c r="G10" s="125" t="str">
        <f ca="1">IF(ISERROR(VLOOKUP(D10,anniversaire!$X$2:$Z$100,2,0)),"",VLOOKUP(D10,anniversaire!$X$2:$Z$100,2,0))</f>
        <v/>
      </c>
      <c r="H10" s="54" t="str">
        <f>IF(ISERROR(VLOOKUP(D10,fête!$B$2:$C$367,2,0)),"",VLOOKUP(D10,fête!$B$2:$C$367,2,0))</f>
        <v>Lucien</v>
      </c>
      <c r="I10" s="239" t="str">
        <f>IF(ISERROR(VLOOKUP(D10,évènements!$A$3:$D$200,3,0)),"",VLOOKUP(D10,évènements!$A$3:$D$200,3,0))</f>
        <v/>
      </c>
      <c r="J10" s="239" t="str">
        <f>IF(ISERROR(VLOOKUP(D10,évènements!$B$3:$D$200,2,0)),"",VLOOKUP(D10,évènements!$B$3:$D$200,2,0))</f>
        <v/>
      </c>
      <c r="K10" s="239" t="str">
        <f t="shared" si="1"/>
        <v xml:space="preserve">  </v>
      </c>
      <c r="L10" s="41">
        <f t="shared" si="28"/>
        <v>42774</v>
      </c>
      <c r="M10" s="42">
        <f t="shared" si="42"/>
        <v>42774</v>
      </c>
      <c r="N10" s="131" t="str">
        <f>IF(M10="","",IF(ISERROR(MATCH(M10,Lune!$A$1:$A$1000,0)),IF(WEEKDAY(M10)=5,INT((M10-DATE(YEAR(M10),1,1))/7+1),IF(AND(WEEKDAY(M10)=4,NOT( ISERROR(MATCH(M10+1,Lune!$A$1:$A$1000,0)))),INT((M10+1-DATE(YEAR(M10+1),1,1))/7+1),"")),INDEX(Lune!$B$1:$B$1000,MATCH(M10,Lune!$A$1:$A$1000,0),1)))</f>
        <v/>
      </c>
      <c r="O10" s="80" t="str">
        <f t="shared" ca="1" si="2"/>
        <v/>
      </c>
      <c r="P10" s="54" t="str">
        <f ca="1">IF(ISERROR(VLOOKUP(M10,anniversaire!$X$2:$Z$100,2,0)),"",VLOOKUP(M10,anniversaire!$X$2:$Z$100,2,0))</f>
        <v/>
      </c>
      <c r="Q10" s="54" t="str">
        <f>IF(ISERROR(VLOOKUP(M10,fête!$B$2:$C$367,2,0)),"",VLOOKUP(M10,fête!$B$2:$C$367,2,0))</f>
        <v>Jacqueline</v>
      </c>
      <c r="R10" s="54" t="str">
        <f>IF(ISERROR(VLOOKUP(M10,évènements!$A$3:$D$200,3,0)),"",VLOOKUP(M10,évènements!$A$3:$D$200,3,0))</f>
        <v/>
      </c>
      <c r="S10" s="54" t="str">
        <f>IF(ISERROR(VLOOKUP(M10,évènements!$B$3:$D$200,2,0)),"",VLOOKUP(M10,évènements!$B$3:$D$200,2,0))</f>
        <v/>
      </c>
      <c r="T10" s="54" t="str">
        <f t="shared" si="3"/>
        <v xml:space="preserve">  </v>
      </c>
      <c r="U10" s="41">
        <f t="shared" si="29"/>
        <v>42802</v>
      </c>
      <c r="V10" s="42">
        <f t="shared" si="43"/>
        <v>42802</v>
      </c>
      <c r="W10" s="132" t="str">
        <f>IF(V10="","",IF(ISERROR(MATCH(V10,Lune!$A$1:$A$1000,0)),IF(WEEKDAY(V10)=5,INT((V10-DATE(YEAR(V10),1,1))/7+1),IF(AND(WEEKDAY(V10)=4,NOT( ISERROR(MATCH(V10+1,Lune!$A$1:$A$1000,0)))),INT((V10+1-DATE(YEAR(V10+1),1,1))/7+1),"")),INDEX(Lune!$B$1:$B$1000,MATCH(V10,Lune!$A$1:$A$1000,0),1)))</f>
        <v/>
      </c>
      <c r="X10" s="89" t="str">
        <f t="shared" ca="1" si="4"/>
        <v xml:space="preserve"> '</v>
      </c>
      <c r="Y10" s="125" t="str">
        <f ca="1">IF(ISERROR(VLOOKUP(V10,anniversaire!$X$2:$Z$100,2,0)),"",VLOOKUP(V10,anniversaire!$X$2:$Z$100,2,0))</f>
        <v>Taraud  jerôme    41</v>
      </c>
      <c r="Z10" s="54" t="str">
        <f>IF(ISERROR(VLOOKUP(V10,fête!$B$2:$C$367,2,0)),"",VLOOKUP(V10,fête!$B$2:$C$367,2,0))</f>
        <v>Jean de Dieu</v>
      </c>
      <c r="AA10" s="54" t="str">
        <f>IF(ISERROR(VLOOKUP(V10,évènements!$A$3:$D$200,3,0)),"",VLOOKUP(V10,évènements!$A$3:$D$200,3,0))</f>
        <v/>
      </c>
      <c r="AB10" s="54" t="str">
        <f>IF(ISERROR(VLOOKUP(V10,évènements!$B$3:$D$200,2,0)),"",VLOOKUP(V10,évènements!$B$3:$D$200,2,0))</f>
        <v/>
      </c>
      <c r="AC10" s="54" t="str">
        <f t="shared" si="5"/>
        <v xml:space="preserve">  </v>
      </c>
      <c r="AD10" s="41">
        <f t="shared" si="30"/>
        <v>42833</v>
      </c>
      <c r="AE10" s="42">
        <f t="shared" si="44"/>
        <v>42833</v>
      </c>
      <c r="AF10" s="137" t="str">
        <f>IF(AE10="","",IF(ISERROR(MATCH(AE10,Lune!$A$1:$A$1000,0)),IF(WEEKDAY(AE10)=5,INT((AE10-DATE(YEAR(AE10),1,1))/7+1),IF(AND(WEEKDAY(AE10)=4,NOT( ISERROR(MATCH(AE10+1,Lune!$A$1:$A$1000,0)))),INT((AE10+1-DATE(YEAR(AE10+1),1,1))/7+1),"")),INDEX(Lune!$B$1:$B$1000,MATCH(AE10,Lune!$A$1:$A$1000,0),1)))</f>
        <v/>
      </c>
      <c r="AG10" s="80" t="str">
        <f t="shared" ca="1" si="6"/>
        <v/>
      </c>
      <c r="AH10" s="54" t="str">
        <f ca="1">IF(ISERROR(VLOOKUP(AE10,anniversaire!$X$2:$Z$100,2,0)),"",VLOOKUP(AE10,anniversaire!$X$2:$Z$100,2,0))</f>
        <v/>
      </c>
      <c r="AI10" s="54" t="str">
        <f>IF(ISERROR(VLOOKUP(AE10,fête!$B$2:$C$367,2,0)),"",VLOOKUP(AE10,fête!$B$2:$C$367,2,0))</f>
        <v>Julie</v>
      </c>
      <c r="AJ10" s="54" t="str">
        <f>IF(ISERROR(VLOOKUP(AE10,évènements!$A$3:$D$200,3,0)),"",VLOOKUP(AE10,évènements!$A$3:$D$200,3,0))</f>
        <v/>
      </c>
      <c r="AK10" s="54" t="str">
        <f>IF(ISERROR(VLOOKUP(AE10,évènements!$B$3:$D$200,2,0)),"",VLOOKUP(AE10,évènements!$B$3:$D$200,2,0))</f>
        <v/>
      </c>
      <c r="AL10" s="238" t="str">
        <f t="shared" si="7"/>
        <v xml:space="preserve">  </v>
      </c>
      <c r="AM10" s="41">
        <f t="shared" si="31"/>
        <v>42863</v>
      </c>
      <c r="AN10" s="42">
        <f t="shared" si="45"/>
        <v>42863</v>
      </c>
      <c r="AO10" s="43" t="str">
        <f>IF(AN10="","",IF(ISERROR(MATCH(AN10,Lune!$A$1:$A$1000,0)),IF(WEEKDAY(AN10)=5,INT((AN10-DATE(YEAR(AN10),1,1))/7+1),IF(AND(WEEKDAY(AN10)=4,NOT( ISERROR(MATCH(AN10+1,Lune!$A$1:$A$1000,0)))),INT((AN10+1-DATE(YEAR(AN10+1),1,1))/7+1),"")),INDEX(Lune!$B$1:$B$1000,MATCH(AN10,Lune!$A$1:$A$1000,0),1)))</f>
        <v/>
      </c>
      <c r="AP10" s="79" t="str">
        <f t="shared" ca="1" si="8"/>
        <v/>
      </c>
      <c r="AQ10" s="54" t="str">
        <f ca="1">IF(ISERROR(VLOOKUP(AN10,anniversaire!$X$2:$Z$100,2,0)),"",VLOOKUP(AN10,anniversaire!$X$2:$Z$100,2,0))</f>
        <v/>
      </c>
      <c r="AR10" s="54" t="str">
        <f>IF(ISERROR(VLOOKUP(AN10,fête!$B$2:$C$367,2,0)),"",VLOOKUP(AN10,fête!$B$2:$C$367,2,0))</f>
        <v>Armistice 1945</v>
      </c>
      <c r="AS10" s="238" t="str">
        <f>IF(ISERROR(VLOOKUP(AN10,évènements!$A$3:$D$200,3,0)),"",VLOOKUP(AN10,évènements!$A$3:$D$200,3,0))</f>
        <v/>
      </c>
      <c r="AT10" s="238" t="str">
        <f>IF(ISERROR(VLOOKUP(AN10,évènements!$B$3:$D$200,2,0)),"",VLOOKUP(AN10,évènements!$B$3:$D$200,2,0))</f>
        <v/>
      </c>
      <c r="AU10" s="238" t="str">
        <f t="shared" si="9"/>
        <v xml:space="preserve">  </v>
      </c>
      <c r="AV10" s="41">
        <f t="shared" si="32"/>
        <v>42894</v>
      </c>
      <c r="AW10" s="42">
        <f t="shared" si="46"/>
        <v>42894</v>
      </c>
      <c r="AX10" s="43">
        <f>IF(AW10="","",IF(ISERROR(MATCH(AW10,Lune!$A$1:$A$1000,0)),IF(WEEKDAY(AW10)=5,INT((AW10-DATE(YEAR(AW10),1,1))/7+1),IF(AND(WEEKDAY(AW10)=4,NOT( ISERROR(MATCH(AW10+1,Lune!$A$1:$A$1000,0)))),INT((AW10+1-DATE(YEAR(AW10+1),1,1))/7+1),"")),INDEX(Lune!$B$1:$B$1000,MATCH(AW10,Lune!$A$1:$A$1000,0),1)))</f>
        <v>23</v>
      </c>
      <c r="AY10" s="79" t="str">
        <f t="shared" ca="1" si="10"/>
        <v/>
      </c>
      <c r="AZ10" s="54" t="str">
        <f ca="1">IF(ISERROR(VLOOKUP(AW10,anniversaire!$X$2:$Z$100,2,0)),"",VLOOKUP(AW10,anniversaire!$X$2:$Z$100,2,0))</f>
        <v/>
      </c>
      <c r="BA10" s="54" t="str">
        <f>IF(ISERROR(VLOOKUP(AW10,fête!$B$2:$C$367,2,0)),"",VLOOKUP(AW10,fête!$B$2:$C$367,2,0))</f>
        <v>Médard</v>
      </c>
      <c r="BB10" s="54" t="str">
        <f>IF(ISERROR(VLOOKUP(AW10,évènements!$A$3:$D$200,3,0)),"",VLOOKUP(AW10,évènements!$A$3:$D$200,3,0))</f>
        <v/>
      </c>
      <c r="BC10" s="54" t="str">
        <f>IF(ISERROR(VLOOKUP(AW10,évènements!$B$3:$D$200,2,0)),"",VLOOKUP(AW10,évènements!$B$3:$D$200,2,0))</f>
        <v/>
      </c>
      <c r="BD10" s="54" t="str">
        <f t="shared" si="11"/>
        <v xml:space="preserve">  </v>
      </c>
      <c r="BE10" s="41">
        <f t="shared" si="33"/>
        <v>42924</v>
      </c>
      <c r="BF10" s="42">
        <f t="shared" si="47"/>
        <v>42924</v>
      </c>
      <c r="BG10" s="43" t="str">
        <f>IF(BF10="","",IF(ISERROR(MATCH(BF10,Lune!$A$1:$A$1000,0)),IF(WEEKDAY(BF10)=5,INT((BF10-DATE(YEAR(BF10),1,1))/7+1),IF(AND(WEEKDAY(BF10)=4,NOT( ISERROR(MATCH(BF10+1,Lune!$A$1:$A$1000,0)))),INT((BF10+1-DATE(YEAR(BF10+1),1,1))/7+1),"")),INDEX(Lune!$B$1:$B$1000,MATCH(BF10,Lune!$A$1:$A$1000,0),1)))</f>
        <v/>
      </c>
      <c r="BH10" s="80" t="str">
        <f t="shared" ca="1" si="12"/>
        <v xml:space="preserve"> '</v>
      </c>
      <c r="BI10" s="54" t="str">
        <f ca="1">IF(ISERROR(VLOOKUP(BF10,anniversaire!$X$2:$Z$100,2,0)),"",VLOOKUP(BF10,anniversaire!$X$2:$Z$100,2,0))</f>
        <v>Taraud  gisèle    62</v>
      </c>
      <c r="BJ10" s="54" t="str">
        <f>IF(ISERROR(VLOOKUP(BF10,fête!$B$2:$C$367,2,0)),"",VLOOKUP(BF10,fête!$B$2:$C$367,2,0))</f>
        <v>Thibault</v>
      </c>
      <c r="BK10" s="54" t="str">
        <f>IF(ISERROR(VLOOKUP(BF10,évènements!$A$3:$D$200,3,0)),"",VLOOKUP(BF10,évènements!$A$3:$D$200,3,0))</f>
        <v/>
      </c>
      <c r="BL10" s="54" t="str">
        <f>IF(ISERROR(VLOOKUP(BF10,évènements!$B$3:$D$200,2,0)),"",VLOOKUP(BF10,évènements!$B$3:$D$200,2,0))</f>
        <v/>
      </c>
      <c r="BM10" s="54" t="str">
        <f t="shared" si="34"/>
        <v xml:space="preserve">  </v>
      </c>
      <c r="BN10" s="41">
        <f t="shared" si="35"/>
        <v>42955</v>
      </c>
      <c r="BO10" s="42">
        <f t="shared" si="48"/>
        <v>42955</v>
      </c>
      <c r="BP10" s="43" t="str">
        <f>IF(BO10="","",IF(ISERROR(MATCH(BO10,Lune!$A$1:$A$1000,0)),IF(WEEKDAY(BO10)=5,INT((BO10-DATE(YEAR(BO10),1,1))/7+1),IF(AND(WEEKDAY(BO10)=4,NOT( ISERROR(MATCH(BO10+1,Lune!$A$1:$A$1000,0)))),INT((BO10+1-DATE(YEAR(BO10+1),1,1))/7+1),"")),INDEX(Lune!$B$1:$B$1000,MATCH(BO10,Lune!$A$1:$A$1000,0),1)))</f>
        <v/>
      </c>
      <c r="BQ10" s="80" t="str">
        <f t="shared" ca="1" si="13"/>
        <v/>
      </c>
      <c r="BR10" s="54" t="str">
        <f ca="1">IF(ISERROR(VLOOKUP(BO10,anniversaire!$X$2:$Z$100,2,0)),"",VLOOKUP(BO10,anniversaire!$X$2:$Z$100,2,0))</f>
        <v/>
      </c>
      <c r="BS10" s="54" t="str">
        <f>IF(ISERROR(VLOOKUP(BO10,fête!$B$2:$C$367,2,0)),"",VLOOKUP(BO10,fête!$B$2:$C$367,2,0))</f>
        <v>Dominique</v>
      </c>
      <c r="BT10" s="54" t="str">
        <f>IF(ISERROR(VLOOKUP(BO10,évènements!$A$3:$D$200,3,0)),"",VLOOKUP(BO10,évènements!$A$3:$D$200,3,0))</f>
        <v/>
      </c>
      <c r="BU10" s="54" t="str">
        <f>IF(ISERROR(VLOOKUP(BO10,évènements!$B$3:$D$200,2,0)),"",VLOOKUP(BO10,évènements!$B$3:$D$200,2,0))</f>
        <v/>
      </c>
      <c r="BV10" s="54" t="str">
        <f t="shared" si="14"/>
        <v xml:space="preserve">  </v>
      </c>
      <c r="BW10" s="41">
        <f t="shared" si="36"/>
        <v>42986</v>
      </c>
      <c r="BX10" s="42">
        <f t="shared" si="49"/>
        <v>42986</v>
      </c>
      <c r="BY10" s="43" t="str">
        <f>IF(BX10="","",IF(ISERROR(MATCH(BX10,Lune!$A$1:$A$1000,0)),IF(WEEKDAY(BX10)=5,INT((BX10-DATE(YEAR(BX10),1,1))/7+1),IF(AND(WEEKDAY(BX10)=4,NOT( ISERROR(MATCH(BX10+1,Lune!$A$1:$A$1000,0)))),INT((BX10+1-DATE(YEAR(BX10+1),1,1))/7+1),"")),INDEX(Lune!$B$1:$B$1000,MATCH(BX10,Lune!$A$1:$A$1000,0),1)))</f>
        <v/>
      </c>
      <c r="BZ10" s="80" t="str">
        <f t="shared" ca="1" si="15"/>
        <v/>
      </c>
      <c r="CA10" s="54" t="str">
        <f ca="1">IF(ISERROR(VLOOKUP(BX10,anniversaire!$X$2:$Z$100,2,0)),"",VLOOKUP(BX10,anniversaire!$X$2:$Z$100,2,0))</f>
        <v/>
      </c>
      <c r="CB10" s="54" t="str">
        <f>IF(ISERROR(VLOOKUP(BX10,fête!$B$2:$C$367,2,0)),"",VLOOKUP(BX10,fête!$B$2:$C$367,2,0))</f>
        <v>Nativité</v>
      </c>
      <c r="CC10" s="54" t="str">
        <f>IF(ISERROR(VLOOKUP(BX10,évènements!$A$3:$D$200,3,0)),"",VLOOKUP(BX10,évènements!$A$3:$D$200,3,0))</f>
        <v/>
      </c>
      <c r="CD10" s="54" t="str">
        <f>IF(ISERROR(VLOOKUP(BX10,évènements!$B$3:$D$200,2,0)),"",VLOOKUP(BX10,évènements!$B$3:$D$200,2,0))</f>
        <v/>
      </c>
      <c r="CE10" s="54" t="str">
        <f t="shared" si="16"/>
        <v xml:space="preserve">  </v>
      </c>
      <c r="CF10" s="41">
        <f t="shared" si="37"/>
        <v>43016</v>
      </c>
      <c r="CG10" s="42">
        <f t="shared" si="50"/>
        <v>43016</v>
      </c>
      <c r="CH10" s="43" t="str">
        <f>IF(CG10="","",IF(ISERROR(MATCH(CG10,Lune!$A$1:$A$1000,0)),IF(WEEKDAY(CG10)=5,INT((CG10-DATE(YEAR(CG10),1,1))/7+1),IF(AND(WEEKDAY(CG10)=4,NOT( ISERROR(MATCH(CG10+1,Lune!$A$1:$A$1000,0)))),INT((CG10+1-DATE(YEAR(CG10+1),1,1))/7+1),"")),INDEX(Lune!$B$1:$B$1000,MATCH(CG10,Lune!$A$1:$A$1000,0),1)))</f>
        <v/>
      </c>
      <c r="CI10" s="80" t="str">
        <f t="shared" ca="1" si="17"/>
        <v/>
      </c>
      <c r="CJ10" s="54" t="str">
        <f ca="1">IF(ISERROR(VLOOKUP(CG10,anniversaire!$X$2:$Z$100,2,0)),"",VLOOKUP(CG10,anniversaire!$X$2:$Z$100,2,0))</f>
        <v/>
      </c>
      <c r="CK10" s="54" t="str">
        <f>IF(ISERROR(VLOOKUP(CG10,fête!$B$2:$C$367,2,0)),"",VLOOKUP(CG10,fête!$B$2:$C$367,2,0))</f>
        <v>Pélagie</v>
      </c>
      <c r="CL10" s="54" t="str">
        <f>IF(ISERROR(VLOOKUP(CG10,évènements!$A$3:$D$200,3,0)),"",VLOOKUP(CG10,évènements!$A$3:$D$200,3,0))</f>
        <v/>
      </c>
      <c r="CM10" s="54" t="str">
        <f>IF(ISERROR(VLOOKUP(CG10,évènements!$B$3:$D$200,2,0)),"",VLOOKUP(CG10,évènements!$B$3:$D$200,2,0))</f>
        <v/>
      </c>
      <c r="CN10" s="54" t="str">
        <f t="shared" si="18"/>
        <v xml:space="preserve">  </v>
      </c>
      <c r="CO10" s="41">
        <f t="shared" si="38"/>
        <v>43047</v>
      </c>
      <c r="CP10" s="42">
        <f t="shared" si="51"/>
        <v>43047</v>
      </c>
      <c r="CQ10" s="43" t="str">
        <f>IF(CP10="","",IF(ISERROR(MATCH(CP10,Lune!$A$1:$A$1000,0)),IF(WEEKDAY(CP10)=5,INT((CP10-DATE(YEAR(CP10),1,1))/7+1),IF(AND(WEEKDAY(CP10)=4,NOT( ISERROR(MATCH(CP10+1,Lune!$A$1:$A$1000,0)))),INT((CP10+1-DATE(YEAR(CP10+1),1,1))/7+1),"")),INDEX(Lune!$B$1:$B$1000,MATCH(CP10,Lune!$A$1:$A$1000,0),1)))</f>
        <v/>
      </c>
      <c r="CR10" s="80" t="str">
        <f t="shared" ca="1" si="19"/>
        <v/>
      </c>
      <c r="CS10" s="54" t="str">
        <f ca="1">IF(ISERROR(VLOOKUP(CP10,anniversaire!$X$2:$Z$100,2,0)),"",VLOOKUP(CP10,anniversaire!$X$2:$Z$100,2,0))</f>
        <v/>
      </c>
      <c r="CT10" s="54" t="str">
        <f>IF(ISERROR(VLOOKUP(CP10,fête!$B$2:$C$367,2,0)),"",VLOOKUP(CP10,fête!$B$2:$C$367,2,0))</f>
        <v>Geoffroy</v>
      </c>
      <c r="CU10" s="54" t="str">
        <f>IF(ISERROR(VLOOKUP(CP10,évènements!$A$3:$D$200,3,0)),"",VLOOKUP(CP10,évènements!$A$3:$D$200,3,0))</f>
        <v/>
      </c>
      <c r="CV10" s="54" t="str">
        <f>IF(ISERROR(VLOOKUP(CP10,évènements!$B$3:$D$200,2,0)),"",VLOOKUP(CP10,évènements!$B$3:$D$200,2,0))</f>
        <v/>
      </c>
      <c r="CW10" s="54" t="str">
        <f t="shared" si="20"/>
        <v xml:space="preserve">  </v>
      </c>
      <c r="CX10" s="41">
        <f t="shared" si="39"/>
        <v>43077</v>
      </c>
      <c r="CY10" s="42">
        <f t="shared" si="52"/>
        <v>43077</v>
      </c>
      <c r="CZ10" s="43" t="str">
        <f>IF(CY10="","",IF(ISERROR(MATCH(CY10,Lune!$A$1:$A$1000,0)),IF(WEEKDAY(CY10)=5,INT((CY10-DATE(YEAR(CY10),1,1))/7+1),IF(AND(WEEKDAY(CY10)=4,NOT( ISERROR(MATCH(CY10+1,Lune!$A$1:$A$1000,0)))),INT((CY10+1-DATE(YEAR(CY10+1),1,1))/7+1),"")),INDEX(Lune!$B$1:$B$1000,MATCH(CY10,Lune!$A$1:$A$1000,0),1)))</f>
        <v/>
      </c>
      <c r="DA10" s="80" t="str">
        <f t="shared" ca="1" si="21"/>
        <v/>
      </c>
      <c r="DB10" s="54" t="str">
        <f ca="1">IF(ISERROR(VLOOKUP(CY10,anniversaire!$X$2:$Z$100,2,0)),"",VLOOKUP(CY10,anniversaire!$X$2:$Z$100,2,0))</f>
        <v/>
      </c>
      <c r="DC10" s="54" t="str">
        <f>IF(ISERROR(VLOOKUP(CY10,fête!$B$2:$C$367,2,0)),"",VLOOKUP(CY10,fête!$B$2:$C$367,2,0))</f>
        <v>Immaculée Conception</v>
      </c>
      <c r="DD10" s="54" t="str">
        <f>IF(ISERROR(VLOOKUP(CY10,évènements!$A$3:$D$200,3,0)),"",VLOOKUP(CY10,évènements!$A$3:$D$200,3,0))</f>
        <v/>
      </c>
      <c r="DE10" s="54" t="str">
        <f>IF(ISERROR(VLOOKUP(CY10,évènements!$B$3:$D$200,2,0)),"",VLOOKUP(CY10,évènements!$B$3:$D$200,2,0))</f>
        <v/>
      </c>
      <c r="DF10" s="54" t="str">
        <f t="shared" si="22"/>
        <v xml:space="preserve">  </v>
      </c>
      <c r="DG10" s="41">
        <f t="shared" si="40"/>
        <v>43108</v>
      </c>
      <c r="DH10" s="42">
        <f t="shared" si="53"/>
        <v>43108</v>
      </c>
      <c r="DI10" s="43" t="str">
        <f>IF(DH10="","",IF(ISERROR(MATCH(DH10,Lune!$A$1:$A$1000,0)),IF(WEEKDAY(DH10)=5,INT((DH10-DATE(YEAR(DH10),1,1))/7+1),IF(AND(WEEKDAY(DH10)=4,NOT( ISERROR(MATCH(DH10+1,Lune!$A$1:$A$1000,0)))),INT((DH10+1-DATE(YEAR(DH10+1),1,1))/7+1),"")),INDEX(Lune!$B$1:$B$1000,MATCH(DH10,Lune!$A$1:$A$1000,0),1)))</f>
        <v>◑</v>
      </c>
      <c r="DJ10" s="89" t="str">
        <f t="shared" ca="1" si="23"/>
        <v/>
      </c>
      <c r="DK10" s="252" t="str">
        <f t="shared" ca="1" si="24"/>
        <v/>
      </c>
      <c r="DL10" s="252" t="str">
        <f t="shared" si="25"/>
        <v>Lucien</v>
      </c>
      <c r="DM10" s="252" t="str">
        <f>IF(ISERROR(VLOOKUP(DH10,évènements!$A$3:$D$200,3,0)),"",VLOOKUP(DH10,évènements!$A$3:$D$200,3,0))</f>
        <v/>
      </c>
      <c r="DN10" s="252" t="str">
        <f>IF(ISERROR(VLOOKUP(DH10,évènements!$B$3:$D$200,2,0)),"",VLOOKUP(DH10,évènements!$B$3:$D$200,2,0))</f>
        <v/>
      </c>
      <c r="DO10" s="252" t="str">
        <f t="shared" si="26"/>
        <v xml:space="preserve">  </v>
      </c>
    </row>
    <row r="11" spans="2:119" ht="15" customHeight="1">
      <c r="B11" s="29"/>
      <c r="C11" s="41">
        <f t="shared" si="27"/>
        <v>42744</v>
      </c>
      <c r="D11" s="40">
        <f t="shared" si="41"/>
        <v>42744</v>
      </c>
      <c r="E11" s="131" t="str">
        <f>IF(D11="","",IF(ISERROR(MATCH(D11,Lune!$A$1:$A$1000,0)),IF(WEEKDAY(D11)=5,INT((D11-DATE(YEAR(D11),1,1))/7+1),IF(AND(WEEKDAY(D11)=4,NOT( ISERROR(MATCH(D11+1,Lune!$A$1:$A$1000,0)))),INT((D11+1-DATE(YEAR(D11+1),1,1))/7+1),"")),INDEX(Lune!$B$1:$B$1000,MATCH(D11,Lune!$A$1:$A$1000,0),1)))</f>
        <v/>
      </c>
      <c r="F11" s="89" t="str">
        <f t="shared" ca="1" si="0"/>
        <v/>
      </c>
      <c r="G11" s="125" t="str">
        <f ca="1">IF(ISERROR(VLOOKUP(D11,anniversaire!$X$2:$Z$100,2,0)),"",VLOOKUP(D11,anniversaire!$X$2:$Z$100,2,0))</f>
        <v/>
      </c>
      <c r="H11" s="54" t="str">
        <f>IF(ISERROR(VLOOKUP(D11,fête!$B$2:$C$367,2,0)),"",VLOOKUP(D11,fête!$B$2:$C$367,2,0))</f>
        <v>Alix</v>
      </c>
      <c r="I11" s="239" t="str">
        <f>IF(ISERROR(VLOOKUP(D11,évènements!$A$3:$D$200,3,0)),"",VLOOKUP(D11,évènements!$A$3:$D$200,3,0))</f>
        <v/>
      </c>
      <c r="J11" s="239" t="str">
        <f>IF(ISERROR(VLOOKUP(D11,évènements!$B$3:$D$200,2,0)),"",VLOOKUP(D11,évènements!$B$3:$D$200,2,0))</f>
        <v/>
      </c>
      <c r="K11" s="239" t="str">
        <f t="shared" si="1"/>
        <v xml:space="preserve">  </v>
      </c>
      <c r="L11" s="41">
        <f t="shared" si="28"/>
        <v>42775</v>
      </c>
      <c r="M11" s="42">
        <f t="shared" si="42"/>
        <v>42775</v>
      </c>
      <c r="N11" s="131">
        <f>IF(M11="","",IF(ISERROR(MATCH(M11,Lune!$A$1:$A$1000,0)),IF(WEEKDAY(M11)=5,INT((M11-DATE(YEAR(M11),1,1))/7+1),IF(AND(WEEKDAY(M11)=4,NOT( ISERROR(MATCH(M11+1,Lune!$A$1:$A$1000,0)))),INT((M11+1-DATE(YEAR(M11+1),1,1))/7+1),"")),INDEX(Lune!$B$1:$B$1000,MATCH(M11,Lune!$A$1:$A$1000,0),1)))</f>
        <v>6</v>
      </c>
      <c r="O11" s="80" t="str">
        <f t="shared" ca="1" si="2"/>
        <v/>
      </c>
      <c r="P11" s="54" t="str">
        <f ca="1">IF(ISERROR(VLOOKUP(M11,anniversaire!$X$2:$Z$100,2,0)),"",VLOOKUP(M11,anniversaire!$X$2:$Z$100,2,0))</f>
        <v/>
      </c>
      <c r="Q11" s="54" t="str">
        <f>IF(ISERROR(VLOOKUP(M11,fête!$B$2:$C$367,2,0)),"",VLOOKUP(M11,fête!$B$2:$C$367,2,0))</f>
        <v>Apolline</v>
      </c>
      <c r="R11" s="54" t="str">
        <f>IF(ISERROR(VLOOKUP(M11,évènements!$A$3:$D$200,3,0)),"",VLOOKUP(M11,évènements!$A$3:$D$200,3,0))</f>
        <v/>
      </c>
      <c r="S11" s="54" t="str">
        <f>IF(ISERROR(VLOOKUP(M11,évènements!$B$3:$D$200,2,0)),"",VLOOKUP(M11,évènements!$B$3:$D$200,2,0))</f>
        <v/>
      </c>
      <c r="T11" s="54" t="str">
        <f t="shared" si="3"/>
        <v xml:space="preserve">  </v>
      </c>
      <c r="U11" s="41">
        <f t="shared" si="29"/>
        <v>42803</v>
      </c>
      <c r="V11" s="42">
        <f t="shared" si="43"/>
        <v>42803</v>
      </c>
      <c r="W11" s="132">
        <f>IF(V11="","",IF(ISERROR(MATCH(V11,Lune!$A$1:$A$1000,0)),IF(WEEKDAY(V11)=5,INT((V11-DATE(YEAR(V11),1,1))/7+1),IF(AND(WEEKDAY(V11)=4,NOT( ISERROR(MATCH(V11+1,Lune!$A$1:$A$1000,0)))),INT((V11+1-DATE(YEAR(V11+1),1,1))/7+1),"")),INDEX(Lune!$B$1:$B$1000,MATCH(V11,Lune!$A$1:$A$1000,0),1)))</f>
        <v>10</v>
      </c>
      <c r="X11" s="89" t="str">
        <f t="shared" ca="1" si="4"/>
        <v/>
      </c>
      <c r="Y11" s="125" t="str">
        <f ca="1">IF(ISERROR(VLOOKUP(V11,anniversaire!$X$2:$Z$100,2,0)),"",VLOOKUP(V11,anniversaire!$X$2:$Z$100,2,0))</f>
        <v/>
      </c>
      <c r="Z11" s="54" t="str">
        <f>IF(ISERROR(VLOOKUP(V11,fête!$B$2:$C$367,2,0)),"",VLOOKUP(V11,fête!$B$2:$C$367,2,0))</f>
        <v>Françoise</v>
      </c>
      <c r="AA11" s="54" t="str">
        <f>IF(ISERROR(VLOOKUP(V11,évènements!$A$3:$D$200,3,0)),"",VLOOKUP(V11,évènements!$A$3:$D$200,3,0))</f>
        <v/>
      </c>
      <c r="AB11" s="54" t="str">
        <f>IF(ISERROR(VLOOKUP(V11,évènements!$B$3:$D$200,2,0)),"",VLOOKUP(V11,évènements!$B$3:$D$200,2,0))</f>
        <v/>
      </c>
      <c r="AC11" s="54" t="str">
        <f t="shared" si="5"/>
        <v xml:space="preserve">  </v>
      </c>
      <c r="AD11" s="41">
        <f t="shared" si="30"/>
        <v>42834</v>
      </c>
      <c r="AE11" s="42">
        <f t="shared" si="44"/>
        <v>42834</v>
      </c>
      <c r="AF11" s="137" t="str">
        <f>IF(AE11="","",IF(ISERROR(MATCH(AE11,Lune!$A$1:$A$1000,0)),IF(WEEKDAY(AE11)=5,INT((AE11-DATE(YEAR(AE11),1,1))/7+1),IF(AND(WEEKDAY(AE11)=4,NOT( ISERROR(MATCH(AE11+1,Lune!$A$1:$A$1000,0)))),INT((AE11+1-DATE(YEAR(AE11+1),1,1))/7+1),"")),INDEX(Lune!$B$1:$B$1000,MATCH(AE11,Lune!$A$1:$A$1000,0),1)))</f>
        <v/>
      </c>
      <c r="AG11" s="80" t="str">
        <f t="shared" ca="1" si="6"/>
        <v/>
      </c>
      <c r="AH11" s="54" t="str">
        <f ca="1">IF(ISERROR(VLOOKUP(AE11,anniversaire!$X$2:$Z$100,2,0)),"",VLOOKUP(AE11,anniversaire!$X$2:$Z$100,2,0))</f>
        <v/>
      </c>
      <c r="AI11" s="54" t="str">
        <f>IF(ISERROR(VLOOKUP(AE11,fête!$B$2:$C$367,2,0)),"",VLOOKUP(AE11,fête!$B$2:$C$367,2,0))</f>
        <v>Gautier</v>
      </c>
      <c r="AJ11" s="54" t="str">
        <f>IF(ISERROR(VLOOKUP(AE11,évènements!$A$3:$D$200,3,0)),"",VLOOKUP(AE11,évènements!$A$3:$D$200,3,0))</f>
        <v/>
      </c>
      <c r="AK11" s="54" t="str">
        <f>IF(ISERROR(VLOOKUP(AE11,évènements!$B$3:$D$200,2,0)),"",VLOOKUP(AE11,évènements!$B$3:$D$200,2,0))</f>
        <v/>
      </c>
      <c r="AL11" s="238" t="str">
        <f t="shared" si="7"/>
        <v xml:space="preserve">  </v>
      </c>
      <c r="AM11" s="41">
        <f t="shared" si="31"/>
        <v>42864</v>
      </c>
      <c r="AN11" s="42">
        <f t="shared" si="45"/>
        <v>42864</v>
      </c>
      <c r="AO11" s="43" t="str">
        <f>IF(AN11="","",IF(ISERROR(MATCH(AN11,Lune!$A$1:$A$1000,0)),IF(WEEKDAY(AN11)=5,INT((AN11-DATE(YEAR(AN11),1,1))/7+1),IF(AND(WEEKDAY(AN11)=4,NOT( ISERROR(MATCH(AN11+1,Lune!$A$1:$A$1000,0)))),INT((AN11+1-DATE(YEAR(AN11+1),1,1))/7+1),"")),INDEX(Lune!$B$1:$B$1000,MATCH(AN11,Lune!$A$1:$A$1000,0),1)))</f>
        <v/>
      </c>
      <c r="AP11" s="79" t="str">
        <f t="shared" ca="1" si="8"/>
        <v>'</v>
      </c>
      <c r="AQ11" s="54" t="str">
        <f ca="1">IF(ISERROR(VLOOKUP(AN11,anniversaire!$X$2:$Z$100,2,0)),"",VLOOKUP(AN11,anniversaire!$X$2:$Z$100,2,0))</f>
        <v xml:space="preserve">Virely  élodie  3  </v>
      </c>
      <c r="AR11" s="54" t="str">
        <f>IF(ISERROR(VLOOKUP(AN11,fête!$B$2:$C$367,2,0)),"",VLOOKUP(AN11,fête!$B$2:$C$367,2,0))</f>
        <v>Pacôme</v>
      </c>
      <c r="AS11" s="238" t="str">
        <f>IF(ISERROR(VLOOKUP(AN11,évènements!$A$3:$D$200,3,0)),"",VLOOKUP(AN11,évènements!$A$3:$D$200,3,0))</f>
        <v/>
      </c>
      <c r="AT11" s="238" t="str">
        <f>IF(ISERROR(VLOOKUP(AN11,évènements!$B$3:$D$200,2,0)),"",VLOOKUP(AN11,évènements!$B$3:$D$200,2,0))</f>
        <v/>
      </c>
      <c r="AU11" s="238" t="str">
        <f t="shared" si="9"/>
        <v xml:space="preserve">  </v>
      </c>
      <c r="AV11" s="41">
        <f t="shared" si="32"/>
        <v>42895</v>
      </c>
      <c r="AW11" s="42">
        <f t="shared" si="46"/>
        <v>42895</v>
      </c>
      <c r="AX11" s="43" t="str">
        <f>IF(AW11="","",IF(ISERROR(MATCH(AW11,Lune!$A$1:$A$1000,0)),IF(WEEKDAY(AW11)=5,INT((AW11-DATE(YEAR(AW11),1,1))/7+1),IF(AND(WEEKDAY(AW11)=4,NOT( ISERROR(MATCH(AW11+1,Lune!$A$1:$A$1000,0)))),INT((AW11+1-DATE(YEAR(AW11+1),1,1))/7+1),"")),INDEX(Lune!$B$1:$B$1000,MATCH(AW11,Lune!$A$1:$A$1000,0),1)))</f>
        <v>○</v>
      </c>
      <c r="AY11" s="79" t="str">
        <f t="shared" ca="1" si="10"/>
        <v/>
      </c>
      <c r="AZ11" s="54" t="str">
        <f ca="1">IF(ISERROR(VLOOKUP(AW11,anniversaire!$X$2:$Z$100,2,0)),"",VLOOKUP(AW11,anniversaire!$X$2:$Z$100,2,0))</f>
        <v/>
      </c>
      <c r="BA11" s="54" t="str">
        <f>IF(ISERROR(VLOOKUP(AW11,fête!$B$2:$C$367,2,0)),"",VLOOKUP(AW11,fête!$B$2:$C$367,2,0))</f>
        <v>Diane</v>
      </c>
      <c r="BB11" s="54" t="str">
        <f>IF(ISERROR(VLOOKUP(AW11,évènements!$A$3:$D$200,3,0)),"",VLOOKUP(AW11,évènements!$A$3:$D$200,3,0))</f>
        <v/>
      </c>
      <c r="BC11" s="54" t="str">
        <f>IF(ISERROR(VLOOKUP(AW11,évènements!$B$3:$D$200,2,0)),"",VLOOKUP(AW11,évènements!$B$3:$D$200,2,0))</f>
        <v>rdv essai médical prothése</v>
      </c>
      <c r="BD11" s="54" t="str">
        <f t="shared" si="11"/>
        <v xml:space="preserve">  rdv essai médical prothése</v>
      </c>
      <c r="BE11" s="41">
        <f t="shared" si="33"/>
        <v>42925</v>
      </c>
      <c r="BF11" s="42">
        <f t="shared" si="47"/>
        <v>42925</v>
      </c>
      <c r="BG11" s="43" t="str">
        <f>IF(BF11="","",IF(ISERROR(MATCH(BF11,Lune!$A$1:$A$1000,0)),IF(WEEKDAY(BF11)=5,INT((BF11-DATE(YEAR(BF11),1,1))/7+1),IF(AND(WEEKDAY(BF11)=4,NOT( ISERROR(MATCH(BF11+1,Lune!$A$1:$A$1000,0)))),INT((BF11+1-DATE(YEAR(BF11+1),1,1))/7+1),"")),INDEX(Lune!$B$1:$B$1000,MATCH(BF11,Lune!$A$1:$A$1000,0),1)))</f>
        <v>○</v>
      </c>
      <c r="BH11" s="80" t="str">
        <f t="shared" ca="1" si="12"/>
        <v/>
      </c>
      <c r="BI11" s="54" t="str">
        <f ca="1">IF(ISERROR(VLOOKUP(BF11,anniversaire!$X$2:$Z$100,2,0)),"",VLOOKUP(BF11,anniversaire!$X$2:$Z$100,2,0))</f>
        <v/>
      </c>
      <c r="BJ11" s="54" t="str">
        <f>IF(ISERROR(VLOOKUP(BF11,fête!$B$2:$C$367,2,0)),"",VLOOKUP(BF11,fête!$B$2:$C$367,2,0))</f>
        <v>Amandine</v>
      </c>
      <c r="BK11" s="54" t="str">
        <f>IF(ISERROR(VLOOKUP(BF11,évènements!$A$3:$D$200,3,0)),"",VLOOKUP(BF11,évènements!$A$3:$D$200,3,0))</f>
        <v/>
      </c>
      <c r="BL11" s="54" t="str">
        <f>IF(ISERROR(VLOOKUP(BF11,évènements!$B$3:$D$200,2,0)),"",VLOOKUP(BF11,évènements!$B$3:$D$200,2,0))</f>
        <v/>
      </c>
      <c r="BM11" s="54" t="str">
        <f t="shared" si="34"/>
        <v xml:space="preserve">  </v>
      </c>
      <c r="BN11" s="41">
        <f t="shared" si="35"/>
        <v>42956</v>
      </c>
      <c r="BO11" s="42">
        <f t="shared" si="48"/>
        <v>42956</v>
      </c>
      <c r="BP11" s="43" t="str">
        <f>IF(BO11="","",IF(ISERROR(MATCH(BO11,Lune!$A$1:$A$1000,0)),IF(WEEKDAY(BO11)=5,INT((BO11-DATE(YEAR(BO11),1,1))/7+1),IF(AND(WEEKDAY(BO11)=4,NOT( ISERROR(MATCH(BO11+1,Lune!$A$1:$A$1000,0)))),INT((BO11+1-DATE(YEAR(BO11+1),1,1))/7+1),"")),INDEX(Lune!$B$1:$B$1000,MATCH(BO11,Lune!$A$1:$A$1000,0),1)))</f>
        <v/>
      </c>
      <c r="BQ11" s="80" t="str">
        <f t="shared" ca="1" si="13"/>
        <v/>
      </c>
      <c r="BR11" s="54" t="str">
        <f ca="1">IF(ISERROR(VLOOKUP(BO11,anniversaire!$X$2:$Z$100,2,0)),"",VLOOKUP(BO11,anniversaire!$X$2:$Z$100,2,0))</f>
        <v/>
      </c>
      <c r="BS11" s="54" t="str">
        <f>IF(ISERROR(VLOOKUP(BO11,fête!$B$2:$C$367,2,0)),"",VLOOKUP(BO11,fête!$B$2:$C$367,2,0))</f>
        <v>Amour</v>
      </c>
      <c r="BT11" s="54" t="str">
        <f>IF(ISERROR(VLOOKUP(BO11,évènements!$A$3:$D$200,3,0)),"",VLOOKUP(BO11,évènements!$A$3:$D$200,3,0))</f>
        <v/>
      </c>
      <c r="BU11" s="54" t="str">
        <f>IF(ISERROR(VLOOKUP(BO11,évènements!$B$3:$D$200,2,0)),"",VLOOKUP(BO11,évènements!$B$3:$D$200,2,0))</f>
        <v/>
      </c>
      <c r="BV11" s="54" t="str">
        <f t="shared" si="14"/>
        <v xml:space="preserve">  </v>
      </c>
      <c r="BW11" s="41">
        <f t="shared" si="36"/>
        <v>42987</v>
      </c>
      <c r="BX11" s="42">
        <f t="shared" si="49"/>
        <v>42987</v>
      </c>
      <c r="BY11" s="43" t="str">
        <f>IF(BX11="","",IF(ISERROR(MATCH(BX11,Lune!$A$1:$A$1000,0)),IF(WEEKDAY(BX11)=5,INT((BX11-DATE(YEAR(BX11),1,1))/7+1),IF(AND(WEEKDAY(BX11)=4,NOT( ISERROR(MATCH(BX11+1,Lune!$A$1:$A$1000,0)))),INT((BX11+1-DATE(YEAR(BX11+1),1,1))/7+1),"")),INDEX(Lune!$B$1:$B$1000,MATCH(BX11,Lune!$A$1:$A$1000,0),1)))</f>
        <v/>
      </c>
      <c r="BZ11" s="80" t="str">
        <f t="shared" ca="1" si="15"/>
        <v/>
      </c>
      <c r="CA11" s="54" t="str">
        <f ca="1">IF(ISERROR(VLOOKUP(BX11,anniversaire!$X$2:$Z$100,2,0)),"",VLOOKUP(BX11,anniversaire!$X$2:$Z$100,2,0))</f>
        <v/>
      </c>
      <c r="CB11" s="54" t="str">
        <f>IF(ISERROR(VLOOKUP(BX11,fête!$B$2:$C$367,2,0)),"",VLOOKUP(BX11,fête!$B$2:$C$367,2,0))</f>
        <v>Alain</v>
      </c>
      <c r="CC11" s="54" t="str">
        <f>IF(ISERROR(VLOOKUP(BX11,évènements!$A$3:$D$200,3,0)),"",VLOOKUP(BX11,évènements!$A$3:$D$200,3,0))</f>
        <v/>
      </c>
      <c r="CD11" s="54" t="str">
        <f>IF(ISERROR(VLOOKUP(BX11,évènements!$B$3:$D$200,2,0)),"",VLOOKUP(BX11,évènements!$B$3:$D$200,2,0))</f>
        <v/>
      </c>
      <c r="CE11" s="54" t="str">
        <f t="shared" si="16"/>
        <v xml:space="preserve">  </v>
      </c>
      <c r="CF11" s="41">
        <f t="shared" si="37"/>
        <v>43017</v>
      </c>
      <c r="CG11" s="42">
        <f t="shared" si="50"/>
        <v>43017</v>
      </c>
      <c r="CH11" s="43" t="str">
        <f>IF(CG11="","",IF(ISERROR(MATCH(CG11,Lune!$A$1:$A$1000,0)),IF(WEEKDAY(CG11)=5,INT((CG11-DATE(YEAR(CG11),1,1))/7+1),IF(AND(WEEKDAY(CG11)=4,NOT( ISERROR(MATCH(CG11+1,Lune!$A$1:$A$1000,0)))),INT((CG11+1-DATE(YEAR(CG11+1),1,1))/7+1),"")),INDEX(Lune!$B$1:$B$1000,MATCH(CG11,Lune!$A$1:$A$1000,0),1)))</f>
        <v/>
      </c>
      <c r="CI11" s="80" t="str">
        <f t="shared" ca="1" si="17"/>
        <v/>
      </c>
      <c r="CJ11" s="54" t="str">
        <f ca="1">IF(ISERROR(VLOOKUP(CG11,anniversaire!$X$2:$Z$100,2,0)),"",VLOOKUP(CG11,anniversaire!$X$2:$Z$100,2,0))</f>
        <v/>
      </c>
      <c r="CK11" s="54" t="str">
        <f>IF(ISERROR(VLOOKUP(CG11,fête!$B$2:$C$367,2,0)),"",VLOOKUP(CG11,fête!$B$2:$C$367,2,0))</f>
        <v>Denis</v>
      </c>
      <c r="CL11" s="54" t="str">
        <f>IF(ISERROR(VLOOKUP(CG11,évènements!$A$3:$D$200,3,0)),"",VLOOKUP(CG11,évènements!$A$3:$D$200,3,0))</f>
        <v/>
      </c>
      <c r="CM11" s="54" t="str">
        <f>IF(ISERROR(VLOOKUP(CG11,évènements!$B$3:$D$200,2,0)),"",VLOOKUP(CG11,évènements!$B$3:$D$200,2,0))</f>
        <v/>
      </c>
      <c r="CN11" s="54" t="str">
        <f t="shared" si="18"/>
        <v xml:space="preserve">  </v>
      </c>
      <c r="CO11" s="41">
        <f t="shared" si="38"/>
        <v>43048</v>
      </c>
      <c r="CP11" s="42">
        <f t="shared" si="51"/>
        <v>43048</v>
      </c>
      <c r="CQ11" s="43">
        <f>IF(CP11="","",IF(ISERROR(MATCH(CP11,Lune!$A$1:$A$1000,0)),IF(WEEKDAY(CP11)=5,INT((CP11-DATE(YEAR(CP11),1,1))/7+1),IF(AND(WEEKDAY(CP11)=4,NOT( ISERROR(MATCH(CP11+1,Lune!$A$1:$A$1000,0)))),INT((CP11+1-DATE(YEAR(CP11+1),1,1))/7+1),"")),INDEX(Lune!$B$1:$B$1000,MATCH(CP11,Lune!$A$1:$A$1000,0),1)))</f>
        <v>45</v>
      </c>
      <c r="CR11" s="80" t="str">
        <f t="shared" ca="1" si="19"/>
        <v/>
      </c>
      <c r="CS11" s="54" t="str">
        <f ca="1">IF(ISERROR(VLOOKUP(CP11,anniversaire!$X$2:$Z$100,2,0)),"",VLOOKUP(CP11,anniversaire!$X$2:$Z$100,2,0))</f>
        <v/>
      </c>
      <c r="CT11" s="54" t="str">
        <f>IF(ISERROR(VLOOKUP(CP11,fête!$B$2:$C$367,2,0)),"",VLOOKUP(CP11,fête!$B$2:$C$367,2,0))</f>
        <v>Théodore</v>
      </c>
      <c r="CU11" s="54" t="str">
        <f>IF(ISERROR(VLOOKUP(CP11,évènements!$A$3:$D$200,3,0)),"",VLOOKUP(CP11,évènements!$A$3:$D$200,3,0))</f>
        <v/>
      </c>
      <c r="CV11" s="54" t="str">
        <f>IF(ISERROR(VLOOKUP(CP11,évènements!$B$3:$D$200,2,0)),"",VLOOKUP(CP11,évènements!$B$3:$D$200,2,0))</f>
        <v/>
      </c>
      <c r="CW11" s="54" t="str">
        <f t="shared" si="20"/>
        <v xml:space="preserve">  </v>
      </c>
      <c r="CX11" s="41">
        <f t="shared" si="39"/>
        <v>43078</v>
      </c>
      <c r="CY11" s="42">
        <f t="shared" si="52"/>
        <v>43078</v>
      </c>
      <c r="CZ11" s="43" t="str">
        <f>IF(CY11="","",IF(ISERROR(MATCH(CY11,Lune!$A$1:$A$1000,0)),IF(WEEKDAY(CY11)=5,INT((CY11-DATE(YEAR(CY11),1,1))/7+1),IF(AND(WEEKDAY(CY11)=4,NOT( ISERROR(MATCH(CY11+1,Lune!$A$1:$A$1000,0)))),INT((CY11+1-DATE(YEAR(CY11+1),1,1))/7+1),"")),INDEX(Lune!$B$1:$B$1000,MATCH(CY11,Lune!$A$1:$A$1000,0),1)))</f>
        <v/>
      </c>
      <c r="DA11" s="80" t="str">
        <f t="shared" ca="1" si="21"/>
        <v/>
      </c>
      <c r="DB11" s="54" t="str">
        <f ca="1">IF(ISERROR(VLOOKUP(CY11,anniversaire!$X$2:$Z$100,2,0)),"",VLOOKUP(CY11,anniversaire!$X$2:$Z$100,2,0))</f>
        <v/>
      </c>
      <c r="DC11" s="54" t="str">
        <f>IF(ISERROR(VLOOKUP(CY11,fête!$B$2:$C$367,2,0)),"",VLOOKUP(CY11,fête!$B$2:$C$367,2,0))</f>
        <v>Pierre Fourier</v>
      </c>
      <c r="DD11" s="54" t="str">
        <f>IF(ISERROR(VLOOKUP(CY11,évènements!$A$3:$D$200,3,0)),"",VLOOKUP(CY11,évènements!$A$3:$D$200,3,0))</f>
        <v/>
      </c>
      <c r="DE11" s="54" t="str">
        <f>IF(ISERROR(VLOOKUP(CY11,évènements!$B$3:$D$200,2,0)),"",VLOOKUP(CY11,évènements!$B$3:$D$200,2,0))</f>
        <v/>
      </c>
      <c r="DF11" s="54" t="str">
        <f t="shared" si="22"/>
        <v xml:space="preserve">  </v>
      </c>
      <c r="DG11" s="41">
        <f t="shared" si="40"/>
        <v>43109</v>
      </c>
      <c r="DH11" s="42">
        <f t="shared" si="53"/>
        <v>43109</v>
      </c>
      <c r="DI11" s="43" t="str">
        <f>IF(DH11="","",IF(ISERROR(MATCH(DH11,Lune!$A$1:$A$1000,0)),IF(WEEKDAY(DH11)=5,INT((DH11-DATE(YEAR(DH11),1,1))/7+1),IF(AND(WEEKDAY(DH11)=4,NOT( ISERROR(MATCH(DH11+1,Lune!$A$1:$A$1000,0)))),INT((DH11+1-DATE(YEAR(DH11+1),1,1))/7+1),"")),INDEX(Lune!$B$1:$B$1000,MATCH(DH11,Lune!$A$1:$A$1000,0),1)))</f>
        <v/>
      </c>
      <c r="DJ11" s="89" t="str">
        <f t="shared" ca="1" si="23"/>
        <v/>
      </c>
      <c r="DK11" s="252" t="str">
        <f t="shared" ca="1" si="24"/>
        <v/>
      </c>
      <c r="DL11" s="252" t="str">
        <f t="shared" si="25"/>
        <v>Alix</v>
      </c>
      <c r="DM11" s="252" t="str">
        <f>IF(ISERROR(VLOOKUP(DH11,évènements!$A$3:$D$200,3,0)),"",VLOOKUP(DH11,évènements!$A$3:$D$200,3,0))</f>
        <v/>
      </c>
      <c r="DN11" s="252" t="str">
        <f>IF(ISERROR(VLOOKUP(DH11,évènements!$B$3:$D$200,2,0)),"",VLOOKUP(DH11,évènements!$B$3:$D$200,2,0))</f>
        <v/>
      </c>
      <c r="DO11" s="252" t="str">
        <f t="shared" si="26"/>
        <v xml:space="preserve">  </v>
      </c>
    </row>
    <row r="12" spans="2:119" ht="15" customHeight="1">
      <c r="B12" s="29"/>
      <c r="C12" s="41">
        <f t="shared" si="27"/>
        <v>42745</v>
      </c>
      <c r="D12" s="40">
        <f t="shared" si="41"/>
        <v>42745</v>
      </c>
      <c r="E12" s="131" t="str">
        <f>IF(D12="","",IF(ISERROR(MATCH(D12,Lune!$A$1:$A$1000,0)),IF(WEEKDAY(D12)=5,INT((D12-DATE(YEAR(D12),1,1))/7+1),IF(AND(WEEKDAY(D12)=4,NOT( ISERROR(MATCH(D12+1,Lune!$A$1:$A$1000,0)))),INT((D12+1-DATE(YEAR(D12+1),1,1))/7+1),"")),INDEX(Lune!$B$1:$B$1000,MATCH(D12,Lune!$A$1:$A$1000,0),1)))</f>
        <v/>
      </c>
      <c r="F12" s="89" t="str">
        <f t="shared" ca="1" si="0"/>
        <v/>
      </c>
      <c r="G12" s="125" t="str">
        <f ca="1">IF(ISERROR(VLOOKUP(D12,anniversaire!$X$2:$Z$100,2,0)),"",VLOOKUP(D12,anniversaire!$X$2:$Z$100,2,0))</f>
        <v/>
      </c>
      <c r="H12" s="54" t="str">
        <f>IF(ISERROR(VLOOKUP(D12,fête!$B$2:$C$367,2,0)),"",VLOOKUP(D12,fête!$B$2:$C$367,2,0))</f>
        <v>Guillaume</v>
      </c>
      <c r="I12" s="239" t="str">
        <f>IF(ISERROR(VLOOKUP(D12,évènements!$A$3:$D$200,3,0)),"",VLOOKUP(D12,évènements!$A$3:$D$200,3,0))</f>
        <v/>
      </c>
      <c r="J12" s="239" t="str">
        <f>IF(ISERROR(VLOOKUP(D12,évènements!$B$3:$D$200,2,0)),"",VLOOKUP(D12,évènements!$B$3:$D$200,2,0))</f>
        <v/>
      </c>
      <c r="K12" s="239" t="str">
        <f t="shared" si="1"/>
        <v xml:space="preserve">  </v>
      </c>
      <c r="L12" s="41">
        <f t="shared" si="28"/>
        <v>42776</v>
      </c>
      <c r="M12" s="42">
        <f t="shared" si="42"/>
        <v>42776</v>
      </c>
      <c r="N12" s="131" t="str">
        <f>IF(M12="","",IF(ISERROR(MATCH(M12,Lune!$A$1:$A$1000,0)),IF(WEEKDAY(M12)=5,INT((M12-DATE(YEAR(M12),1,1))/7+1),IF(AND(WEEKDAY(M12)=4,NOT( ISERROR(MATCH(M12+1,Lune!$A$1:$A$1000,0)))),INT((M12+1-DATE(YEAR(M12+1),1,1))/7+1),"")),INDEX(Lune!$B$1:$B$1000,MATCH(M12,Lune!$A$1:$A$1000,0),1)))</f>
        <v/>
      </c>
      <c r="O12" s="80" t="str">
        <f t="shared" ca="1" si="2"/>
        <v/>
      </c>
      <c r="P12" s="54" t="str">
        <f ca="1">IF(ISERROR(VLOOKUP(M12,anniversaire!$X$2:$Z$100,2,0)),"",VLOOKUP(M12,anniversaire!$X$2:$Z$100,2,0))</f>
        <v/>
      </c>
      <c r="Q12" s="54" t="str">
        <f>IF(ISERROR(VLOOKUP(M12,fête!$B$2:$C$367,2,0)),"",VLOOKUP(M12,fête!$B$2:$C$367,2,0))</f>
        <v>Arnaud</v>
      </c>
      <c r="R12" s="54" t="str">
        <f>IF(ISERROR(VLOOKUP(M12,évènements!$A$3:$D$200,3,0)),"",VLOOKUP(M12,évènements!$A$3:$D$200,3,0))</f>
        <v/>
      </c>
      <c r="S12" s="54" t="str">
        <f>IF(ISERROR(VLOOKUP(M12,évènements!$B$3:$D$200,2,0)),"",VLOOKUP(M12,évènements!$B$3:$D$200,2,0))</f>
        <v/>
      </c>
      <c r="T12" s="54" t="str">
        <f t="shared" si="3"/>
        <v xml:space="preserve">  </v>
      </c>
      <c r="U12" s="41">
        <f t="shared" si="29"/>
        <v>42804</v>
      </c>
      <c r="V12" s="42">
        <f t="shared" si="43"/>
        <v>42804</v>
      </c>
      <c r="W12" s="132" t="str">
        <f>IF(V12="","",IF(ISERROR(MATCH(V12,Lune!$A$1:$A$1000,0)),IF(WEEKDAY(V12)=5,INT((V12-DATE(YEAR(V12),1,1))/7+1),IF(AND(WEEKDAY(V12)=4,NOT( ISERROR(MATCH(V12+1,Lune!$A$1:$A$1000,0)))),INT((V12+1-DATE(YEAR(V12+1),1,1))/7+1),"")),INDEX(Lune!$B$1:$B$1000,MATCH(V12,Lune!$A$1:$A$1000,0),1)))</f>
        <v/>
      </c>
      <c r="X12" s="89" t="str">
        <f t="shared" ca="1" si="4"/>
        <v/>
      </c>
      <c r="Y12" s="125" t="str">
        <f ca="1">IF(ISERROR(VLOOKUP(V12,anniversaire!$X$2:$Z$100,2,0)),"",VLOOKUP(V12,anniversaire!$X$2:$Z$100,2,0))</f>
        <v/>
      </c>
      <c r="Z12" s="54" t="str">
        <f>IF(ISERROR(VLOOKUP(V12,fête!$B$2:$C$367,2,0)),"",VLOOKUP(V12,fête!$B$2:$C$367,2,0))</f>
        <v>Vivien</v>
      </c>
      <c r="AA12" s="54" t="str">
        <f>IF(ISERROR(VLOOKUP(V12,évènements!$A$3:$D$200,3,0)),"",VLOOKUP(V12,évènements!$A$3:$D$200,3,0))</f>
        <v/>
      </c>
      <c r="AB12" s="54" t="str">
        <f>IF(ISERROR(VLOOKUP(V12,évènements!$B$3:$D$200,2,0)),"",VLOOKUP(V12,évènements!$B$3:$D$200,2,0))</f>
        <v/>
      </c>
      <c r="AC12" s="54" t="str">
        <f t="shared" si="5"/>
        <v xml:space="preserve">  </v>
      </c>
      <c r="AD12" s="41">
        <f t="shared" si="30"/>
        <v>42835</v>
      </c>
      <c r="AE12" s="42">
        <f t="shared" si="44"/>
        <v>42835</v>
      </c>
      <c r="AF12" s="137" t="str">
        <f>IF(AE12="","",IF(ISERROR(MATCH(AE12,Lune!$A$1:$A$1000,0)),IF(WEEKDAY(AE12)=5,INT((AE12-DATE(YEAR(AE12),1,1))/7+1),IF(AND(WEEKDAY(AE12)=4,NOT( ISERROR(MATCH(AE12+1,Lune!$A$1:$A$1000,0)))),INT((AE12+1-DATE(YEAR(AE12+1),1,1))/7+1),"")),INDEX(Lune!$B$1:$B$1000,MATCH(AE12,Lune!$A$1:$A$1000,0),1)))</f>
        <v/>
      </c>
      <c r="AG12" s="80" t="str">
        <f t="shared" ca="1" si="6"/>
        <v/>
      </c>
      <c r="AH12" s="54" t="str">
        <f ca="1">IF(ISERROR(VLOOKUP(AE12,anniversaire!$X$2:$Z$100,2,0)),"",VLOOKUP(AE12,anniversaire!$X$2:$Z$100,2,0))</f>
        <v/>
      </c>
      <c r="AI12" s="54" t="str">
        <f>IF(ISERROR(VLOOKUP(AE12,fête!$B$2:$C$367,2,0)),"",VLOOKUP(AE12,fête!$B$2:$C$367,2,0))</f>
        <v>Fulbert</v>
      </c>
      <c r="AJ12" s="54" t="str">
        <f>IF(ISERROR(VLOOKUP(AE12,évènements!$A$3:$D$200,3,0)),"",VLOOKUP(AE12,évènements!$A$3:$D$200,3,0))</f>
        <v/>
      </c>
      <c r="AK12" s="54" t="str">
        <f>IF(ISERROR(VLOOKUP(AE12,évènements!$B$3:$D$200,2,0)),"",VLOOKUP(AE12,évènements!$B$3:$D$200,2,0))</f>
        <v/>
      </c>
      <c r="AL12" s="238" t="str">
        <f t="shared" si="7"/>
        <v xml:space="preserve">  </v>
      </c>
      <c r="AM12" s="41">
        <f t="shared" si="31"/>
        <v>42865</v>
      </c>
      <c r="AN12" s="42">
        <f t="shared" si="45"/>
        <v>42865</v>
      </c>
      <c r="AO12" s="43" t="str">
        <f>IF(AN12="","",IF(ISERROR(MATCH(AN12,Lune!$A$1:$A$1000,0)),IF(WEEKDAY(AN12)=5,INT((AN12-DATE(YEAR(AN12),1,1))/7+1),IF(AND(WEEKDAY(AN12)=4,NOT( ISERROR(MATCH(AN12+1,Lune!$A$1:$A$1000,0)))),INT((AN12+1-DATE(YEAR(AN12+1),1,1))/7+1),"")),INDEX(Lune!$B$1:$B$1000,MATCH(AN12,Lune!$A$1:$A$1000,0),1)))</f>
        <v>○</v>
      </c>
      <c r="AP12" s="79" t="str">
        <f t="shared" ca="1" si="8"/>
        <v/>
      </c>
      <c r="AQ12" s="54" t="str">
        <f ca="1">IF(ISERROR(VLOOKUP(AN12,anniversaire!$X$2:$Z$100,2,0)),"",VLOOKUP(AN12,anniversaire!$X$2:$Z$100,2,0))</f>
        <v/>
      </c>
      <c r="AR12" s="54" t="str">
        <f>IF(ISERROR(VLOOKUP(AN12,fête!$B$2:$C$367,2,0)),"",VLOOKUP(AN12,fête!$B$2:$C$367,2,0))</f>
        <v>Solange</v>
      </c>
      <c r="AS12" s="238" t="str">
        <f>IF(ISERROR(VLOOKUP(AN12,évènements!$A$3:$D$200,3,0)),"",VLOOKUP(AN12,évènements!$A$3:$D$200,3,0))</f>
        <v/>
      </c>
      <c r="AT12" s="238" t="str">
        <f>IF(ISERROR(VLOOKUP(AN12,évènements!$B$3:$D$200,2,0)),"",VLOOKUP(AN12,évènements!$B$3:$D$200,2,0))</f>
        <v/>
      </c>
      <c r="AU12" s="238" t="str">
        <f t="shared" si="9"/>
        <v xml:space="preserve">  </v>
      </c>
      <c r="AV12" s="41">
        <f t="shared" si="32"/>
        <v>42896</v>
      </c>
      <c r="AW12" s="42">
        <f t="shared" si="46"/>
        <v>42896</v>
      </c>
      <c r="AX12" s="43" t="str">
        <f>IF(AW12="","",IF(ISERROR(MATCH(AW12,Lune!$A$1:$A$1000,0)),IF(WEEKDAY(AW12)=5,INT((AW12-DATE(YEAR(AW12),1,1))/7+1),IF(AND(WEEKDAY(AW12)=4,NOT( ISERROR(MATCH(AW12+1,Lune!$A$1:$A$1000,0)))),INT((AW12+1-DATE(YEAR(AW12+1),1,1))/7+1),"")),INDEX(Lune!$B$1:$B$1000,MATCH(AW12,Lune!$A$1:$A$1000,0),1)))</f>
        <v/>
      </c>
      <c r="AY12" s="79" t="str">
        <f t="shared" ca="1" si="10"/>
        <v/>
      </c>
      <c r="AZ12" s="54" t="str">
        <f ca="1">IF(ISERROR(VLOOKUP(AW12,anniversaire!$X$2:$Z$100,2,0)),"",VLOOKUP(AW12,anniversaire!$X$2:$Z$100,2,0))</f>
        <v/>
      </c>
      <c r="BA12" s="54" t="str">
        <f>IF(ISERROR(VLOOKUP(AW12,fête!$B$2:$C$367,2,0)),"",VLOOKUP(AW12,fête!$B$2:$C$367,2,0))</f>
        <v>Landry</v>
      </c>
      <c r="BB12" s="54" t="str">
        <f>IF(ISERROR(VLOOKUP(AW12,évènements!$A$3:$D$200,3,0)),"",VLOOKUP(AW12,évènements!$A$3:$D$200,3,0))</f>
        <v/>
      </c>
      <c r="BC12" s="54" t="str">
        <f>IF(ISERROR(VLOOKUP(AW12,évènements!$B$3:$D$200,2,0)),"",VLOOKUP(AW12,évènements!$B$3:$D$200,2,0))</f>
        <v/>
      </c>
      <c r="BD12" s="54" t="str">
        <f t="shared" si="11"/>
        <v xml:space="preserve">  </v>
      </c>
      <c r="BE12" s="41">
        <f t="shared" si="33"/>
        <v>42926</v>
      </c>
      <c r="BF12" s="42">
        <f t="shared" si="47"/>
        <v>42926</v>
      </c>
      <c r="BG12" s="43" t="str">
        <f>IF(BF12="","",IF(ISERROR(MATCH(BF12,Lune!$A$1:$A$1000,0)),IF(WEEKDAY(BF12)=5,INT((BF12-DATE(YEAR(BF12),1,1))/7+1),IF(AND(WEEKDAY(BF12)=4,NOT( ISERROR(MATCH(BF12+1,Lune!$A$1:$A$1000,0)))),INT((BF12+1-DATE(YEAR(BF12+1),1,1))/7+1),"")),INDEX(Lune!$B$1:$B$1000,MATCH(BF12,Lune!$A$1:$A$1000,0),1)))</f>
        <v/>
      </c>
      <c r="BH12" s="80" t="str">
        <f t="shared" ca="1" si="12"/>
        <v/>
      </c>
      <c r="BI12" s="54" t="str">
        <f ca="1">IF(ISERROR(VLOOKUP(BF12,anniversaire!$X$2:$Z$100,2,0)),"",VLOOKUP(BF12,anniversaire!$X$2:$Z$100,2,0))</f>
        <v/>
      </c>
      <c r="BJ12" s="54" t="str">
        <f>IF(ISERROR(VLOOKUP(BF12,fête!$B$2:$C$367,2,0)),"",VLOOKUP(BF12,fête!$B$2:$C$367,2,0))</f>
        <v>Ulrich</v>
      </c>
      <c r="BK12" s="54" t="str">
        <f>IF(ISERROR(VLOOKUP(BF12,évènements!$A$3:$D$200,3,0)),"",VLOOKUP(BF12,évènements!$A$3:$D$200,3,0))</f>
        <v/>
      </c>
      <c r="BL12" s="54" t="str">
        <f>IF(ISERROR(VLOOKUP(BF12,évènements!$B$3:$D$200,2,0)),"",VLOOKUP(BF12,évènements!$B$3:$D$200,2,0))</f>
        <v/>
      </c>
      <c r="BM12" s="54" t="str">
        <f t="shared" si="34"/>
        <v xml:space="preserve">  </v>
      </c>
      <c r="BN12" s="41">
        <f t="shared" si="35"/>
        <v>42957</v>
      </c>
      <c r="BO12" s="42">
        <f t="shared" si="48"/>
        <v>42957</v>
      </c>
      <c r="BP12" s="43">
        <f>IF(BO12="","",IF(ISERROR(MATCH(BO12,Lune!$A$1:$A$1000,0)),IF(WEEKDAY(BO12)=5,INT((BO12-DATE(YEAR(BO12),1,1))/7+1),IF(AND(WEEKDAY(BO12)=4,NOT( ISERROR(MATCH(BO12+1,Lune!$A$1:$A$1000,0)))),INT((BO12+1-DATE(YEAR(BO12+1),1,1))/7+1),"")),INDEX(Lune!$B$1:$B$1000,MATCH(BO12,Lune!$A$1:$A$1000,0),1)))</f>
        <v>32</v>
      </c>
      <c r="BQ12" s="80" t="str">
        <f t="shared" ca="1" si="13"/>
        <v xml:space="preserve"> '</v>
      </c>
      <c r="BR12" s="54" t="str">
        <f ca="1">IF(ISERROR(VLOOKUP(BO12,anniversaire!$X$2:$Z$100,2,0)),"",VLOOKUP(BO12,anniversaire!$X$2:$Z$100,2,0))</f>
        <v xml:space="preserve">Taraud  daniel  42  </v>
      </c>
      <c r="BS12" s="54" t="str">
        <f>IF(ISERROR(VLOOKUP(BO12,fête!$B$2:$C$367,2,0)),"",VLOOKUP(BO12,fête!$B$2:$C$367,2,0))</f>
        <v>Laurent</v>
      </c>
      <c r="BT12" s="54" t="str">
        <f>IF(ISERROR(VLOOKUP(BO12,évènements!$A$3:$D$200,3,0)),"",VLOOKUP(BO12,évènements!$A$3:$D$200,3,0))</f>
        <v/>
      </c>
      <c r="BU12" s="54" t="str">
        <f>IF(ISERROR(VLOOKUP(BO12,évènements!$B$3:$D$200,2,0)),"",VLOOKUP(BO12,évènements!$B$3:$D$200,2,0))</f>
        <v/>
      </c>
      <c r="BV12" s="54" t="str">
        <f t="shared" si="14"/>
        <v xml:space="preserve">  </v>
      </c>
      <c r="BW12" s="41">
        <f t="shared" si="36"/>
        <v>42988</v>
      </c>
      <c r="BX12" s="42">
        <f t="shared" si="49"/>
        <v>42988</v>
      </c>
      <c r="BY12" s="43" t="str">
        <f>IF(BX12="","",IF(ISERROR(MATCH(BX12,Lune!$A$1:$A$1000,0)),IF(WEEKDAY(BX12)=5,INT((BX12-DATE(YEAR(BX12),1,1))/7+1),IF(AND(WEEKDAY(BX12)=4,NOT( ISERROR(MATCH(BX12+1,Lune!$A$1:$A$1000,0)))),INT((BX12+1-DATE(YEAR(BX12+1),1,1))/7+1),"")),INDEX(Lune!$B$1:$B$1000,MATCH(BX12,Lune!$A$1:$A$1000,0),1)))</f>
        <v/>
      </c>
      <c r="BZ12" s="80" t="str">
        <f t="shared" ca="1" si="15"/>
        <v/>
      </c>
      <c r="CA12" s="54" t="str">
        <f ca="1">IF(ISERROR(VLOOKUP(BX12,anniversaire!$X$2:$Z$100,2,0)),"",VLOOKUP(BX12,anniversaire!$X$2:$Z$100,2,0))</f>
        <v/>
      </c>
      <c r="CB12" s="54" t="str">
        <f>IF(ISERROR(VLOOKUP(BX12,fête!$B$2:$C$367,2,0)),"",VLOOKUP(BX12,fête!$B$2:$C$367,2,0))</f>
        <v>Inès</v>
      </c>
      <c r="CC12" s="54" t="str">
        <f>IF(ISERROR(VLOOKUP(BX12,évènements!$A$3:$D$200,3,0)),"",VLOOKUP(BX12,évènements!$A$3:$D$200,3,0))</f>
        <v/>
      </c>
      <c r="CD12" s="54" t="str">
        <f>IF(ISERROR(VLOOKUP(BX12,évènements!$B$3:$D$200,2,0)),"",VLOOKUP(BX12,évènements!$B$3:$D$200,2,0))</f>
        <v/>
      </c>
      <c r="CE12" s="54" t="str">
        <f t="shared" si="16"/>
        <v xml:space="preserve">  </v>
      </c>
      <c r="CF12" s="41">
        <f t="shared" si="37"/>
        <v>43018</v>
      </c>
      <c r="CG12" s="42">
        <f t="shared" si="50"/>
        <v>43018</v>
      </c>
      <c r="CH12" s="43" t="str">
        <f>IF(CG12="","",IF(ISERROR(MATCH(CG12,Lune!$A$1:$A$1000,0)),IF(WEEKDAY(CG12)=5,INT((CG12-DATE(YEAR(CG12),1,1))/7+1),IF(AND(WEEKDAY(CG12)=4,NOT( ISERROR(MATCH(CG12+1,Lune!$A$1:$A$1000,0)))),INT((CG12+1-DATE(YEAR(CG12+1),1,1))/7+1),"")),INDEX(Lune!$B$1:$B$1000,MATCH(CG12,Lune!$A$1:$A$1000,0),1)))</f>
        <v/>
      </c>
      <c r="CI12" s="80" t="str">
        <f t="shared" ca="1" si="17"/>
        <v/>
      </c>
      <c r="CJ12" s="54" t="str">
        <f ca="1">IF(ISERROR(VLOOKUP(CG12,anniversaire!$X$2:$Z$100,2,0)),"",VLOOKUP(CG12,anniversaire!$X$2:$Z$100,2,0))</f>
        <v/>
      </c>
      <c r="CK12" s="54" t="str">
        <f>IF(ISERROR(VLOOKUP(CG12,fête!$B$2:$C$367,2,0)),"",VLOOKUP(CG12,fête!$B$2:$C$367,2,0))</f>
        <v>Ghislain</v>
      </c>
      <c r="CL12" s="54" t="str">
        <f>IF(ISERROR(VLOOKUP(CG12,évènements!$A$3:$D$200,3,0)),"",VLOOKUP(CG12,évènements!$A$3:$D$200,3,0))</f>
        <v/>
      </c>
      <c r="CM12" s="54" t="str">
        <f>IF(ISERROR(VLOOKUP(CG12,évènements!$B$3:$D$200,2,0)),"",VLOOKUP(CG12,évènements!$B$3:$D$200,2,0))</f>
        <v/>
      </c>
      <c r="CN12" s="54" t="str">
        <f t="shared" si="18"/>
        <v xml:space="preserve">  </v>
      </c>
      <c r="CO12" s="41">
        <f t="shared" si="38"/>
        <v>43049</v>
      </c>
      <c r="CP12" s="42">
        <f t="shared" si="51"/>
        <v>43049</v>
      </c>
      <c r="CQ12" s="43" t="str">
        <f>IF(CP12="","",IF(ISERROR(MATCH(CP12,Lune!$A$1:$A$1000,0)),IF(WEEKDAY(CP12)=5,INT((CP12-DATE(YEAR(CP12),1,1))/7+1),IF(AND(WEEKDAY(CP12)=4,NOT( ISERROR(MATCH(CP12+1,Lune!$A$1:$A$1000,0)))),INT((CP12+1-DATE(YEAR(CP12+1),1,1))/7+1),"")),INDEX(Lune!$B$1:$B$1000,MATCH(CP12,Lune!$A$1:$A$1000,0),1)))</f>
        <v>◑</v>
      </c>
      <c r="CR12" s="80" t="str">
        <f t="shared" ca="1" si="19"/>
        <v/>
      </c>
      <c r="CS12" s="54" t="str">
        <f ca="1">IF(ISERROR(VLOOKUP(CP12,anniversaire!$X$2:$Z$100,2,0)),"",VLOOKUP(CP12,anniversaire!$X$2:$Z$100,2,0))</f>
        <v/>
      </c>
      <c r="CT12" s="54" t="str">
        <f>IF(ISERROR(VLOOKUP(CP12,fête!$B$2:$C$367,2,0)),"",VLOOKUP(CP12,fête!$B$2:$C$367,2,0))</f>
        <v>Léon</v>
      </c>
      <c r="CU12" s="54" t="str">
        <f>IF(ISERROR(VLOOKUP(CP12,évènements!$A$3:$D$200,3,0)),"",VLOOKUP(CP12,évènements!$A$3:$D$200,3,0))</f>
        <v/>
      </c>
      <c r="CV12" s="54" t="str">
        <f>IF(ISERROR(VLOOKUP(CP12,évènements!$B$3:$D$200,2,0)),"",VLOOKUP(CP12,évènements!$B$3:$D$200,2,0))</f>
        <v/>
      </c>
      <c r="CW12" s="54" t="str">
        <f t="shared" si="20"/>
        <v xml:space="preserve">  </v>
      </c>
      <c r="CX12" s="41">
        <f t="shared" si="39"/>
        <v>43079</v>
      </c>
      <c r="CY12" s="42">
        <f t="shared" si="52"/>
        <v>43079</v>
      </c>
      <c r="CZ12" s="43" t="str">
        <f>IF(CY12="","",IF(ISERROR(MATCH(CY12,Lune!$A$1:$A$1000,0)),IF(WEEKDAY(CY12)=5,INT((CY12-DATE(YEAR(CY12),1,1))/7+1),IF(AND(WEEKDAY(CY12)=4,NOT( ISERROR(MATCH(CY12+1,Lune!$A$1:$A$1000,0)))),INT((CY12+1-DATE(YEAR(CY12+1),1,1))/7+1),"")),INDEX(Lune!$B$1:$B$1000,MATCH(CY12,Lune!$A$1:$A$1000,0),1)))</f>
        <v>◑</v>
      </c>
      <c r="DA12" s="80" t="str">
        <f t="shared" ca="1" si="21"/>
        <v/>
      </c>
      <c r="DB12" s="54" t="str">
        <f ca="1">IF(ISERROR(VLOOKUP(CY12,anniversaire!$X$2:$Z$100,2,0)),"",VLOOKUP(CY12,anniversaire!$X$2:$Z$100,2,0))</f>
        <v/>
      </c>
      <c r="DC12" s="54" t="str">
        <f>IF(ISERROR(VLOOKUP(CY12,fête!$B$2:$C$367,2,0)),"",VLOOKUP(CY12,fête!$B$2:$C$367,2,0))</f>
        <v>Romaric</v>
      </c>
      <c r="DD12" s="54" t="str">
        <f>IF(ISERROR(VLOOKUP(CY12,évènements!$A$3:$D$200,3,0)),"",VLOOKUP(CY12,évènements!$A$3:$D$200,3,0))</f>
        <v/>
      </c>
      <c r="DE12" s="54" t="str">
        <f>IF(ISERROR(VLOOKUP(CY12,évènements!$B$3:$D$200,2,0)),"",VLOOKUP(CY12,évènements!$B$3:$D$200,2,0))</f>
        <v/>
      </c>
      <c r="DF12" s="54" t="str">
        <f t="shared" si="22"/>
        <v xml:space="preserve">  </v>
      </c>
      <c r="DG12" s="41">
        <f t="shared" si="40"/>
        <v>43110</v>
      </c>
      <c r="DH12" s="42">
        <f t="shared" si="53"/>
        <v>43110</v>
      </c>
      <c r="DI12" s="43" t="str">
        <f>IF(DH12="","",IF(ISERROR(MATCH(DH12,Lune!$A$1:$A$1000,0)),IF(WEEKDAY(DH12)=5,INT((DH12-DATE(YEAR(DH12),1,1))/7+1),IF(AND(WEEKDAY(DH12)=4,NOT( ISERROR(MATCH(DH12+1,Lune!$A$1:$A$1000,0)))),INT((DH12+1-DATE(YEAR(DH12+1),1,1))/7+1),"")),INDEX(Lune!$B$1:$B$1000,MATCH(DH12,Lune!$A$1:$A$1000,0),1)))</f>
        <v/>
      </c>
      <c r="DJ12" s="89" t="str">
        <f t="shared" ca="1" si="23"/>
        <v/>
      </c>
      <c r="DK12" s="252" t="str">
        <f t="shared" ca="1" si="24"/>
        <v/>
      </c>
      <c r="DL12" s="252" t="str">
        <f t="shared" si="25"/>
        <v>Guillaume</v>
      </c>
      <c r="DM12" s="252" t="str">
        <f>IF(ISERROR(VLOOKUP(DH12,évènements!$A$3:$D$200,3,0)),"",VLOOKUP(DH12,évènements!$A$3:$D$200,3,0))</f>
        <v/>
      </c>
      <c r="DN12" s="252" t="str">
        <f>IF(ISERROR(VLOOKUP(DH12,évènements!$B$3:$D$200,2,0)),"",VLOOKUP(DH12,évènements!$B$3:$D$200,2,0))</f>
        <v/>
      </c>
      <c r="DO12" s="252" t="str">
        <f t="shared" si="26"/>
        <v xml:space="preserve">  </v>
      </c>
    </row>
    <row r="13" spans="2:119" ht="15" customHeight="1">
      <c r="B13" s="29"/>
      <c r="C13" s="41">
        <f t="shared" si="27"/>
        <v>42746</v>
      </c>
      <c r="D13" s="40">
        <f t="shared" si="41"/>
        <v>42746</v>
      </c>
      <c r="E13" s="131">
        <f>IF(D13="","",IF(ISERROR(MATCH(D13,Lune!$A$1:$A$1000,0)),IF(WEEKDAY(D13)=5,INT((D13-DATE(YEAR(D13),1,1))/7+1),IF(AND(WEEKDAY(D13)=4,NOT( ISERROR(MATCH(D13+1,Lune!$A$1:$A$1000,0)))),INT((D13+1-DATE(YEAR(D13+1),1,1))/7+1),"")),INDEX(Lune!$B$1:$B$1000,MATCH(D13,Lune!$A$1:$A$1000,0),1)))</f>
        <v>2</v>
      </c>
      <c r="F13" s="89" t="str">
        <f t="shared" ca="1" si="0"/>
        <v/>
      </c>
      <c r="G13" s="125" t="str">
        <f ca="1">IF(ISERROR(VLOOKUP(D13,anniversaire!$X$2:$Z$100,2,0)),"",VLOOKUP(D13,anniversaire!$X$2:$Z$100,2,0))</f>
        <v/>
      </c>
      <c r="H13" s="54" t="str">
        <f>IF(ISERROR(VLOOKUP(D13,fête!$B$2:$C$367,2,0)),"",VLOOKUP(D13,fête!$B$2:$C$367,2,0))</f>
        <v>Pauline</v>
      </c>
      <c r="I13" s="239" t="str">
        <f>IF(ISERROR(VLOOKUP(D13,évènements!$A$3:$D$200,3,0)),"",VLOOKUP(D13,évènements!$A$3:$D$200,3,0))</f>
        <v/>
      </c>
      <c r="J13" s="239" t="str">
        <f>IF(ISERROR(VLOOKUP(D13,évènements!$B$3:$D$200,2,0)),"",VLOOKUP(D13,évènements!$B$3:$D$200,2,0))</f>
        <v/>
      </c>
      <c r="K13" s="239" t="str">
        <f t="shared" si="1"/>
        <v xml:space="preserve">  </v>
      </c>
      <c r="L13" s="41">
        <f t="shared" si="28"/>
        <v>42777</v>
      </c>
      <c r="M13" s="42">
        <f t="shared" si="42"/>
        <v>42777</v>
      </c>
      <c r="N13" s="131" t="str">
        <f>IF(M13="","",IF(ISERROR(MATCH(M13,Lune!$A$1:$A$1000,0)),IF(WEEKDAY(M13)=5,INT((M13-DATE(YEAR(M13),1,1))/7+1),IF(AND(WEEKDAY(M13)=4,NOT( ISERROR(MATCH(M13+1,Lune!$A$1:$A$1000,0)))),INT((M13+1-DATE(YEAR(M13+1),1,1))/7+1),"")),INDEX(Lune!$B$1:$B$1000,MATCH(M13,Lune!$A$1:$A$1000,0),1)))</f>
        <v>○</v>
      </c>
      <c r="O13" s="80" t="str">
        <f t="shared" ca="1" si="2"/>
        <v/>
      </c>
      <c r="P13" s="54" t="str">
        <f ca="1">IF(ISERROR(VLOOKUP(M13,anniversaire!$X$2:$Z$100,2,0)),"",VLOOKUP(M13,anniversaire!$X$2:$Z$100,2,0))</f>
        <v/>
      </c>
      <c r="Q13" s="54" t="str">
        <f>IF(ISERROR(VLOOKUP(M13,fête!$B$2:$C$367,2,0)),"",VLOOKUP(M13,fête!$B$2:$C$367,2,0))</f>
        <v>Notre Dame de Lourdes</v>
      </c>
      <c r="R13" s="54" t="str">
        <f>IF(ISERROR(VLOOKUP(M13,évènements!$A$3:$D$200,3,0)),"",VLOOKUP(M13,évènements!$A$3:$D$200,3,0))</f>
        <v/>
      </c>
      <c r="S13" s="54" t="str">
        <f>IF(ISERROR(VLOOKUP(M13,évènements!$B$3:$D$200,2,0)),"",VLOOKUP(M13,évènements!$B$3:$D$200,2,0))</f>
        <v/>
      </c>
      <c r="T13" s="54" t="str">
        <f t="shared" si="3"/>
        <v xml:space="preserve">  </v>
      </c>
      <c r="U13" s="41">
        <f t="shared" si="29"/>
        <v>42805</v>
      </c>
      <c r="V13" s="42">
        <f t="shared" si="43"/>
        <v>42805</v>
      </c>
      <c r="W13" s="132" t="str">
        <f>IF(V13="","",IF(ISERROR(MATCH(V13,Lune!$A$1:$A$1000,0)),IF(WEEKDAY(V13)=5,INT((V13-DATE(YEAR(V13),1,1))/7+1),IF(AND(WEEKDAY(V13)=4,NOT( ISERROR(MATCH(V13+1,Lune!$A$1:$A$1000,0)))),INT((V13+1-DATE(YEAR(V13+1),1,1))/7+1),"")),INDEX(Lune!$B$1:$B$1000,MATCH(V13,Lune!$A$1:$A$1000,0),1)))</f>
        <v/>
      </c>
      <c r="X13" s="89" t="str">
        <f t="shared" ca="1" si="4"/>
        <v/>
      </c>
      <c r="Y13" s="125" t="str">
        <f ca="1">IF(ISERROR(VLOOKUP(V13,anniversaire!$X$2:$Z$100,2,0)),"",VLOOKUP(V13,anniversaire!$X$2:$Z$100,2,0))</f>
        <v/>
      </c>
      <c r="Z13" s="54" t="str">
        <f>IF(ISERROR(VLOOKUP(V13,fête!$B$2:$C$367,2,0)),"",VLOOKUP(V13,fête!$B$2:$C$367,2,0))</f>
        <v>Rosine</v>
      </c>
      <c r="AA13" s="54" t="str">
        <f>IF(ISERROR(VLOOKUP(V13,évènements!$A$3:$D$200,3,0)),"",VLOOKUP(V13,évènements!$A$3:$D$200,3,0))</f>
        <v/>
      </c>
      <c r="AB13" s="54" t="str">
        <f>IF(ISERROR(VLOOKUP(V13,évènements!$B$3:$D$200,2,0)),"",VLOOKUP(V13,évènements!$B$3:$D$200,2,0))</f>
        <v/>
      </c>
      <c r="AC13" s="54" t="str">
        <f t="shared" si="5"/>
        <v xml:space="preserve">  </v>
      </c>
      <c r="AD13" s="41">
        <f t="shared" si="30"/>
        <v>42836</v>
      </c>
      <c r="AE13" s="42">
        <f t="shared" si="44"/>
        <v>42836</v>
      </c>
      <c r="AF13" s="137" t="str">
        <f>IF(AE13="","",IF(ISERROR(MATCH(AE13,Lune!$A$1:$A$1000,0)),IF(WEEKDAY(AE13)=5,INT((AE13-DATE(YEAR(AE13),1,1))/7+1),IF(AND(WEEKDAY(AE13)=4,NOT( ISERROR(MATCH(AE13+1,Lune!$A$1:$A$1000,0)))),INT((AE13+1-DATE(YEAR(AE13+1),1,1))/7+1),"")),INDEX(Lune!$B$1:$B$1000,MATCH(AE13,Lune!$A$1:$A$1000,0),1)))</f>
        <v>○</v>
      </c>
      <c r="AG13" s="80" t="str">
        <f t="shared" ca="1" si="6"/>
        <v/>
      </c>
      <c r="AH13" s="54" t="str">
        <f ca="1">IF(ISERROR(VLOOKUP(AE13,anniversaire!$X$2:$Z$100,2,0)),"",VLOOKUP(AE13,anniversaire!$X$2:$Z$100,2,0))</f>
        <v/>
      </c>
      <c r="AI13" s="54" t="str">
        <f>IF(ISERROR(VLOOKUP(AE13,fête!$B$2:$C$367,2,0)),"",VLOOKUP(AE13,fête!$B$2:$C$367,2,0))</f>
        <v>Stanislas</v>
      </c>
      <c r="AJ13" s="54" t="str">
        <f>IF(ISERROR(VLOOKUP(AE13,évènements!$A$3:$D$200,3,0)),"",VLOOKUP(AE13,évènements!$A$3:$D$200,3,0))</f>
        <v/>
      </c>
      <c r="AK13" s="54" t="str">
        <f>IF(ISERROR(VLOOKUP(AE13,évènements!$B$3:$D$200,2,0)),"",VLOOKUP(AE13,évènements!$B$3:$D$200,2,0))</f>
        <v/>
      </c>
      <c r="AL13" s="238" t="str">
        <f t="shared" si="7"/>
        <v xml:space="preserve">  </v>
      </c>
      <c r="AM13" s="41">
        <f t="shared" si="31"/>
        <v>42866</v>
      </c>
      <c r="AN13" s="42">
        <f t="shared" si="45"/>
        <v>42866</v>
      </c>
      <c r="AO13" s="43">
        <f>IF(AN13="","",IF(ISERROR(MATCH(AN13,Lune!$A$1:$A$1000,0)),IF(WEEKDAY(AN13)=5,INT((AN13-DATE(YEAR(AN13),1,1))/7+1),IF(AND(WEEKDAY(AN13)=4,NOT( ISERROR(MATCH(AN13+1,Lune!$A$1:$A$1000,0)))),INT((AN13+1-DATE(YEAR(AN13+1),1,1))/7+1),"")),INDEX(Lune!$B$1:$B$1000,MATCH(AN13,Lune!$A$1:$A$1000,0),1)))</f>
        <v>19</v>
      </c>
      <c r="AP13" s="79" t="str">
        <f t="shared" ca="1" si="8"/>
        <v/>
      </c>
      <c r="AQ13" s="54" t="str">
        <f ca="1">IF(ISERROR(VLOOKUP(AN13,anniversaire!$X$2:$Z$100,2,0)),"",VLOOKUP(AN13,anniversaire!$X$2:$Z$100,2,0))</f>
        <v/>
      </c>
      <c r="AR13" s="54" t="str">
        <f>IF(ISERROR(VLOOKUP(AN13,fête!$B$2:$C$367,2,0)),"",VLOOKUP(AN13,fête!$B$2:$C$367,2,0))</f>
        <v>Estelle</v>
      </c>
      <c r="AS13" s="238" t="str">
        <f>IF(ISERROR(VLOOKUP(AN13,évènements!$A$3:$D$200,3,0)),"",VLOOKUP(AN13,évènements!$A$3:$D$200,3,0))</f>
        <v/>
      </c>
      <c r="AT13" s="238" t="str">
        <f>IF(ISERROR(VLOOKUP(AN13,évènements!$B$3:$D$200,2,0)),"",VLOOKUP(AN13,évènements!$B$3:$D$200,2,0))</f>
        <v/>
      </c>
      <c r="AU13" s="238" t="str">
        <f t="shared" si="9"/>
        <v xml:space="preserve">  </v>
      </c>
      <c r="AV13" s="41">
        <f t="shared" si="32"/>
        <v>42897</v>
      </c>
      <c r="AW13" s="42">
        <f t="shared" si="46"/>
        <v>42897</v>
      </c>
      <c r="AX13" s="43" t="str">
        <f>IF(AW13="","",IF(ISERROR(MATCH(AW13,Lune!$A$1:$A$1000,0)),IF(WEEKDAY(AW13)=5,INT((AW13-DATE(YEAR(AW13),1,1))/7+1),IF(AND(WEEKDAY(AW13)=4,NOT( ISERROR(MATCH(AW13+1,Lune!$A$1:$A$1000,0)))),INT((AW13+1-DATE(YEAR(AW13+1),1,1))/7+1),"")),INDEX(Lune!$B$1:$B$1000,MATCH(AW13,Lune!$A$1:$A$1000,0),1)))</f>
        <v/>
      </c>
      <c r="AY13" s="79" t="str">
        <f t="shared" ca="1" si="10"/>
        <v/>
      </c>
      <c r="AZ13" s="54" t="str">
        <f ca="1">IF(ISERROR(VLOOKUP(AW13,anniversaire!$X$2:$Z$100,2,0)),"",VLOOKUP(AW13,anniversaire!$X$2:$Z$100,2,0))</f>
        <v/>
      </c>
      <c r="BA13" s="54" t="str">
        <f>IF(ISERROR(VLOOKUP(AW13,fête!$B$2:$C$367,2,0)),"",VLOOKUP(AW13,fête!$B$2:$C$367,2,0))</f>
        <v>Barnabé</v>
      </c>
      <c r="BB13" s="54" t="str">
        <f>IF(ISERROR(VLOOKUP(AW13,évènements!$A$3:$D$200,3,0)),"",VLOOKUP(AW13,évènements!$A$3:$D$200,3,0))</f>
        <v/>
      </c>
      <c r="BC13" s="54" t="str">
        <f>IF(ISERROR(VLOOKUP(AW13,évènements!$B$3:$D$200,2,0)),"",VLOOKUP(AW13,évènements!$B$3:$D$200,2,0))</f>
        <v/>
      </c>
      <c r="BD13" s="54" t="str">
        <f t="shared" si="11"/>
        <v xml:space="preserve">  </v>
      </c>
      <c r="BE13" s="41">
        <f t="shared" si="33"/>
        <v>42927</v>
      </c>
      <c r="BF13" s="42">
        <f t="shared" si="47"/>
        <v>42927</v>
      </c>
      <c r="BG13" s="43" t="str">
        <f>IF(BF13="","",IF(ISERROR(MATCH(BF13,Lune!$A$1:$A$1000,0)),IF(WEEKDAY(BF13)=5,INT((BF13-DATE(YEAR(BF13),1,1))/7+1),IF(AND(WEEKDAY(BF13)=4,NOT( ISERROR(MATCH(BF13+1,Lune!$A$1:$A$1000,0)))),INT((BF13+1-DATE(YEAR(BF13+1),1,1))/7+1),"")),INDEX(Lune!$B$1:$B$1000,MATCH(BF13,Lune!$A$1:$A$1000,0),1)))</f>
        <v/>
      </c>
      <c r="BH13" s="80" t="str">
        <f t="shared" ca="1" si="12"/>
        <v/>
      </c>
      <c r="BI13" s="54" t="str">
        <f ca="1">IF(ISERROR(VLOOKUP(BF13,anniversaire!$X$2:$Z$100,2,0)),"",VLOOKUP(BF13,anniversaire!$X$2:$Z$100,2,0))</f>
        <v/>
      </c>
      <c r="BJ13" s="54" t="str">
        <f>IF(ISERROR(VLOOKUP(BF13,fête!$B$2:$C$367,2,0)),"",VLOOKUP(BF13,fête!$B$2:$C$367,2,0))</f>
        <v>Benoît</v>
      </c>
      <c r="BK13" s="54" t="str">
        <f>IF(ISERROR(VLOOKUP(BF13,évènements!$A$3:$D$200,3,0)),"",VLOOKUP(BF13,évènements!$A$3:$D$200,3,0))</f>
        <v/>
      </c>
      <c r="BL13" s="54" t="str">
        <f>IF(ISERROR(VLOOKUP(BF13,évènements!$B$3:$D$200,2,0)),"",VLOOKUP(BF13,évènements!$B$3:$D$200,2,0))</f>
        <v/>
      </c>
      <c r="BM13" s="54" t="str">
        <f t="shared" si="34"/>
        <v xml:space="preserve">  </v>
      </c>
      <c r="BN13" s="41">
        <f t="shared" si="35"/>
        <v>42958</v>
      </c>
      <c r="BO13" s="42">
        <f t="shared" si="48"/>
        <v>42958</v>
      </c>
      <c r="BP13" s="43" t="str">
        <f>IF(BO13="","",IF(ISERROR(MATCH(BO13,Lune!$A$1:$A$1000,0)),IF(WEEKDAY(BO13)=5,INT((BO13-DATE(YEAR(BO13),1,1))/7+1),IF(AND(WEEKDAY(BO13)=4,NOT( ISERROR(MATCH(BO13+1,Lune!$A$1:$A$1000,0)))),INT((BO13+1-DATE(YEAR(BO13+1),1,1))/7+1),"")),INDEX(Lune!$B$1:$B$1000,MATCH(BO13,Lune!$A$1:$A$1000,0),1)))</f>
        <v/>
      </c>
      <c r="BQ13" s="80" t="str">
        <f t="shared" ca="1" si="13"/>
        <v/>
      </c>
      <c r="BR13" s="54" t="str">
        <f ca="1">IF(ISERROR(VLOOKUP(BO13,anniversaire!$X$2:$Z$100,2,0)),"",VLOOKUP(BO13,anniversaire!$X$2:$Z$100,2,0))</f>
        <v/>
      </c>
      <c r="BS13" s="54" t="str">
        <f>IF(ISERROR(VLOOKUP(BO13,fête!$B$2:$C$367,2,0)),"",VLOOKUP(BO13,fête!$B$2:$C$367,2,0))</f>
        <v>Claire</v>
      </c>
      <c r="BT13" s="54" t="str">
        <f>IF(ISERROR(VLOOKUP(BO13,évènements!$A$3:$D$200,3,0)),"",VLOOKUP(BO13,évènements!$A$3:$D$200,3,0))</f>
        <v/>
      </c>
      <c r="BU13" s="54" t="str">
        <f>IF(ISERROR(VLOOKUP(BO13,évènements!$B$3:$D$200,2,0)),"",VLOOKUP(BO13,évènements!$B$3:$D$200,2,0))</f>
        <v/>
      </c>
      <c r="BV13" s="54" t="str">
        <f t="shared" si="14"/>
        <v xml:space="preserve">  </v>
      </c>
      <c r="BW13" s="41">
        <f t="shared" si="36"/>
        <v>42989</v>
      </c>
      <c r="BX13" s="42">
        <f t="shared" si="49"/>
        <v>42989</v>
      </c>
      <c r="BY13" s="43" t="str">
        <f>IF(BX13="","",IF(ISERROR(MATCH(BX13,Lune!$A$1:$A$1000,0)),IF(WEEKDAY(BX13)=5,INT((BX13-DATE(YEAR(BX13),1,1))/7+1),IF(AND(WEEKDAY(BX13)=4,NOT( ISERROR(MATCH(BX13+1,Lune!$A$1:$A$1000,0)))),INT((BX13+1-DATE(YEAR(BX13+1),1,1))/7+1),"")),INDEX(Lune!$B$1:$B$1000,MATCH(BX13,Lune!$A$1:$A$1000,0),1)))</f>
        <v/>
      </c>
      <c r="BZ13" s="80" t="str">
        <f t="shared" ca="1" si="15"/>
        <v/>
      </c>
      <c r="CA13" s="54" t="str">
        <f ca="1">IF(ISERROR(VLOOKUP(BX13,anniversaire!$X$2:$Z$100,2,0)),"",VLOOKUP(BX13,anniversaire!$X$2:$Z$100,2,0))</f>
        <v/>
      </c>
      <c r="CB13" s="54" t="str">
        <f>IF(ISERROR(VLOOKUP(BX13,fête!$B$2:$C$367,2,0)),"",VLOOKUP(BX13,fête!$B$2:$C$367,2,0))</f>
        <v>Adelphe</v>
      </c>
      <c r="CC13" s="54" t="str">
        <f>IF(ISERROR(VLOOKUP(BX13,évènements!$A$3:$D$200,3,0)),"",VLOOKUP(BX13,évènements!$A$3:$D$200,3,0))</f>
        <v/>
      </c>
      <c r="CD13" s="54" t="str">
        <f>IF(ISERROR(VLOOKUP(BX13,évènements!$B$3:$D$200,2,0)),"",VLOOKUP(BX13,évènements!$B$3:$D$200,2,0))</f>
        <v/>
      </c>
      <c r="CE13" s="54" t="str">
        <f t="shared" si="16"/>
        <v xml:space="preserve">  </v>
      </c>
      <c r="CF13" s="41">
        <f t="shared" si="37"/>
        <v>43019</v>
      </c>
      <c r="CG13" s="42">
        <f t="shared" si="50"/>
        <v>43019</v>
      </c>
      <c r="CH13" s="43">
        <f>IF(CG13="","",IF(ISERROR(MATCH(CG13,Lune!$A$1:$A$1000,0)),IF(WEEKDAY(CG13)=5,INT((CG13-DATE(YEAR(CG13),1,1))/7+1),IF(AND(WEEKDAY(CG13)=4,NOT( ISERROR(MATCH(CG13+1,Lune!$A$1:$A$1000,0)))),INT((CG13+1-DATE(YEAR(CG13+1),1,1))/7+1),"")),INDEX(Lune!$B$1:$B$1000,MATCH(CG13,Lune!$A$1:$A$1000,0),1)))</f>
        <v>41</v>
      </c>
      <c r="CI13" s="80" t="str">
        <f t="shared" ca="1" si="17"/>
        <v/>
      </c>
      <c r="CJ13" s="54" t="str">
        <f ca="1">IF(ISERROR(VLOOKUP(CG13,anniversaire!$X$2:$Z$100,2,0)),"",VLOOKUP(CG13,anniversaire!$X$2:$Z$100,2,0))</f>
        <v/>
      </c>
      <c r="CK13" s="54" t="str">
        <f>IF(ISERROR(VLOOKUP(CG13,fête!$B$2:$C$367,2,0)),"",VLOOKUP(CG13,fête!$B$2:$C$367,2,0))</f>
        <v>Firmin</v>
      </c>
      <c r="CL13" s="54" t="str">
        <f>IF(ISERROR(VLOOKUP(CG13,évènements!$A$3:$D$200,3,0)),"",VLOOKUP(CG13,évènements!$A$3:$D$200,3,0))</f>
        <v/>
      </c>
      <c r="CM13" s="54" t="str">
        <f>IF(ISERROR(VLOOKUP(CG13,évènements!$B$3:$D$200,2,0)),"",VLOOKUP(CG13,évènements!$B$3:$D$200,2,0))</f>
        <v/>
      </c>
      <c r="CN13" s="54" t="str">
        <f t="shared" si="18"/>
        <v xml:space="preserve">  </v>
      </c>
      <c r="CO13" s="41">
        <f t="shared" si="38"/>
        <v>43050</v>
      </c>
      <c r="CP13" s="42">
        <f t="shared" si="51"/>
        <v>43050</v>
      </c>
      <c r="CQ13" s="43" t="str">
        <f>IF(CP13="","",IF(ISERROR(MATCH(CP13,Lune!$A$1:$A$1000,0)),IF(WEEKDAY(CP13)=5,INT((CP13-DATE(YEAR(CP13),1,1))/7+1),IF(AND(WEEKDAY(CP13)=4,NOT( ISERROR(MATCH(CP13+1,Lune!$A$1:$A$1000,0)))),INT((CP13+1-DATE(YEAR(CP13+1),1,1))/7+1),"")),INDEX(Lune!$B$1:$B$1000,MATCH(CP13,Lune!$A$1:$A$1000,0),1)))</f>
        <v/>
      </c>
      <c r="CR13" s="80" t="str">
        <f t="shared" ca="1" si="19"/>
        <v/>
      </c>
      <c r="CS13" s="54" t="str">
        <f ca="1">IF(ISERROR(VLOOKUP(CP13,anniversaire!$X$2:$Z$100,2,0)),"",VLOOKUP(CP13,anniversaire!$X$2:$Z$100,2,0))</f>
        <v/>
      </c>
      <c r="CT13" s="54" t="str">
        <f>IF(ISERROR(VLOOKUP(CP13,fête!$B$2:$C$367,2,0)),"",VLOOKUP(CP13,fête!$B$2:$C$367,2,0))</f>
        <v>Armistice 1918</v>
      </c>
      <c r="CU13" s="54" t="str">
        <f>IF(ISERROR(VLOOKUP(CP13,évènements!$A$3:$D$200,3,0)),"",VLOOKUP(CP13,évènements!$A$3:$D$200,3,0))</f>
        <v/>
      </c>
      <c r="CV13" s="54" t="str">
        <f>IF(ISERROR(VLOOKUP(CP13,évènements!$B$3:$D$200,2,0)),"",VLOOKUP(CP13,évènements!$B$3:$D$200,2,0))</f>
        <v/>
      </c>
      <c r="CW13" s="54" t="str">
        <f t="shared" si="20"/>
        <v xml:space="preserve">  </v>
      </c>
      <c r="CX13" s="41">
        <f t="shared" si="39"/>
        <v>43080</v>
      </c>
      <c r="CY13" s="42">
        <f t="shared" si="52"/>
        <v>43080</v>
      </c>
      <c r="CZ13" s="43" t="str">
        <f>IF(CY13="","",IF(ISERROR(MATCH(CY13,Lune!$A$1:$A$1000,0)),IF(WEEKDAY(CY13)=5,INT((CY13-DATE(YEAR(CY13),1,1))/7+1),IF(AND(WEEKDAY(CY13)=4,NOT( ISERROR(MATCH(CY13+1,Lune!$A$1:$A$1000,0)))),INT((CY13+1-DATE(YEAR(CY13+1),1,1))/7+1),"")),INDEX(Lune!$B$1:$B$1000,MATCH(CY13,Lune!$A$1:$A$1000,0),1)))</f>
        <v/>
      </c>
      <c r="DA13" s="80" t="str">
        <f t="shared" ca="1" si="21"/>
        <v/>
      </c>
      <c r="DB13" s="54" t="str">
        <f ca="1">IF(ISERROR(VLOOKUP(CY13,anniversaire!$X$2:$Z$100,2,0)),"",VLOOKUP(CY13,anniversaire!$X$2:$Z$100,2,0))</f>
        <v/>
      </c>
      <c r="DC13" s="54" t="str">
        <f>IF(ISERROR(VLOOKUP(CY13,fête!$B$2:$C$367,2,0)),"",VLOOKUP(CY13,fête!$B$2:$C$367,2,0))</f>
        <v>Daniel</v>
      </c>
      <c r="DD13" s="54" t="str">
        <f>IF(ISERROR(VLOOKUP(CY13,évènements!$A$3:$D$200,3,0)),"",VLOOKUP(CY13,évènements!$A$3:$D$200,3,0))</f>
        <v/>
      </c>
      <c r="DE13" s="54" t="str">
        <f>IF(ISERROR(VLOOKUP(CY13,évènements!$B$3:$D$200,2,0)),"",VLOOKUP(CY13,évènements!$B$3:$D$200,2,0))</f>
        <v/>
      </c>
      <c r="DF13" s="54" t="str">
        <f t="shared" si="22"/>
        <v xml:space="preserve">  </v>
      </c>
      <c r="DG13" s="41">
        <f t="shared" si="40"/>
        <v>43111</v>
      </c>
      <c r="DH13" s="42">
        <f t="shared" si="53"/>
        <v>43111</v>
      </c>
      <c r="DI13" s="43">
        <f>IF(DH13="","",IF(ISERROR(MATCH(DH13,Lune!$A$1:$A$1000,0)),IF(WEEKDAY(DH13)=5,INT((DH13-DATE(YEAR(DH13),1,1))/7+1),IF(AND(WEEKDAY(DH13)=4,NOT( ISERROR(MATCH(DH13+1,Lune!$A$1:$A$1000,0)))),INT((DH13+1-DATE(YEAR(DH13+1),1,1))/7+1),"")),INDEX(Lune!$B$1:$B$1000,MATCH(DH13,Lune!$A$1:$A$1000,0),1)))</f>
        <v>2</v>
      </c>
      <c r="DJ13" s="89" t="str">
        <f t="shared" ca="1" si="23"/>
        <v/>
      </c>
      <c r="DK13" s="252" t="str">
        <f t="shared" ca="1" si="24"/>
        <v/>
      </c>
      <c r="DL13" s="252" t="str">
        <f t="shared" si="25"/>
        <v>Pauline</v>
      </c>
      <c r="DM13" s="252" t="str">
        <f>IF(ISERROR(VLOOKUP(DH13,évènements!$A$3:$D$200,3,0)),"",VLOOKUP(DH13,évènements!$A$3:$D$200,3,0))</f>
        <v/>
      </c>
      <c r="DN13" s="252" t="str">
        <f>IF(ISERROR(VLOOKUP(DH13,évènements!$B$3:$D$200,2,0)),"",VLOOKUP(DH13,évènements!$B$3:$D$200,2,0))</f>
        <v/>
      </c>
      <c r="DO13" s="252" t="str">
        <f t="shared" si="26"/>
        <v xml:space="preserve">  </v>
      </c>
    </row>
    <row r="14" spans="2:119" ht="15" customHeight="1">
      <c r="B14" s="29"/>
      <c r="C14" s="41">
        <f t="shared" si="27"/>
        <v>42747</v>
      </c>
      <c r="D14" s="40">
        <f t="shared" si="41"/>
        <v>42747</v>
      </c>
      <c r="E14" s="131" t="str">
        <f>IF(D14="","",IF(ISERROR(MATCH(D14,Lune!$A$1:$A$1000,0)),IF(WEEKDAY(D14)=5,INT((D14-DATE(YEAR(D14),1,1))/7+1),IF(AND(WEEKDAY(D14)=4,NOT( ISERROR(MATCH(D14+1,Lune!$A$1:$A$1000,0)))),INT((D14+1-DATE(YEAR(D14+1),1,1))/7+1),"")),INDEX(Lune!$B$1:$B$1000,MATCH(D14,Lune!$A$1:$A$1000,0),1)))</f>
        <v>○</v>
      </c>
      <c r="F14" s="89" t="str">
        <f t="shared" ca="1" si="0"/>
        <v xml:space="preserve"> '</v>
      </c>
      <c r="G14" s="125" t="str">
        <f ca="1">IF(ISERROR(VLOOKUP(D14,anniversaire!$X$2:$Z$100,2,0)),"",VLOOKUP(D14,anniversaire!$X$2:$Z$100,2,0))</f>
        <v>Virely  Alexi    6</v>
      </c>
      <c r="H14" s="54" t="str">
        <f>IF(ISERROR(VLOOKUP(D14,fête!$B$2:$C$367,2,0)),"",VLOOKUP(D14,fête!$B$2:$C$367,2,0))</f>
        <v>Tatiana</v>
      </c>
      <c r="I14" s="239" t="str">
        <f>IF(ISERROR(VLOOKUP(D14,évènements!$A$3:$D$200,3,0)),"",VLOOKUP(D14,évènements!$A$3:$D$200,3,0))</f>
        <v/>
      </c>
      <c r="J14" s="239" t="str">
        <f>IF(ISERROR(VLOOKUP(D14,évènements!$B$3:$D$200,2,0)),"",VLOOKUP(D14,évènements!$B$3:$D$200,2,0))</f>
        <v/>
      </c>
      <c r="K14" s="239" t="str">
        <f t="shared" si="1"/>
        <v xml:space="preserve">  </v>
      </c>
      <c r="L14" s="41">
        <f t="shared" si="28"/>
        <v>42778</v>
      </c>
      <c r="M14" s="42">
        <f t="shared" si="42"/>
        <v>42778</v>
      </c>
      <c r="N14" s="131" t="str">
        <f>IF(M14="","",IF(ISERROR(MATCH(M14,Lune!$A$1:$A$1000,0)),IF(WEEKDAY(M14)=5,INT((M14-DATE(YEAR(M14),1,1))/7+1),IF(AND(WEEKDAY(M14)=4,NOT( ISERROR(MATCH(M14+1,Lune!$A$1:$A$1000,0)))),INT((M14+1-DATE(YEAR(M14+1),1,1))/7+1),"")),INDEX(Lune!$B$1:$B$1000,MATCH(M14,Lune!$A$1:$A$1000,0),1)))</f>
        <v/>
      </c>
      <c r="O14" s="80" t="str">
        <f t="shared" ca="1" si="2"/>
        <v/>
      </c>
      <c r="P14" s="54" t="str">
        <f ca="1">IF(ISERROR(VLOOKUP(M14,anniversaire!$X$2:$Z$100,2,0)),"",VLOOKUP(M14,anniversaire!$X$2:$Z$100,2,0))</f>
        <v/>
      </c>
      <c r="Q14" s="54" t="str">
        <f>IF(ISERROR(VLOOKUP(M14,fête!$B$2:$C$367,2,0)),"",VLOOKUP(M14,fête!$B$2:$C$367,2,0))</f>
        <v>Félix</v>
      </c>
      <c r="R14" s="54" t="str">
        <f>IF(ISERROR(VLOOKUP(M14,évènements!$A$3:$D$200,3,0)),"",VLOOKUP(M14,évènements!$A$3:$D$200,3,0))</f>
        <v/>
      </c>
      <c r="S14" s="54" t="str">
        <f>IF(ISERROR(VLOOKUP(M14,évènements!$B$3:$D$200,2,0)),"",VLOOKUP(M14,évènements!$B$3:$D$200,2,0))</f>
        <v/>
      </c>
      <c r="T14" s="54" t="str">
        <f t="shared" si="3"/>
        <v xml:space="preserve">  </v>
      </c>
      <c r="U14" s="41">
        <f t="shared" si="29"/>
        <v>42806</v>
      </c>
      <c r="V14" s="42">
        <f t="shared" si="43"/>
        <v>42806</v>
      </c>
      <c r="W14" s="132" t="str">
        <f>IF(V14="","",IF(ISERROR(MATCH(V14,Lune!$A$1:$A$1000,0)),IF(WEEKDAY(V14)=5,INT((V14-DATE(YEAR(V14),1,1))/7+1),IF(AND(WEEKDAY(V14)=4,NOT( ISERROR(MATCH(V14+1,Lune!$A$1:$A$1000,0)))),INT((V14+1-DATE(YEAR(V14+1),1,1))/7+1),"")),INDEX(Lune!$B$1:$B$1000,MATCH(V14,Lune!$A$1:$A$1000,0),1)))</f>
        <v>○</v>
      </c>
      <c r="X14" s="89" t="str">
        <f t="shared" ca="1" si="4"/>
        <v/>
      </c>
      <c r="Y14" s="125" t="str">
        <f ca="1">IF(ISERROR(VLOOKUP(V14,anniversaire!$X$2:$Z$100,2,0)),"",VLOOKUP(V14,anniversaire!$X$2:$Z$100,2,0))</f>
        <v/>
      </c>
      <c r="Z14" s="54" t="str">
        <f>IF(ISERROR(VLOOKUP(V14,fête!$B$2:$C$367,2,0)),"",VLOOKUP(V14,fête!$B$2:$C$367,2,0))</f>
        <v>Justine</v>
      </c>
      <c r="AA14" s="54" t="str">
        <f>IF(ISERROR(VLOOKUP(V14,évènements!$A$3:$D$200,3,0)),"",VLOOKUP(V14,évènements!$A$3:$D$200,3,0))</f>
        <v/>
      </c>
      <c r="AB14" s="54" t="str">
        <f>IF(ISERROR(VLOOKUP(V14,évènements!$B$3:$D$200,2,0)),"",VLOOKUP(V14,évènements!$B$3:$D$200,2,0))</f>
        <v/>
      </c>
      <c r="AC14" s="54" t="str">
        <f t="shared" si="5"/>
        <v xml:space="preserve">  </v>
      </c>
      <c r="AD14" s="41">
        <f t="shared" si="30"/>
        <v>42837</v>
      </c>
      <c r="AE14" s="42">
        <f t="shared" si="44"/>
        <v>42837</v>
      </c>
      <c r="AF14" s="137" t="str">
        <f>IF(AE14="","",IF(ISERROR(MATCH(AE14,Lune!$A$1:$A$1000,0)),IF(WEEKDAY(AE14)=5,INT((AE14-DATE(YEAR(AE14),1,1))/7+1),IF(AND(WEEKDAY(AE14)=4,NOT( ISERROR(MATCH(AE14+1,Lune!$A$1:$A$1000,0)))),INT((AE14+1-DATE(YEAR(AE14+1),1,1))/7+1),"")),INDEX(Lune!$B$1:$B$1000,MATCH(AE14,Lune!$A$1:$A$1000,0),1)))</f>
        <v/>
      </c>
      <c r="AG14" s="80" t="str">
        <f t="shared" ca="1" si="6"/>
        <v/>
      </c>
      <c r="AH14" s="54" t="str">
        <f ca="1">IF(ISERROR(VLOOKUP(AE14,anniversaire!$X$2:$Z$100,2,0)),"",VLOOKUP(AE14,anniversaire!$X$2:$Z$100,2,0))</f>
        <v/>
      </c>
      <c r="AI14" s="54" t="str">
        <f>IF(ISERROR(VLOOKUP(AE14,fête!$B$2:$C$367,2,0)),"",VLOOKUP(AE14,fête!$B$2:$C$367,2,0))</f>
        <v>Jules</v>
      </c>
      <c r="AJ14" s="54" t="str">
        <f>IF(ISERROR(VLOOKUP(AE14,évènements!$A$3:$D$200,3,0)),"",VLOOKUP(AE14,évènements!$A$3:$D$200,3,0))</f>
        <v/>
      </c>
      <c r="AK14" s="54" t="str">
        <f>IF(ISERROR(VLOOKUP(AE14,évènements!$B$3:$D$200,2,0)),"",VLOOKUP(AE14,évènements!$B$3:$D$200,2,0))</f>
        <v/>
      </c>
      <c r="AL14" s="238" t="str">
        <f t="shared" si="7"/>
        <v xml:space="preserve">  </v>
      </c>
      <c r="AM14" s="41">
        <f t="shared" si="31"/>
        <v>42867</v>
      </c>
      <c r="AN14" s="42">
        <f t="shared" si="45"/>
        <v>42867</v>
      </c>
      <c r="AO14" s="43" t="str">
        <f>IF(AN14="","",IF(ISERROR(MATCH(AN14,Lune!$A$1:$A$1000,0)),IF(WEEKDAY(AN14)=5,INT((AN14-DATE(YEAR(AN14),1,1))/7+1),IF(AND(WEEKDAY(AN14)=4,NOT( ISERROR(MATCH(AN14+1,Lune!$A$1:$A$1000,0)))),INT((AN14+1-DATE(YEAR(AN14+1),1,1))/7+1),"")),INDEX(Lune!$B$1:$B$1000,MATCH(AN14,Lune!$A$1:$A$1000,0),1)))</f>
        <v/>
      </c>
      <c r="AP14" s="79" t="str">
        <f t="shared" ca="1" si="8"/>
        <v>'</v>
      </c>
      <c r="AQ14" s="54" t="str">
        <f ca="1">IF(ISERROR(VLOOKUP(AN14,anniversaire!$X$2:$Z$100,2,0)),"",VLOOKUP(AN14,anniversaire!$X$2:$Z$100,2,0))</f>
        <v>Taraud  sebastien    39</v>
      </c>
      <c r="AR14" s="54" t="str">
        <f>IF(ISERROR(VLOOKUP(AN14,fête!$B$2:$C$367,2,0)),"",VLOOKUP(AN14,fête!$B$2:$C$367,2,0))</f>
        <v>Achille</v>
      </c>
      <c r="AS14" s="238" t="str">
        <f>IF(ISERROR(VLOOKUP(AN14,évènements!$A$3:$D$200,3,0)),"",VLOOKUP(AN14,évènements!$A$3:$D$200,3,0))</f>
        <v/>
      </c>
      <c r="AT14" s="238" t="str">
        <f>IF(ISERROR(VLOOKUP(AN14,évènements!$B$3:$D$200,2,0)),"",VLOOKUP(AN14,évènements!$B$3:$D$200,2,0))</f>
        <v/>
      </c>
      <c r="AU14" s="238" t="str">
        <f t="shared" si="9"/>
        <v xml:space="preserve">  </v>
      </c>
      <c r="AV14" s="41">
        <f t="shared" si="32"/>
        <v>42898</v>
      </c>
      <c r="AW14" s="42">
        <f t="shared" si="46"/>
        <v>42898</v>
      </c>
      <c r="AX14" s="43" t="str">
        <f>IF(AW14="","",IF(ISERROR(MATCH(AW14,Lune!$A$1:$A$1000,0)),IF(WEEKDAY(AW14)=5,INT((AW14-DATE(YEAR(AW14),1,1))/7+1),IF(AND(WEEKDAY(AW14)=4,NOT( ISERROR(MATCH(AW14+1,Lune!$A$1:$A$1000,0)))),INT((AW14+1-DATE(YEAR(AW14+1),1,1))/7+1),"")),INDEX(Lune!$B$1:$B$1000,MATCH(AW14,Lune!$A$1:$A$1000,0),1)))</f>
        <v/>
      </c>
      <c r="AY14" s="79" t="str">
        <f t="shared" ca="1" si="10"/>
        <v xml:space="preserve"> '</v>
      </c>
      <c r="AZ14" s="54" t="str">
        <f ca="1">IF(ISERROR(VLOOKUP(AW14,anniversaire!$X$2:$Z$100,2,0)),"",VLOOKUP(AW14,anniversaire!$X$2:$Z$100,2,0))</f>
        <v>Barberan  mélanie    27</v>
      </c>
      <c r="BA14" s="54" t="str">
        <f>IF(ISERROR(VLOOKUP(AW14,fête!$B$2:$C$367,2,0)),"",VLOOKUP(AW14,fête!$B$2:$C$367,2,0))</f>
        <v>Guy</v>
      </c>
      <c r="BB14" s="54" t="str">
        <f>IF(ISERROR(VLOOKUP(AW14,évènements!$A$3:$D$200,3,0)),"",VLOOKUP(AW14,évènements!$A$3:$D$200,3,0))</f>
        <v/>
      </c>
      <c r="BC14" s="54" t="str">
        <f>IF(ISERROR(VLOOKUP(AW14,évènements!$B$3:$D$200,2,0)),"",VLOOKUP(AW14,évènements!$B$3:$D$200,2,0))</f>
        <v/>
      </c>
      <c r="BD14" s="54" t="str">
        <f t="shared" si="11"/>
        <v xml:space="preserve">  </v>
      </c>
      <c r="BE14" s="41">
        <f t="shared" si="33"/>
        <v>42928</v>
      </c>
      <c r="BF14" s="42">
        <f t="shared" si="47"/>
        <v>42928</v>
      </c>
      <c r="BG14" s="43" t="str">
        <f>IF(BF14="","",IF(ISERROR(MATCH(BF14,Lune!$A$1:$A$1000,0)),IF(WEEKDAY(BF14)=5,INT((BF14-DATE(YEAR(BF14),1,1))/7+1),IF(AND(WEEKDAY(BF14)=4,NOT( ISERROR(MATCH(BF14+1,Lune!$A$1:$A$1000,0)))),INT((BF14+1-DATE(YEAR(BF14+1),1,1))/7+1),"")),INDEX(Lune!$B$1:$B$1000,MATCH(BF14,Lune!$A$1:$A$1000,0),1)))</f>
        <v/>
      </c>
      <c r="BH14" s="80" t="str">
        <f t="shared" ca="1" si="12"/>
        <v xml:space="preserve"> '</v>
      </c>
      <c r="BI14" s="54" t="str">
        <f ca="1">IF(ISERROR(VLOOKUP(BF14,anniversaire!$X$2:$Z$100,2,0)),"",VLOOKUP(BF14,anniversaire!$X$2:$Z$100,2,0))</f>
        <v xml:space="preserve">Virely  élodie  2  </v>
      </c>
      <c r="BJ14" s="54" t="str">
        <f>IF(ISERROR(VLOOKUP(BF14,fête!$B$2:$C$367,2,0)),"",VLOOKUP(BF14,fête!$B$2:$C$367,2,0))</f>
        <v>Olivier</v>
      </c>
      <c r="BK14" s="54" t="str">
        <f>IF(ISERROR(VLOOKUP(BF14,évènements!$A$3:$D$200,3,0)),"",VLOOKUP(BF14,évènements!$A$3:$D$200,3,0))</f>
        <v/>
      </c>
      <c r="BL14" s="54" t="str">
        <f>IF(ISERROR(VLOOKUP(BF14,évènements!$B$3:$D$200,2,0)),"",VLOOKUP(BF14,évènements!$B$3:$D$200,2,0))</f>
        <v/>
      </c>
      <c r="BM14" s="54" t="str">
        <f t="shared" si="34"/>
        <v xml:space="preserve">  </v>
      </c>
      <c r="BN14" s="41">
        <f t="shared" si="35"/>
        <v>42959</v>
      </c>
      <c r="BO14" s="42">
        <f t="shared" si="48"/>
        <v>42959</v>
      </c>
      <c r="BP14" s="43" t="str">
        <f>IF(BO14="","",IF(ISERROR(MATCH(BO14,Lune!$A$1:$A$1000,0)),IF(WEEKDAY(BO14)=5,INT((BO14-DATE(YEAR(BO14),1,1))/7+1),IF(AND(WEEKDAY(BO14)=4,NOT( ISERROR(MATCH(BO14+1,Lune!$A$1:$A$1000,0)))),INT((BO14+1-DATE(YEAR(BO14+1),1,1))/7+1),"")),INDEX(Lune!$B$1:$B$1000,MATCH(BO14,Lune!$A$1:$A$1000,0),1)))</f>
        <v/>
      </c>
      <c r="BQ14" s="80" t="str">
        <f t="shared" ca="1" si="13"/>
        <v/>
      </c>
      <c r="BR14" s="54" t="str">
        <f ca="1">IF(ISERROR(VLOOKUP(BO14,anniversaire!$X$2:$Z$100,2,0)),"",VLOOKUP(BO14,anniversaire!$X$2:$Z$100,2,0))</f>
        <v/>
      </c>
      <c r="BS14" s="54" t="str">
        <f>IF(ISERROR(VLOOKUP(BO14,fête!$B$2:$C$367,2,0)),"",VLOOKUP(BO14,fête!$B$2:$C$367,2,0))</f>
        <v>Clarisse</v>
      </c>
      <c r="BT14" s="54" t="str">
        <f>IF(ISERROR(VLOOKUP(BO14,évènements!$A$3:$D$200,3,0)),"",VLOOKUP(BO14,évènements!$A$3:$D$200,3,0))</f>
        <v/>
      </c>
      <c r="BU14" s="54" t="str">
        <f>IF(ISERROR(VLOOKUP(BO14,évènements!$B$3:$D$200,2,0)),"",VLOOKUP(BO14,évènements!$B$3:$D$200,2,0))</f>
        <v/>
      </c>
      <c r="BV14" s="54" t="str">
        <f t="shared" si="14"/>
        <v xml:space="preserve">  </v>
      </c>
      <c r="BW14" s="41">
        <f t="shared" si="36"/>
        <v>42990</v>
      </c>
      <c r="BX14" s="42">
        <f t="shared" si="49"/>
        <v>42990</v>
      </c>
      <c r="BY14" s="43" t="str">
        <f>IF(BX14="","",IF(ISERROR(MATCH(BX14,Lune!$A$1:$A$1000,0)),IF(WEEKDAY(BX14)=5,INT((BX14-DATE(YEAR(BX14),1,1))/7+1),IF(AND(WEEKDAY(BX14)=4,NOT( ISERROR(MATCH(BX14+1,Lune!$A$1:$A$1000,0)))),INT((BX14+1-DATE(YEAR(BX14+1),1,1))/7+1),"")),INDEX(Lune!$B$1:$B$1000,MATCH(BX14,Lune!$A$1:$A$1000,0),1)))</f>
        <v/>
      </c>
      <c r="BZ14" s="80" t="str">
        <f t="shared" ca="1" si="15"/>
        <v/>
      </c>
      <c r="CA14" s="54" t="str">
        <f ca="1">IF(ISERROR(VLOOKUP(BX14,anniversaire!$X$2:$Z$100,2,0)),"",VLOOKUP(BX14,anniversaire!$X$2:$Z$100,2,0))</f>
        <v/>
      </c>
      <c r="CB14" s="54" t="str">
        <f>IF(ISERROR(VLOOKUP(BX14,fête!$B$2:$C$367,2,0)),"",VLOOKUP(BX14,fête!$B$2:$C$367,2,0))</f>
        <v>Apollinaire</v>
      </c>
      <c r="CC14" s="54" t="str">
        <f>IF(ISERROR(VLOOKUP(BX14,évènements!$A$3:$D$200,3,0)),"",VLOOKUP(BX14,évènements!$A$3:$D$200,3,0))</f>
        <v/>
      </c>
      <c r="CD14" s="54" t="str">
        <f>IF(ISERROR(VLOOKUP(BX14,évènements!$B$3:$D$200,2,0)),"",VLOOKUP(BX14,évènements!$B$3:$D$200,2,0))</f>
        <v/>
      </c>
      <c r="CE14" s="54" t="str">
        <f t="shared" si="16"/>
        <v xml:space="preserve">  </v>
      </c>
      <c r="CF14" s="41">
        <f t="shared" si="37"/>
        <v>43020</v>
      </c>
      <c r="CG14" s="42">
        <f t="shared" si="50"/>
        <v>43020</v>
      </c>
      <c r="CH14" s="43" t="str">
        <f>IF(CG14="","",IF(ISERROR(MATCH(CG14,Lune!$A$1:$A$1000,0)),IF(WEEKDAY(CG14)=5,INT((CG14-DATE(YEAR(CG14),1,1))/7+1),IF(AND(WEEKDAY(CG14)=4,NOT( ISERROR(MATCH(CG14+1,Lune!$A$1:$A$1000,0)))),INT((CG14+1-DATE(YEAR(CG14+1),1,1))/7+1),"")),INDEX(Lune!$B$1:$B$1000,MATCH(CG14,Lune!$A$1:$A$1000,0),1)))</f>
        <v>◑</v>
      </c>
      <c r="CI14" s="80" t="str">
        <f t="shared" ca="1" si="17"/>
        <v/>
      </c>
      <c r="CJ14" s="54" t="str">
        <f ca="1">IF(ISERROR(VLOOKUP(CG14,anniversaire!$X$2:$Z$100,2,0)),"",VLOOKUP(CG14,anniversaire!$X$2:$Z$100,2,0))</f>
        <v/>
      </c>
      <c r="CK14" s="54" t="str">
        <f>IF(ISERROR(VLOOKUP(CG14,fête!$B$2:$C$367,2,0)),"",VLOOKUP(CG14,fête!$B$2:$C$367,2,0))</f>
        <v>Wilfried</v>
      </c>
      <c r="CL14" s="54" t="str">
        <f>IF(ISERROR(VLOOKUP(CG14,évènements!$A$3:$D$200,3,0)),"",VLOOKUP(CG14,évènements!$A$3:$D$200,3,0))</f>
        <v/>
      </c>
      <c r="CM14" s="54" t="str">
        <f>IF(ISERROR(VLOOKUP(CG14,évènements!$B$3:$D$200,2,0)),"",VLOOKUP(CG14,évènements!$B$3:$D$200,2,0))</f>
        <v/>
      </c>
      <c r="CN14" s="54" t="str">
        <f t="shared" si="18"/>
        <v xml:space="preserve">  </v>
      </c>
      <c r="CO14" s="41">
        <f t="shared" si="38"/>
        <v>43051</v>
      </c>
      <c r="CP14" s="42">
        <f t="shared" si="51"/>
        <v>43051</v>
      </c>
      <c r="CQ14" s="43" t="str">
        <f>IF(CP14="","",IF(ISERROR(MATCH(CP14,Lune!$A$1:$A$1000,0)),IF(WEEKDAY(CP14)=5,INT((CP14-DATE(YEAR(CP14),1,1))/7+1),IF(AND(WEEKDAY(CP14)=4,NOT( ISERROR(MATCH(CP14+1,Lune!$A$1:$A$1000,0)))),INT((CP14+1-DATE(YEAR(CP14+1),1,1))/7+1),"")),INDEX(Lune!$B$1:$B$1000,MATCH(CP14,Lune!$A$1:$A$1000,0),1)))</f>
        <v/>
      </c>
      <c r="CR14" s="80" t="str">
        <f t="shared" ca="1" si="19"/>
        <v/>
      </c>
      <c r="CS14" s="54" t="str">
        <f ca="1">IF(ISERROR(VLOOKUP(CP14,anniversaire!$X$2:$Z$100,2,0)),"",VLOOKUP(CP14,anniversaire!$X$2:$Z$100,2,0))</f>
        <v/>
      </c>
      <c r="CT14" s="54" t="str">
        <f>IF(ISERROR(VLOOKUP(CP14,fête!$B$2:$C$367,2,0)),"",VLOOKUP(CP14,fête!$B$2:$C$367,2,0))</f>
        <v>Christian</v>
      </c>
      <c r="CU14" s="54" t="str">
        <f>IF(ISERROR(VLOOKUP(CP14,évènements!$A$3:$D$200,3,0)),"",VLOOKUP(CP14,évènements!$A$3:$D$200,3,0))</f>
        <v/>
      </c>
      <c r="CV14" s="54" t="str">
        <f>IF(ISERROR(VLOOKUP(CP14,évènements!$B$3:$D$200,2,0)),"",VLOOKUP(CP14,évènements!$B$3:$D$200,2,0))</f>
        <v/>
      </c>
      <c r="CW14" s="54" t="str">
        <f t="shared" si="20"/>
        <v xml:space="preserve">  </v>
      </c>
      <c r="CX14" s="41">
        <f t="shared" si="39"/>
        <v>43081</v>
      </c>
      <c r="CY14" s="42">
        <f t="shared" si="52"/>
        <v>43081</v>
      </c>
      <c r="CZ14" s="43" t="str">
        <f>IF(CY14="","",IF(ISERROR(MATCH(CY14,Lune!$A$1:$A$1000,0)),IF(WEEKDAY(CY14)=5,INT((CY14-DATE(YEAR(CY14),1,1))/7+1),IF(AND(WEEKDAY(CY14)=4,NOT( ISERROR(MATCH(CY14+1,Lune!$A$1:$A$1000,0)))),INT((CY14+1-DATE(YEAR(CY14+1),1,1))/7+1),"")),INDEX(Lune!$B$1:$B$1000,MATCH(CY14,Lune!$A$1:$A$1000,0),1)))</f>
        <v/>
      </c>
      <c r="DA14" s="80" t="str">
        <f t="shared" ca="1" si="21"/>
        <v/>
      </c>
      <c r="DB14" s="54" t="str">
        <f ca="1">IF(ISERROR(VLOOKUP(CY14,anniversaire!$X$2:$Z$100,2,0)),"",VLOOKUP(CY14,anniversaire!$X$2:$Z$100,2,0))</f>
        <v/>
      </c>
      <c r="DC14" s="54" t="str">
        <f>IF(ISERROR(VLOOKUP(CY14,fête!$B$2:$C$367,2,0)),"",VLOOKUP(CY14,fête!$B$2:$C$367,2,0))</f>
        <v>Jeanne-Françoise de Chantal</v>
      </c>
      <c r="DD14" s="54" t="str">
        <f>IF(ISERROR(VLOOKUP(CY14,évènements!$A$3:$D$200,3,0)),"",VLOOKUP(CY14,évènements!$A$3:$D$200,3,0))</f>
        <v/>
      </c>
      <c r="DE14" s="54" t="str">
        <f>IF(ISERROR(VLOOKUP(CY14,évènements!$B$3:$D$200,2,0)),"",VLOOKUP(CY14,évènements!$B$3:$D$200,2,0))</f>
        <v/>
      </c>
      <c r="DF14" s="54" t="str">
        <f t="shared" si="22"/>
        <v xml:space="preserve">  </v>
      </c>
      <c r="DG14" s="41">
        <f t="shared" si="40"/>
        <v>43112</v>
      </c>
      <c r="DH14" s="42">
        <f t="shared" si="53"/>
        <v>43112</v>
      </c>
      <c r="DI14" s="43" t="str">
        <f>IF(DH14="","",IF(ISERROR(MATCH(DH14,Lune!$A$1:$A$1000,0)),IF(WEEKDAY(DH14)=5,INT((DH14-DATE(YEAR(DH14),1,1))/7+1),IF(AND(WEEKDAY(DH14)=4,NOT( ISERROR(MATCH(DH14+1,Lune!$A$1:$A$1000,0)))),INT((DH14+1-DATE(YEAR(DH14+1),1,1))/7+1),"")),INDEX(Lune!$B$1:$B$1000,MATCH(DH14,Lune!$A$1:$A$1000,0),1)))</f>
        <v/>
      </c>
      <c r="DJ14" s="89" t="str">
        <f t="shared" ca="1" si="23"/>
        <v xml:space="preserve"> '</v>
      </c>
      <c r="DK14" s="252" t="str">
        <f t="shared" ca="1" si="24"/>
        <v>Virely  Alexi    6</v>
      </c>
      <c r="DL14" s="252" t="str">
        <f t="shared" si="25"/>
        <v>Tatiana</v>
      </c>
      <c r="DM14" s="252" t="str">
        <f>IF(ISERROR(VLOOKUP(DH14,évènements!$A$3:$D$200,3,0)),"",VLOOKUP(DH14,évènements!$A$3:$D$200,3,0))</f>
        <v/>
      </c>
      <c r="DN14" s="252" t="str">
        <f>IF(ISERROR(VLOOKUP(DH14,évènements!$B$3:$D$200,2,0)),"",VLOOKUP(DH14,évènements!$B$3:$D$200,2,0))</f>
        <v/>
      </c>
      <c r="DO14" s="252" t="str">
        <f t="shared" si="26"/>
        <v xml:space="preserve">  </v>
      </c>
    </row>
    <row r="15" spans="2:119" ht="15" customHeight="1">
      <c r="B15" s="29"/>
      <c r="C15" s="41">
        <f t="shared" si="27"/>
        <v>42748</v>
      </c>
      <c r="D15" s="40">
        <f t="shared" si="41"/>
        <v>42748</v>
      </c>
      <c r="E15" s="131" t="str">
        <f>IF(D15="","",IF(ISERROR(MATCH(D15,Lune!$A$1:$A$1000,0)),IF(WEEKDAY(D15)=5,INT((D15-DATE(YEAR(D15),1,1))/7+1),IF(AND(WEEKDAY(D15)=4,NOT( ISERROR(MATCH(D15+1,Lune!$A$1:$A$1000,0)))),INT((D15+1-DATE(YEAR(D15+1),1,1))/7+1),"")),INDEX(Lune!$B$1:$B$1000,MATCH(D15,Lune!$A$1:$A$1000,0),1)))</f>
        <v/>
      </c>
      <c r="F15" s="89" t="str">
        <f ca="1">IF(G15="",""," '")</f>
        <v xml:space="preserve"> '</v>
      </c>
      <c r="G15" s="125" t="str">
        <f ca="1">IF(ISERROR(VLOOKUP(D15,anniversaire!$X$2:$Z$100,2,0)),"",VLOOKUP(D15,anniversaire!$X$2:$Z$100,2,0))</f>
        <v>Laborde   Clément    21</v>
      </c>
      <c r="H15" s="54" t="str">
        <f>IF(ISERROR(VLOOKUP(D15,fête!$B$2:$C$367,2,0)),"",VLOOKUP(D15,fête!$B$2:$C$367,2,0))</f>
        <v>Yvette</v>
      </c>
      <c r="I15" s="239" t="str">
        <f>IF(ISERROR(VLOOKUP(D15,évènements!$A$3:$D$200,3,0)),"",VLOOKUP(D15,évènements!$A$3:$D$200,3,0))</f>
        <v/>
      </c>
      <c r="J15" s="239" t="str">
        <f>IF(ISERROR(VLOOKUP(D15,évènements!$B$3:$D$200,2,0)),"",VLOOKUP(D15,évènements!$B$3:$D$200,2,0))</f>
        <v/>
      </c>
      <c r="K15" s="239" t="str">
        <f t="shared" si="1"/>
        <v xml:space="preserve">  </v>
      </c>
      <c r="L15" s="41">
        <f t="shared" si="28"/>
        <v>42779</v>
      </c>
      <c r="M15" s="42">
        <f t="shared" si="42"/>
        <v>42779</v>
      </c>
      <c r="N15" s="131" t="str">
        <f>IF(M15="","",IF(ISERROR(MATCH(M15,Lune!$A$1:$A$1000,0)),IF(WEEKDAY(M15)=5,INT((M15-DATE(YEAR(M15),1,1))/7+1),IF(AND(WEEKDAY(M15)=4,NOT( ISERROR(MATCH(M15+1,Lune!$A$1:$A$1000,0)))),INT((M15+1-DATE(YEAR(M15+1),1,1))/7+1),"")),INDEX(Lune!$B$1:$B$1000,MATCH(M15,Lune!$A$1:$A$1000,0),1)))</f>
        <v/>
      </c>
      <c r="O15" s="80" t="str">
        <f ca="1">IF(P15="",""," '")</f>
        <v/>
      </c>
      <c r="P15" s="54" t="str">
        <f ca="1">IF(ISERROR(VLOOKUP(M15,anniversaire!$X$2:$Z$100,2,0)),"",VLOOKUP(M15,anniversaire!$X$2:$Z$100,2,0))</f>
        <v/>
      </c>
      <c r="Q15" s="54" t="str">
        <f>IF(ISERROR(VLOOKUP(M15,fête!$B$2:$C$367,2,0)),"",VLOOKUP(M15,fête!$B$2:$C$367,2,0))</f>
        <v>Béatrice</v>
      </c>
      <c r="R15" s="54" t="str">
        <f>IF(ISERROR(VLOOKUP(M15,évènements!$A$3:$D$200,3,0)),"",VLOOKUP(M15,évènements!$A$3:$D$200,3,0))</f>
        <v/>
      </c>
      <c r="S15" s="54" t="str">
        <f>IF(ISERROR(VLOOKUP(M15,évènements!$B$3:$D$200,2,0)),"",VLOOKUP(M15,évènements!$B$3:$D$200,2,0))</f>
        <v/>
      </c>
      <c r="T15" s="54" t="str">
        <f t="shared" si="3"/>
        <v xml:space="preserve">  </v>
      </c>
      <c r="U15" s="41">
        <f t="shared" si="29"/>
        <v>42807</v>
      </c>
      <c r="V15" s="42">
        <f t="shared" si="43"/>
        <v>42807</v>
      </c>
      <c r="W15" s="132" t="str">
        <f>IF(V15="","",IF(ISERROR(MATCH(V15,Lune!$A$1:$A$1000,0)),IF(WEEKDAY(V15)=5,INT((V15-DATE(YEAR(V15),1,1))/7+1),IF(AND(WEEKDAY(V15)=4,NOT( ISERROR(MATCH(V15+1,Lune!$A$1:$A$1000,0)))),INT((V15+1-DATE(YEAR(V15+1),1,1))/7+1),"")),INDEX(Lune!$B$1:$B$1000,MATCH(V15,Lune!$A$1:$A$1000,0),1)))</f>
        <v/>
      </c>
      <c r="X15" s="89" t="str">
        <f ca="1">IF(Y15="",""," '")</f>
        <v/>
      </c>
      <c r="Y15" s="125" t="str">
        <f ca="1">IF(ISERROR(VLOOKUP(V15,anniversaire!$X$2:$Z$100,2,0)),"",VLOOKUP(V15,anniversaire!$X$2:$Z$100,2,0))</f>
        <v/>
      </c>
      <c r="Z15" s="54" t="str">
        <f>IF(ISERROR(VLOOKUP(V15,fête!$B$2:$C$367,2,0)),"",VLOOKUP(V15,fête!$B$2:$C$367,2,0))</f>
        <v>Rodrigue</v>
      </c>
      <c r="AA15" s="54" t="str">
        <f>IF(ISERROR(VLOOKUP(V15,évènements!$A$3:$D$200,3,0)),"",VLOOKUP(V15,évènements!$A$3:$D$200,3,0))</f>
        <v/>
      </c>
      <c r="AB15" s="54" t="str">
        <f>IF(ISERROR(VLOOKUP(V15,évènements!$B$3:$D$200,2,0)),"",VLOOKUP(V15,évènements!$B$3:$D$200,2,0))</f>
        <v/>
      </c>
      <c r="AC15" s="54" t="str">
        <f t="shared" si="5"/>
        <v xml:space="preserve">  </v>
      </c>
      <c r="AD15" s="41">
        <f t="shared" si="30"/>
        <v>42838</v>
      </c>
      <c r="AE15" s="42">
        <f t="shared" si="44"/>
        <v>42838</v>
      </c>
      <c r="AF15" s="137">
        <f>IF(AE15="","",IF(ISERROR(MATCH(AE15,Lune!$A$1:$A$1000,0)),IF(WEEKDAY(AE15)=5,INT((AE15-DATE(YEAR(AE15),1,1))/7+1),IF(AND(WEEKDAY(AE15)=4,NOT( ISERROR(MATCH(AE15+1,Lune!$A$1:$A$1000,0)))),INT((AE15+1-DATE(YEAR(AE15+1),1,1))/7+1),"")),INDEX(Lune!$B$1:$B$1000,MATCH(AE15,Lune!$A$1:$A$1000,0),1)))</f>
        <v>15</v>
      </c>
      <c r="AG15" s="80" t="str">
        <f ca="1">IF(AH15="",""," '")</f>
        <v/>
      </c>
      <c r="AH15" s="54" t="str">
        <f ca="1">IF(ISERROR(VLOOKUP(AE15,anniversaire!$X$2:$Z$100,2,0)),"",VLOOKUP(AE15,anniversaire!$X$2:$Z$100,2,0))</f>
        <v/>
      </c>
      <c r="AI15" s="54" t="str">
        <f>IF(ISERROR(VLOOKUP(AE15,fête!$B$2:$C$367,2,0)),"",VLOOKUP(AE15,fête!$B$2:$C$367,2,0))</f>
        <v>Ida</v>
      </c>
      <c r="AJ15" s="54" t="str">
        <f>IF(ISERROR(VLOOKUP(AE15,évènements!$A$3:$D$200,3,0)),"",VLOOKUP(AE15,évènements!$A$3:$D$200,3,0))</f>
        <v/>
      </c>
      <c r="AK15" s="54" t="str">
        <f>IF(ISERROR(VLOOKUP(AE15,évènements!$B$3:$D$200,2,0)),"",VLOOKUP(AE15,évènements!$B$3:$D$200,2,0))</f>
        <v/>
      </c>
      <c r="AL15" s="238" t="str">
        <f t="shared" si="7"/>
        <v xml:space="preserve">  </v>
      </c>
      <c r="AM15" s="41">
        <f t="shared" si="31"/>
        <v>42868</v>
      </c>
      <c r="AN15" s="42">
        <f t="shared" si="45"/>
        <v>42868</v>
      </c>
      <c r="AO15" s="43" t="str">
        <f>IF(AN15="","",IF(ISERROR(MATCH(AN15,Lune!$A$1:$A$1000,0)),IF(WEEKDAY(AN15)=5,INT((AN15-DATE(YEAR(AN15),1,1))/7+1),IF(AND(WEEKDAY(AN15)=4,NOT( ISERROR(MATCH(AN15+1,Lune!$A$1:$A$1000,0)))),INT((AN15+1-DATE(YEAR(AN15+1),1,1))/7+1),"")),INDEX(Lune!$B$1:$B$1000,MATCH(AN15,Lune!$A$1:$A$1000,0),1)))</f>
        <v/>
      </c>
      <c r="AP15" s="79" t="str">
        <f ca="1">IF(AQ15="","","'")</f>
        <v/>
      </c>
      <c r="AQ15" s="54" t="str">
        <f ca="1">IF(ISERROR(VLOOKUP(AN15,anniversaire!$X$2:$Z$100,2,0)),"",VLOOKUP(AN15,anniversaire!$X$2:$Z$100,2,0))</f>
        <v/>
      </c>
      <c r="AR15" s="54" t="str">
        <f>IF(ISERROR(VLOOKUP(AN15,fête!$B$2:$C$367,2,0)),"",VLOOKUP(AN15,fête!$B$2:$C$367,2,0))</f>
        <v>Rolande</v>
      </c>
      <c r="AS15" s="238" t="str">
        <f>IF(ISERROR(VLOOKUP(AN15,évènements!$A$3:$D$200,3,0)),"",VLOOKUP(AN15,évènements!$A$3:$D$200,3,0))</f>
        <v/>
      </c>
      <c r="AT15" s="238" t="str">
        <f>IF(ISERROR(VLOOKUP(AN15,évènements!$B$3:$D$200,2,0)),"",VLOOKUP(AN15,évènements!$B$3:$D$200,2,0))</f>
        <v/>
      </c>
      <c r="AU15" s="238" t="str">
        <f t="shared" si="9"/>
        <v xml:space="preserve">  </v>
      </c>
      <c r="AV15" s="41">
        <f t="shared" si="32"/>
        <v>42899</v>
      </c>
      <c r="AW15" s="42">
        <f t="shared" si="46"/>
        <v>42899</v>
      </c>
      <c r="AX15" s="43" t="str">
        <f>IF(AW15="","",IF(ISERROR(MATCH(AW15,Lune!$A$1:$A$1000,0)),IF(WEEKDAY(AW15)=5,INT((AW15-DATE(YEAR(AW15),1,1))/7+1),IF(AND(WEEKDAY(AW15)=4,NOT( ISERROR(MATCH(AW15+1,Lune!$A$1:$A$1000,0)))),INT((AW15+1-DATE(YEAR(AW15+1),1,1))/7+1),"")),INDEX(Lune!$B$1:$B$1000,MATCH(AW15,Lune!$A$1:$A$1000,0),1)))</f>
        <v/>
      </c>
      <c r="AY15" s="79" t="str">
        <f ca="1">IF(AZ15="",""," '")</f>
        <v/>
      </c>
      <c r="AZ15" s="54" t="str">
        <f ca="1">IF(ISERROR(VLOOKUP(AW15,anniversaire!$X$2:$Z$100,2,0)),"",VLOOKUP(AW15,anniversaire!$X$2:$Z$100,2,0))</f>
        <v/>
      </c>
      <c r="BA15" s="54" t="str">
        <f>IF(ISERROR(VLOOKUP(AW15,fête!$B$2:$C$367,2,0)),"",VLOOKUP(AW15,fête!$B$2:$C$367,2,0))</f>
        <v>Antoine de Padoue</v>
      </c>
      <c r="BB15" s="54" t="str">
        <f>IF(ISERROR(VLOOKUP(AW15,évènements!$A$3:$D$200,3,0)),"",VLOOKUP(AW15,évènements!$A$3:$D$200,3,0))</f>
        <v/>
      </c>
      <c r="BC15" s="54" t="str">
        <f>IF(ISERROR(VLOOKUP(AW15,évènements!$B$3:$D$200,2,0)),"",VLOOKUP(AW15,évènements!$B$3:$D$200,2,0))</f>
        <v/>
      </c>
      <c r="BD15" s="54" t="str">
        <f t="shared" si="11"/>
        <v xml:space="preserve">  </v>
      </c>
      <c r="BE15" s="41">
        <f t="shared" si="33"/>
        <v>42929</v>
      </c>
      <c r="BF15" s="42">
        <f t="shared" si="47"/>
        <v>42929</v>
      </c>
      <c r="BG15" s="43">
        <f>IF(BF15="","",IF(ISERROR(MATCH(BF15,Lune!$A$1:$A$1000,0)),IF(WEEKDAY(BF15)=5,INT((BF15-DATE(YEAR(BF15),1,1))/7+1),IF(AND(WEEKDAY(BF15)=4,NOT( ISERROR(MATCH(BF15+1,Lune!$A$1:$A$1000,0)))),INT((BF15+1-DATE(YEAR(BF15+1),1,1))/7+1),"")),INDEX(Lune!$B$1:$B$1000,MATCH(BF15,Lune!$A$1:$A$1000,0),1)))</f>
        <v>28</v>
      </c>
      <c r="BH15" s="80" t="str">
        <f ca="1">IF(BI15="",""," '")</f>
        <v/>
      </c>
      <c r="BI15" s="54" t="str">
        <f ca="1">IF(ISERROR(VLOOKUP(BF15,anniversaire!$X$2:$Z$100,2,0)),"",VLOOKUP(BF15,anniversaire!$X$2:$Z$100,2,0))</f>
        <v/>
      </c>
      <c r="BJ15" s="54" t="str">
        <f>IF(ISERROR(VLOOKUP(BF15,fête!$B$2:$C$367,2,0)),"",VLOOKUP(BF15,fête!$B$2:$C$367,2,0))</f>
        <v>Henri, Joël</v>
      </c>
      <c r="BK15" s="54" t="str">
        <f>IF(ISERROR(VLOOKUP(BF15,évènements!$A$3:$D$200,3,0)),"",VLOOKUP(BF15,évènements!$A$3:$D$200,3,0))</f>
        <v/>
      </c>
      <c r="BL15" s="54" t="str">
        <f>IF(ISERROR(VLOOKUP(BF15,évènements!$B$3:$D$200,2,0)),"",VLOOKUP(BF15,évènements!$B$3:$D$200,2,0))</f>
        <v/>
      </c>
      <c r="BM15" s="54" t="str">
        <f t="shared" si="34"/>
        <v xml:space="preserve">  </v>
      </c>
      <c r="BN15" s="41">
        <f t="shared" si="35"/>
        <v>42960</v>
      </c>
      <c r="BO15" s="42">
        <f t="shared" si="48"/>
        <v>42960</v>
      </c>
      <c r="BP15" s="43" t="str">
        <f>IF(BO15="","",IF(ISERROR(MATCH(BO15,Lune!$A$1:$A$1000,0)),IF(WEEKDAY(BO15)=5,INT((BO15-DATE(YEAR(BO15),1,1))/7+1),IF(AND(WEEKDAY(BO15)=4,NOT( ISERROR(MATCH(BO15+1,Lune!$A$1:$A$1000,0)))),INT((BO15+1-DATE(YEAR(BO15+1),1,1))/7+1),"")),INDEX(Lune!$B$1:$B$1000,MATCH(BO15,Lune!$A$1:$A$1000,0),1)))</f>
        <v/>
      </c>
      <c r="BQ15" s="80" t="str">
        <f ca="1">IF(BR15="",""," '")</f>
        <v xml:space="preserve"> '</v>
      </c>
      <c r="BR15" s="54" t="str">
        <f ca="1">IF(ISERROR(VLOOKUP(BO15,anniversaire!$X$2:$Z$100,2,0)),"",VLOOKUP(BO15,anniversaire!$X$2:$Z$100,2,0))</f>
        <v xml:space="preserve">Taraud  jerôme  6  </v>
      </c>
      <c r="BS15" s="54" t="str">
        <f>IF(ISERROR(VLOOKUP(BO15,fête!$B$2:$C$367,2,0)),"",VLOOKUP(BO15,fête!$B$2:$C$367,2,0))</f>
        <v>Hippolyte</v>
      </c>
      <c r="BT15" s="54" t="str">
        <f>IF(ISERROR(VLOOKUP(BO15,évènements!$A$3:$D$200,3,0)),"",VLOOKUP(BO15,évènements!$A$3:$D$200,3,0))</f>
        <v/>
      </c>
      <c r="BU15" s="54" t="str">
        <f>IF(ISERROR(VLOOKUP(BO15,évènements!$B$3:$D$200,2,0)),"",VLOOKUP(BO15,évènements!$B$3:$D$200,2,0))</f>
        <v/>
      </c>
      <c r="BV15" s="54" t="str">
        <f t="shared" si="14"/>
        <v xml:space="preserve">  </v>
      </c>
      <c r="BW15" s="41">
        <f t="shared" si="36"/>
        <v>42991</v>
      </c>
      <c r="BX15" s="42">
        <f t="shared" si="49"/>
        <v>42991</v>
      </c>
      <c r="BY15" s="43" t="str">
        <f>IF(BX15="","",IF(ISERROR(MATCH(BX15,Lune!$A$1:$A$1000,0)),IF(WEEKDAY(BX15)=5,INT((BX15-DATE(YEAR(BX15),1,1))/7+1),IF(AND(WEEKDAY(BX15)=4,NOT( ISERROR(MATCH(BX15+1,Lune!$A$1:$A$1000,0)))),INT((BX15+1-DATE(YEAR(BX15+1),1,1))/7+1),"")),INDEX(Lune!$B$1:$B$1000,MATCH(BX15,Lune!$A$1:$A$1000,0),1)))</f>
        <v>◑</v>
      </c>
      <c r="BZ15" s="80" t="str">
        <f ca="1">IF(CA15="",""," '")</f>
        <v/>
      </c>
      <c r="CA15" s="54" t="str">
        <f ca="1">IF(ISERROR(VLOOKUP(BX15,anniversaire!$X$2:$Z$100,2,0)),"",VLOOKUP(BX15,anniversaire!$X$2:$Z$100,2,0))</f>
        <v/>
      </c>
      <c r="CB15" s="54" t="str">
        <f>IF(ISERROR(VLOOKUP(BX15,fête!$B$2:$C$367,2,0)),"",VLOOKUP(BX15,fête!$B$2:$C$367,2,0))</f>
        <v>Aimé</v>
      </c>
      <c r="CC15" s="54" t="str">
        <f>IF(ISERROR(VLOOKUP(BX15,évènements!$A$3:$D$200,3,0)),"",VLOOKUP(BX15,évènements!$A$3:$D$200,3,0))</f>
        <v/>
      </c>
      <c r="CD15" s="54" t="str">
        <f>IF(ISERROR(VLOOKUP(BX15,évènements!$B$3:$D$200,2,0)),"",VLOOKUP(BX15,évènements!$B$3:$D$200,2,0))</f>
        <v/>
      </c>
      <c r="CE15" s="54" t="str">
        <f t="shared" si="16"/>
        <v xml:space="preserve">  </v>
      </c>
      <c r="CF15" s="41">
        <f t="shared" si="37"/>
        <v>43021</v>
      </c>
      <c r="CG15" s="42">
        <f t="shared" si="50"/>
        <v>43021</v>
      </c>
      <c r="CH15" s="43" t="str">
        <f>IF(CG15="","",IF(ISERROR(MATCH(CG15,Lune!$A$1:$A$1000,0)),IF(WEEKDAY(CG15)=5,INT((CG15-DATE(YEAR(CG15),1,1))/7+1),IF(AND(WEEKDAY(CG15)=4,NOT( ISERROR(MATCH(CG15+1,Lune!$A$1:$A$1000,0)))),INT((CG15+1-DATE(YEAR(CG15+1),1,1))/7+1),"")),INDEX(Lune!$B$1:$B$1000,MATCH(CG15,Lune!$A$1:$A$1000,0),1)))</f>
        <v/>
      </c>
      <c r="CI15" s="80" t="str">
        <f ca="1">IF(CJ15="",""," '")</f>
        <v/>
      </c>
      <c r="CJ15" s="54" t="str">
        <f ca="1">IF(ISERROR(VLOOKUP(CG15,anniversaire!$X$2:$Z$100,2,0)),"",VLOOKUP(CG15,anniversaire!$X$2:$Z$100,2,0))</f>
        <v/>
      </c>
      <c r="CK15" s="54" t="str">
        <f>IF(ISERROR(VLOOKUP(CG15,fête!$B$2:$C$367,2,0)),"",VLOOKUP(CG15,fête!$B$2:$C$367,2,0))</f>
        <v>Géraud</v>
      </c>
      <c r="CL15" s="54" t="str">
        <f>IF(ISERROR(VLOOKUP(CG15,évènements!$A$3:$D$200,3,0)),"",VLOOKUP(CG15,évènements!$A$3:$D$200,3,0))</f>
        <v/>
      </c>
      <c r="CM15" s="54" t="str">
        <f>IF(ISERROR(VLOOKUP(CG15,évènements!$B$3:$D$200,2,0)),"",VLOOKUP(CG15,évènements!$B$3:$D$200,2,0))</f>
        <v/>
      </c>
      <c r="CN15" s="54" t="str">
        <f t="shared" si="18"/>
        <v xml:space="preserve">  </v>
      </c>
      <c r="CO15" s="41">
        <f t="shared" si="38"/>
        <v>43052</v>
      </c>
      <c r="CP15" s="42">
        <f t="shared" si="51"/>
        <v>43052</v>
      </c>
      <c r="CQ15" s="43" t="str">
        <f>IF(CP15="","",IF(ISERROR(MATCH(CP15,Lune!$A$1:$A$1000,0)),IF(WEEKDAY(CP15)=5,INT((CP15-DATE(YEAR(CP15),1,1))/7+1),IF(AND(WEEKDAY(CP15)=4,NOT( ISERROR(MATCH(CP15+1,Lune!$A$1:$A$1000,0)))),INT((CP15+1-DATE(YEAR(CP15+1),1,1))/7+1),"")),INDEX(Lune!$B$1:$B$1000,MATCH(CP15,Lune!$A$1:$A$1000,0),1)))</f>
        <v/>
      </c>
      <c r="CR15" s="80" t="str">
        <f ca="1">IF(CS15="",""," '")</f>
        <v/>
      </c>
      <c r="CS15" s="54" t="str">
        <f ca="1">IF(ISERROR(VLOOKUP(CP15,anniversaire!$X$2:$Z$100,2,0)),"",VLOOKUP(CP15,anniversaire!$X$2:$Z$100,2,0))</f>
        <v/>
      </c>
      <c r="CT15" s="54" t="str">
        <f>IF(ISERROR(VLOOKUP(CP15,fête!$B$2:$C$367,2,0)),"",VLOOKUP(CP15,fête!$B$2:$C$367,2,0))</f>
        <v>Brice</v>
      </c>
      <c r="CU15" s="54" t="str">
        <f>IF(ISERROR(VLOOKUP(CP15,évènements!$A$3:$D$200,3,0)),"",VLOOKUP(CP15,évènements!$A$3:$D$200,3,0))</f>
        <v/>
      </c>
      <c r="CV15" s="54" t="str">
        <f>IF(ISERROR(VLOOKUP(CP15,évènements!$B$3:$D$200,2,0)),"",VLOOKUP(CP15,évènements!$B$3:$D$200,2,0))</f>
        <v/>
      </c>
      <c r="CW15" s="54" t="str">
        <f t="shared" si="20"/>
        <v xml:space="preserve">  </v>
      </c>
      <c r="CX15" s="41">
        <f t="shared" si="39"/>
        <v>43082</v>
      </c>
      <c r="CY15" s="42">
        <f t="shared" si="52"/>
        <v>43082</v>
      </c>
      <c r="CZ15" s="43" t="str">
        <f>IF(CY15="","",IF(ISERROR(MATCH(CY15,Lune!$A$1:$A$1000,0)),IF(WEEKDAY(CY15)=5,INT((CY15-DATE(YEAR(CY15),1,1))/7+1),IF(AND(WEEKDAY(CY15)=4,NOT( ISERROR(MATCH(CY15+1,Lune!$A$1:$A$1000,0)))),INT((CY15+1-DATE(YEAR(CY15+1),1,1))/7+1),"")),INDEX(Lune!$B$1:$B$1000,MATCH(CY15,Lune!$A$1:$A$1000,0),1)))</f>
        <v/>
      </c>
      <c r="DA15" s="80" t="str">
        <f ca="1">IF(DB15="",""," '")</f>
        <v/>
      </c>
      <c r="DB15" s="54" t="str">
        <f ca="1">IF(ISERROR(VLOOKUP(CY15,anniversaire!$X$2:$Z$100,2,0)),"",VLOOKUP(CY15,anniversaire!$X$2:$Z$100,2,0))</f>
        <v/>
      </c>
      <c r="DC15" s="54" t="str">
        <f>IF(ISERROR(VLOOKUP(CY15,fête!$B$2:$C$367,2,0)),"",VLOOKUP(CY15,fête!$B$2:$C$367,2,0))</f>
        <v>Lucie</v>
      </c>
      <c r="DD15" s="54" t="str">
        <f>IF(ISERROR(VLOOKUP(CY15,évènements!$A$3:$D$200,3,0)),"",VLOOKUP(CY15,évènements!$A$3:$D$200,3,0))</f>
        <v/>
      </c>
      <c r="DE15" s="54" t="str">
        <f>IF(ISERROR(VLOOKUP(CY15,évènements!$B$3:$D$200,2,0)),"",VLOOKUP(CY15,évènements!$B$3:$D$200,2,0))</f>
        <v/>
      </c>
      <c r="DF15" s="54" t="str">
        <f t="shared" si="22"/>
        <v xml:space="preserve">  </v>
      </c>
      <c r="DG15" s="41">
        <f t="shared" si="40"/>
        <v>43113</v>
      </c>
      <c r="DH15" s="42">
        <f t="shared" si="53"/>
        <v>43113</v>
      </c>
      <c r="DI15" s="43" t="str">
        <f>IF(DH15="","",IF(ISERROR(MATCH(DH15,Lune!$A$1:$A$1000,0)),IF(WEEKDAY(DH15)=5,INT((DH15-DATE(YEAR(DH15),1,1))/7+1),IF(AND(WEEKDAY(DH15)=4,NOT( ISERROR(MATCH(DH15+1,Lune!$A$1:$A$1000,0)))),INT((DH15+1-DATE(YEAR(DH15+1),1,1))/7+1),"")),INDEX(Lune!$B$1:$B$1000,MATCH(DH15,Lune!$A$1:$A$1000,0),1)))</f>
        <v/>
      </c>
      <c r="DJ15" s="89" t="str">
        <f t="shared" ca="1" si="23"/>
        <v xml:space="preserve"> '</v>
      </c>
      <c r="DK15" s="252" t="str">
        <f t="shared" ca="1" si="24"/>
        <v>Laborde   Clément    21</v>
      </c>
      <c r="DL15" s="252" t="str">
        <f t="shared" si="25"/>
        <v>Yvette</v>
      </c>
      <c r="DM15" s="252" t="str">
        <f>IF(ISERROR(VLOOKUP(DH15,évènements!$A$3:$D$200,3,0)),"",VLOOKUP(DH15,évènements!$A$3:$D$200,3,0))</f>
        <v/>
      </c>
      <c r="DN15" s="252" t="str">
        <f>IF(ISERROR(VLOOKUP(DH15,évènements!$B$3:$D$200,2,0)),"",VLOOKUP(DH15,évènements!$B$3:$D$200,2,0))</f>
        <v/>
      </c>
      <c r="DO15" s="252" t="str">
        <f t="shared" si="26"/>
        <v xml:space="preserve">  </v>
      </c>
    </row>
    <row r="16" spans="2:119" ht="15" customHeight="1">
      <c r="B16" s="29"/>
      <c r="C16" s="41">
        <f t="shared" si="27"/>
        <v>42749</v>
      </c>
      <c r="D16" s="40">
        <f t="shared" si="41"/>
        <v>42749</v>
      </c>
      <c r="E16" s="131" t="str">
        <f>IF(D16="","",IF(ISERROR(MATCH(D16,Lune!$A$1:$A$1000,0)),IF(WEEKDAY(D16)=5,INT((D16-DATE(YEAR(D16),1,1))/7+1),IF(AND(WEEKDAY(D16)=4,NOT( ISERROR(MATCH(D16+1,Lune!$A$1:$A$1000,0)))),INT((D16+1-DATE(YEAR(D16+1),1,1))/7+1),"")),INDEX(Lune!$B$1:$B$1000,MATCH(D16,Lune!$A$1:$A$1000,0),1)))</f>
        <v/>
      </c>
      <c r="F16" s="89" t="str">
        <f t="shared" ca="1" si="0"/>
        <v/>
      </c>
      <c r="G16" s="125" t="str">
        <f ca="1">IF(ISERROR(VLOOKUP(D16,anniversaire!$X$2:$Z$100,2,0)),"",VLOOKUP(D16,anniversaire!$X$2:$Z$100,2,0))</f>
        <v/>
      </c>
      <c r="H16" s="54" t="str">
        <f>IF(ISERROR(VLOOKUP(D16,fête!$B$2:$C$367,2,0)),"",VLOOKUP(D16,fête!$B$2:$C$367,2,0))</f>
        <v>Nina</v>
      </c>
      <c r="I16" s="239" t="str">
        <f>IF(ISERROR(VLOOKUP(D16,évènements!$A$3:$D$200,3,0)),"",VLOOKUP(D16,évènements!$A$3:$D$200,3,0))</f>
        <v/>
      </c>
      <c r="J16" s="239" t="str">
        <f>IF(ISERROR(VLOOKUP(D16,évènements!$B$3:$D$200,2,0)),"",VLOOKUP(D16,évènements!$B$3:$D$200,2,0))</f>
        <v/>
      </c>
      <c r="K16" s="239" t="str">
        <f t="shared" si="1"/>
        <v xml:space="preserve">  </v>
      </c>
      <c r="L16" s="41">
        <f t="shared" si="28"/>
        <v>42780</v>
      </c>
      <c r="M16" s="42">
        <f t="shared" si="42"/>
        <v>42780</v>
      </c>
      <c r="N16" s="131" t="str">
        <f>IF(M16="","",IF(ISERROR(MATCH(M16,Lune!$A$1:$A$1000,0)),IF(WEEKDAY(M16)=5,INT((M16-DATE(YEAR(M16),1,1))/7+1),IF(AND(WEEKDAY(M16)=4,NOT( ISERROR(MATCH(M16+1,Lune!$A$1:$A$1000,0)))),INT((M16+1-DATE(YEAR(M16+1),1,1))/7+1),"")),INDEX(Lune!$B$1:$B$1000,MATCH(M16,Lune!$A$1:$A$1000,0),1)))</f>
        <v/>
      </c>
      <c r="O16" s="80" t="str">
        <f t="shared" ref="O16:O31" ca="1" si="54">IF(P16="",""," '")</f>
        <v/>
      </c>
      <c r="P16" s="54" t="str">
        <f ca="1">IF(ISERROR(VLOOKUP(M16,anniversaire!$X$2:$Z$100,2,0)),"",VLOOKUP(M16,anniversaire!$X$2:$Z$100,2,0))</f>
        <v/>
      </c>
      <c r="Q16" s="54" t="str">
        <f>IF(ISERROR(VLOOKUP(M16,fête!$B$2:$C$367,2,0)),"",VLOOKUP(M16,fête!$B$2:$C$367,2,0))</f>
        <v>Valentin</v>
      </c>
      <c r="R16" s="54" t="str">
        <f>IF(ISERROR(VLOOKUP(M16,évènements!$A$3:$D$200,3,0)),"",VLOOKUP(M16,évènements!$A$3:$D$200,3,0))</f>
        <v/>
      </c>
      <c r="S16" s="54" t="str">
        <f>IF(ISERROR(VLOOKUP(M16,évènements!$B$3:$D$200,2,0)),"",VLOOKUP(M16,évènements!$B$3:$D$200,2,0))</f>
        <v/>
      </c>
      <c r="T16" s="54" t="str">
        <f t="shared" si="3"/>
        <v xml:space="preserve">  </v>
      </c>
      <c r="U16" s="41">
        <f t="shared" si="29"/>
        <v>42808</v>
      </c>
      <c r="V16" s="42">
        <f t="shared" si="43"/>
        <v>42808</v>
      </c>
      <c r="W16" s="132" t="str">
        <f>IF(V16="","",IF(ISERROR(MATCH(V16,Lune!$A$1:$A$1000,0)),IF(WEEKDAY(V16)=5,INT((V16-DATE(YEAR(V16),1,1))/7+1),IF(AND(WEEKDAY(V16)=4,NOT( ISERROR(MATCH(V16+1,Lune!$A$1:$A$1000,0)))),INT((V16+1-DATE(YEAR(V16+1),1,1))/7+1),"")),INDEX(Lune!$B$1:$B$1000,MATCH(V16,Lune!$A$1:$A$1000,0),1)))</f>
        <v/>
      </c>
      <c r="X16" s="89" t="str">
        <f t="shared" ca="1" si="4"/>
        <v/>
      </c>
      <c r="Y16" s="125" t="str">
        <f ca="1">IF(ISERROR(VLOOKUP(V16,anniversaire!$X$2:$Z$100,2,0)),"",VLOOKUP(V16,anniversaire!$X$2:$Z$100,2,0))</f>
        <v/>
      </c>
      <c r="Z16" s="54" t="str">
        <f>IF(ISERROR(VLOOKUP(V16,fête!$B$2:$C$367,2,0)),"",VLOOKUP(V16,fête!$B$2:$C$367,2,0))</f>
        <v>Mathilde</v>
      </c>
      <c r="AA16" s="54" t="str">
        <f>IF(ISERROR(VLOOKUP(V16,évènements!$A$3:$D$200,3,0)),"",VLOOKUP(V16,évènements!$A$3:$D$200,3,0))</f>
        <v/>
      </c>
      <c r="AB16" s="54" t="str">
        <f>IF(ISERROR(VLOOKUP(V16,évènements!$B$3:$D$200,2,0)),"",VLOOKUP(V16,évènements!$B$3:$D$200,2,0))</f>
        <v/>
      </c>
      <c r="AC16" s="54" t="str">
        <f t="shared" si="5"/>
        <v xml:space="preserve">  </v>
      </c>
      <c r="AD16" s="41">
        <f t="shared" si="30"/>
        <v>42839</v>
      </c>
      <c r="AE16" s="42">
        <f t="shared" si="44"/>
        <v>42839</v>
      </c>
      <c r="AF16" s="137" t="str">
        <f>IF(AE16="","",IF(ISERROR(MATCH(AE16,Lune!$A$1:$A$1000,0)),IF(WEEKDAY(AE16)=5,INT((AE16-DATE(YEAR(AE16),1,1))/7+1),IF(AND(WEEKDAY(AE16)=4,NOT( ISERROR(MATCH(AE16+1,Lune!$A$1:$A$1000,0)))),INT((AE16+1-DATE(YEAR(AE16+1),1,1))/7+1),"")),INDEX(Lune!$B$1:$B$1000,MATCH(AE16,Lune!$A$1:$A$1000,0),1)))</f>
        <v/>
      </c>
      <c r="AG16" s="80" t="str">
        <f t="shared" ca="1" si="6"/>
        <v xml:space="preserve"> '</v>
      </c>
      <c r="AH16" s="54" t="str">
        <f ca="1">IF(ISERROR(VLOOKUP(AE16,anniversaire!$X$2:$Z$100,2,0)),"",VLOOKUP(AE16,anniversaire!$X$2:$Z$100,2,0))</f>
        <v>boireau  bejamin    3</v>
      </c>
      <c r="AI16" s="54" t="str">
        <f>IF(ISERROR(VLOOKUP(AE16,fête!$B$2:$C$367,2,0)),"",VLOOKUP(AE16,fête!$B$2:$C$367,2,0))</f>
        <v>Maxime</v>
      </c>
      <c r="AJ16" s="54" t="str">
        <f>IF(ISERROR(VLOOKUP(AE16,évènements!$A$3:$D$200,3,0)),"",VLOOKUP(AE16,évènements!$A$3:$D$200,3,0))</f>
        <v/>
      </c>
      <c r="AK16" s="54" t="str">
        <f>IF(ISERROR(VLOOKUP(AE16,évènements!$B$3:$D$200,2,0)),"",VLOOKUP(AE16,évènements!$B$3:$D$200,2,0))</f>
        <v>ROLOT</v>
      </c>
      <c r="AL16" s="238" t="str">
        <f>CONCATENATE(AJ16,"  ",AK16)</f>
        <v xml:space="preserve">  ROLOT</v>
      </c>
      <c r="AM16" s="41">
        <f t="shared" si="31"/>
        <v>42869</v>
      </c>
      <c r="AN16" s="42">
        <f t="shared" si="45"/>
        <v>42869</v>
      </c>
      <c r="AO16" s="43" t="str">
        <f>IF(AN16="","",IF(ISERROR(MATCH(AN16,Lune!$A$1:$A$1000,0)),IF(WEEKDAY(AN16)=5,INT((AN16-DATE(YEAR(AN16),1,1))/7+1),IF(AND(WEEKDAY(AN16)=4,NOT( ISERROR(MATCH(AN16+1,Lune!$A$1:$A$1000,0)))),INT((AN16+1-DATE(YEAR(AN16+1),1,1))/7+1),"")),INDEX(Lune!$B$1:$B$1000,MATCH(AN16,Lune!$A$1:$A$1000,0),1)))</f>
        <v/>
      </c>
      <c r="AP16" s="79" t="str">
        <f t="shared" ca="1" si="8"/>
        <v/>
      </c>
      <c r="AQ16" s="54" t="str">
        <f ca="1">IF(ISERROR(VLOOKUP(AN16,anniversaire!$X$2:$Z$100,2,0)),"",VLOOKUP(AN16,anniversaire!$X$2:$Z$100,2,0))</f>
        <v/>
      </c>
      <c r="AR16" s="54" t="str">
        <f>IF(ISERROR(VLOOKUP(AN16,fête!$B$2:$C$367,2,0)),"",VLOOKUP(AN16,fête!$B$2:$C$367,2,0))</f>
        <v>Matthias</v>
      </c>
      <c r="AS16" s="238" t="str">
        <f>IF(ISERROR(VLOOKUP(AN16,évènements!$A$3:$D$200,3,0)),"",VLOOKUP(AN16,évènements!$A$3:$D$200,3,0))</f>
        <v>Baptêmes maël</v>
      </c>
      <c r="AT16" s="238" t="str">
        <f>IF(ISERROR(VLOOKUP(AN16,évènements!$B$3:$D$200,2,0)),"",VLOOKUP(AN16,évènements!$B$3:$D$200,2,0))</f>
        <v/>
      </c>
      <c r="AU16" s="238" t="str">
        <f t="shared" si="9"/>
        <v xml:space="preserve">Baptêmes maël  </v>
      </c>
      <c r="AV16" s="41">
        <f t="shared" si="32"/>
        <v>42900</v>
      </c>
      <c r="AW16" s="42">
        <f t="shared" si="46"/>
        <v>42900</v>
      </c>
      <c r="AX16" s="43" t="str">
        <f>IF(AW16="","",IF(ISERROR(MATCH(AW16,Lune!$A$1:$A$1000,0)),IF(WEEKDAY(AW16)=5,INT((AW16-DATE(YEAR(AW16),1,1))/7+1),IF(AND(WEEKDAY(AW16)=4,NOT( ISERROR(MATCH(AW16+1,Lune!$A$1:$A$1000,0)))),INT((AW16+1-DATE(YEAR(AW16+1),1,1))/7+1),"")),INDEX(Lune!$B$1:$B$1000,MATCH(AW16,Lune!$A$1:$A$1000,0),1)))</f>
        <v/>
      </c>
      <c r="AY16" s="79" t="str">
        <f t="shared" ca="1" si="10"/>
        <v/>
      </c>
      <c r="AZ16" s="54" t="str">
        <f ca="1">IF(ISERROR(VLOOKUP(AW16,anniversaire!$X$2:$Z$100,2,0)),"",VLOOKUP(AW16,anniversaire!$X$2:$Z$100,2,0))</f>
        <v/>
      </c>
      <c r="BA16" s="54" t="str">
        <f>IF(ISERROR(VLOOKUP(AW16,fête!$B$2:$C$367,2,0)),"",VLOOKUP(AW16,fête!$B$2:$C$367,2,0))</f>
        <v>Elisée</v>
      </c>
      <c r="BB16" s="54" t="str">
        <f>IF(ISERROR(VLOOKUP(AW16,évènements!$A$3:$D$200,3,0)),"",VLOOKUP(AW16,évènements!$A$3:$D$200,3,0))</f>
        <v/>
      </c>
      <c r="BC16" s="54" t="str">
        <f>IF(ISERROR(VLOOKUP(AW16,évènements!$B$3:$D$200,2,0)),"",VLOOKUP(AW16,évènements!$B$3:$D$200,2,0))</f>
        <v/>
      </c>
      <c r="BD16" s="54" t="str">
        <f>CONCATENATE(BB16,"  ",BC16)</f>
        <v xml:space="preserve">  </v>
      </c>
      <c r="BE16" s="41">
        <f t="shared" si="33"/>
        <v>42930</v>
      </c>
      <c r="BF16" s="42">
        <f t="shared" si="47"/>
        <v>42930</v>
      </c>
      <c r="BG16" s="43" t="str">
        <f>IF(BF16="","",IF(ISERROR(MATCH(BF16,Lune!$A$1:$A$1000,0)),IF(WEEKDAY(BF16)=5,INT((BF16-DATE(YEAR(BF16),1,1))/7+1),IF(AND(WEEKDAY(BF16)=4,NOT( ISERROR(MATCH(BF16+1,Lune!$A$1:$A$1000,0)))),INT((BF16+1-DATE(YEAR(BF16+1),1,1))/7+1),"")),INDEX(Lune!$B$1:$B$1000,MATCH(BF16,Lune!$A$1:$A$1000,0),1)))</f>
        <v/>
      </c>
      <c r="BH16" s="80" t="str">
        <f t="shared" ca="1" si="12"/>
        <v/>
      </c>
      <c r="BI16" s="54" t="str">
        <f ca="1">IF(ISERROR(VLOOKUP(BF16,anniversaire!$X$2:$Z$100,2,0)),"",VLOOKUP(BF16,anniversaire!$X$2:$Z$100,2,0))</f>
        <v/>
      </c>
      <c r="BJ16" s="54" t="str">
        <f>IF(ISERROR(VLOOKUP(BF16,fête!$B$2:$C$367,2,0)),"",VLOOKUP(BF16,fête!$B$2:$C$367,2,0))</f>
        <v>Fête Nationale</v>
      </c>
      <c r="BK16" s="54" t="str">
        <f>IF(ISERROR(VLOOKUP(BF16,évènements!$A$3:$D$200,3,0)),"",VLOOKUP(BF16,évènements!$A$3:$D$200,3,0))</f>
        <v/>
      </c>
      <c r="BL16" s="54" t="str">
        <f>IF(ISERROR(VLOOKUP(BF16,évènements!$B$3:$D$200,2,0)),"",VLOOKUP(BF16,évènements!$B$3:$D$200,2,0))</f>
        <v/>
      </c>
      <c r="BM16" s="54" t="str">
        <f t="shared" si="34"/>
        <v xml:space="preserve">  </v>
      </c>
      <c r="BN16" s="41">
        <f t="shared" si="35"/>
        <v>42961</v>
      </c>
      <c r="BO16" s="42">
        <f t="shared" si="48"/>
        <v>42961</v>
      </c>
      <c r="BP16" s="43" t="str">
        <f>IF(BO16="","",IF(ISERROR(MATCH(BO16,Lune!$A$1:$A$1000,0)),IF(WEEKDAY(BO16)=5,INT((BO16-DATE(YEAR(BO16),1,1))/7+1),IF(AND(WEEKDAY(BO16)=4,NOT( ISERROR(MATCH(BO16+1,Lune!$A$1:$A$1000,0)))),INT((BO16+1-DATE(YEAR(BO16+1),1,1))/7+1),"")),INDEX(Lune!$B$1:$B$1000,MATCH(BO16,Lune!$A$1:$A$1000,0),1)))</f>
        <v/>
      </c>
      <c r="BQ16" s="80" t="str">
        <f t="shared" ca="1" si="13"/>
        <v/>
      </c>
      <c r="BR16" s="54" t="str">
        <f ca="1">IF(ISERROR(VLOOKUP(BO16,anniversaire!$X$2:$Z$100,2,0)),"",VLOOKUP(BO16,anniversaire!$X$2:$Z$100,2,0))</f>
        <v/>
      </c>
      <c r="BS16" s="54" t="str">
        <f>IF(ISERROR(VLOOKUP(BO16,fête!$B$2:$C$367,2,0)),"",VLOOKUP(BO16,fête!$B$2:$C$367,2,0))</f>
        <v>Evrard</v>
      </c>
      <c r="BT16" s="54" t="str">
        <f>IF(ISERROR(VLOOKUP(BO16,évènements!$A$3:$D$200,3,0)),"",VLOOKUP(BO16,évènements!$A$3:$D$200,3,0))</f>
        <v/>
      </c>
      <c r="BU16" s="54" t="str">
        <f>IF(ISERROR(VLOOKUP(BO16,évènements!$B$3:$D$200,2,0)),"",VLOOKUP(BO16,évènements!$B$3:$D$200,2,0))</f>
        <v/>
      </c>
      <c r="BV16" s="54" t="str">
        <f>CONCATENATE(BT16,"  ",BU16)</f>
        <v xml:space="preserve">  </v>
      </c>
      <c r="BW16" s="41">
        <f t="shared" si="36"/>
        <v>42992</v>
      </c>
      <c r="BX16" s="42">
        <f t="shared" si="49"/>
        <v>42992</v>
      </c>
      <c r="BY16" s="43">
        <f>IF(BX16="","",IF(ISERROR(MATCH(BX16,Lune!$A$1:$A$1000,0)),IF(WEEKDAY(BX16)=5,INT((BX16-DATE(YEAR(BX16),1,1))/7+1),IF(AND(WEEKDAY(BX16)=4,NOT( ISERROR(MATCH(BX16+1,Lune!$A$1:$A$1000,0)))),INT((BX16+1-DATE(YEAR(BX16+1),1,1))/7+1),"")),INDEX(Lune!$B$1:$B$1000,MATCH(BX16,Lune!$A$1:$A$1000,0),1)))</f>
        <v>37</v>
      </c>
      <c r="BZ16" s="80" t="str">
        <f t="shared" ca="1" si="15"/>
        <v/>
      </c>
      <c r="CA16" s="54" t="str">
        <f ca="1">IF(ISERROR(VLOOKUP(BX16,anniversaire!$X$2:$Z$100,2,0)),"",VLOOKUP(BX16,anniversaire!$X$2:$Z$100,2,0))</f>
        <v/>
      </c>
      <c r="CB16" s="54" t="str">
        <f>IF(ISERROR(VLOOKUP(BX16,fête!$B$2:$C$367,2,0)),"",VLOOKUP(BX16,fête!$B$2:$C$367,2,0))</f>
        <v>Croix Glorieuse</v>
      </c>
      <c r="CC16" s="54" t="str">
        <f>IF(ISERROR(VLOOKUP(BX16,évènements!$A$3:$D$200,3,0)),"",VLOOKUP(BX16,évènements!$A$3:$D$200,3,0))</f>
        <v/>
      </c>
      <c r="CD16" s="54" t="str">
        <f>IF(ISERROR(VLOOKUP(BX16,évènements!$B$3:$D$200,2,0)),"",VLOOKUP(BX16,évènements!$B$3:$D$200,2,0))</f>
        <v/>
      </c>
      <c r="CE16" s="54" t="str">
        <f t="shared" si="16"/>
        <v xml:space="preserve">  </v>
      </c>
      <c r="CF16" s="41">
        <f t="shared" si="37"/>
        <v>43022</v>
      </c>
      <c r="CG16" s="42">
        <f t="shared" si="50"/>
        <v>43022</v>
      </c>
      <c r="CH16" s="43" t="str">
        <f>IF(CG16="","",IF(ISERROR(MATCH(CG16,Lune!$A$1:$A$1000,0)),IF(WEEKDAY(CG16)=5,INT((CG16-DATE(YEAR(CG16),1,1))/7+1),IF(AND(WEEKDAY(CG16)=4,NOT( ISERROR(MATCH(CG16+1,Lune!$A$1:$A$1000,0)))),INT((CG16+1-DATE(YEAR(CG16+1),1,1))/7+1),"")),INDEX(Lune!$B$1:$B$1000,MATCH(CG16,Lune!$A$1:$A$1000,0),1)))</f>
        <v/>
      </c>
      <c r="CI16" s="80" t="str">
        <f t="shared" ca="1" si="17"/>
        <v/>
      </c>
      <c r="CJ16" s="54" t="str">
        <f ca="1">IF(ISERROR(VLOOKUP(CG16,anniversaire!$X$2:$Z$100,2,0)),"",VLOOKUP(CG16,anniversaire!$X$2:$Z$100,2,0))</f>
        <v/>
      </c>
      <c r="CK16" s="54" t="str">
        <f>IF(ISERROR(VLOOKUP(CG16,fête!$B$2:$C$367,2,0)),"",VLOOKUP(CG16,fête!$B$2:$C$367,2,0))</f>
        <v>Juste</v>
      </c>
      <c r="CL16" s="54" t="str">
        <f>IF(ISERROR(VLOOKUP(CG16,évènements!$A$3:$D$200,3,0)),"",VLOOKUP(CG16,évènements!$A$3:$D$200,3,0))</f>
        <v/>
      </c>
      <c r="CM16" s="54" t="str">
        <f>IF(ISERROR(VLOOKUP(CG16,évènements!$B$3:$D$200,2,0)),"",VLOOKUP(CG16,évènements!$B$3:$D$200,2,0))</f>
        <v/>
      </c>
      <c r="CN16" s="54" t="str">
        <f t="shared" si="18"/>
        <v xml:space="preserve">  </v>
      </c>
      <c r="CO16" s="41">
        <f t="shared" si="38"/>
        <v>43053</v>
      </c>
      <c r="CP16" s="42">
        <f t="shared" si="51"/>
        <v>43053</v>
      </c>
      <c r="CQ16" s="43" t="str">
        <f>IF(CP16="","",IF(ISERROR(MATCH(CP16,Lune!$A$1:$A$1000,0)),IF(WEEKDAY(CP16)=5,INT((CP16-DATE(YEAR(CP16),1,1))/7+1),IF(AND(WEEKDAY(CP16)=4,NOT( ISERROR(MATCH(CP16+1,Lune!$A$1:$A$1000,0)))),INT((CP16+1-DATE(YEAR(CP16+1),1,1))/7+1),"")),INDEX(Lune!$B$1:$B$1000,MATCH(CP16,Lune!$A$1:$A$1000,0),1)))</f>
        <v/>
      </c>
      <c r="CR16" s="80" t="str">
        <f t="shared" ca="1" si="19"/>
        <v/>
      </c>
      <c r="CS16" s="54" t="str">
        <f ca="1">IF(ISERROR(VLOOKUP(CP16,anniversaire!$X$2:$Z$100,2,0)),"",VLOOKUP(CP16,anniversaire!$X$2:$Z$100,2,0))</f>
        <v/>
      </c>
      <c r="CT16" s="54" t="str">
        <f>IF(ISERROR(VLOOKUP(CP16,fête!$B$2:$C$367,2,0)),"",VLOOKUP(CP16,fête!$B$2:$C$367,2,0))</f>
        <v>Sidoine</v>
      </c>
      <c r="CU16" s="54" t="str">
        <f>IF(ISERROR(VLOOKUP(CP16,évènements!$A$3:$D$200,3,0)),"",VLOOKUP(CP16,évènements!$A$3:$D$200,3,0))</f>
        <v/>
      </c>
      <c r="CV16" s="54" t="str">
        <f>IF(ISERROR(VLOOKUP(CP16,évènements!$B$3:$D$200,2,0)),"",VLOOKUP(CP16,évènements!$B$3:$D$200,2,0))</f>
        <v/>
      </c>
      <c r="CW16" s="54" t="str">
        <f t="shared" si="20"/>
        <v xml:space="preserve">  </v>
      </c>
      <c r="CX16" s="41">
        <f t="shared" si="39"/>
        <v>43083</v>
      </c>
      <c r="CY16" s="42">
        <f t="shared" si="52"/>
        <v>43083</v>
      </c>
      <c r="CZ16" s="43">
        <f>IF(CY16="","",IF(ISERROR(MATCH(CY16,Lune!$A$1:$A$1000,0)),IF(WEEKDAY(CY16)=5,INT((CY16-DATE(YEAR(CY16),1,1))/7+1),IF(AND(WEEKDAY(CY16)=4,NOT( ISERROR(MATCH(CY16+1,Lune!$A$1:$A$1000,0)))),INT((CY16+1-DATE(YEAR(CY16+1),1,1))/7+1),"")),INDEX(Lune!$B$1:$B$1000,MATCH(CY16,Lune!$A$1:$A$1000,0),1)))</f>
        <v>50</v>
      </c>
      <c r="DA16" s="80" t="str">
        <f t="shared" ca="1" si="21"/>
        <v/>
      </c>
      <c r="DB16" s="54" t="str">
        <f ca="1">IF(ISERROR(VLOOKUP(CY16,anniversaire!$X$2:$Z$100,2,0)),"",VLOOKUP(CY16,anniversaire!$X$2:$Z$100,2,0))</f>
        <v/>
      </c>
      <c r="DC16" s="54" t="str">
        <f>IF(ISERROR(VLOOKUP(CY16,fête!$B$2:$C$367,2,0)),"",VLOOKUP(CY16,fête!$B$2:$C$367,2,0))</f>
        <v>Odile</v>
      </c>
      <c r="DD16" s="54" t="str">
        <f>IF(ISERROR(VLOOKUP(CY16,évènements!$A$3:$D$200,3,0)),"",VLOOKUP(CY16,évènements!$A$3:$D$200,3,0))</f>
        <v/>
      </c>
      <c r="DE16" s="54" t="str">
        <f>IF(ISERROR(VLOOKUP(CY16,évènements!$B$3:$D$200,2,0)),"",VLOOKUP(CY16,évènements!$B$3:$D$200,2,0))</f>
        <v/>
      </c>
      <c r="DF16" s="54" t="str">
        <f t="shared" si="22"/>
        <v xml:space="preserve">  </v>
      </c>
      <c r="DG16" s="41">
        <f t="shared" si="40"/>
        <v>43114</v>
      </c>
      <c r="DH16" s="42">
        <f t="shared" si="53"/>
        <v>43114</v>
      </c>
      <c r="DI16" s="43" t="str">
        <f>IF(DH16="","",IF(ISERROR(MATCH(DH16,Lune!$A$1:$A$1000,0)),IF(WEEKDAY(DH16)=5,INT((DH16-DATE(YEAR(DH16),1,1))/7+1),IF(AND(WEEKDAY(DH16)=4,NOT( ISERROR(MATCH(DH16+1,Lune!$A$1:$A$1000,0)))),INT((DH16+1-DATE(YEAR(DH16+1),1,1))/7+1),"")),INDEX(Lune!$B$1:$B$1000,MATCH(DH16,Lune!$A$1:$A$1000,0),1)))</f>
        <v/>
      </c>
      <c r="DJ16" s="89" t="str">
        <f t="shared" ca="1" si="23"/>
        <v/>
      </c>
      <c r="DK16" s="252" t="str">
        <f t="shared" ca="1" si="24"/>
        <v/>
      </c>
      <c r="DL16" s="252" t="str">
        <f t="shared" si="25"/>
        <v>Nina</v>
      </c>
      <c r="DM16" s="252" t="str">
        <f>IF(ISERROR(VLOOKUP(DH16,évènements!$A$3:$D$200,3,0)),"",VLOOKUP(DH16,évènements!$A$3:$D$200,3,0))</f>
        <v/>
      </c>
      <c r="DN16" s="252" t="str">
        <f>IF(ISERROR(VLOOKUP(DH16,évènements!$B$3:$D$200,2,0)),"",VLOOKUP(DH16,évènements!$B$3:$D$200,2,0))</f>
        <v/>
      </c>
      <c r="DO16" s="252" t="str">
        <f t="shared" si="26"/>
        <v xml:space="preserve">  </v>
      </c>
    </row>
    <row r="17" spans="2:119" ht="15" customHeight="1">
      <c r="B17" s="29"/>
      <c r="C17" s="41">
        <f t="shared" si="27"/>
        <v>42750</v>
      </c>
      <c r="D17" s="40">
        <f t="shared" si="41"/>
        <v>42750</v>
      </c>
      <c r="E17" s="131" t="str">
        <f>IF(D17="","",IF(ISERROR(MATCH(D17,Lune!$A$1:$A$1000,0)),IF(WEEKDAY(D17)=5,INT((D17-DATE(YEAR(D17),1,1))/7+1),IF(AND(WEEKDAY(D17)=4,NOT( ISERROR(MATCH(D17+1,Lune!$A$1:$A$1000,0)))),INT((D17+1-DATE(YEAR(D17+1),1,1))/7+1),"")),INDEX(Lune!$B$1:$B$1000,MATCH(D17,Lune!$A$1:$A$1000,0),1)))</f>
        <v/>
      </c>
      <c r="F17" s="89" t="str">
        <f t="shared" ca="1" si="0"/>
        <v/>
      </c>
      <c r="G17" s="125" t="str">
        <f ca="1">IF(ISERROR(VLOOKUP(D17,anniversaire!$X$2:$Z$100,2,0)),"",VLOOKUP(D17,anniversaire!$X$2:$Z$100,2,0))</f>
        <v/>
      </c>
      <c r="H17" s="54" t="str">
        <f>IF(ISERROR(VLOOKUP(D17,fête!$B$2:$C$367,2,0)),"",VLOOKUP(D17,fête!$B$2:$C$367,2,0))</f>
        <v>Rémi</v>
      </c>
      <c r="I17" s="239" t="str">
        <f>IF(ISERROR(VLOOKUP(D17,évènements!$A$3:$D$200,3,0)),"",VLOOKUP(D17,évènements!$A$3:$D$200,3,0))</f>
        <v/>
      </c>
      <c r="J17" s="239" t="str">
        <f>IF(ISERROR(VLOOKUP(D17,évènements!$B$3:$D$200,2,0)),"",VLOOKUP(D17,évènements!$B$3:$D$200,2,0))</f>
        <v/>
      </c>
      <c r="K17" s="239" t="str">
        <f t="shared" si="1"/>
        <v xml:space="preserve">  </v>
      </c>
      <c r="L17" s="41">
        <f t="shared" si="28"/>
        <v>42781</v>
      </c>
      <c r="M17" s="42">
        <f t="shared" si="42"/>
        <v>42781</v>
      </c>
      <c r="N17" s="131" t="str">
        <f>IF(M17="","",IF(ISERROR(MATCH(M17,Lune!$A$1:$A$1000,0)),IF(WEEKDAY(M17)=5,INT((M17-DATE(YEAR(M17),1,1))/7+1),IF(AND(WEEKDAY(M17)=4,NOT( ISERROR(MATCH(M17+1,Lune!$A$1:$A$1000,0)))),INT((M17+1-DATE(YEAR(M17+1),1,1))/7+1),"")),INDEX(Lune!$B$1:$B$1000,MATCH(M17,Lune!$A$1:$A$1000,0),1)))</f>
        <v/>
      </c>
      <c r="O17" s="80" t="str">
        <f t="shared" ca="1" si="54"/>
        <v/>
      </c>
      <c r="P17" s="54" t="str">
        <f ca="1">IF(ISERROR(VLOOKUP(M17,anniversaire!$X$2:$Z$100,2,0)),"",VLOOKUP(M17,anniversaire!$X$2:$Z$100,2,0))</f>
        <v/>
      </c>
      <c r="Q17" s="54" t="str">
        <f>IF(ISERROR(VLOOKUP(M17,fête!$B$2:$C$367,2,0)),"",VLOOKUP(M17,fête!$B$2:$C$367,2,0))</f>
        <v>Claude</v>
      </c>
      <c r="R17" s="54" t="str">
        <f>IF(ISERROR(VLOOKUP(M17,évènements!$A$3:$D$200,3,0)),"",VLOOKUP(M17,évènements!$A$3:$D$200,3,0))</f>
        <v/>
      </c>
      <c r="S17" s="54" t="str">
        <f>IF(ISERROR(VLOOKUP(M17,évènements!$B$3:$D$200,2,0)),"",VLOOKUP(M17,évènements!$B$3:$D$200,2,0))</f>
        <v/>
      </c>
      <c r="T17" s="54" t="str">
        <f t="shared" si="3"/>
        <v xml:space="preserve">  </v>
      </c>
      <c r="U17" s="41">
        <f t="shared" si="29"/>
        <v>42809</v>
      </c>
      <c r="V17" s="42">
        <f t="shared" si="43"/>
        <v>42809</v>
      </c>
      <c r="W17" s="132" t="str">
        <f>IF(V17="","",IF(ISERROR(MATCH(V17,Lune!$A$1:$A$1000,0)),IF(WEEKDAY(V17)=5,INT((V17-DATE(YEAR(V17),1,1))/7+1),IF(AND(WEEKDAY(V17)=4,NOT( ISERROR(MATCH(V17+1,Lune!$A$1:$A$1000,0)))),INT((V17+1-DATE(YEAR(V17+1),1,1))/7+1),"")),INDEX(Lune!$B$1:$B$1000,MATCH(V17,Lune!$A$1:$A$1000,0),1)))</f>
        <v/>
      </c>
      <c r="X17" s="89" t="str">
        <f t="shared" ca="1" si="4"/>
        <v/>
      </c>
      <c r="Y17" s="125" t="str">
        <f ca="1">IF(ISERROR(VLOOKUP(V17,anniversaire!$X$2:$Z$100,2,0)),"",VLOOKUP(V17,anniversaire!$X$2:$Z$100,2,0))</f>
        <v/>
      </c>
      <c r="Z17" s="54" t="str">
        <f>IF(ISERROR(VLOOKUP(V17,fête!$B$2:$C$367,2,0)),"",VLOOKUP(V17,fête!$B$2:$C$367,2,0))</f>
        <v>Louise</v>
      </c>
      <c r="AA17" s="54" t="str">
        <f>IF(ISERROR(VLOOKUP(V17,évènements!$A$3:$D$200,3,0)),"",VLOOKUP(V17,évènements!$A$3:$D$200,3,0))</f>
        <v/>
      </c>
      <c r="AB17" s="54" t="str">
        <f>IF(ISERROR(VLOOKUP(V17,évènements!$B$3:$D$200,2,0)),"",VLOOKUP(V17,évènements!$B$3:$D$200,2,0))</f>
        <v/>
      </c>
      <c r="AC17" s="54" t="str">
        <f t="shared" si="5"/>
        <v xml:space="preserve">  </v>
      </c>
      <c r="AD17" s="41">
        <f t="shared" si="30"/>
        <v>42840</v>
      </c>
      <c r="AE17" s="42">
        <f t="shared" si="44"/>
        <v>42840</v>
      </c>
      <c r="AF17" s="137" t="str">
        <f>IF(AE17="","",IF(ISERROR(MATCH(AE17,Lune!$A$1:$A$1000,0)),IF(WEEKDAY(AE17)=5,INT((AE17-DATE(YEAR(AE17),1,1))/7+1),IF(AND(WEEKDAY(AE17)=4,NOT( ISERROR(MATCH(AE17+1,Lune!$A$1:$A$1000,0)))),INT((AE17+1-DATE(YEAR(AE17+1),1,1))/7+1),"")),INDEX(Lune!$B$1:$B$1000,MATCH(AE17,Lune!$A$1:$A$1000,0),1)))</f>
        <v/>
      </c>
      <c r="AG17" s="80" t="str">
        <f t="shared" ca="1" si="6"/>
        <v/>
      </c>
      <c r="AH17" s="54" t="str">
        <f ca="1">IF(ISERROR(VLOOKUP(AE17,anniversaire!$X$2:$Z$100,2,0)),"",VLOOKUP(AE17,anniversaire!$X$2:$Z$100,2,0))</f>
        <v/>
      </c>
      <c r="AI17" s="54" t="str">
        <f>IF(ISERROR(VLOOKUP(AE17,fête!$B$2:$C$367,2,0)),"",VLOOKUP(AE17,fête!$B$2:$C$367,2,0))</f>
        <v>Paterne</v>
      </c>
      <c r="AJ17" s="54" t="str">
        <f>IF(ISERROR(VLOOKUP(AE17,évènements!$A$3:$D$200,3,0)),"",VLOOKUP(AE17,évènements!$A$3:$D$200,3,0))</f>
        <v/>
      </c>
      <c r="AK17" s="54" t="str">
        <f>IF(ISERROR(VLOOKUP(AE17,évènements!$B$3:$D$200,2,0)),"",VLOOKUP(AE17,évènements!$B$3:$D$200,2,0))</f>
        <v/>
      </c>
      <c r="AL17" s="238" t="str">
        <f t="shared" ref="AL17:AL32" si="55">CONCATENATE(AJ17,"  ",AK17)</f>
        <v xml:space="preserve">  </v>
      </c>
      <c r="AM17" s="41">
        <f t="shared" si="31"/>
        <v>42870</v>
      </c>
      <c r="AN17" s="42">
        <f t="shared" si="45"/>
        <v>42870</v>
      </c>
      <c r="AO17" s="43" t="str">
        <f>IF(AN17="","",IF(ISERROR(MATCH(AN17,Lune!$A$1:$A$1000,0)),IF(WEEKDAY(AN17)=5,INT((AN17-DATE(YEAR(AN17),1,1))/7+1),IF(AND(WEEKDAY(AN17)=4,NOT( ISERROR(MATCH(AN17+1,Lune!$A$1:$A$1000,0)))),INT((AN17+1-DATE(YEAR(AN17+1),1,1))/7+1),"")),INDEX(Lune!$B$1:$B$1000,MATCH(AN17,Lune!$A$1:$A$1000,0),1)))</f>
        <v/>
      </c>
      <c r="AP17" s="79" t="str">
        <f t="shared" ca="1" si="8"/>
        <v>'</v>
      </c>
      <c r="AQ17" s="54" t="str">
        <f ca="1">IF(ISERROR(VLOOKUP(AN17,anniversaire!$X$2:$Z$100,2,0)),"",VLOOKUP(AN17,anniversaire!$X$2:$Z$100,2,0))</f>
        <v>chapellas  fabien    35</v>
      </c>
      <c r="AR17" s="54" t="str">
        <f>IF(ISERROR(VLOOKUP(AN17,fête!$B$2:$C$367,2,0)),"",VLOOKUP(AN17,fête!$B$2:$C$367,2,0))</f>
        <v>Denise</v>
      </c>
      <c r="AS17" s="238" t="str">
        <f>IF(ISERROR(VLOOKUP(AN17,évènements!$A$3:$D$200,3,0)),"",VLOOKUP(AN17,évènements!$A$3:$D$200,3,0))</f>
        <v/>
      </c>
      <c r="AT17" s="238" t="str">
        <f>IF(ISERROR(VLOOKUP(AN17,évènements!$B$3:$D$200,2,0)),"",VLOOKUP(AN17,évènements!$B$3:$D$200,2,0))</f>
        <v/>
      </c>
      <c r="AU17" s="238" t="str">
        <f t="shared" si="9"/>
        <v xml:space="preserve">  </v>
      </c>
      <c r="AV17" s="41">
        <f t="shared" si="32"/>
        <v>42901</v>
      </c>
      <c r="AW17" s="42">
        <f t="shared" si="46"/>
        <v>42901</v>
      </c>
      <c r="AX17" s="43">
        <f>IF(AW17="","",IF(ISERROR(MATCH(AW17,Lune!$A$1:$A$1000,0)),IF(WEEKDAY(AW17)=5,INT((AW17-DATE(YEAR(AW17),1,1))/7+1),IF(AND(WEEKDAY(AW17)=4,NOT( ISERROR(MATCH(AW17+1,Lune!$A$1:$A$1000,0)))),INT((AW17+1-DATE(YEAR(AW17+1),1,1))/7+1),"")),INDEX(Lune!$B$1:$B$1000,MATCH(AW17,Lune!$A$1:$A$1000,0),1)))</f>
        <v>24</v>
      </c>
      <c r="AY17" s="79" t="str">
        <f t="shared" ca="1" si="10"/>
        <v/>
      </c>
      <c r="AZ17" s="54" t="str">
        <f ca="1">IF(ISERROR(VLOOKUP(AW17,anniversaire!$X$2:$Z$100,2,0)),"",VLOOKUP(AW17,anniversaire!$X$2:$Z$100,2,0))</f>
        <v/>
      </c>
      <c r="BA17" s="54" t="str">
        <f>IF(ISERROR(VLOOKUP(AW17,fête!$B$2:$C$367,2,0)),"",VLOOKUP(AW17,fête!$B$2:$C$367,2,0))</f>
        <v>Germaine</v>
      </c>
      <c r="BB17" s="54" t="str">
        <f>IF(ISERROR(VLOOKUP(AW17,évènements!$A$3:$D$200,3,0)),"",VLOOKUP(AW17,évènements!$A$3:$D$200,3,0))</f>
        <v/>
      </c>
      <c r="BC17" s="54" t="str">
        <f>IF(ISERROR(VLOOKUP(AW17,évènements!$B$3:$D$200,2,0)),"",VLOOKUP(AW17,évènements!$B$3:$D$200,2,0))</f>
        <v/>
      </c>
      <c r="BD17" s="54" t="str">
        <f t="shared" ref="BD17:BD33" si="56">CONCATENATE(BB17,"  ",BC17)</f>
        <v xml:space="preserve">  </v>
      </c>
      <c r="BE17" s="41">
        <f t="shared" si="33"/>
        <v>42931</v>
      </c>
      <c r="BF17" s="42">
        <f t="shared" si="47"/>
        <v>42931</v>
      </c>
      <c r="BG17" s="43" t="str">
        <f>IF(BF17="","",IF(ISERROR(MATCH(BF17,Lune!$A$1:$A$1000,0)),IF(WEEKDAY(BF17)=5,INT((BF17-DATE(YEAR(BF17),1,1))/7+1),IF(AND(WEEKDAY(BF17)=4,NOT( ISERROR(MATCH(BF17+1,Lune!$A$1:$A$1000,0)))),INT((BF17+1-DATE(YEAR(BF17+1),1,1))/7+1),"")),INDEX(Lune!$B$1:$B$1000,MATCH(BF17,Lune!$A$1:$A$1000,0),1)))</f>
        <v/>
      </c>
      <c r="BH17" s="80" t="str">
        <f t="shared" ca="1" si="12"/>
        <v/>
      </c>
      <c r="BI17" s="54" t="str">
        <f ca="1">IF(ISERROR(VLOOKUP(BF17,anniversaire!$X$2:$Z$100,2,0)),"",VLOOKUP(BF17,anniversaire!$X$2:$Z$100,2,0))</f>
        <v/>
      </c>
      <c r="BJ17" s="54" t="str">
        <f>IF(ISERROR(VLOOKUP(BF17,fête!$B$2:$C$367,2,0)),"",VLOOKUP(BF17,fête!$B$2:$C$367,2,0))</f>
        <v>Donald</v>
      </c>
      <c r="BK17" s="54" t="str">
        <f>IF(ISERROR(VLOOKUP(BF17,évènements!$A$3:$D$200,3,0)),"",VLOOKUP(BF17,évènements!$A$3:$D$200,3,0))</f>
        <v/>
      </c>
      <c r="BL17" s="54" t="str">
        <f>IF(ISERROR(VLOOKUP(BF17,évènements!$B$3:$D$200,2,0)),"",VLOOKUP(BF17,évènements!$B$3:$D$200,2,0))</f>
        <v/>
      </c>
      <c r="BM17" s="54" t="str">
        <f t="shared" si="34"/>
        <v xml:space="preserve">  </v>
      </c>
      <c r="BN17" s="41">
        <f t="shared" si="35"/>
        <v>42962</v>
      </c>
      <c r="BO17" s="42">
        <f t="shared" si="48"/>
        <v>42962</v>
      </c>
      <c r="BP17" s="43" t="str">
        <f>IF(BO17="","",IF(ISERROR(MATCH(BO17,Lune!$A$1:$A$1000,0)),IF(WEEKDAY(BO17)=5,INT((BO17-DATE(YEAR(BO17),1,1))/7+1),IF(AND(WEEKDAY(BO17)=4,NOT( ISERROR(MATCH(BO17+1,Lune!$A$1:$A$1000,0)))),INT((BO17+1-DATE(YEAR(BO17+1),1,1))/7+1),"")),INDEX(Lune!$B$1:$B$1000,MATCH(BO17,Lune!$A$1:$A$1000,0),1)))</f>
        <v>◑</v>
      </c>
      <c r="BQ17" s="80" t="str">
        <f t="shared" ca="1" si="13"/>
        <v/>
      </c>
      <c r="BR17" s="54" t="str">
        <f ca="1">IF(ISERROR(VLOOKUP(BO17,anniversaire!$X$2:$Z$100,2,0)),"",VLOOKUP(BO17,anniversaire!$X$2:$Z$100,2,0))</f>
        <v/>
      </c>
      <c r="BS17" s="54" t="str">
        <f>IF(ISERROR(VLOOKUP(BO17,fête!$B$2:$C$367,2,0)),"",VLOOKUP(BO17,fête!$B$2:$C$367,2,0))</f>
        <v>Assomption</v>
      </c>
      <c r="BT17" s="54" t="str">
        <f>IF(ISERROR(VLOOKUP(BO17,évènements!$A$3:$D$200,3,0)),"",VLOOKUP(BO17,évènements!$A$3:$D$200,3,0))</f>
        <v/>
      </c>
      <c r="BU17" s="54" t="str">
        <f>IF(ISERROR(VLOOKUP(BO17,évènements!$B$3:$D$200,2,0)),"",VLOOKUP(BO17,évènements!$B$3:$D$200,2,0))</f>
        <v/>
      </c>
      <c r="BV17" s="54" t="str">
        <f t="shared" si="14"/>
        <v xml:space="preserve">  </v>
      </c>
      <c r="BW17" s="41">
        <f t="shared" si="36"/>
        <v>42993</v>
      </c>
      <c r="BX17" s="42">
        <f t="shared" si="49"/>
        <v>42993</v>
      </c>
      <c r="BY17" s="43" t="str">
        <f>IF(BX17="","",IF(ISERROR(MATCH(BX17,Lune!$A$1:$A$1000,0)),IF(WEEKDAY(BX17)=5,INT((BX17-DATE(YEAR(BX17),1,1))/7+1),IF(AND(WEEKDAY(BX17)=4,NOT( ISERROR(MATCH(BX17+1,Lune!$A$1:$A$1000,0)))),INT((BX17+1-DATE(YEAR(BX17+1),1,1))/7+1),"")),INDEX(Lune!$B$1:$B$1000,MATCH(BX17,Lune!$A$1:$A$1000,0),1)))</f>
        <v/>
      </c>
      <c r="BZ17" s="80" t="str">
        <f t="shared" ca="1" si="15"/>
        <v/>
      </c>
      <c r="CA17" s="54" t="str">
        <f ca="1">IF(ISERROR(VLOOKUP(BX17,anniversaire!$X$2:$Z$100,2,0)),"",VLOOKUP(BX17,anniversaire!$X$2:$Z$100,2,0))</f>
        <v/>
      </c>
      <c r="CB17" s="54" t="str">
        <f>IF(ISERROR(VLOOKUP(BX17,fête!$B$2:$C$367,2,0)),"",VLOOKUP(BX17,fête!$B$2:$C$367,2,0))</f>
        <v>Roland</v>
      </c>
      <c r="CC17" s="54" t="str">
        <f>IF(ISERROR(VLOOKUP(BX17,évènements!$A$3:$D$200,3,0)),"",VLOOKUP(BX17,évènements!$A$3:$D$200,3,0))</f>
        <v/>
      </c>
      <c r="CD17" s="54" t="str">
        <f>IF(ISERROR(VLOOKUP(BX17,évènements!$B$3:$D$200,2,0)),"",VLOOKUP(BX17,évènements!$B$3:$D$200,2,0))</f>
        <v/>
      </c>
      <c r="CE17" s="54" t="str">
        <f t="shared" si="16"/>
        <v xml:space="preserve">  </v>
      </c>
      <c r="CF17" s="41">
        <f t="shared" si="37"/>
        <v>43023</v>
      </c>
      <c r="CG17" s="42">
        <f t="shared" si="50"/>
        <v>43023</v>
      </c>
      <c r="CH17" s="43" t="str">
        <f>IF(CG17="","",IF(ISERROR(MATCH(CG17,Lune!$A$1:$A$1000,0)),IF(WEEKDAY(CG17)=5,INT((CG17-DATE(YEAR(CG17),1,1))/7+1),IF(AND(WEEKDAY(CG17)=4,NOT( ISERROR(MATCH(CG17+1,Lune!$A$1:$A$1000,0)))),INT((CG17+1-DATE(YEAR(CG17+1),1,1))/7+1),"")),INDEX(Lune!$B$1:$B$1000,MATCH(CG17,Lune!$A$1:$A$1000,0),1)))</f>
        <v/>
      </c>
      <c r="CI17" s="80" t="str">
        <f t="shared" ca="1" si="17"/>
        <v/>
      </c>
      <c r="CJ17" s="54" t="str">
        <f ca="1">IF(ISERROR(VLOOKUP(CG17,anniversaire!$X$2:$Z$100,2,0)),"",VLOOKUP(CG17,anniversaire!$X$2:$Z$100,2,0))</f>
        <v/>
      </c>
      <c r="CK17" s="54" t="str">
        <f>IF(ISERROR(VLOOKUP(CG17,fête!$B$2:$C$367,2,0)),"",VLOOKUP(CG17,fête!$B$2:$C$367,2,0))</f>
        <v>Thérèse d'Avila</v>
      </c>
      <c r="CL17" s="54" t="str">
        <f>IF(ISERROR(VLOOKUP(CG17,évènements!$A$3:$D$200,3,0)),"",VLOOKUP(CG17,évènements!$A$3:$D$200,3,0))</f>
        <v/>
      </c>
      <c r="CM17" s="54" t="str">
        <f>IF(ISERROR(VLOOKUP(CG17,évènements!$B$3:$D$200,2,0)),"",VLOOKUP(CG17,évènements!$B$3:$D$200,2,0))</f>
        <v/>
      </c>
      <c r="CN17" s="54" t="str">
        <f t="shared" si="18"/>
        <v xml:space="preserve">  </v>
      </c>
      <c r="CO17" s="41">
        <f t="shared" si="38"/>
        <v>43054</v>
      </c>
      <c r="CP17" s="42">
        <f t="shared" si="51"/>
        <v>43054</v>
      </c>
      <c r="CQ17" s="43" t="str">
        <f>IF(CP17="","",IF(ISERROR(MATCH(CP17,Lune!$A$1:$A$1000,0)),IF(WEEKDAY(CP17)=5,INT((CP17-DATE(YEAR(CP17),1,1))/7+1),IF(AND(WEEKDAY(CP17)=4,NOT( ISERROR(MATCH(CP17+1,Lune!$A$1:$A$1000,0)))),INT((CP17+1-DATE(YEAR(CP17+1),1,1))/7+1),"")),INDEX(Lune!$B$1:$B$1000,MATCH(CP17,Lune!$A$1:$A$1000,0),1)))</f>
        <v/>
      </c>
      <c r="CR17" s="80" t="str">
        <f t="shared" ca="1" si="19"/>
        <v/>
      </c>
      <c r="CS17" s="54" t="str">
        <f ca="1">IF(ISERROR(VLOOKUP(CP17,anniversaire!$X$2:$Z$100,2,0)),"",VLOOKUP(CP17,anniversaire!$X$2:$Z$100,2,0))</f>
        <v/>
      </c>
      <c r="CT17" s="54" t="str">
        <f>IF(ISERROR(VLOOKUP(CP17,fête!$B$2:$C$367,2,0)),"",VLOOKUP(CP17,fête!$B$2:$C$367,2,0))</f>
        <v>Albert</v>
      </c>
      <c r="CU17" s="54" t="str">
        <f>IF(ISERROR(VLOOKUP(CP17,évènements!$A$3:$D$200,3,0)),"",VLOOKUP(CP17,évènements!$A$3:$D$200,3,0))</f>
        <v/>
      </c>
      <c r="CV17" s="54" t="str">
        <f>IF(ISERROR(VLOOKUP(CP17,évènements!$B$3:$D$200,2,0)),"",VLOOKUP(CP17,évènements!$B$3:$D$200,2,0))</f>
        <v/>
      </c>
      <c r="CW17" s="54" t="str">
        <f t="shared" si="20"/>
        <v xml:space="preserve">  </v>
      </c>
      <c r="CX17" s="41">
        <f t="shared" si="39"/>
        <v>43084</v>
      </c>
      <c r="CY17" s="42">
        <f t="shared" si="52"/>
        <v>43084</v>
      </c>
      <c r="CZ17" s="43" t="str">
        <f>IF(CY17="","",IF(ISERROR(MATCH(CY17,Lune!$A$1:$A$1000,0)),IF(WEEKDAY(CY17)=5,INT((CY17-DATE(YEAR(CY17),1,1))/7+1),IF(AND(WEEKDAY(CY17)=4,NOT( ISERROR(MATCH(CY17+1,Lune!$A$1:$A$1000,0)))),INT((CY17+1-DATE(YEAR(CY17+1),1,1))/7+1),"")),INDEX(Lune!$B$1:$B$1000,MATCH(CY17,Lune!$A$1:$A$1000,0),1)))</f>
        <v/>
      </c>
      <c r="DA17" s="80" t="str">
        <f t="shared" ca="1" si="21"/>
        <v/>
      </c>
      <c r="DB17" s="54" t="str">
        <f ca="1">IF(ISERROR(VLOOKUP(CY17,anniversaire!$X$2:$Z$100,2,0)),"",VLOOKUP(CY17,anniversaire!$X$2:$Z$100,2,0))</f>
        <v/>
      </c>
      <c r="DC17" s="54" t="str">
        <f>IF(ISERROR(VLOOKUP(CY17,fête!$B$2:$C$367,2,0)),"",VLOOKUP(CY17,fête!$B$2:$C$367,2,0))</f>
        <v>Ninon</v>
      </c>
      <c r="DD17" s="54" t="str">
        <f>IF(ISERROR(VLOOKUP(CY17,évènements!$A$3:$D$200,3,0)),"",VLOOKUP(CY17,évènements!$A$3:$D$200,3,0))</f>
        <v/>
      </c>
      <c r="DE17" s="54" t="str">
        <f>IF(ISERROR(VLOOKUP(CY17,évènements!$B$3:$D$200,2,0)),"",VLOOKUP(CY17,évènements!$B$3:$D$200,2,0))</f>
        <v/>
      </c>
      <c r="DF17" s="54" t="str">
        <f t="shared" si="22"/>
        <v xml:space="preserve">  </v>
      </c>
      <c r="DG17" s="41">
        <f t="shared" si="40"/>
        <v>43115</v>
      </c>
      <c r="DH17" s="42">
        <f t="shared" si="53"/>
        <v>43115</v>
      </c>
      <c r="DI17" s="43" t="str">
        <f>IF(DH17="","",IF(ISERROR(MATCH(DH17,Lune!$A$1:$A$1000,0)),IF(WEEKDAY(DH17)=5,INT((DH17-DATE(YEAR(DH17),1,1))/7+1),IF(AND(WEEKDAY(DH17)=4,NOT( ISERROR(MATCH(DH17+1,Lune!$A$1:$A$1000,0)))),INT((DH17+1-DATE(YEAR(DH17+1),1,1))/7+1),"")),INDEX(Lune!$B$1:$B$1000,MATCH(DH17,Lune!$A$1:$A$1000,0),1)))</f>
        <v/>
      </c>
      <c r="DJ17" s="89" t="str">
        <f t="shared" ca="1" si="23"/>
        <v/>
      </c>
      <c r="DK17" s="252" t="str">
        <f t="shared" ca="1" si="24"/>
        <v/>
      </c>
      <c r="DL17" s="252" t="str">
        <f t="shared" si="25"/>
        <v>Rémi</v>
      </c>
      <c r="DM17" s="252" t="str">
        <f>IF(ISERROR(VLOOKUP(DH17,évènements!$A$3:$D$200,3,0)),"",VLOOKUP(DH17,évènements!$A$3:$D$200,3,0))</f>
        <v/>
      </c>
      <c r="DN17" s="252" t="str">
        <f>IF(ISERROR(VLOOKUP(DH17,évènements!$B$3:$D$200,2,0)),"",VLOOKUP(DH17,évènements!$B$3:$D$200,2,0))</f>
        <v/>
      </c>
      <c r="DO17" s="252" t="str">
        <f t="shared" si="26"/>
        <v xml:space="preserve">  </v>
      </c>
    </row>
    <row r="18" spans="2:119" ht="15" customHeight="1">
      <c r="B18" s="29"/>
      <c r="C18" s="41">
        <f t="shared" si="27"/>
        <v>42751</v>
      </c>
      <c r="D18" s="40">
        <f t="shared" si="41"/>
        <v>42751</v>
      </c>
      <c r="E18" s="131" t="str">
        <f>IF(D18="","",IF(ISERROR(MATCH(D18,Lune!$A$1:$A$1000,0)),IF(WEEKDAY(D18)=5,INT((D18-DATE(YEAR(D18),1,1))/7+1),IF(AND(WEEKDAY(D18)=4,NOT( ISERROR(MATCH(D18+1,Lune!$A$1:$A$1000,0)))),INT((D18+1-DATE(YEAR(D18+1),1,1))/7+1),"")),INDEX(Lune!$B$1:$B$1000,MATCH(D18,Lune!$A$1:$A$1000,0),1)))</f>
        <v/>
      </c>
      <c r="F18" s="89" t="str">
        <f t="shared" ca="1" si="0"/>
        <v/>
      </c>
      <c r="G18" s="125" t="str">
        <f ca="1">IF(ISERROR(VLOOKUP(D18,anniversaire!$X$2:$Z$100,2,0)),"",VLOOKUP(D18,anniversaire!$X$2:$Z$100,2,0))</f>
        <v/>
      </c>
      <c r="H18" s="54" t="str">
        <f>IF(ISERROR(VLOOKUP(D18,fête!$B$2:$C$367,2,0)),"",VLOOKUP(D18,fête!$B$2:$C$367,2,0))</f>
        <v>Marcel</v>
      </c>
      <c r="I18" s="239" t="str">
        <f>IF(ISERROR(VLOOKUP(D18,évènements!$A$3:$D$200,3,0)),"",VLOOKUP(D18,évènements!$A$3:$D$200,3,0))</f>
        <v/>
      </c>
      <c r="J18" s="239" t="str">
        <f>IF(ISERROR(VLOOKUP(D18,évènements!$B$3:$D$200,2,0)),"",VLOOKUP(D18,évènements!$B$3:$D$200,2,0))</f>
        <v/>
      </c>
      <c r="K18" s="239" t="str">
        <f t="shared" si="1"/>
        <v xml:space="preserve">  </v>
      </c>
      <c r="L18" s="41">
        <f t="shared" si="28"/>
        <v>42782</v>
      </c>
      <c r="M18" s="42">
        <f t="shared" si="42"/>
        <v>42782</v>
      </c>
      <c r="N18" s="131">
        <f>IF(M18="","",IF(ISERROR(MATCH(M18,Lune!$A$1:$A$1000,0)),IF(WEEKDAY(M18)=5,INT((M18-DATE(YEAR(M18),1,1))/7+1),IF(AND(WEEKDAY(M18)=4,NOT( ISERROR(MATCH(M18+1,Lune!$A$1:$A$1000,0)))),INT((M18+1-DATE(YEAR(M18+1),1,1))/7+1),"")),INDEX(Lune!$B$1:$B$1000,MATCH(M18,Lune!$A$1:$A$1000,0),1)))</f>
        <v>7</v>
      </c>
      <c r="O18" s="80" t="str">
        <f t="shared" ca="1" si="54"/>
        <v/>
      </c>
      <c r="P18" s="54" t="str">
        <f ca="1">IF(ISERROR(VLOOKUP(M18,anniversaire!$X$2:$Z$100,2,0)),"",VLOOKUP(M18,anniversaire!$X$2:$Z$100,2,0))</f>
        <v/>
      </c>
      <c r="Q18" s="54" t="str">
        <f>IF(ISERROR(VLOOKUP(M18,fête!$B$2:$C$367,2,0)),"",VLOOKUP(M18,fête!$B$2:$C$367,2,0))</f>
        <v>Julienne</v>
      </c>
      <c r="R18" s="54" t="str">
        <f>IF(ISERROR(VLOOKUP(M18,évènements!$A$3:$D$200,3,0)),"",VLOOKUP(M18,évènements!$A$3:$D$200,3,0))</f>
        <v/>
      </c>
      <c r="S18" s="54" t="str">
        <f>IF(ISERROR(VLOOKUP(M18,évènements!$B$3:$D$200,2,0)),"",VLOOKUP(M18,évènements!$B$3:$D$200,2,0))</f>
        <v/>
      </c>
      <c r="T18" s="54" t="str">
        <f t="shared" si="3"/>
        <v xml:space="preserve">  </v>
      </c>
      <c r="U18" s="41">
        <f t="shared" si="29"/>
        <v>42810</v>
      </c>
      <c r="V18" s="42">
        <f t="shared" si="43"/>
        <v>42810</v>
      </c>
      <c r="W18" s="132">
        <f>IF(V18="","",IF(ISERROR(MATCH(V18,Lune!$A$1:$A$1000,0)),IF(WEEKDAY(V18)=5,INT((V18-DATE(YEAR(V18),1,1))/7+1),IF(AND(WEEKDAY(V18)=4,NOT( ISERROR(MATCH(V18+1,Lune!$A$1:$A$1000,0)))),INT((V18+1-DATE(YEAR(V18+1),1,1))/7+1),"")),INDEX(Lune!$B$1:$B$1000,MATCH(V18,Lune!$A$1:$A$1000,0),1)))</f>
        <v>11</v>
      </c>
      <c r="X18" s="89" t="str">
        <f t="shared" ca="1" si="4"/>
        <v/>
      </c>
      <c r="Y18" s="125" t="str">
        <f ca="1">IF(ISERROR(VLOOKUP(V18,anniversaire!$X$2:$Z$100,2,0)),"",VLOOKUP(V18,anniversaire!$X$2:$Z$100,2,0))</f>
        <v/>
      </c>
      <c r="Z18" s="54" t="str">
        <f>IF(ISERROR(VLOOKUP(V18,fête!$B$2:$C$367,2,0)),"",VLOOKUP(V18,fête!$B$2:$C$367,2,0))</f>
        <v>Bénédicte</v>
      </c>
      <c r="AA18" s="54" t="str">
        <f>IF(ISERROR(VLOOKUP(V18,évènements!$A$3:$D$200,3,0)),"",VLOOKUP(V18,évènements!$A$3:$D$200,3,0))</f>
        <v/>
      </c>
      <c r="AB18" s="54" t="str">
        <f>IF(ISERROR(VLOOKUP(V18,évènements!$B$3:$D$200,2,0)),"",VLOOKUP(V18,évènements!$B$3:$D$200,2,0))</f>
        <v/>
      </c>
      <c r="AC18" s="54" t="str">
        <f t="shared" si="5"/>
        <v xml:space="preserve">  </v>
      </c>
      <c r="AD18" s="41">
        <f t="shared" si="30"/>
        <v>42841</v>
      </c>
      <c r="AE18" s="42">
        <f t="shared" si="44"/>
        <v>42841</v>
      </c>
      <c r="AF18" s="137" t="str">
        <f>IF(AE18="","",IF(ISERROR(MATCH(AE18,Lune!$A$1:$A$1000,0)),IF(WEEKDAY(AE18)=5,INT((AE18-DATE(YEAR(AE18),1,1))/7+1),IF(AND(WEEKDAY(AE18)=4,NOT( ISERROR(MATCH(AE18+1,Lune!$A$1:$A$1000,0)))),INT((AE18+1-DATE(YEAR(AE18+1),1,1))/7+1),"")),INDEX(Lune!$B$1:$B$1000,MATCH(AE18,Lune!$A$1:$A$1000,0),1)))</f>
        <v/>
      </c>
      <c r="AG18" s="80" t="str">
        <f t="shared" ca="1" si="6"/>
        <v/>
      </c>
      <c r="AH18" s="54" t="str">
        <f ca="1">IF(ISERROR(VLOOKUP(AE18,anniversaire!$X$2:$Z$100,2,0)),"",VLOOKUP(AE18,anniversaire!$X$2:$Z$100,2,0))</f>
        <v/>
      </c>
      <c r="AI18" s="54" t="str">
        <f>IF(ISERROR(VLOOKUP(AE18,fête!$B$2:$C$367,2,0)),"",VLOOKUP(AE18,fête!$B$2:$C$367,2,0))</f>
        <v>Benoît-Joseph</v>
      </c>
      <c r="AJ18" s="54" t="str">
        <f>IF(ISERROR(VLOOKUP(AE18,évènements!$A$3:$D$200,3,0)),"",VLOOKUP(AE18,évènements!$A$3:$D$200,3,0))</f>
        <v/>
      </c>
      <c r="AK18" s="54" t="str">
        <f>IF(ISERROR(VLOOKUP(AE18,évènements!$B$3:$D$200,2,0)),"",VLOOKUP(AE18,évènements!$B$3:$D$200,2,0))</f>
        <v/>
      </c>
      <c r="AL18" s="238" t="str">
        <f t="shared" si="55"/>
        <v xml:space="preserve">  </v>
      </c>
      <c r="AM18" s="41">
        <f t="shared" si="31"/>
        <v>42871</v>
      </c>
      <c r="AN18" s="42">
        <f t="shared" si="45"/>
        <v>42871</v>
      </c>
      <c r="AO18" s="43" t="str">
        <f>IF(AN18="","",IF(ISERROR(MATCH(AN18,Lune!$A$1:$A$1000,0)),IF(WEEKDAY(AN18)=5,INT((AN18-DATE(YEAR(AN18),1,1))/7+1),IF(AND(WEEKDAY(AN18)=4,NOT( ISERROR(MATCH(AN18+1,Lune!$A$1:$A$1000,0)))),INT((AN18+1-DATE(YEAR(AN18+1),1,1))/7+1),"")),INDEX(Lune!$B$1:$B$1000,MATCH(AN18,Lune!$A$1:$A$1000,0),1)))</f>
        <v/>
      </c>
      <c r="AP18" s="79" t="str">
        <f t="shared" ca="1" si="8"/>
        <v/>
      </c>
      <c r="AQ18" s="54" t="str">
        <f ca="1">IF(ISERROR(VLOOKUP(AN18,anniversaire!$X$2:$Z$100,2,0)),"",VLOOKUP(AN18,anniversaire!$X$2:$Z$100,2,0))</f>
        <v/>
      </c>
      <c r="AR18" s="54" t="str">
        <f>IF(ISERROR(VLOOKUP(AN18,fête!$B$2:$C$367,2,0)),"",VLOOKUP(AN18,fête!$B$2:$C$367,2,0))</f>
        <v>Honoré</v>
      </c>
      <c r="AS18" s="238" t="str">
        <f>IF(ISERROR(VLOOKUP(AN18,évènements!$A$3:$D$200,3,0)),"",VLOOKUP(AN18,évènements!$A$3:$D$200,3,0))</f>
        <v>visite médicale</v>
      </c>
      <c r="AT18" s="238" t="str">
        <f>IF(ISERROR(VLOOKUP(AN18,évènements!$B$3:$D$200,2,0)),"",VLOOKUP(AN18,évènements!$B$3:$D$200,2,0))</f>
        <v/>
      </c>
      <c r="AU18" s="238" t="str">
        <f t="shared" si="9"/>
        <v xml:space="preserve">visite médicale  </v>
      </c>
      <c r="AV18" s="41">
        <f t="shared" si="32"/>
        <v>42902</v>
      </c>
      <c r="AW18" s="42">
        <f t="shared" si="46"/>
        <v>42902</v>
      </c>
      <c r="AX18" s="43" t="str">
        <f>IF(AW18="","",IF(ISERROR(MATCH(AW18,Lune!$A$1:$A$1000,0)),IF(WEEKDAY(AW18)=5,INT((AW18-DATE(YEAR(AW18),1,1))/7+1),IF(AND(WEEKDAY(AW18)=4,NOT( ISERROR(MATCH(AW18+1,Lune!$A$1:$A$1000,0)))),INT((AW18+1-DATE(YEAR(AW18+1),1,1))/7+1),"")),INDEX(Lune!$B$1:$B$1000,MATCH(AW18,Lune!$A$1:$A$1000,0),1)))</f>
        <v/>
      </c>
      <c r="AY18" s="79" t="str">
        <f t="shared" ca="1" si="10"/>
        <v/>
      </c>
      <c r="AZ18" s="54" t="str">
        <f ca="1">IF(ISERROR(VLOOKUP(AW18,anniversaire!$X$2:$Z$100,2,0)),"",VLOOKUP(AW18,anniversaire!$X$2:$Z$100,2,0))</f>
        <v/>
      </c>
      <c r="BA18" s="54" t="str">
        <f>IF(ISERROR(VLOOKUP(AW18,fête!$B$2:$C$367,2,0)),"",VLOOKUP(AW18,fête!$B$2:$C$367,2,0))</f>
        <v>Jean-François Régis</v>
      </c>
      <c r="BB18" s="54" t="str">
        <f>IF(ISERROR(VLOOKUP(AW18,évènements!$A$3:$D$200,3,0)),"",VLOOKUP(AW18,évènements!$A$3:$D$200,3,0))</f>
        <v/>
      </c>
      <c r="BC18" s="54" t="str">
        <f>IF(ISERROR(VLOOKUP(AW18,évènements!$B$3:$D$200,2,0)),"",VLOOKUP(AW18,évènements!$B$3:$D$200,2,0))</f>
        <v/>
      </c>
      <c r="BD18" s="54" t="str">
        <f t="shared" si="56"/>
        <v xml:space="preserve">  </v>
      </c>
      <c r="BE18" s="41">
        <f t="shared" si="33"/>
        <v>42932</v>
      </c>
      <c r="BF18" s="42">
        <f t="shared" si="47"/>
        <v>42932</v>
      </c>
      <c r="BG18" s="43" t="str">
        <f>IF(BF18="","",IF(ISERROR(MATCH(BF18,Lune!$A$1:$A$1000,0)),IF(WEEKDAY(BF18)=5,INT((BF18-DATE(YEAR(BF18),1,1))/7+1),IF(AND(WEEKDAY(BF18)=4,NOT( ISERROR(MATCH(BF18+1,Lune!$A$1:$A$1000,0)))),INT((BF18+1-DATE(YEAR(BF18+1),1,1))/7+1),"")),INDEX(Lune!$B$1:$B$1000,MATCH(BF18,Lune!$A$1:$A$1000,0),1)))</f>
        <v>◑</v>
      </c>
      <c r="BH18" s="80" t="str">
        <f t="shared" ca="1" si="12"/>
        <v/>
      </c>
      <c r="BI18" s="54" t="str">
        <f ca="1">IF(ISERROR(VLOOKUP(BF18,anniversaire!$X$2:$Z$100,2,0)),"",VLOOKUP(BF18,anniversaire!$X$2:$Z$100,2,0))</f>
        <v/>
      </c>
      <c r="BJ18" s="54" t="str">
        <f>IF(ISERROR(VLOOKUP(BF18,fête!$B$2:$C$367,2,0)),"",VLOOKUP(BF18,fête!$B$2:$C$367,2,0))</f>
        <v>Notre Dame du Mont Carmel</v>
      </c>
      <c r="BK18" s="54" t="str">
        <f>IF(ISERROR(VLOOKUP(BF18,évènements!$A$3:$D$200,3,0)),"",VLOOKUP(BF18,évènements!$A$3:$D$200,3,0))</f>
        <v/>
      </c>
      <c r="BL18" s="54" t="str">
        <f>IF(ISERROR(VLOOKUP(BF18,évènements!$B$3:$D$200,2,0)),"",VLOOKUP(BF18,évènements!$B$3:$D$200,2,0))</f>
        <v/>
      </c>
      <c r="BM18" s="54" t="str">
        <f t="shared" si="34"/>
        <v xml:space="preserve">  </v>
      </c>
      <c r="BN18" s="41">
        <f t="shared" si="35"/>
        <v>42963</v>
      </c>
      <c r="BO18" s="42">
        <f t="shared" si="48"/>
        <v>42963</v>
      </c>
      <c r="BP18" s="43" t="str">
        <f>IF(BO18="","",IF(ISERROR(MATCH(BO18,Lune!$A$1:$A$1000,0)),IF(WEEKDAY(BO18)=5,INT((BO18-DATE(YEAR(BO18),1,1))/7+1),IF(AND(WEEKDAY(BO18)=4,NOT( ISERROR(MATCH(BO18+1,Lune!$A$1:$A$1000,0)))),INT((BO18+1-DATE(YEAR(BO18+1),1,1))/7+1),"")),INDEX(Lune!$B$1:$B$1000,MATCH(BO18,Lune!$A$1:$A$1000,0),1)))</f>
        <v/>
      </c>
      <c r="BQ18" s="80" t="str">
        <f t="shared" ca="1" si="13"/>
        <v/>
      </c>
      <c r="BR18" s="54" t="str">
        <f ca="1">IF(ISERROR(VLOOKUP(BO18,anniversaire!$X$2:$Z$100,2,0)),"",VLOOKUP(BO18,anniversaire!$X$2:$Z$100,2,0))</f>
        <v/>
      </c>
      <c r="BS18" s="54" t="str">
        <f>IF(ISERROR(VLOOKUP(BO18,fête!$B$2:$C$367,2,0)),"",VLOOKUP(BO18,fête!$B$2:$C$367,2,0))</f>
        <v>Armel</v>
      </c>
      <c r="BT18" s="54" t="str">
        <f>IF(ISERROR(VLOOKUP(BO18,évènements!$A$3:$D$200,3,0)),"",VLOOKUP(BO18,évènements!$A$3:$D$200,3,0))</f>
        <v/>
      </c>
      <c r="BU18" s="54" t="str">
        <f>IF(ISERROR(VLOOKUP(BO18,évènements!$B$3:$D$200,2,0)),"",VLOOKUP(BO18,évènements!$B$3:$D$200,2,0))</f>
        <v/>
      </c>
      <c r="BV18" s="54" t="str">
        <f t="shared" si="14"/>
        <v xml:space="preserve">  </v>
      </c>
      <c r="BW18" s="41">
        <f t="shared" si="36"/>
        <v>42994</v>
      </c>
      <c r="BX18" s="42">
        <f t="shared" si="49"/>
        <v>42994</v>
      </c>
      <c r="BY18" s="43" t="str">
        <f>IF(BX18="","",IF(ISERROR(MATCH(BX18,Lune!$A$1:$A$1000,0)),IF(WEEKDAY(BX18)=5,INT((BX18-DATE(YEAR(BX18),1,1))/7+1),IF(AND(WEEKDAY(BX18)=4,NOT( ISERROR(MATCH(BX18+1,Lune!$A$1:$A$1000,0)))),INT((BX18+1-DATE(YEAR(BX18+1),1,1))/7+1),"")),INDEX(Lune!$B$1:$B$1000,MATCH(BX18,Lune!$A$1:$A$1000,0),1)))</f>
        <v/>
      </c>
      <c r="BZ18" s="80" t="str">
        <f t="shared" ca="1" si="15"/>
        <v/>
      </c>
      <c r="CA18" s="54" t="str">
        <f ca="1">IF(ISERROR(VLOOKUP(BX18,anniversaire!$X$2:$Z$100,2,0)),"",VLOOKUP(BX18,anniversaire!$X$2:$Z$100,2,0))</f>
        <v/>
      </c>
      <c r="CB18" s="54" t="str">
        <f>IF(ISERROR(VLOOKUP(BX18,fête!$B$2:$C$367,2,0)),"",VLOOKUP(BX18,fête!$B$2:$C$367,2,0))</f>
        <v>Edith</v>
      </c>
      <c r="CC18" s="54" t="str">
        <f>IF(ISERROR(VLOOKUP(BX18,évènements!$A$3:$D$200,3,0)),"",VLOOKUP(BX18,évènements!$A$3:$D$200,3,0))</f>
        <v/>
      </c>
      <c r="CD18" s="54" t="str">
        <f>IF(ISERROR(VLOOKUP(BX18,évènements!$B$3:$D$200,2,0)),"",VLOOKUP(BX18,évènements!$B$3:$D$200,2,0))</f>
        <v/>
      </c>
      <c r="CE18" s="54" t="str">
        <f t="shared" si="16"/>
        <v xml:space="preserve">  </v>
      </c>
      <c r="CF18" s="41">
        <f t="shared" si="37"/>
        <v>43024</v>
      </c>
      <c r="CG18" s="42">
        <f t="shared" si="50"/>
        <v>43024</v>
      </c>
      <c r="CH18" s="43" t="str">
        <f>IF(CG18="","",IF(ISERROR(MATCH(CG18,Lune!$A$1:$A$1000,0)),IF(WEEKDAY(CG18)=5,INT((CG18-DATE(YEAR(CG18),1,1))/7+1),IF(AND(WEEKDAY(CG18)=4,NOT( ISERROR(MATCH(CG18+1,Lune!$A$1:$A$1000,0)))),INT((CG18+1-DATE(YEAR(CG18+1),1,1))/7+1),"")),INDEX(Lune!$B$1:$B$1000,MATCH(CG18,Lune!$A$1:$A$1000,0),1)))</f>
        <v/>
      </c>
      <c r="CI18" s="80" t="str">
        <f t="shared" ca="1" si="17"/>
        <v/>
      </c>
      <c r="CJ18" s="54" t="str">
        <f ca="1">IF(ISERROR(VLOOKUP(CG18,anniversaire!$X$2:$Z$100,2,0)),"",VLOOKUP(CG18,anniversaire!$X$2:$Z$100,2,0))</f>
        <v/>
      </c>
      <c r="CK18" s="54" t="str">
        <f>IF(ISERROR(VLOOKUP(CG18,fête!$B$2:$C$367,2,0)),"",VLOOKUP(CG18,fête!$B$2:$C$367,2,0))</f>
        <v>Edwige</v>
      </c>
      <c r="CL18" s="54" t="str">
        <f>IF(ISERROR(VLOOKUP(CG18,évènements!$A$3:$D$200,3,0)),"",VLOOKUP(CG18,évènements!$A$3:$D$200,3,0))</f>
        <v/>
      </c>
      <c r="CM18" s="54" t="str">
        <f>IF(ISERROR(VLOOKUP(CG18,évènements!$B$3:$D$200,2,0)),"",VLOOKUP(CG18,évènements!$B$3:$D$200,2,0))</f>
        <v/>
      </c>
      <c r="CN18" s="54" t="str">
        <f t="shared" si="18"/>
        <v xml:space="preserve">  </v>
      </c>
      <c r="CO18" s="41">
        <f t="shared" si="38"/>
        <v>43055</v>
      </c>
      <c r="CP18" s="42">
        <f t="shared" si="51"/>
        <v>43055</v>
      </c>
      <c r="CQ18" s="43">
        <f>IF(CP18="","",IF(ISERROR(MATCH(CP18,Lune!$A$1:$A$1000,0)),IF(WEEKDAY(CP18)=5,INT((CP18-DATE(YEAR(CP18),1,1))/7+1),IF(AND(WEEKDAY(CP18)=4,NOT( ISERROR(MATCH(CP18+1,Lune!$A$1:$A$1000,0)))),INT((CP18+1-DATE(YEAR(CP18+1),1,1))/7+1),"")),INDEX(Lune!$B$1:$B$1000,MATCH(CP18,Lune!$A$1:$A$1000,0),1)))</f>
        <v>46</v>
      </c>
      <c r="CR18" s="80" t="str">
        <f t="shared" ca="1" si="19"/>
        <v/>
      </c>
      <c r="CS18" s="54" t="str">
        <f ca="1">IF(ISERROR(VLOOKUP(CP18,anniversaire!$X$2:$Z$100,2,0)),"",VLOOKUP(CP18,anniversaire!$X$2:$Z$100,2,0))</f>
        <v/>
      </c>
      <c r="CT18" s="54" t="str">
        <f>IF(ISERROR(VLOOKUP(CP18,fête!$B$2:$C$367,2,0)),"",VLOOKUP(CP18,fête!$B$2:$C$367,2,0))</f>
        <v>Marguerite</v>
      </c>
      <c r="CU18" s="54" t="str">
        <f>IF(ISERROR(VLOOKUP(CP18,évènements!$A$3:$D$200,3,0)),"",VLOOKUP(CP18,évènements!$A$3:$D$200,3,0))</f>
        <v/>
      </c>
      <c r="CV18" s="54" t="str">
        <f>IF(ISERROR(VLOOKUP(CP18,évènements!$B$3:$D$200,2,0)),"",VLOOKUP(CP18,évènements!$B$3:$D$200,2,0))</f>
        <v/>
      </c>
      <c r="CW18" s="54" t="str">
        <f t="shared" si="20"/>
        <v xml:space="preserve">  </v>
      </c>
      <c r="CX18" s="41">
        <f t="shared" si="39"/>
        <v>43085</v>
      </c>
      <c r="CY18" s="42">
        <f t="shared" si="52"/>
        <v>43085</v>
      </c>
      <c r="CZ18" s="43" t="str">
        <f>IF(CY18="","",IF(ISERROR(MATCH(CY18,Lune!$A$1:$A$1000,0)),IF(WEEKDAY(CY18)=5,INT((CY18-DATE(YEAR(CY18),1,1))/7+1),IF(AND(WEEKDAY(CY18)=4,NOT( ISERROR(MATCH(CY18+1,Lune!$A$1:$A$1000,0)))),INT((CY18+1-DATE(YEAR(CY18+1),1,1))/7+1),"")),INDEX(Lune!$B$1:$B$1000,MATCH(CY18,Lune!$A$1:$A$1000,0),1)))</f>
        <v/>
      </c>
      <c r="DA18" s="80" t="str">
        <f t="shared" ca="1" si="21"/>
        <v/>
      </c>
      <c r="DB18" s="54" t="str">
        <f ca="1">IF(ISERROR(VLOOKUP(CY18,anniversaire!$X$2:$Z$100,2,0)),"",VLOOKUP(CY18,anniversaire!$X$2:$Z$100,2,0))</f>
        <v/>
      </c>
      <c r="DC18" s="54" t="str">
        <f>IF(ISERROR(VLOOKUP(CY18,fête!$B$2:$C$367,2,0)),"",VLOOKUP(CY18,fête!$B$2:$C$367,2,0))</f>
        <v>Alice</v>
      </c>
      <c r="DD18" s="54" t="str">
        <f>IF(ISERROR(VLOOKUP(CY18,évènements!$A$3:$D$200,3,0)),"",VLOOKUP(CY18,évènements!$A$3:$D$200,3,0))</f>
        <v/>
      </c>
      <c r="DE18" s="54" t="str">
        <f>IF(ISERROR(VLOOKUP(CY18,évènements!$B$3:$D$200,2,0)),"",VLOOKUP(CY18,évènements!$B$3:$D$200,2,0))</f>
        <v/>
      </c>
      <c r="DF18" s="54" t="str">
        <f t="shared" si="22"/>
        <v xml:space="preserve">  </v>
      </c>
      <c r="DG18" s="41">
        <f t="shared" si="40"/>
        <v>43116</v>
      </c>
      <c r="DH18" s="42">
        <f t="shared" si="53"/>
        <v>43116</v>
      </c>
      <c r="DI18" s="43" t="str">
        <f>IF(DH18="","",IF(ISERROR(MATCH(DH18,Lune!$A$1:$A$1000,0)),IF(WEEKDAY(DH18)=5,INT((DH18-DATE(YEAR(DH18),1,1))/7+1),IF(AND(WEEKDAY(DH18)=4,NOT( ISERROR(MATCH(DH18+1,Lune!$A$1:$A$1000,0)))),INT((DH18+1-DATE(YEAR(DH18+1),1,1))/7+1),"")),INDEX(Lune!$B$1:$B$1000,MATCH(DH18,Lune!$A$1:$A$1000,0),1)))</f>
        <v/>
      </c>
      <c r="DJ18" s="89" t="str">
        <f t="shared" ca="1" si="23"/>
        <v/>
      </c>
      <c r="DK18" s="252" t="str">
        <f t="shared" ca="1" si="24"/>
        <v/>
      </c>
      <c r="DL18" s="252" t="str">
        <f t="shared" si="25"/>
        <v>Marcel</v>
      </c>
      <c r="DM18" s="252" t="str">
        <f>IF(ISERROR(VLOOKUP(DH18,évènements!$A$3:$D$200,3,0)),"",VLOOKUP(DH18,évènements!$A$3:$D$200,3,0))</f>
        <v/>
      </c>
      <c r="DN18" s="252" t="str">
        <f>IF(ISERROR(VLOOKUP(DH18,évènements!$B$3:$D$200,2,0)),"",VLOOKUP(DH18,évènements!$B$3:$D$200,2,0))</f>
        <v/>
      </c>
      <c r="DO18" s="252" t="str">
        <f t="shared" si="26"/>
        <v xml:space="preserve">  </v>
      </c>
    </row>
    <row r="19" spans="2:119" ht="15" customHeight="1">
      <c r="B19" s="29"/>
      <c r="C19" s="41">
        <f t="shared" si="27"/>
        <v>42752</v>
      </c>
      <c r="D19" s="40">
        <f t="shared" si="41"/>
        <v>42752</v>
      </c>
      <c r="E19" s="131" t="str">
        <f>IF(D19="","",IF(ISERROR(MATCH(D19,Lune!$A$1:$A$1000,0)),IF(WEEKDAY(D19)=5,INT((D19-DATE(YEAR(D19),1,1))/7+1),IF(AND(WEEKDAY(D19)=4,NOT( ISERROR(MATCH(D19+1,Lune!$A$1:$A$1000,0)))),INT((D19+1-DATE(YEAR(D19+1),1,1))/7+1),"")),INDEX(Lune!$B$1:$B$1000,MATCH(D19,Lune!$A$1:$A$1000,0),1)))</f>
        <v/>
      </c>
      <c r="F19" s="89" t="str">
        <f t="shared" ca="1" si="0"/>
        <v/>
      </c>
      <c r="G19" s="125" t="str">
        <f ca="1">IF(ISERROR(VLOOKUP(D19,anniversaire!$X$2:$Z$100,2,0)),"",VLOOKUP(D19,anniversaire!$X$2:$Z$100,2,0))</f>
        <v/>
      </c>
      <c r="H19" s="54" t="str">
        <f>IF(ISERROR(VLOOKUP(D19,fête!$B$2:$C$367,2,0)),"",VLOOKUP(D19,fête!$B$2:$C$367,2,0))</f>
        <v>Roseline</v>
      </c>
      <c r="I19" s="239" t="str">
        <f>IF(ISERROR(VLOOKUP(D19,évènements!$A$3:$D$200,3,0)),"",VLOOKUP(D19,évènements!$A$3:$D$200,3,0))</f>
        <v/>
      </c>
      <c r="J19" s="239" t="str">
        <f>IF(ISERROR(VLOOKUP(D19,évènements!$B$3:$D$200,2,0)),"",VLOOKUP(D19,évènements!$B$3:$D$200,2,0))</f>
        <v/>
      </c>
      <c r="K19" s="239" t="str">
        <f t="shared" si="1"/>
        <v xml:space="preserve">  </v>
      </c>
      <c r="L19" s="41">
        <f t="shared" si="28"/>
        <v>42783</v>
      </c>
      <c r="M19" s="42">
        <f t="shared" si="42"/>
        <v>42783</v>
      </c>
      <c r="N19" s="131" t="str">
        <f>IF(M19="","",IF(ISERROR(MATCH(M19,Lune!$A$1:$A$1000,0)),IF(WEEKDAY(M19)=5,INT((M19-DATE(YEAR(M19),1,1))/7+1),IF(AND(WEEKDAY(M19)=4,NOT( ISERROR(MATCH(M19+1,Lune!$A$1:$A$1000,0)))),INT((M19+1-DATE(YEAR(M19+1),1,1))/7+1),"")),INDEX(Lune!$B$1:$B$1000,MATCH(M19,Lune!$A$1:$A$1000,0),1)))</f>
        <v/>
      </c>
      <c r="O19" s="80" t="str">
        <f t="shared" ca="1" si="54"/>
        <v/>
      </c>
      <c r="P19" s="54" t="str">
        <f ca="1">IF(ISERROR(VLOOKUP(M19,anniversaire!$X$2:$Z$100,2,0)),"",VLOOKUP(M19,anniversaire!$X$2:$Z$100,2,0))</f>
        <v/>
      </c>
      <c r="Q19" s="54" t="str">
        <f>IF(ISERROR(VLOOKUP(M19,fête!$B$2:$C$367,2,0)),"",VLOOKUP(M19,fête!$B$2:$C$367,2,0))</f>
        <v>Alexis</v>
      </c>
      <c r="R19" s="54" t="str">
        <f>IF(ISERROR(VLOOKUP(M19,évènements!$A$3:$D$200,3,0)),"",VLOOKUP(M19,évènements!$A$3:$D$200,3,0))</f>
        <v/>
      </c>
      <c r="S19" s="54" t="str">
        <f>IF(ISERROR(VLOOKUP(M19,évènements!$B$3:$D$200,2,0)),"",VLOOKUP(M19,évènements!$B$3:$D$200,2,0))</f>
        <v/>
      </c>
      <c r="T19" s="54" t="str">
        <f t="shared" si="3"/>
        <v xml:space="preserve">  </v>
      </c>
      <c r="U19" s="41">
        <f t="shared" si="29"/>
        <v>42811</v>
      </c>
      <c r="V19" s="42">
        <f t="shared" si="43"/>
        <v>42811</v>
      </c>
      <c r="W19" s="132" t="str">
        <f>IF(V19="","",IF(ISERROR(MATCH(V19,Lune!$A$1:$A$1000,0)),IF(WEEKDAY(V19)=5,INT((V19-DATE(YEAR(V19),1,1))/7+1),IF(AND(WEEKDAY(V19)=4,NOT( ISERROR(MATCH(V19+1,Lune!$A$1:$A$1000,0)))),INT((V19+1-DATE(YEAR(V19+1),1,1))/7+1),"")),INDEX(Lune!$B$1:$B$1000,MATCH(V19,Lune!$A$1:$A$1000,0),1)))</f>
        <v/>
      </c>
      <c r="X19" s="89" t="str">
        <f t="shared" ca="1" si="4"/>
        <v/>
      </c>
      <c r="Y19" s="125" t="str">
        <f ca="1">IF(ISERROR(VLOOKUP(V19,anniversaire!$X$2:$Z$100,2,0)),"",VLOOKUP(V19,anniversaire!$X$2:$Z$100,2,0))</f>
        <v/>
      </c>
      <c r="Z19" s="54" t="str">
        <f>IF(ISERROR(VLOOKUP(V19,fête!$B$2:$C$367,2,0)),"",VLOOKUP(V19,fête!$B$2:$C$367,2,0))</f>
        <v>Patrice</v>
      </c>
      <c r="AA19" s="54" t="str">
        <f>IF(ISERROR(VLOOKUP(V19,évènements!$A$3:$D$200,3,0)),"",VLOOKUP(V19,évènements!$A$3:$D$200,3,0))</f>
        <v>entretient SAGEM</v>
      </c>
      <c r="AB19" s="54" t="str">
        <f>IF(ISERROR(VLOOKUP(V19,évènements!$B$3:$D$200,2,0)),"",VLOOKUP(V19,évènements!$B$3:$D$200,2,0))</f>
        <v/>
      </c>
      <c r="AC19" s="54" t="str">
        <f t="shared" si="5"/>
        <v xml:space="preserve">entretient SAGEM  </v>
      </c>
      <c r="AD19" s="41">
        <f t="shared" si="30"/>
        <v>42842</v>
      </c>
      <c r="AE19" s="42">
        <f t="shared" si="44"/>
        <v>42842</v>
      </c>
      <c r="AF19" s="137" t="str">
        <f>IF(AE19="","",IF(ISERROR(MATCH(AE19,Lune!$A$1:$A$1000,0)),IF(WEEKDAY(AE19)=5,INT((AE19-DATE(YEAR(AE19),1,1))/7+1),IF(AND(WEEKDAY(AE19)=4,NOT( ISERROR(MATCH(AE19+1,Lune!$A$1:$A$1000,0)))),INT((AE19+1-DATE(YEAR(AE19+1),1,1))/7+1),"")),INDEX(Lune!$B$1:$B$1000,MATCH(AE19,Lune!$A$1:$A$1000,0),1)))</f>
        <v/>
      </c>
      <c r="AG19" s="80" t="str">
        <f t="shared" ca="1" si="6"/>
        <v/>
      </c>
      <c r="AH19" s="54" t="str">
        <f ca="1">IF(ISERROR(VLOOKUP(AE19,anniversaire!$X$2:$Z$100,2,0)),"",VLOOKUP(AE19,anniversaire!$X$2:$Z$100,2,0))</f>
        <v/>
      </c>
      <c r="AI19" s="54" t="str">
        <f>IF(ISERROR(VLOOKUP(AE19,fête!$B$2:$C$367,2,0)),"",VLOOKUP(AE19,fête!$B$2:$C$367,2,0))</f>
        <v>Anicet</v>
      </c>
      <c r="AJ19" s="54" t="str">
        <f>IF(ISERROR(VLOOKUP(AE19,évènements!$A$3:$D$200,3,0)),"",VLOOKUP(AE19,évènements!$A$3:$D$200,3,0))</f>
        <v/>
      </c>
      <c r="AK19" s="54" t="str">
        <f>IF(ISERROR(VLOOKUP(AE19,évènements!$B$3:$D$200,2,0)),"",VLOOKUP(AE19,évènements!$B$3:$D$200,2,0))</f>
        <v/>
      </c>
      <c r="AL19" s="238" t="str">
        <f t="shared" si="55"/>
        <v xml:space="preserve">  </v>
      </c>
      <c r="AM19" s="41">
        <f t="shared" si="31"/>
        <v>42872</v>
      </c>
      <c r="AN19" s="42">
        <f t="shared" si="45"/>
        <v>42872</v>
      </c>
      <c r="AO19" s="43" t="str">
        <f>IF(AN19="","",IF(ISERROR(MATCH(AN19,Lune!$A$1:$A$1000,0)),IF(WEEKDAY(AN19)=5,INT((AN19-DATE(YEAR(AN19),1,1))/7+1),IF(AND(WEEKDAY(AN19)=4,NOT( ISERROR(MATCH(AN19+1,Lune!$A$1:$A$1000,0)))),INT((AN19+1-DATE(YEAR(AN19+1),1,1))/7+1),"")),INDEX(Lune!$B$1:$B$1000,MATCH(AN19,Lune!$A$1:$A$1000,0),1)))</f>
        <v/>
      </c>
      <c r="AP19" s="79" t="str">
        <f t="shared" ca="1" si="8"/>
        <v/>
      </c>
      <c r="AQ19" s="54" t="str">
        <f ca="1">IF(ISERROR(VLOOKUP(AN19,anniversaire!$X$2:$Z$100,2,0)),"",VLOOKUP(AN19,anniversaire!$X$2:$Z$100,2,0))</f>
        <v/>
      </c>
      <c r="AR19" s="54" t="str">
        <f>IF(ISERROR(VLOOKUP(AN19,fête!$B$2:$C$367,2,0)),"",VLOOKUP(AN19,fête!$B$2:$C$367,2,0))</f>
        <v>Pascal</v>
      </c>
      <c r="AS19" s="238" t="str">
        <f>IF(ISERROR(VLOOKUP(AN19,évènements!$A$3:$D$200,3,0)),"",VLOOKUP(AN19,évènements!$A$3:$D$200,3,0))</f>
        <v/>
      </c>
      <c r="AT19" s="238" t="str">
        <f>IF(ISERROR(VLOOKUP(AN19,évènements!$B$3:$D$200,2,0)),"",VLOOKUP(AN19,évènements!$B$3:$D$200,2,0))</f>
        <v/>
      </c>
      <c r="AU19" s="238" t="str">
        <f t="shared" si="9"/>
        <v xml:space="preserve">  </v>
      </c>
      <c r="AV19" s="41">
        <f t="shared" si="32"/>
        <v>42903</v>
      </c>
      <c r="AW19" s="42">
        <f t="shared" si="46"/>
        <v>42903</v>
      </c>
      <c r="AX19" s="43" t="str">
        <f>IF(AW19="","",IF(ISERROR(MATCH(AW19,Lune!$A$1:$A$1000,0)),IF(WEEKDAY(AW19)=5,INT((AW19-DATE(YEAR(AW19),1,1))/7+1),IF(AND(WEEKDAY(AW19)=4,NOT( ISERROR(MATCH(AW19+1,Lune!$A$1:$A$1000,0)))),INT((AW19+1-DATE(YEAR(AW19+1),1,1))/7+1),"")),INDEX(Lune!$B$1:$B$1000,MATCH(AW19,Lune!$A$1:$A$1000,0),1)))</f>
        <v>◑</v>
      </c>
      <c r="AY19" s="79" t="str">
        <f t="shared" ca="1" si="10"/>
        <v/>
      </c>
      <c r="AZ19" s="54" t="str">
        <f ca="1">IF(ISERROR(VLOOKUP(AW19,anniversaire!$X$2:$Z$100,2,0)),"",VLOOKUP(AW19,anniversaire!$X$2:$Z$100,2,0))</f>
        <v/>
      </c>
      <c r="BA19" s="54" t="str">
        <f>IF(ISERROR(VLOOKUP(AW19,fête!$B$2:$C$367,2,0)),"",VLOOKUP(AW19,fête!$B$2:$C$367,2,0))</f>
        <v>Hervé</v>
      </c>
      <c r="BB19" s="54" t="str">
        <f>IF(ISERROR(VLOOKUP(AW19,évènements!$A$3:$D$200,3,0)),"",VLOOKUP(AW19,évènements!$A$3:$D$200,3,0))</f>
        <v/>
      </c>
      <c r="BC19" s="54" t="str">
        <f>IF(ISERROR(VLOOKUP(AW19,évènements!$B$3:$D$200,2,0)),"",VLOOKUP(AW19,évènements!$B$3:$D$200,2,0))</f>
        <v/>
      </c>
      <c r="BD19" s="54" t="str">
        <f t="shared" si="56"/>
        <v xml:space="preserve">  </v>
      </c>
      <c r="BE19" s="41">
        <f t="shared" si="33"/>
        <v>42933</v>
      </c>
      <c r="BF19" s="42">
        <f t="shared" si="47"/>
        <v>42933</v>
      </c>
      <c r="BG19" s="43" t="str">
        <f>IF(BF19="","",IF(ISERROR(MATCH(BF19,Lune!$A$1:$A$1000,0)),IF(WEEKDAY(BF19)=5,INT((BF19-DATE(YEAR(BF19),1,1))/7+1),IF(AND(WEEKDAY(BF19)=4,NOT( ISERROR(MATCH(BF19+1,Lune!$A$1:$A$1000,0)))),INT((BF19+1-DATE(YEAR(BF19+1),1,1))/7+1),"")),INDEX(Lune!$B$1:$B$1000,MATCH(BF19,Lune!$A$1:$A$1000,0),1)))</f>
        <v/>
      </c>
      <c r="BH19" s="80" t="str">
        <f t="shared" ca="1" si="12"/>
        <v/>
      </c>
      <c r="BI19" s="54" t="str">
        <f ca="1">IF(ISERROR(VLOOKUP(BF19,anniversaire!$X$2:$Z$100,2,0)),"",VLOOKUP(BF19,anniversaire!$X$2:$Z$100,2,0))</f>
        <v/>
      </c>
      <c r="BJ19" s="54" t="str">
        <f>IF(ISERROR(VLOOKUP(BF19,fête!$B$2:$C$367,2,0)),"",VLOOKUP(BF19,fête!$B$2:$C$367,2,0))</f>
        <v>Charlotte</v>
      </c>
      <c r="BK19" s="54" t="str">
        <f>IF(ISERROR(VLOOKUP(BF19,évènements!$A$3:$D$200,3,0)),"",VLOOKUP(BF19,évènements!$A$3:$D$200,3,0))</f>
        <v/>
      </c>
      <c r="BL19" s="54" t="str">
        <f>IF(ISERROR(VLOOKUP(BF19,évènements!$B$3:$D$200,2,0)),"",VLOOKUP(BF19,évènements!$B$3:$D$200,2,0))</f>
        <v/>
      </c>
      <c r="BM19" s="54" t="str">
        <f t="shared" si="34"/>
        <v xml:space="preserve">  </v>
      </c>
      <c r="BN19" s="41">
        <f t="shared" si="35"/>
        <v>42964</v>
      </c>
      <c r="BO19" s="42">
        <f t="shared" si="48"/>
        <v>42964</v>
      </c>
      <c r="BP19" s="43">
        <f>IF(BO19="","",IF(ISERROR(MATCH(BO19,Lune!$A$1:$A$1000,0)),IF(WEEKDAY(BO19)=5,INT((BO19-DATE(YEAR(BO19),1,1))/7+1),IF(AND(WEEKDAY(BO19)=4,NOT( ISERROR(MATCH(BO19+1,Lune!$A$1:$A$1000,0)))),INT((BO19+1-DATE(YEAR(BO19+1),1,1))/7+1),"")),INDEX(Lune!$B$1:$B$1000,MATCH(BO19,Lune!$A$1:$A$1000,0),1)))</f>
        <v>33</v>
      </c>
      <c r="BQ19" s="80" t="str">
        <f t="shared" ca="1" si="13"/>
        <v/>
      </c>
      <c r="BR19" s="54" t="str">
        <f ca="1">IF(ISERROR(VLOOKUP(BO19,anniversaire!$X$2:$Z$100,2,0)),"",VLOOKUP(BO19,anniversaire!$X$2:$Z$100,2,0))</f>
        <v/>
      </c>
      <c r="BS19" s="54" t="str">
        <f>IF(ISERROR(VLOOKUP(BO19,fête!$B$2:$C$367,2,0)),"",VLOOKUP(BO19,fête!$B$2:$C$367,2,0))</f>
        <v>Hyacinthe</v>
      </c>
      <c r="BT19" s="54" t="str">
        <f>IF(ISERROR(VLOOKUP(BO19,évènements!$A$3:$D$200,3,0)),"",VLOOKUP(BO19,évènements!$A$3:$D$200,3,0))</f>
        <v/>
      </c>
      <c r="BU19" s="54" t="str">
        <f>IF(ISERROR(VLOOKUP(BO19,évènements!$B$3:$D$200,2,0)),"",VLOOKUP(BO19,évènements!$B$3:$D$200,2,0))</f>
        <v/>
      </c>
      <c r="BV19" s="54" t="str">
        <f t="shared" si="14"/>
        <v xml:space="preserve">  </v>
      </c>
      <c r="BW19" s="41">
        <f t="shared" si="36"/>
        <v>42995</v>
      </c>
      <c r="BX19" s="42">
        <f t="shared" si="49"/>
        <v>42995</v>
      </c>
      <c r="BY19" s="43" t="str">
        <f>IF(BX19="","",IF(ISERROR(MATCH(BX19,Lune!$A$1:$A$1000,0)),IF(WEEKDAY(BX19)=5,INT((BX19-DATE(YEAR(BX19),1,1))/7+1),IF(AND(WEEKDAY(BX19)=4,NOT( ISERROR(MATCH(BX19+1,Lune!$A$1:$A$1000,0)))),INT((BX19+1-DATE(YEAR(BX19+1),1,1))/7+1),"")),INDEX(Lune!$B$1:$B$1000,MATCH(BX19,Lune!$A$1:$A$1000,0),1)))</f>
        <v/>
      </c>
      <c r="BZ19" s="80" t="str">
        <f t="shared" ca="1" si="15"/>
        <v xml:space="preserve"> '</v>
      </c>
      <c r="CA19" s="54" t="str">
        <f ca="1">IF(ISERROR(VLOOKUP(BX19,anniversaire!$X$2:$Z$100,2,0)),"",VLOOKUP(BX19,anniversaire!$X$2:$Z$100,2,0))</f>
        <v>decelle  nelly    36</v>
      </c>
      <c r="CB19" s="54" t="str">
        <f>IF(ISERROR(VLOOKUP(BX19,fête!$B$2:$C$367,2,0)),"",VLOOKUP(BX19,fête!$B$2:$C$367,2,0))</f>
        <v>Renaud</v>
      </c>
      <c r="CC19" s="54" t="str">
        <f>IF(ISERROR(VLOOKUP(BX19,évènements!$A$3:$D$200,3,0)),"",VLOOKUP(BX19,évènements!$A$3:$D$200,3,0))</f>
        <v/>
      </c>
      <c r="CD19" s="54" t="str">
        <f>IF(ISERROR(VLOOKUP(BX19,évènements!$B$3:$D$200,2,0)),"",VLOOKUP(BX19,évènements!$B$3:$D$200,2,0))</f>
        <v/>
      </c>
      <c r="CE19" s="54" t="str">
        <f t="shared" si="16"/>
        <v xml:space="preserve">  </v>
      </c>
      <c r="CF19" s="41">
        <f t="shared" si="37"/>
        <v>43025</v>
      </c>
      <c r="CG19" s="42">
        <f t="shared" si="50"/>
        <v>43025</v>
      </c>
      <c r="CH19" s="43" t="str">
        <f>IF(CG19="","",IF(ISERROR(MATCH(CG19,Lune!$A$1:$A$1000,0)),IF(WEEKDAY(CG19)=5,INT((CG19-DATE(YEAR(CG19),1,1))/7+1),IF(AND(WEEKDAY(CG19)=4,NOT( ISERROR(MATCH(CG19+1,Lune!$A$1:$A$1000,0)))),INT((CG19+1-DATE(YEAR(CG19+1),1,1))/7+1),"")),INDEX(Lune!$B$1:$B$1000,MATCH(CG19,Lune!$A$1:$A$1000,0),1)))</f>
        <v/>
      </c>
      <c r="CI19" s="80" t="str">
        <f t="shared" ca="1" si="17"/>
        <v/>
      </c>
      <c r="CJ19" s="54" t="str">
        <f ca="1">IF(ISERROR(VLOOKUP(CG19,anniversaire!$X$2:$Z$100,2,0)),"",VLOOKUP(CG19,anniversaire!$X$2:$Z$100,2,0))</f>
        <v/>
      </c>
      <c r="CK19" s="54" t="str">
        <f>IF(ISERROR(VLOOKUP(CG19,fête!$B$2:$C$367,2,0)),"",VLOOKUP(CG19,fête!$B$2:$C$367,2,0))</f>
        <v>Baudoin</v>
      </c>
      <c r="CL19" s="54" t="str">
        <f>IF(ISERROR(VLOOKUP(CG19,évènements!$A$3:$D$200,3,0)),"",VLOOKUP(CG19,évènements!$A$3:$D$200,3,0))</f>
        <v/>
      </c>
      <c r="CM19" s="54" t="str">
        <f>IF(ISERROR(VLOOKUP(CG19,évènements!$B$3:$D$200,2,0)),"",VLOOKUP(CG19,évènements!$B$3:$D$200,2,0))</f>
        <v/>
      </c>
      <c r="CN19" s="54" t="str">
        <f t="shared" si="18"/>
        <v xml:space="preserve">  </v>
      </c>
      <c r="CO19" s="41">
        <f t="shared" si="38"/>
        <v>43056</v>
      </c>
      <c r="CP19" s="42">
        <f t="shared" si="51"/>
        <v>43056</v>
      </c>
      <c r="CQ19" s="43" t="str">
        <f>IF(CP19="","",IF(ISERROR(MATCH(CP19,Lune!$A$1:$A$1000,0)),IF(WEEKDAY(CP19)=5,INT((CP19-DATE(YEAR(CP19),1,1))/7+1),IF(AND(WEEKDAY(CP19)=4,NOT( ISERROR(MATCH(CP19+1,Lune!$A$1:$A$1000,0)))),INT((CP19+1-DATE(YEAR(CP19+1),1,1))/7+1),"")),INDEX(Lune!$B$1:$B$1000,MATCH(CP19,Lune!$A$1:$A$1000,0),1)))</f>
        <v/>
      </c>
      <c r="CR19" s="80" t="str">
        <f t="shared" ca="1" si="19"/>
        <v/>
      </c>
      <c r="CS19" s="54" t="str">
        <f ca="1">IF(ISERROR(VLOOKUP(CP19,anniversaire!$X$2:$Z$100,2,0)),"",VLOOKUP(CP19,anniversaire!$X$2:$Z$100,2,0))</f>
        <v/>
      </c>
      <c r="CT19" s="54" t="str">
        <f>IF(ISERROR(VLOOKUP(CP19,fête!$B$2:$C$367,2,0)),"",VLOOKUP(CP19,fête!$B$2:$C$367,2,0))</f>
        <v>Elisabeth</v>
      </c>
      <c r="CU19" s="54" t="str">
        <f>IF(ISERROR(VLOOKUP(CP19,évènements!$A$3:$D$200,3,0)),"",VLOOKUP(CP19,évènements!$A$3:$D$200,3,0))</f>
        <v/>
      </c>
      <c r="CV19" s="54" t="str">
        <f>IF(ISERROR(VLOOKUP(CP19,évènements!$B$3:$D$200,2,0)),"",VLOOKUP(CP19,évènements!$B$3:$D$200,2,0))</f>
        <v/>
      </c>
      <c r="CW19" s="54" t="str">
        <f t="shared" si="20"/>
        <v xml:space="preserve">  </v>
      </c>
      <c r="CX19" s="41">
        <f t="shared" si="39"/>
        <v>43086</v>
      </c>
      <c r="CY19" s="42">
        <f t="shared" si="52"/>
        <v>43086</v>
      </c>
      <c r="CZ19" s="43" t="str">
        <f>IF(CY19="","",IF(ISERROR(MATCH(CY19,Lune!$A$1:$A$1000,0)),IF(WEEKDAY(CY19)=5,INT((CY19-DATE(YEAR(CY19),1,1))/7+1),IF(AND(WEEKDAY(CY19)=4,NOT( ISERROR(MATCH(CY19+1,Lune!$A$1:$A$1000,0)))),INT((CY19+1-DATE(YEAR(CY19+1),1,1))/7+1),"")),INDEX(Lune!$B$1:$B$1000,MATCH(CY19,Lune!$A$1:$A$1000,0),1)))</f>
        <v/>
      </c>
      <c r="DA19" s="80" t="str">
        <f t="shared" ca="1" si="21"/>
        <v/>
      </c>
      <c r="DB19" s="54" t="str">
        <f ca="1">IF(ISERROR(VLOOKUP(CY19,anniversaire!$X$2:$Z$100,2,0)),"",VLOOKUP(CY19,anniversaire!$X$2:$Z$100,2,0))</f>
        <v/>
      </c>
      <c r="DC19" s="54" t="str">
        <f>IF(ISERROR(VLOOKUP(CY19,fête!$B$2:$C$367,2,0)),"",VLOOKUP(CY19,fête!$B$2:$C$367,2,0))</f>
        <v>Gaël</v>
      </c>
      <c r="DD19" s="54" t="str">
        <f>IF(ISERROR(VLOOKUP(CY19,évènements!$A$3:$D$200,3,0)),"",VLOOKUP(CY19,évènements!$A$3:$D$200,3,0))</f>
        <v/>
      </c>
      <c r="DE19" s="54" t="str">
        <f>IF(ISERROR(VLOOKUP(CY19,évènements!$B$3:$D$200,2,0)),"",VLOOKUP(CY19,évènements!$B$3:$D$200,2,0))</f>
        <v/>
      </c>
      <c r="DF19" s="54" t="str">
        <f t="shared" si="22"/>
        <v xml:space="preserve">  </v>
      </c>
      <c r="DG19" s="41">
        <f t="shared" si="40"/>
        <v>43117</v>
      </c>
      <c r="DH19" s="42">
        <f t="shared" si="53"/>
        <v>43117</v>
      </c>
      <c r="DI19" s="43" t="str">
        <f>IF(DH19="","",IF(ISERROR(MATCH(DH19,Lune!$A$1:$A$1000,0)),IF(WEEKDAY(DH19)=5,INT((DH19-DATE(YEAR(DH19),1,1))/7+1),IF(AND(WEEKDAY(DH19)=4,NOT( ISERROR(MATCH(DH19+1,Lune!$A$1:$A$1000,0)))),INT((DH19+1-DATE(YEAR(DH19+1),1,1))/7+1),"")),INDEX(Lune!$B$1:$B$1000,MATCH(DH19,Lune!$A$1:$A$1000,0),1)))</f>
        <v>●</v>
      </c>
      <c r="DJ19" s="89" t="str">
        <f t="shared" ca="1" si="23"/>
        <v/>
      </c>
      <c r="DK19" s="252" t="str">
        <f t="shared" ca="1" si="24"/>
        <v/>
      </c>
      <c r="DL19" s="252" t="str">
        <f t="shared" si="25"/>
        <v>Roseline</v>
      </c>
      <c r="DM19" s="252" t="str">
        <f>IF(ISERROR(VLOOKUP(DH19,évènements!$A$3:$D$200,3,0)),"",VLOOKUP(DH19,évènements!$A$3:$D$200,3,0))</f>
        <v/>
      </c>
      <c r="DN19" s="252" t="str">
        <f>IF(ISERROR(VLOOKUP(DH19,évènements!$B$3:$D$200,2,0)),"",VLOOKUP(DH19,évènements!$B$3:$D$200,2,0))</f>
        <v/>
      </c>
      <c r="DO19" s="252" t="str">
        <f t="shared" si="26"/>
        <v xml:space="preserve">  </v>
      </c>
    </row>
    <row r="20" spans="2:119" ht="15" customHeight="1">
      <c r="B20" s="29"/>
      <c r="C20" s="41">
        <f t="shared" si="27"/>
        <v>42753</v>
      </c>
      <c r="D20" s="40">
        <f t="shared" si="41"/>
        <v>42753</v>
      </c>
      <c r="E20" s="131">
        <f>IF(D20="","",IF(ISERROR(MATCH(D20,Lune!$A$1:$A$1000,0)),IF(WEEKDAY(D20)=5,INT((D20-DATE(YEAR(D20),1,1))/7+1),IF(AND(WEEKDAY(D20)=4,NOT( ISERROR(MATCH(D20+1,Lune!$A$1:$A$1000,0)))),INT((D20+1-DATE(YEAR(D20+1),1,1))/7+1),"")),INDEX(Lune!$B$1:$B$1000,MATCH(D20,Lune!$A$1:$A$1000,0),1)))</f>
        <v>3</v>
      </c>
      <c r="F20" s="89" t="str">
        <f t="shared" ca="1" si="0"/>
        <v/>
      </c>
      <c r="G20" s="125" t="str">
        <f ca="1">IF(ISERROR(VLOOKUP(D20,anniversaire!$X$2:$Z$100,2,0)),"",VLOOKUP(D20,anniversaire!$X$2:$Z$100,2,0))</f>
        <v/>
      </c>
      <c r="H20" s="54" t="str">
        <f>IF(ISERROR(VLOOKUP(D20,fête!$B$2:$C$367,2,0)),"",VLOOKUP(D20,fête!$B$2:$C$367,2,0))</f>
        <v>Prisca</v>
      </c>
      <c r="I20" s="239" t="str">
        <f>IF(ISERROR(VLOOKUP(D20,évènements!$A$3:$D$200,3,0)),"",VLOOKUP(D20,évènements!$A$3:$D$200,3,0))</f>
        <v/>
      </c>
      <c r="J20" s="239" t="str">
        <f>IF(ISERROR(VLOOKUP(D20,évènements!$B$3:$D$200,2,0)),"",VLOOKUP(D20,évènements!$B$3:$D$200,2,0))</f>
        <v/>
      </c>
      <c r="K20" s="239" t="str">
        <f t="shared" si="1"/>
        <v xml:space="preserve">  </v>
      </c>
      <c r="L20" s="41">
        <f t="shared" si="28"/>
        <v>42784</v>
      </c>
      <c r="M20" s="42">
        <f t="shared" si="42"/>
        <v>42784</v>
      </c>
      <c r="N20" s="131" t="str">
        <f>IF(M20="","",IF(ISERROR(MATCH(M20,Lune!$A$1:$A$1000,0)),IF(WEEKDAY(M20)=5,INT((M20-DATE(YEAR(M20),1,1))/7+1),IF(AND(WEEKDAY(M20)=4,NOT( ISERROR(MATCH(M20+1,Lune!$A$1:$A$1000,0)))),INT((M20+1-DATE(YEAR(M20+1),1,1))/7+1),"")),INDEX(Lune!$B$1:$B$1000,MATCH(M20,Lune!$A$1:$A$1000,0),1)))</f>
        <v>◑</v>
      </c>
      <c r="O20" s="80" t="str">
        <f t="shared" ca="1" si="54"/>
        <v/>
      </c>
      <c r="P20" s="54" t="str">
        <f ca="1">IF(ISERROR(VLOOKUP(M20,anniversaire!$X$2:$Z$100,2,0)),"",VLOOKUP(M20,anniversaire!$X$2:$Z$100,2,0))</f>
        <v/>
      </c>
      <c r="Q20" s="54" t="str">
        <f>IF(ISERROR(VLOOKUP(M20,fête!$B$2:$C$367,2,0)),"",VLOOKUP(M20,fête!$B$2:$C$367,2,0))</f>
        <v>Bernadette</v>
      </c>
      <c r="R20" s="54" t="str">
        <f>IF(ISERROR(VLOOKUP(M20,évènements!$A$3:$D$200,3,0)),"",VLOOKUP(M20,évènements!$A$3:$D$200,3,0))</f>
        <v/>
      </c>
      <c r="S20" s="54" t="str">
        <f>IF(ISERROR(VLOOKUP(M20,évènements!$B$3:$D$200,2,0)),"",VLOOKUP(M20,évènements!$B$3:$D$200,2,0))</f>
        <v/>
      </c>
      <c r="T20" s="54" t="str">
        <f t="shared" si="3"/>
        <v xml:space="preserve">  </v>
      </c>
      <c r="U20" s="41">
        <f t="shared" si="29"/>
        <v>42812</v>
      </c>
      <c r="V20" s="42">
        <f t="shared" si="43"/>
        <v>42812</v>
      </c>
      <c r="W20" s="132" t="str">
        <f>IF(V20="","",IF(ISERROR(MATCH(V20,Lune!$A$1:$A$1000,0)),IF(WEEKDAY(V20)=5,INT((V20-DATE(YEAR(V20),1,1))/7+1),IF(AND(WEEKDAY(V20)=4,NOT( ISERROR(MATCH(V20+1,Lune!$A$1:$A$1000,0)))),INT((V20+1-DATE(YEAR(V20+1),1,1))/7+1),"")),INDEX(Lune!$B$1:$B$1000,MATCH(V20,Lune!$A$1:$A$1000,0),1)))</f>
        <v/>
      </c>
      <c r="X20" s="89" t="str">
        <f t="shared" ca="1" si="4"/>
        <v xml:space="preserve"> '</v>
      </c>
      <c r="Y20" s="125" t="str">
        <f ca="1">IF(ISERROR(VLOOKUP(V20,anniversaire!$X$2:$Z$100,2,0)),"",VLOOKUP(V20,anniversaire!$X$2:$Z$100,2,0))</f>
        <v>laborde  marine    23</v>
      </c>
      <c r="Z20" s="54" t="str">
        <f>IF(ISERROR(VLOOKUP(V20,fête!$B$2:$C$367,2,0)),"",VLOOKUP(V20,fête!$B$2:$C$367,2,0))</f>
        <v>Cyrille</v>
      </c>
      <c r="AA20" s="54" t="str">
        <f>IF(ISERROR(VLOOKUP(V20,évènements!$A$3:$D$200,3,0)),"",VLOOKUP(V20,évènements!$A$3:$D$200,3,0))</f>
        <v/>
      </c>
      <c r="AB20" s="54" t="str">
        <f>IF(ISERROR(VLOOKUP(V20,évènements!$B$3:$D$200,2,0)),"",VLOOKUP(V20,évènements!$B$3:$D$200,2,0))</f>
        <v/>
      </c>
      <c r="AC20" s="54" t="str">
        <f>CONCATENATE(AA20,"  ",AB20)</f>
        <v xml:space="preserve">  </v>
      </c>
      <c r="AD20" s="41">
        <f t="shared" si="30"/>
        <v>42843</v>
      </c>
      <c r="AE20" s="42">
        <f t="shared" si="44"/>
        <v>42843</v>
      </c>
      <c r="AF20" s="137" t="str">
        <f>IF(AE20="","",IF(ISERROR(MATCH(AE20,Lune!$A$1:$A$1000,0)),IF(WEEKDAY(AE20)=5,INT((AE20-DATE(YEAR(AE20),1,1))/7+1),IF(AND(WEEKDAY(AE20)=4,NOT( ISERROR(MATCH(AE20+1,Lune!$A$1:$A$1000,0)))),INT((AE20+1-DATE(YEAR(AE20+1),1,1))/7+1),"")),INDEX(Lune!$B$1:$B$1000,MATCH(AE20,Lune!$A$1:$A$1000,0),1)))</f>
        <v/>
      </c>
      <c r="AG20" s="80" t="str">
        <f t="shared" ca="1" si="6"/>
        <v/>
      </c>
      <c r="AH20" s="54" t="str">
        <f ca="1">IF(ISERROR(VLOOKUP(AE20,anniversaire!$X$2:$Z$100,2,0)),"",VLOOKUP(AE20,anniversaire!$X$2:$Z$100,2,0))</f>
        <v/>
      </c>
      <c r="AI20" s="54" t="str">
        <f>IF(ISERROR(VLOOKUP(AE20,fête!$B$2:$C$367,2,0)),"",VLOOKUP(AE20,fête!$B$2:$C$367,2,0))</f>
        <v>Parfait</v>
      </c>
      <c r="AJ20" s="54" t="str">
        <f>IF(ISERROR(VLOOKUP(AE20,évènements!$A$3:$D$200,3,0)),"",VLOOKUP(AE20,évènements!$A$3:$D$200,3,0))</f>
        <v/>
      </c>
      <c r="AK20" s="54" t="str">
        <f>IF(ISERROR(VLOOKUP(AE20,évènements!$B$3:$D$200,2,0)),"",VLOOKUP(AE20,évènements!$B$3:$D$200,2,0))</f>
        <v/>
      </c>
      <c r="AL20" s="238" t="str">
        <f>CONCATENATE(AJ20,"  ",AK20)</f>
        <v xml:space="preserve">  </v>
      </c>
      <c r="AM20" s="41">
        <f t="shared" si="31"/>
        <v>42873</v>
      </c>
      <c r="AN20" s="42">
        <f t="shared" si="45"/>
        <v>42873</v>
      </c>
      <c r="AO20" s="43">
        <f>IF(AN20="","",IF(ISERROR(MATCH(AN20,Lune!$A$1:$A$1000,0)),IF(WEEKDAY(AN20)=5,INT((AN20-DATE(YEAR(AN20),1,1))/7+1),IF(AND(WEEKDAY(AN20)=4,NOT( ISERROR(MATCH(AN20+1,Lune!$A$1:$A$1000,0)))),INT((AN20+1-DATE(YEAR(AN20+1),1,1))/7+1),"")),INDEX(Lune!$B$1:$B$1000,MATCH(AN20,Lune!$A$1:$A$1000,0),1)))</f>
        <v>20</v>
      </c>
      <c r="AP20" s="79" t="str">
        <f t="shared" ca="1" si="8"/>
        <v/>
      </c>
      <c r="AQ20" s="54" t="str">
        <f ca="1">IF(ISERROR(VLOOKUP(AN20,anniversaire!$X$2:$Z$100,2,0)),"",VLOOKUP(AN20,anniversaire!$X$2:$Z$100,2,0))</f>
        <v/>
      </c>
      <c r="AR20" s="54" t="str">
        <f>IF(ISERROR(VLOOKUP(AN20,fête!$B$2:$C$367,2,0)),"",VLOOKUP(AN20,fête!$B$2:$C$367,2,0))</f>
        <v>Eric</v>
      </c>
      <c r="AS20" s="238" t="str">
        <f>IF(ISERROR(VLOOKUP(AN20,évènements!$A$3:$D$200,3,0)),"",VLOOKUP(AN20,évènements!$A$3:$D$200,3,0))</f>
        <v/>
      </c>
      <c r="AT20" s="238" t="str">
        <f>IF(ISERROR(VLOOKUP(AN20,évènements!$B$3:$D$200,2,0)),"",VLOOKUP(AN20,évènements!$B$3:$D$200,2,0))</f>
        <v/>
      </c>
      <c r="AU20" s="238" t="str">
        <f t="shared" si="9"/>
        <v xml:space="preserve">  </v>
      </c>
      <c r="AV20" s="41">
        <f t="shared" si="32"/>
        <v>42904</v>
      </c>
      <c r="AW20" s="42">
        <f t="shared" si="46"/>
        <v>42904</v>
      </c>
      <c r="AX20" s="43" t="str">
        <f>IF(AW20="","",IF(ISERROR(MATCH(AW20,Lune!$A$1:$A$1000,0)),IF(WEEKDAY(AW20)=5,INT((AW20-DATE(YEAR(AW20),1,1))/7+1),IF(AND(WEEKDAY(AW20)=4,NOT( ISERROR(MATCH(AW20+1,Lune!$A$1:$A$1000,0)))),INT((AW20+1-DATE(YEAR(AW20+1),1,1))/7+1),"")),INDEX(Lune!$B$1:$B$1000,MATCH(AW20,Lune!$A$1:$A$1000,0),1)))</f>
        <v/>
      </c>
      <c r="AY20" s="79" t="str">
        <f t="shared" ca="1" si="10"/>
        <v/>
      </c>
      <c r="AZ20" s="54" t="str">
        <f ca="1">IF(ISERROR(VLOOKUP(AW20,anniversaire!$X$2:$Z$100,2,0)),"",VLOOKUP(AW20,anniversaire!$X$2:$Z$100,2,0))</f>
        <v/>
      </c>
      <c r="BA20" s="54" t="str">
        <f>IF(ISERROR(VLOOKUP(AW20,fête!$B$2:$C$367,2,0)),"",VLOOKUP(AW20,fête!$B$2:$C$367,2,0))</f>
        <v>Léonce</v>
      </c>
      <c r="BB20" s="54" t="str">
        <f>IF(ISERROR(VLOOKUP(AW20,évènements!$A$3:$D$200,3,0)),"",VLOOKUP(AW20,évènements!$A$3:$D$200,3,0))</f>
        <v/>
      </c>
      <c r="BC20" s="54" t="str">
        <f>IF(ISERROR(VLOOKUP(AW20,évènements!$B$3:$D$200,2,0)),"",VLOOKUP(AW20,évènements!$B$3:$D$200,2,0))</f>
        <v/>
      </c>
      <c r="BD20" s="54" t="str">
        <f t="shared" si="56"/>
        <v xml:space="preserve">  </v>
      </c>
      <c r="BE20" s="41">
        <f t="shared" si="33"/>
        <v>42934</v>
      </c>
      <c r="BF20" s="42">
        <f t="shared" si="47"/>
        <v>42934</v>
      </c>
      <c r="BG20" s="43" t="str">
        <f>IF(BF20="","",IF(ISERROR(MATCH(BF20,Lune!$A$1:$A$1000,0)),IF(WEEKDAY(BF20)=5,INT((BF20-DATE(YEAR(BF20),1,1))/7+1),IF(AND(WEEKDAY(BF20)=4,NOT( ISERROR(MATCH(BF20+1,Lune!$A$1:$A$1000,0)))),INT((BF20+1-DATE(YEAR(BF20+1),1,1))/7+1),"")),INDEX(Lune!$B$1:$B$1000,MATCH(BF20,Lune!$A$1:$A$1000,0),1)))</f>
        <v/>
      </c>
      <c r="BH20" s="80" t="str">
        <f t="shared" ca="1" si="12"/>
        <v/>
      </c>
      <c r="BI20" s="54" t="str">
        <f ca="1">IF(ISERROR(VLOOKUP(BF20,anniversaire!$X$2:$Z$100,2,0)),"",VLOOKUP(BF20,anniversaire!$X$2:$Z$100,2,0))</f>
        <v/>
      </c>
      <c r="BJ20" s="54" t="str">
        <f>IF(ISERROR(VLOOKUP(BF20,fête!$B$2:$C$367,2,0)),"",VLOOKUP(BF20,fête!$B$2:$C$367,2,0))</f>
        <v>Frédéric</v>
      </c>
      <c r="BK20" s="54" t="str">
        <f>IF(ISERROR(VLOOKUP(BF20,évènements!$A$3:$D$200,3,0)),"",VLOOKUP(BF20,évènements!$A$3:$D$200,3,0))</f>
        <v/>
      </c>
      <c r="BL20" s="54" t="str">
        <f>IF(ISERROR(VLOOKUP(BF20,évènements!$B$3:$D$200,2,0)),"",VLOOKUP(BF20,évènements!$B$3:$D$200,2,0))</f>
        <v/>
      </c>
      <c r="BM20" s="54" t="str">
        <f t="shared" si="34"/>
        <v xml:space="preserve">  </v>
      </c>
      <c r="BN20" s="41">
        <f t="shared" si="35"/>
        <v>42965</v>
      </c>
      <c r="BO20" s="42">
        <f t="shared" si="48"/>
        <v>42965</v>
      </c>
      <c r="BP20" s="43" t="str">
        <f>IF(BO20="","",IF(ISERROR(MATCH(BO20,Lune!$A$1:$A$1000,0)),IF(WEEKDAY(BO20)=5,INT((BO20-DATE(YEAR(BO20),1,1))/7+1),IF(AND(WEEKDAY(BO20)=4,NOT( ISERROR(MATCH(BO20+1,Lune!$A$1:$A$1000,0)))),INT((BO20+1-DATE(YEAR(BO20+1),1,1))/7+1),"")),INDEX(Lune!$B$1:$B$1000,MATCH(BO20,Lune!$A$1:$A$1000,0),1)))</f>
        <v/>
      </c>
      <c r="BQ20" s="80" t="str">
        <f t="shared" ca="1" si="13"/>
        <v/>
      </c>
      <c r="BR20" s="54" t="str">
        <f ca="1">IF(ISERROR(VLOOKUP(BO20,anniversaire!$X$2:$Z$100,2,0)),"",VLOOKUP(BO20,anniversaire!$X$2:$Z$100,2,0))</f>
        <v/>
      </c>
      <c r="BS20" s="54" t="str">
        <f>IF(ISERROR(VLOOKUP(BO20,fête!$B$2:$C$367,2,0)),"",VLOOKUP(BO20,fête!$B$2:$C$367,2,0))</f>
        <v>Hélène</v>
      </c>
      <c r="BT20" s="54" t="str">
        <f>IF(ISERROR(VLOOKUP(BO20,évènements!$A$3:$D$200,3,0)),"",VLOOKUP(BO20,évènements!$A$3:$D$200,3,0))</f>
        <v/>
      </c>
      <c r="BU20" s="54" t="str">
        <f>IF(ISERROR(VLOOKUP(BO20,évènements!$B$3:$D$200,2,0)),"",VLOOKUP(BO20,évènements!$B$3:$D$200,2,0))</f>
        <v/>
      </c>
      <c r="BV20" s="54" t="str">
        <f t="shared" si="14"/>
        <v xml:space="preserve">  </v>
      </c>
      <c r="BW20" s="41">
        <f t="shared" si="36"/>
        <v>42996</v>
      </c>
      <c r="BX20" s="42">
        <f t="shared" si="49"/>
        <v>42996</v>
      </c>
      <c r="BY20" s="43" t="str">
        <f>IF(BX20="","",IF(ISERROR(MATCH(BX20,Lune!$A$1:$A$1000,0)),IF(WEEKDAY(BX20)=5,INT((BX20-DATE(YEAR(BX20),1,1))/7+1),IF(AND(WEEKDAY(BX20)=4,NOT( ISERROR(MATCH(BX20+1,Lune!$A$1:$A$1000,0)))),INT((BX20+1-DATE(YEAR(BX20+1),1,1))/7+1),"")),INDEX(Lune!$B$1:$B$1000,MATCH(BX20,Lune!$A$1:$A$1000,0),1)))</f>
        <v/>
      </c>
      <c r="BZ20" s="80" t="str">
        <f t="shared" ca="1" si="15"/>
        <v/>
      </c>
      <c r="CA20" s="54" t="str">
        <f ca="1">IF(ISERROR(VLOOKUP(BX20,anniversaire!$X$2:$Z$100,2,0)),"",VLOOKUP(BX20,anniversaire!$X$2:$Z$100,2,0))</f>
        <v/>
      </c>
      <c r="CB20" s="54" t="str">
        <f>IF(ISERROR(VLOOKUP(BX20,fête!$B$2:$C$367,2,0)),"",VLOOKUP(BX20,fête!$B$2:$C$367,2,0))</f>
        <v>Nadège</v>
      </c>
      <c r="CC20" s="54" t="str">
        <f>IF(ISERROR(VLOOKUP(BX20,évènements!$A$3:$D$200,3,0)),"",VLOOKUP(BX20,évènements!$A$3:$D$200,3,0))</f>
        <v/>
      </c>
      <c r="CD20" s="54" t="str">
        <f>IF(ISERROR(VLOOKUP(BX20,évènements!$B$3:$D$200,2,0)),"",VLOOKUP(BX20,évènements!$B$3:$D$200,2,0))</f>
        <v/>
      </c>
      <c r="CE20" s="54" t="str">
        <f t="shared" si="16"/>
        <v xml:space="preserve">  </v>
      </c>
      <c r="CF20" s="41">
        <f t="shared" si="37"/>
        <v>43026</v>
      </c>
      <c r="CG20" s="42">
        <f t="shared" si="50"/>
        <v>43026</v>
      </c>
      <c r="CH20" s="43">
        <f>IF(CG20="","",IF(ISERROR(MATCH(CG20,Lune!$A$1:$A$1000,0)),IF(WEEKDAY(CG20)=5,INT((CG20-DATE(YEAR(CG20),1,1))/7+1),IF(AND(WEEKDAY(CG20)=4,NOT( ISERROR(MATCH(CG20+1,Lune!$A$1:$A$1000,0)))),INT((CG20+1-DATE(YEAR(CG20+1),1,1))/7+1),"")),INDEX(Lune!$B$1:$B$1000,MATCH(CG20,Lune!$A$1:$A$1000,0),1)))</f>
        <v>42</v>
      </c>
      <c r="CI20" s="80" t="str">
        <f t="shared" ca="1" si="17"/>
        <v/>
      </c>
      <c r="CJ20" s="54" t="str">
        <f ca="1">IF(ISERROR(VLOOKUP(CG20,anniversaire!$X$2:$Z$100,2,0)),"",VLOOKUP(CG20,anniversaire!$X$2:$Z$100,2,0))</f>
        <v/>
      </c>
      <c r="CK20" s="54" t="str">
        <f>IF(ISERROR(VLOOKUP(CG20,fête!$B$2:$C$367,2,0)),"",VLOOKUP(CG20,fête!$B$2:$C$367,2,0))</f>
        <v>Luc</v>
      </c>
      <c r="CL20" s="54" t="str">
        <f>IF(ISERROR(VLOOKUP(CG20,évènements!$A$3:$D$200,3,0)),"",VLOOKUP(CG20,évènements!$A$3:$D$200,3,0))</f>
        <v/>
      </c>
      <c r="CM20" s="54" t="str">
        <f>IF(ISERROR(VLOOKUP(CG20,évènements!$B$3:$D$200,2,0)),"",VLOOKUP(CG20,évènements!$B$3:$D$200,2,0))</f>
        <v/>
      </c>
      <c r="CN20" s="54" t="str">
        <f t="shared" si="18"/>
        <v xml:space="preserve">  </v>
      </c>
      <c r="CO20" s="41">
        <f t="shared" si="38"/>
        <v>43057</v>
      </c>
      <c r="CP20" s="42">
        <f t="shared" si="51"/>
        <v>43057</v>
      </c>
      <c r="CQ20" s="43" t="str">
        <f>IF(CP20="","",IF(ISERROR(MATCH(CP20,Lune!$A$1:$A$1000,0)),IF(WEEKDAY(CP20)=5,INT((CP20-DATE(YEAR(CP20),1,1))/7+1),IF(AND(WEEKDAY(CP20)=4,NOT( ISERROR(MATCH(CP20+1,Lune!$A$1:$A$1000,0)))),INT((CP20+1-DATE(YEAR(CP20+1),1,1))/7+1),"")),INDEX(Lune!$B$1:$B$1000,MATCH(CP20,Lune!$A$1:$A$1000,0),1)))</f>
        <v>●</v>
      </c>
      <c r="CR20" s="80" t="str">
        <f t="shared" ca="1" si="19"/>
        <v/>
      </c>
      <c r="CS20" s="54" t="str">
        <f ca="1">IF(ISERROR(VLOOKUP(CP20,anniversaire!$X$2:$Z$100,2,0)),"",VLOOKUP(CP20,anniversaire!$X$2:$Z$100,2,0))</f>
        <v/>
      </c>
      <c r="CT20" s="54" t="str">
        <f>IF(ISERROR(VLOOKUP(CP20,fête!$B$2:$C$367,2,0)),"",VLOOKUP(CP20,fête!$B$2:$C$367,2,0))</f>
        <v>Aude</v>
      </c>
      <c r="CU20" s="54" t="str">
        <f>IF(ISERROR(VLOOKUP(CP20,évènements!$A$3:$D$200,3,0)),"",VLOOKUP(CP20,évènements!$A$3:$D$200,3,0))</f>
        <v/>
      </c>
      <c r="CV20" s="54" t="str">
        <f>IF(ISERROR(VLOOKUP(CP20,évènements!$B$3:$D$200,2,0)),"",VLOOKUP(CP20,évènements!$B$3:$D$200,2,0))</f>
        <v/>
      </c>
      <c r="CW20" s="54" t="str">
        <f t="shared" si="20"/>
        <v xml:space="preserve">  </v>
      </c>
      <c r="CX20" s="41">
        <f t="shared" si="39"/>
        <v>43087</v>
      </c>
      <c r="CY20" s="42">
        <f t="shared" si="52"/>
        <v>43087</v>
      </c>
      <c r="CZ20" s="43" t="str">
        <f>IF(CY20="","",IF(ISERROR(MATCH(CY20,Lune!$A$1:$A$1000,0)),IF(WEEKDAY(CY20)=5,INT((CY20-DATE(YEAR(CY20),1,1))/7+1),IF(AND(WEEKDAY(CY20)=4,NOT( ISERROR(MATCH(CY20+1,Lune!$A$1:$A$1000,0)))),INT((CY20+1-DATE(YEAR(CY20+1),1,1))/7+1),"")),INDEX(Lune!$B$1:$B$1000,MATCH(CY20,Lune!$A$1:$A$1000,0),1)))</f>
        <v>●</v>
      </c>
      <c r="DA20" s="80" t="str">
        <f t="shared" ca="1" si="21"/>
        <v/>
      </c>
      <c r="DB20" s="54" t="str">
        <f ca="1">IF(ISERROR(VLOOKUP(CY20,anniversaire!$X$2:$Z$100,2,0)),"",VLOOKUP(CY20,anniversaire!$X$2:$Z$100,2,0))</f>
        <v/>
      </c>
      <c r="DC20" s="54" t="str">
        <f>IF(ISERROR(VLOOKUP(CY20,fête!$B$2:$C$367,2,0)),"",VLOOKUP(CY20,fête!$B$2:$C$367,2,0))</f>
        <v>Gatien</v>
      </c>
      <c r="DD20" s="54" t="str">
        <f>IF(ISERROR(VLOOKUP(CY20,évènements!$A$3:$D$200,3,0)),"",VLOOKUP(CY20,évènements!$A$3:$D$200,3,0))</f>
        <v/>
      </c>
      <c r="DE20" s="54" t="str">
        <f>IF(ISERROR(VLOOKUP(CY20,évènements!$B$3:$D$200,2,0)),"",VLOOKUP(CY20,évènements!$B$3:$D$200,2,0))</f>
        <v/>
      </c>
      <c r="DF20" s="54" t="str">
        <f t="shared" si="22"/>
        <v xml:space="preserve">  </v>
      </c>
      <c r="DG20" s="41">
        <f t="shared" si="40"/>
        <v>43118</v>
      </c>
      <c r="DH20" s="42">
        <f t="shared" si="53"/>
        <v>43118</v>
      </c>
      <c r="DI20" s="43">
        <f>IF(DH20="","",IF(ISERROR(MATCH(DH20,Lune!$A$1:$A$1000,0)),IF(WEEKDAY(DH20)=5,INT((DH20-DATE(YEAR(DH20),1,1))/7+1),IF(AND(WEEKDAY(DH20)=4,NOT( ISERROR(MATCH(DH20+1,Lune!$A$1:$A$1000,0)))),INT((DH20+1-DATE(YEAR(DH20+1),1,1))/7+1),"")),INDEX(Lune!$B$1:$B$1000,MATCH(DH20,Lune!$A$1:$A$1000,0),1)))</f>
        <v>3</v>
      </c>
      <c r="DJ20" s="89" t="str">
        <f t="shared" ca="1" si="23"/>
        <v/>
      </c>
      <c r="DK20" s="252" t="str">
        <f t="shared" ca="1" si="24"/>
        <v/>
      </c>
      <c r="DL20" s="252" t="str">
        <f t="shared" si="25"/>
        <v>Prisca</v>
      </c>
      <c r="DM20" s="252" t="str">
        <f>IF(ISERROR(VLOOKUP(DH20,évènements!$A$3:$D$200,3,0)),"",VLOOKUP(DH20,évènements!$A$3:$D$200,3,0))</f>
        <v/>
      </c>
      <c r="DN20" s="252" t="str">
        <f>IF(ISERROR(VLOOKUP(DH20,évènements!$B$3:$D$200,2,0)),"",VLOOKUP(DH20,évènements!$B$3:$D$200,2,0))</f>
        <v/>
      </c>
      <c r="DO20" s="252" t="str">
        <f t="shared" si="26"/>
        <v xml:space="preserve">  </v>
      </c>
    </row>
    <row r="21" spans="2:119" ht="15" customHeight="1">
      <c r="B21" s="29"/>
      <c r="C21" s="41">
        <f t="shared" si="27"/>
        <v>42754</v>
      </c>
      <c r="D21" s="40">
        <f t="shared" si="41"/>
        <v>42754</v>
      </c>
      <c r="E21" s="131" t="str">
        <f>IF(D21="","",IF(ISERROR(MATCH(D21,Lune!$A$1:$A$1000,0)),IF(WEEKDAY(D21)=5,INT((D21-DATE(YEAR(D21),1,1))/7+1),IF(AND(WEEKDAY(D21)=4,NOT( ISERROR(MATCH(D21+1,Lune!$A$1:$A$1000,0)))),INT((D21+1-DATE(YEAR(D21+1),1,1))/7+1),"")),INDEX(Lune!$B$1:$B$1000,MATCH(D21,Lune!$A$1:$A$1000,0),1)))</f>
        <v>◑</v>
      </c>
      <c r="F21" s="89" t="str">
        <f t="shared" ca="1" si="0"/>
        <v/>
      </c>
      <c r="G21" s="125" t="str">
        <f ca="1">IF(ISERROR(VLOOKUP(D21,anniversaire!$X$2:$Z$100,2,0)),"",VLOOKUP(D21,anniversaire!$X$2:$Z$100,2,0))</f>
        <v/>
      </c>
      <c r="H21" s="54" t="str">
        <f>IF(ISERROR(VLOOKUP(D21,fête!$B$2:$C$367,2,0)),"",VLOOKUP(D21,fête!$B$2:$C$367,2,0))</f>
        <v>Marius</v>
      </c>
      <c r="I21" s="239" t="str">
        <f>IF(ISERROR(VLOOKUP(D21,évènements!$A$3:$D$200,3,0)),"",VLOOKUP(D21,évènements!$A$3:$D$200,3,0))</f>
        <v/>
      </c>
      <c r="J21" s="239" t="str">
        <f>IF(ISERROR(VLOOKUP(D21,évènements!$B$3:$D$200,2,0)),"",VLOOKUP(D21,évènements!$B$3:$D$200,2,0))</f>
        <v/>
      </c>
      <c r="K21" s="239" t="str">
        <f t="shared" si="1"/>
        <v xml:space="preserve">  </v>
      </c>
      <c r="L21" s="41">
        <f t="shared" si="28"/>
        <v>42785</v>
      </c>
      <c r="M21" s="42">
        <f t="shared" si="42"/>
        <v>42785</v>
      </c>
      <c r="N21" s="131" t="str">
        <f>IF(M21="","",IF(ISERROR(MATCH(M21,Lune!$A$1:$A$1000,0)),IF(WEEKDAY(M21)=5,INT((M21-DATE(YEAR(M21),1,1))/7+1),IF(AND(WEEKDAY(M21)=4,NOT( ISERROR(MATCH(M21+1,Lune!$A$1:$A$1000,0)))),INT((M21+1-DATE(YEAR(M21+1),1,1))/7+1),"")),INDEX(Lune!$B$1:$B$1000,MATCH(M21,Lune!$A$1:$A$1000,0),1)))</f>
        <v/>
      </c>
      <c r="O21" s="80" t="str">
        <f t="shared" ca="1" si="54"/>
        <v/>
      </c>
      <c r="P21" s="54" t="str">
        <f ca="1">IF(ISERROR(VLOOKUP(M21,anniversaire!$X$2:$Z$100,2,0)),"",VLOOKUP(M21,anniversaire!$X$2:$Z$100,2,0))</f>
        <v/>
      </c>
      <c r="Q21" s="54" t="str">
        <f>IF(ISERROR(VLOOKUP(M21,fête!$B$2:$C$367,2,0)),"",VLOOKUP(M21,fête!$B$2:$C$367,2,0))</f>
        <v>Gabin</v>
      </c>
      <c r="R21" s="54" t="str">
        <f>IF(ISERROR(VLOOKUP(M21,évènements!$A$3:$D$200,3,0)),"",VLOOKUP(M21,évènements!$A$3:$D$200,3,0))</f>
        <v/>
      </c>
      <c r="S21" s="54" t="str">
        <f>IF(ISERROR(VLOOKUP(M21,évènements!$B$3:$D$200,2,0)),"",VLOOKUP(M21,évènements!$B$3:$D$200,2,0))</f>
        <v/>
      </c>
      <c r="T21" s="54" t="str">
        <f t="shared" si="3"/>
        <v xml:space="preserve">  </v>
      </c>
      <c r="U21" s="41">
        <f t="shared" si="29"/>
        <v>42813</v>
      </c>
      <c r="V21" s="42">
        <f t="shared" si="43"/>
        <v>42813</v>
      </c>
      <c r="W21" s="132" t="str">
        <f>IF(V21="","",IF(ISERROR(MATCH(V21,Lune!$A$1:$A$1000,0)),IF(WEEKDAY(V21)=5,INT((V21-DATE(YEAR(V21),1,1))/7+1),IF(AND(WEEKDAY(V21)=4,NOT( ISERROR(MATCH(V21+1,Lune!$A$1:$A$1000,0)))),INT((V21+1-DATE(YEAR(V21+1),1,1))/7+1),"")),INDEX(Lune!$B$1:$B$1000,MATCH(V21,Lune!$A$1:$A$1000,0),1)))</f>
        <v/>
      </c>
      <c r="X21" s="89" t="str">
        <f t="shared" ca="1" si="4"/>
        <v/>
      </c>
      <c r="Y21" s="125" t="str">
        <f ca="1">IF(ISERROR(VLOOKUP(V21,anniversaire!$X$2:$Z$100,2,0)),"",VLOOKUP(V21,anniversaire!$X$2:$Z$100,2,0))</f>
        <v/>
      </c>
      <c r="Z21" s="54" t="str">
        <f>IF(ISERROR(VLOOKUP(V21,fête!$B$2:$C$367,2,0)),"",VLOOKUP(V21,fête!$B$2:$C$367,2,0))</f>
        <v>Joseph</v>
      </c>
      <c r="AA21" s="54" t="str">
        <f>IF(ISERROR(VLOOKUP(V21,évènements!$A$3:$D$200,3,0)),"",VLOOKUP(V21,évènements!$A$3:$D$200,3,0))</f>
        <v/>
      </c>
      <c r="AB21" s="54" t="str">
        <f>IF(ISERROR(VLOOKUP(V21,évènements!$B$3:$D$200,2,0)),"",VLOOKUP(V21,évènements!$B$3:$D$200,2,0))</f>
        <v/>
      </c>
      <c r="AC21" s="54" t="str">
        <f t="shared" ref="AC21:AC33" si="57">CONCATENATE(AA21,"  ",AB21)</f>
        <v xml:space="preserve">  </v>
      </c>
      <c r="AD21" s="41">
        <f t="shared" si="30"/>
        <v>42844</v>
      </c>
      <c r="AE21" s="42">
        <f t="shared" si="44"/>
        <v>42844</v>
      </c>
      <c r="AF21" s="137" t="str">
        <f>IF(AE21="","",IF(ISERROR(MATCH(AE21,Lune!$A$1:$A$1000,0)),IF(WEEKDAY(AE21)=5,INT((AE21-DATE(YEAR(AE21),1,1))/7+1),IF(AND(WEEKDAY(AE21)=4,NOT( ISERROR(MATCH(AE21+1,Lune!$A$1:$A$1000,0)))),INT((AE21+1-DATE(YEAR(AE21+1),1,1))/7+1),"")),INDEX(Lune!$B$1:$B$1000,MATCH(AE21,Lune!$A$1:$A$1000,0),1)))</f>
        <v>◑</v>
      </c>
      <c r="AG21" s="80" t="str">
        <f t="shared" ca="1" si="6"/>
        <v/>
      </c>
      <c r="AH21" s="54" t="str">
        <f ca="1">IF(ISERROR(VLOOKUP(AE21,anniversaire!$X$2:$Z$100,2,0)),"",VLOOKUP(AE21,anniversaire!$X$2:$Z$100,2,0))</f>
        <v/>
      </c>
      <c r="AI21" s="54" t="str">
        <f>IF(ISERROR(VLOOKUP(AE21,fête!$B$2:$C$367,2,0)),"",VLOOKUP(AE21,fête!$B$2:$C$367,2,0))</f>
        <v>Emma</v>
      </c>
      <c r="AJ21" s="54" t="str">
        <f>IF(ISERROR(VLOOKUP(AE21,évènements!$A$3:$D$200,3,0)),"",VLOOKUP(AE21,évènements!$A$3:$D$200,3,0))</f>
        <v/>
      </c>
      <c r="AK21" s="54" t="str">
        <f>IF(ISERROR(VLOOKUP(AE21,évènements!$B$3:$D$200,2,0)),"",VLOOKUP(AE21,évènements!$B$3:$D$200,2,0))</f>
        <v/>
      </c>
      <c r="AL21" s="238" t="str">
        <f t="shared" si="55"/>
        <v xml:space="preserve">  </v>
      </c>
      <c r="AM21" s="41">
        <f t="shared" si="31"/>
        <v>42874</v>
      </c>
      <c r="AN21" s="42">
        <f t="shared" si="45"/>
        <v>42874</v>
      </c>
      <c r="AO21" s="43" t="str">
        <f>IF(AN21="","",IF(ISERROR(MATCH(AN21,Lune!$A$1:$A$1000,0)),IF(WEEKDAY(AN21)=5,INT((AN21-DATE(YEAR(AN21),1,1))/7+1),IF(AND(WEEKDAY(AN21)=4,NOT( ISERROR(MATCH(AN21+1,Lune!$A$1:$A$1000,0)))),INT((AN21+1-DATE(YEAR(AN21+1),1,1))/7+1),"")),INDEX(Lune!$B$1:$B$1000,MATCH(AN21,Lune!$A$1:$A$1000,0),1)))</f>
        <v>◑</v>
      </c>
      <c r="AP21" s="79" t="str">
        <f t="shared" ca="1" si="8"/>
        <v/>
      </c>
      <c r="AQ21" s="54" t="str">
        <f ca="1">IF(ISERROR(VLOOKUP(AN21,anniversaire!$X$2:$Z$100,2,0)),"",VLOOKUP(AN21,anniversaire!$X$2:$Z$100,2,0))</f>
        <v/>
      </c>
      <c r="AR21" s="54" t="str">
        <f>IF(ISERROR(VLOOKUP(AN21,fête!$B$2:$C$367,2,0)),"",VLOOKUP(AN21,fête!$B$2:$C$367,2,0))</f>
        <v>Yves</v>
      </c>
      <c r="AS21" s="238" t="str">
        <f>IF(ISERROR(VLOOKUP(AN21,évènements!$A$3:$D$200,3,0)),"",VLOOKUP(AN21,évènements!$A$3:$D$200,3,0))</f>
        <v/>
      </c>
      <c r="AT21" s="238" t="str">
        <f>IF(ISERROR(VLOOKUP(AN21,évènements!$B$3:$D$200,2,0)),"",VLOOKUP(AN21,évènements!$B$3:$D$200,2,0))</f>
        <v/>
      </c>
      <c r="AU21" s="238" t="str">
        <f t="shared" si="9"/>
        <v xml:space="preserve">  </v>
      </c>
      <c r="AV21" s="41">
        <f t="shared" si="32"/>
        <v>42905</v>
      </c>
      <c r="AW21" s="42">
        <f t="shared" si="46"/>
        <v>42905</v>
      </c>
      <c r="AX21" s="43" t="str">
        <f>IF(AW21="","",IF(ISERROR(MATCH(AW21,Lune!$A$1:$A$1000,0)),IF(WEEKDAY(AW21)=5,INT((AW21-DATE(YEAR(AW21),1,1))/7+1),IF(AND(WEEKDAY(AW21)=4,NOT( ISERROR(MATCH(AW21+1,Lune!$A$1:$A$1000,0)))),INT((AW21+1-DATE(YEAR(AW21+1),1,1))/7+1),"")),INDEX(Lune!$B$1:$B$1000,MATCH(AW21,Lune!$A$1:$A$1000,0),1)))</f>
        <v/>
      </c>
      <c r="AY21" s="79" t="str">
        <f t="shared" ca="1" si="10"/>
        <v/>
      </c>
      <c r="AZ21" s="54" t="str">
        <f ca="1">IF(ISERROR(VLOOKUP(AW21,anniversaire!$X$2:$Z$100,2,0)),"",VLOOKUP(AW21,anniversaire!$X$2:$Z$100,2,0))</f>
        <v/>
      </c>
      <c r="BA21" s="54" t="str">
        <f>IF(ISERROR(VLOOKUP(AW21,fête!$B$2:$C$367,2,0)),"",VLOOKUP(AW21,fête!$B$2:$C$367,2,0))</f>
        <v>Romuald</v>
      </c>
      <c r="BB21" s="54" t="str">
        <f>IF(ISERROR(VLOOKUP(AW21,évènements!$A$3:$D$200,3,0)),"",VLOOKUP(AW21,évènements!$A$3:$D$200,3,0))</f>
        <v/>
      </c>
      <c r="BC21" s="54" t="str">
        <f>IF(ISERROR(VLOOKUP(AW21,évènements!$B$3:$D$200,2,0)),"",VLOOKUP(AW21,évènements!$B$3:$D$200,2,0))</f>
        <v/>
      </c>
      <c r="BD21" s="54" t="str">
        <f t="shared" si="56"/>
        <v xml:space="preserve">  </v>
      </c>
      <c r="BE21" s="41">
        <f t="shared" si="33"/>
        <v>42935</v>
      </c>
      <c r="BF21" s="42">
        <f t="shared" si="47"/>
        <v>42935</v>
      </c>
      <c r="BG21" s="43" t="str">
        <f>IF(BF21="","",IF(ISERROR(MATCH(BF21,Lune!$A$1:$A$1000,0)),IF(WEEKDAY(BF21)=5,INT((BF21-DATE(YEAR(BF21),1,1))/7+1),IF(AND(WEEKDAY(BF21)=4,NOT( ISERROR(MATCH(BF21+1,Lune!$A$1:$A$1000,0)))),INT((BF21+1-DATE(YEAR(BF21+1),1,1))/7+1),"")),INDEX(Lune!$B$1:$B$1000,MATCH(BF21,Lune!$A$1:$A$1000,0),1)))</f>
        <v/>
      </c>
      <c r="BH21" s="80" t="str">
        <f t="shared" ca="1" si="12"/>
        <v/>
      </c>
      <c r="BI21" s="54" t="str">
        <f ca="1">IF(ISERROR(VLOOKUP(BF21,anniversaire!$X$2:$Z$100,2,0)),"",VLOOKUP(BF21,anniversaire!$X$2:$Z$100,2,0))</f>
        <v/>
      </c>
      <c r="BJ21" s="54" t="str">
        <f>IF(ISERROR(VLOOKUP(BF21,fête!$B$2:$C$367,2,0)),"",VLOOKUP(BF21,fête!$B$2:$C$367,2,0))</f>
        <v>Arsène</v>
      </c>
      <c r="BK21" s="54" t="str">
        <f>IF(ISERROR(VLOOKUP(BF21,évènements!$A$3:$D$200,3,0)),"",VLOOKUP(BF21,évènements!$A$3:$D$200,3,0))</f>
        <v/>
      </c>
      <c r="BL21" s="54" t="str">
        <f>IF(ISERROR(VLOOKUP(BF21,évènements!$B$3:$D$200,2,0)),"",VLOOKUP(BF21,évènements!$B$3:$D$200,2,0))</f>
        <v/>
      </c>
      <c r="BM21" s="54" t="str">
        <f t="shared" si="34"/>
        <v xml:space="preserve">  </v>
      </c>
      <c r="BN21" s="41">
        <f t="shared" si="35"/>
        <v>42966</v>
      </c>
      <c r="BO21" s="42">
        <f t="shared" si="48"/>
        <v>42966</v>
      </c>
      <c r="BP21" s="43" t="str">
        <f>IF(BO21="","",IF(ISERROR(MATCH(BO21,Lune!$A$1:$A$1000,0)),IF(WEEKDAY(BO21)=5,INT((BO21-DATE(YEAR(BO21),1,1))/7+1),IF(AND(WEEKDAY(BO21)=4,NOT( ISERROR(MATCH(BO21+1,Lune!$A$1:$A$1000,0)))),INT((BO21+1-DATE(YEAR(BO21+1),1,1))/7+1),"")),INDEX(Lune!$B$1:$B$1000,MATCH(BO21,Lune!$A$1:$A$1000,0),1)))</f>
        <v/>
      </c>
      <c r="BQ21" s="80" t="str">
        <f t="shared" ca="1" si="13"/>
        <v/>
      </c>
      <c r="BR21" s="54" t="str">
        <f ca="1">IF(ISERROR(VLOOKUP(BO21,anniversaire!$X$2:$Z$100,2,0)),"",VLOOKUP(BO21,anniversaire!$X$2:$Z$100,2,0))</f>
        <v/>
      </c>
      <c r="BS21" s="54" t="str">
        <f>IF(ISERROR(VLOOKUP(BO21,fête!$B$2:$C$367,2,0)),"",VLOOKUP(BO21,fête!$B$2:$C$367,2,0))</f>
        <v>Jean-Eudes</v>
      </c>
      <c r="BT21" s="54" t="str">
        <f>IF(ISERROR(VLOOKUP(BO21,évènements!$A$3:$D$200,3,0)),"",VLOOKUP(BO21,évènements!$A$3:$D$200,3,0))</f>
        <v/>
      </c>
      <c r="BU21" s="54" t="str">
        <f>IF(ISERROR(VLOOKUP(BO21,évènements!$B$3:$D$200,2,0)),"",VLOOKUP(BO21,évènements!$B$3:$D$200,2,0))</f>
        <v/>
      </c>
      <c r="BV21" s="54" t="str">
        <f t="shared" si="14"/>
        <v xml:space="preserve">  </v>
      </c>
      <c r="BW21" s="41">
        <f t="shared" si="36"/>
        <v>42997</v>
      </c>
      <c r="BX21" s="42">
        <f t="shared" si="49"/>
        <v>42997</v>
      </c>
      <c r="BY21" s="43" t="str">
        <f>IF(BX21="","",IF(ISERROR(MATCH(BX21,Lune!$A$1:$A$1000,0)),IF(WEEKDAY(BX21)=5,INT((BX21-DATE(YEAR(BX21),1,1))/7+1),IF(AND(WEEKDAY(BX21)=4,NOT( ISERROR(MATCH(BX21+1,Lune!$A$1:$A$1000,0)))),INT((BX21+1-DATE(YEAR(BX21+1),1,1))/7+1),"")),INDEX(Lune!$B$1:$B$1000,MATCH(BX21,Lune!$A$1:$A$1000,0),1)))</f>
        <v/>
      </c>
      <c r="BZ21" s="80" t="str">
        <f t="shared" ca="1" si="15"/>
        <v/>
      </c>
      <c r="CA21" s="54" t="str">
        <f ca="1">IF(ISERROR(VLOOKUP(BX21,anniversaire!$X$2:$Z$100,2,0)),"",VLOOKUP(BX21,anniversaire!$X$2:$Z$100,2,0))</f>
        <v/>
      </c>
      <c r="CB21" s="54" t="str">
        <f>IF(ISERROR(VLOOKUP(BX21,fête!$B$2:$C$367,2,0)),"",VLOOKUP(BX21,fête!$B$2:$C$367,2,0))</f>
        <v>Emilie</v>
      </c>
      <c r="CC21" s="54" t="str">
        <f>IF(ISERROR(VLOOKUP(BX21,évènements!$A$3:$D$200,3,0)),"",VLOOKUP(BX21,évènements!$A$3:$D$200,3,0))</f>
        <v/>
      </c>
      <c r="CD21" s="54" t="str">
        <f>IF(ISERROR(VLOOKUP(BX21,évènements!$B$3:$D$200,2,0)),"",VLOOKUP(BX21,évènements!$B$3:$D$200,2,0))</f>
        <v/>
      </c>
      <c r="CE21" s="54" t="str">
        <f t="shared" si="16"/>
        <v xml:space="preserve">  </v>
      </c>
      <c r="CF21" s="41">
        <f t="shared" si="37"/>
        <v>43027</v>
      </c>
      <c r="CG21" s="42">
        <f t="shared" si="50"/>
        <v>43027</v>
      </c>
      <c r="CH21" s="43" t="str">
        <f>IF(CG21="","",IF(ISERROR(MATCH(CG21,Lune!$A$1:$A$1000,0)),IF(WEEKDAY(CG21)=5,INT((CG21-DATE(YEAR(CG21),1,1))/7+1),IF(AND(WEEKDAY(CG21)=4,NOT( ISERROR(MATCH(CG21+1,Lune!$A$1:$A$1000,0)))),INT((CG21+1-DATE(YEAR(CG21+1),1,1))/7+1),"")),INDEX(Lune!$B$1:$B$1000,MATCH(CG21,Lune!$A$1:$A$1000,0),1)))</f>
        <v>●</v>
      </c>
      <c r="CI21" s="80" t="str">
        <f t="shared" ca="1" si="17"/>
        <v/>
      </c>
      <c r="CJ21" s="54" t="str">
        <f ca="1">IF(ISERROR(VLOOKUP(CG21,anniversaire!$X$2:$Z$100,2,0)),"",VLOOKUP(CG21,anniversaire!$X$2:$Z$100,2,0))</f>
        <v/>
      </c>
      <c r="CK21" s="54" t="str">
        <f>IF(ISERROR(VLOOKUP(CG21,fête!$B$2:$C$367,2,0)),"",VLOOKUP(CG21,fête!$B$2:$C$367,2,0))</f>
        <v>René</v>
      </c>
      <c r="CL21" s="54" t="str">
        <f>IF(ISERROR(VLOOKUP(CG21,évènements!$A$3:$D$200,3,0)),"",VLOOKUP(CG21,évènements!$A$3:$D$200,3,0))</f>
        <v/>
      </c>
      <c r="CM21" s="54" t="str">
        <f>IF(ISERROR(VLOOKUP(CG21,évènements!$B$3:$D$200,2,0)),"",VLOOKUP(CG21,évènements!$B$3:$D$200,2,0))</f>
        <v/>
      </c>
      <c r="CN21" s="54" t="str">
        <f t="shared" si="18"/>
        <v xml:space="preserve">  </v>
      </c>
      <c r="CO21" s="41">
        <f t="shared" si="38"/>
        <v>43058</v>
      </c>
      <c r="CP21" s="42">
        <f t="shared" si="51"/>
        <v>43058</v>
      </c>
      <c r="CQ21" s="43" t="str">
        <f>IF(CP21="","",IF(ISERROR(MATCH(CP21,Lune!$A$1:$A$1000,0)),IF(WEEKDAY(CP21)=5,INT((CP21-DATE(YEAR(CP21),1,1))/7+1),IF(AND(WEEKDAY(CP21)=4,NOT( ISERROR(MATCH(CP21+1,Lune!$A$1:$A$1000,0)))),INT((CP21+1-DATE(YEAR(CP21+1),1,1))/7+1),"")),INDEX(Lune!$B$1:$B$1000,MATCH(CP21,Lune!$A$1:$A$1000,0),1)))</f>
        <v/>
      </c>
      <c r="CR21" s="80" t="str">
        <f t="shared" ca="1" si="19"/>
        <v/>
      </c>
      <c r="CS21" s="54" t="str">
        <f ca="1">IF(ISERROR(VLOOKUP(CP21,anniversaire!$X$2:$Z$100,2,0)),"",VLOOKUP(CP21,anniversaire!$X$2:$Z$100,2,0))</f>
        <v/>
      </c>
      <c r="CT21" s="54" t="str">
        <f>IF(ISERROR(VLOOKUP(CP21,fête!$B$2:$C$367,2,0)),"",VLOOKUP(CP21,fête!$B$2:$C$367,2,0))</f>
        <v>Tanguy</v>
      </c>
      <c r="CU21" s="54" t="str">
        <f>IF(ISERROR(VLOOKUP(CP21,évènements!$A$3:$D$200,3,0)),"",VLOOKUP(CP21,évènements!$A$3:$D$200,3,0))</f>
        <v/>
      </c>
      <c r="CV21" s="54" t="str">
        <f>IF(ISERROR(VLOOKUP(CP21,évènements!$B$3:$D$200,2,0)),"",VLOOKUP(CP21,évènements!$B$3:$D$200,2,0))</f>
        <v/>
      </c>
      <c r="CW21" s="54" t="str">
        <f t="shared" si="20"/>
        <v xml:space="preserve">  </v>
      </c>
      <c r="CX21" s="41">
        <f t="shared" si="39"/>
        <v>43088</v>
      </c>
      <c r="CY21" s="42">
        <f t="shared" si="52"/>
        <v>43088</v>
      </c>
      <c r="CZ21" s="43" t="str">
        <f>IF(CY21="","",IF(ISERROR(MATCH(CY21,Lune!$A$1:$A$1000,0)),IF(WEEKDAY(CY21)=5,INT((CY21-DATE(YEAR(CY21),1,1))/7+1),IF(AND(WEEKDAY(CY21)=4,NOT( ISERROR(MATCH(CY21+1,Lune!$A$1:$A$1000,0)))),INT((CY21+1-DATE(YEAR(CY21+1),1,1))/7+1),"")),INDEX(Lune!$B$1:$B$1000,MATCH(CY21,Lune!$A$1:$A$1000,0),1)))</f>
        <v/>
      </c>
      <c r="DA21" s="80" t="str">
        <f t="shared" ca="1" si="21"/>
        <v/>
      </c>
      <c r="DB21" s="54" t="str">
        <f ca="1">IF(ISERROR(VLOOKUP(CY21,anniversaire!$X$2:$Z$100,2,0)),"",VLOOKUP(CY21,anniversaire!$X$2:$Z$100,2,0))</f>
        <v/>
      </c>
      <c r="DC21" s="54" t="str">
        <f>IF(ISERROR(VLOOKUP(CY21,fête!$B$2:$C$367,2,0)),"",VLOOKUP(CY21,fête!$B$2:$C$367,2,0))</f>
        <v>Urbain</v>
      </c>
      <c r="DD21" s="54" t="str">
        <f>IF(ISERROR(VLOOKUP(CY21,évènements!$A$3:$D$200,3,0)),"",VLOOKUP(CY21,évènements!$A$3:$D$200,3,0))</f>
        <v/>
      </c>
      <c r="DE21" s="54" t="str">
        <f>IF(ISERROR(VLOOKUP(CY21,évènements!$B$3:$D$200,2,0)),"",VLOOKUP(CY21,évènements!$B$3:$D$200,2,0))</f>
        <v/>
      </c>
      <c r="DF21" s="54" t="str">
        <f t="shared" si="22"/>
        <v xml:space="preserve">  </v>
      </c>
      <c r="DG21" s="41">
        <f t="shared" si="40"/>
        <v>43119</v>
      </c>
      <c r="DH21" s="42">
        <f t="shared" si="53"/>
        <v>43119</v>
      </c>
      <c r="DI21" s="43" t="str">
        <f>IF(DH21="","",IF(ISERROR(MATCH(DH21,Lune!$A$1:$A$1000,0)),IF(WEEKDAY(DH21)=5,INT((DH21-DATE(YEAR(DH21),1,1))/7+1),IF(AND(WEEKDAY(DH21)=4,NOT( ISERROR(MATCH(DH21+1,Lune!$A$1:$A$1000,0)))),INT((DH21+1-DATE(YEAR(DH21+1),1,1))/7+1),"")),INDEX(Lune!$B$1:$B$1000,MATCH(DH21,Lune!$A$1:$A$1000,0),1)))</f>
        <v/>
      </c>
      <c r="DJ21" s="89" t="str">
        <f t="shared" ca="1" si="23"/>
        <v/>
      </c>
      <c r="DK21" s="252" t="str">
        <f t="shared" ca="1" si="24"/>
        <v/>
      </c>
      <c r="DL21" s="252" t="str">
        <f t="shared" si="25"/>
        <v>Marius</v>
      </c>
      <c r="DM21" s="252" t="str">
        <f>IF(ISERROR(VLOOKUP(DH21,évènements!$A$3:$D$200,3,0)),"",VLOOKUP(DH21,évènements!$A$3:$D$200,3,0))</f>
        <v/>
      </c>
      <c r="DN21" s="252" t="str">
        <f>IF(ISERROR(VLOOKUP(DH21,évènements!$B$3:$D$200,2,0)),"",VLOOKUP(DH21,évènements!$B$3:$D$200,2,0))</f>
        <v/>
      </c>
      <c r="DO21" s="252" t="str">
        <f t="shared" si="26"/>
        <v xml:space="preserve">  </v>
      </c>
    </row>
    <row r="22" spans="2:119" ht="15" customHeight="1">
      <c r="B22" s="29"/>
      <c r="C22" s="41">
        <f t="shared" si="27"/>
        <v>42755</v>
      </c>
      <c r="D22" s="40">
        <f t="shared" si="41"/>
        <v>42755</v>
      </c>
      <c r="E22" s="131" t="str">
        <f>IF(D22="","",IF(ISERROR(MATCH(D22,Lune!$A$1:$A$1000,0)),IF(WEEKDAY(D22)=5,INT((D22-DATE(YEAR(D22),1,1))/7+1),IF(AND(WEEKDAY(D22)=4,NOT( ISERROR(MATCH(D22+1,Lune!$A$1:$A$1000,0)))),INT((D22+1-DATE(YEAR(D22+1),1,1))/7+1),"")),INDEX(Lune!$B$1:$B$1000,MATCH(D22,Lune!$A$1:$A$1000,0),1)))</f>
        <v/>
      </c>
      <c r="F22" s="89" t="str">
        <f t="shared" ca="1" si="0"/>
        <v/>
      </c>
      <c r="G22" s="125" t="str">
        <f ca="1">IF(ISERROR(VLOOKUP(D22,anniversaire!$X$2:$Z$100,2,0)),"",VLOOKUP(D22,anniversaire!$X$2:$Z$100,2,0))</f>
        <v/>
      </c>
      <c r="H22" s="54" t="str">
        <f>IF(ISERROR(VLOOKUP(D22,fête!$B$2:$C$367,2,0)),"",VLOOKUP(D22,fête!$B$2:$C$367,2,0))</f>
        <v>Sébastien</v>
      </c>
      <c r="I22" s="239" t="str">
        <f>IF(ISERROR(VLOOKUP(D22,évènements!$A$3:$D$200,3,0)),"",VLOOKUP(D22,évènements!$A$3:$D$200,3,0))</f>
        <v/>
      </c>
      <c r="J22" s="239" t="str">
        <f>IF(ISERROR(VLOOKUP(D22,évènements!$B$3:$D$200,2,0)),"",VLOOKUP(D22,évènements!$B$3:$D$200,2,0))</f>
        <v/>
      </c>
      <c r="K22" s="239" t="str">
        <f>CONCATENATE(I22,"  ",J22)</f>
        <v xml:space="preserve">  </v>
      </c>
      <c r="L22" s="41">
        <f t="shared" si="28"/>
        <v>42786</v>
      </c>
      <c r="M22" s="42">
        <f t="shared" si="42"/>
        <v>42786</v>
      </c>
      <c r="N22" s="131" t="str">
        <f>IF(M22="","",IF(ISERROR(MATCH(M22,Lune!$A$1:$A$1000,0)),IF(WEEKDAY(M22)=5,INT((M22-DATE(YEAR(M22),1,1))/7+1),IF(AND(WEEKDAY(M22)=4,NOT( ISERROR(MATCH(M22+1,Lune!$A$1:$A$1000,0)))),INT((M22+1-DATE(YEAR(M22+1),1,1))/7+1),"")),INDEX(Lune!$B$1:$B$1000,MATCH(M22,Lune!$A$1:$A$1000,0),1)))</f>
        <v/>
      </c>
      <c r="O22" s="80" t="str">
        <f t="shared" ca="1" si="54"/>
        <v/>
      </c>
      <c r="P22" s="54" t="str">
        <f ca="1">IF(ISERROR(VLOOKUP(M22,anniversaire!$X$2:$Z$100,2,0)),"",VLOOKUP(M22,anniversaire!$X$2:$Z$100,2,0))</f>
        <v/>
      </c>
      <c r="Q22" s="54" t="str">
        <f>IF(ISERROR(VLOOKUP(M22,fête!$B$2:$C$367,2,0)),"",VLOOKUP(M22,fête!$B$2:$C$367,2,0))</f>
        <v>Aimée</v>
      </c>
      <c r="R22" s="54" t="str">
        <f>IF(ISERROR(VLOOKUP(M22,évènements!$A$3:$D$200,3,0)),"",VLOOKUP(M22,évènements!$A$3:$D$200,3,0))</f>
        <v>ROLOT</v>
      </c>
      <c r="S22" s="54" t="str">
        <f>IF(ISERROR(VLOOKUP(M22,évènements!$B$3:$D$200,2,0)),"",VLOOKUP(M22,évènements!$B$3:$D$200,2,0))</f>
        <v/>
      </c>
      <c r="T22" s="54" t="str">
        <f t="shared" si="3"/>
        <v xml:space="preserve">ROLOT  </v>
      </c>
      <c r="U22" s="41">
        <f t="shared" si="29"/>
        <v>42814</v>
      </c>
      <c r="V22" s="42">
        <f t="shared" si="43"/>
        <v>42814</v>
      </c>
      <c r="W22" s="132" t="str">
        <f>IF(V22="","",IF(ISERROR(MATCH(V22,Lune!$A$1:$A$1000,0)),IF(WEEKDAY(V22)=5,INT((V22-DATE(YEAR(V22),1,1))/7+1),IF(AND(WEEKDAY(V22)=4,NOT( ISERROR(MATCH(V22+1,Lune!$A$1:$A$1000,0)))),INT((V22+1-DATE(YEAR(V22+1),1,1))/7+1),"")),INDEX(Lune!$B$1:$B$1000,MATCH(V22,Lune!$A$1:$A$1000,0),1)))</f>
        <v>◑</v>
      </c>
      <c r="X22" s="89" t="str">
        <f t="shared" ca="1" si="4"/>
        <v xml:space="preserve"> '</v>
      </c>
      <c r="Y22" s="125" t="str">
        <f ca="1">IF(ISERROR(VLOOKUP(V22,anniversaire!$X$2:$Z$100,2,0)),"",VLOOKUP(V22,anniversaire!$X$2:$Z$100,2,0))</f>
        <v>malandin  yoann    37</v>
      </c>
      <c r="Z22" s="54" t="str">
        <f>IF(ISERROR(VLOOKUP(V22,fête!$B$2:$C$367,2,0)),"",VLOOKUP(V22,fête!$B$2:$C$367,2,0))</f>
        <v>Printemps/Rameaux</v>
      </c>
      <c r="AA22" s="54" t="str">
        <f>IF(ISERROR(VLOOKUP(V22,évènements!$A$3:$D$200,3,0)),"",VLOOKUP(V22,évènements!$A$3:$D$200,3,0))</f>
        <v/>
      </c>
      <c r="AB22" s="54" t="str">
        <f>IF(ISERROR(VLOOKUP(V22,évènements!$B$3:$D$200,2,0)),"",VLOOKUP(V22,évènements!$B$3:$D$200,2,0))</f>
        <v/>
      </c>
      <c r="AC22" s="54" t="str">
        <f t="shared" si="57"/>
        <v xml:space="preserve">  </v>
      </c>
      <c r="AD22" s="41">
        <f t="shared" si="30"/>
        <v>42845</v>
      </c>
      <c r="AE22" s="42">
        <f t="shared" si="44"/>
        <v>42845</v>
      </c>
      <c r="AF22" s="137">
        <f>IF(AE22="","",IF(ISERROR(MATCH(AE22,Lune!$A$1:$A$1000,0)),IF(WEEKDAY(AE22)=5,INT((AE22-DATE(YEAR(AE22),1,1))/7+1),IF(AND(WEEKDAY(AE22)=4,NOT( ISERROR(MATCH(AE22+1,Lune!$A$1:$A$1000,0)))),INT((AE22+1-DATE(YEAR(AE22+1),1,1))/7+1),"")),INDEX(Lune!$B$1:$B$1000,MATCH(AE22,Lune!$A$1:$A$1000,0),1)))</f>
        <v>16</v>
      </c>
      <c r="AG22" s="80" t="str">
        <f t="shared" ca="1" si="6"/>
        <v/>
      </c>
      <c r="AH22" s="54" t="str">
        <f ca="1">IF(ISERROR(VLOOKUP(AE22,anniversaire!$X$2:$Z$100,2,0)),"",VLOOKUP(AE22,anniversaire!$X$2:$Z$100,2,0))</f>
        <v/>
      </c>
      <c r="AI22" s="54" t="str">
        <f>IF(ISERROR(VLOOKUP(AE22,fête!$B$2:$C$367,2,0)),"",VLOOKUP(AE22,fête!$B$2:$C$367,2,0))</f>
        <v>Odette</v>
      </c>
      <c r="AJ22" s="54" t="str">
        <f>IF(ISERROR(VLOOKUP(AE22,évènements!$A$3:$D$200,3,0)),"",VLOOKUP(AE22,évènements!$A$3:$D$200,3,0))</f>
        <v/>
      </c>
      <c r="AK22" s="54" t="str">
        <f>IF(ISERROR(VLOOKUP(AE22,évènements!$B$3:$D$200,2,0)),"",VLOOKUP(AE22,évènements!$B$3:$D$200,2,0))</f>
        <v/>
      </c>
      <c r="AL22" s="238" t="str">
        <f t="shared" si="55"/>
        <v xml:space="preserve">  </v>
      </c>
      <c r="AM22" s="41">
        <f t="shared" si="31"/>
        <v>42875</v>
      </c>
      <c r="AN22" s="42">
        <f t="shared" si="45"/>
        <v>42875</v>
      </c>
      <c r="AO22" s="43" t="str">
        <f>IF(AN22="","",IF(ISERROR(MATCH(AN22,Lune!$A$1:$A$1000,0)),IF(WEEKDAY(AN22)=5,INT((AN22-DATE(YEAR(AN22),1,1))/7+1),IF(AND(WEEKDAY(AN22)=4,NOT( ISERROR(MATCH(AN22+1,Lune!$A$1:$A$1000,0)))),INT((AN22+1-DATE(YEAR(AN22+1),1,1))/7+1),"")),INDEX(Lune!$B$1:$B$1000,MATCH(AN22,Lune!$A$1:$A$1000,0),1)))</f>
        <v/>
      </c>
      <c r="AP22" s="79" t="str">
        <f t="shared" ca="1" si="8"/>
        <v/>
      </c>
      <c r="AQ22" s="54" t="str">
        <f ca="1">IF(ISERROR(VLOOKUP(AN22,anniversaire!$X$2:$Z$100,2,0)),"",VLOOKUP(AN22,anniversaire!$X$2:$Z$100,2,0))</f>
        <v/>
      </c>
      <c r="AR22" s="54" t="str">
        <f>IF(ISERROR(VLOOKUP(AN22,fête!$B$2:$C$367,2,0)),"",VLOOKUP(AN22,fête!$B$2:$C$367,2,0))</f>
        <v>Bernardin</v>
      </c>
      <c r="AS22" s="238" t="str">
        <f>IF(ISERROR(VLOOKUP(AN22,évènements!$A$3:$D$200,3,0)),"",VLOOKUP(AN22,évènements!$A$3:$D$200,3,0))</f>
        <v>guinguette ??</v>
      </c>
      <c r="AT22" s="238" t="str">
        <f>IF(ISERROR(VLOOKUP(AN22,évènements!$B$3:$D$200,2,0)),"",VLOOKUP(AN22,évènements!$B$3:$D$200,2,0))</f>
        <v/>
      </c>
      <c r="AU22" s="238" t="str">
        <f t="shared" si="9"/>
        <v xml:space="preserve">guinguette ??  </v>
      </c>
      <c r="AV22" s="41">
        <f t="shared" si="32"/>
        <v>42906</v>
      </c>
      <c r="AW22" s="42">
        <f t="shared" si="46"/>
        <v>42906</v>
      </c>
      <c r="AX22" s="43" t="str">
        <f>IF(AW22="","",IF(ISERROR(MATCH(AW22,Lune!$A$1:$A$1000,0)),IF(WEEKDAY(AW22)=5,INT((AW22-DATE(YEAR(AW22),1,1))/7+1),IF(AND(WEEKDAY(AW22)=4,NOT( ISERROR(MATCH(AW22+1,Lune!$A$1:$A$1000,0)))),INT((AW22+1-DATE(YEAR(AW22+1),1,1))/7+1),"")),INDEX(Lune!$B$1:$B$1000,MATCH(AW22,Lune!$A$1:$A$1000,0),1)))</f>
        <v/>
      </c>
      <c r="AY22" s="79" t="str">
        <f t="shared" ca="1" si="10"/>
        <v/>
      </c>
      <c r="AZ22" s="54" t="str">
        <f ca="1">IF(ISERROR(VLOOKUP(AW22,anniversaire!$X$2:$Z$100,2,0)),"",VLOOKUP(AW22,anniversaire!$X$2:$Z$100,2,0))</f>
        <v/>
      </c>
      <c r="BA22" s="54" t="str">
        <f>IF(ISERROR(VLOOKUP(AW22,fête!$B$2:$C$367,2,0)),"",VLOOKUP(AW22,fête!$B$2:$C$367,2,0))</f>
        <v>Silvère</v>
      </c>
      <c r="BB22" s="54" t="str">
        <f>IF(ISERROR(VLOOKUP(AW22,évènements!$A$3:$D$200,3,0)),"",VLOOKUP(AW22,évènements!$A$3:$D$200,3,0))</f>
        <v/>
      </c>
      <c r="BC22" s="54" t="str">
        <f>IF(ISERROR(VLOOKUP(AW22,évènements!$B$3:$D$200,2,0)),"",VLOOKUP(AW22,évènements!$B$3:$D$200,2,0))</f>
        <v/>
      </c>
      <c r="BD22" s="54" t="str">
        <f t="shared" si="56"/>
        <v xml:space="preserve">  </v>
      </c>
      <c r="BE22" s="41">
        <f t="shared" si="33"/>
        <v>42936</v>
      </c>
      <c r="BF22" s="42">
        <f t="shared" si="47"/>
        <v>42936</v>
      </c>
      <c r="BG22" s="43">
        <f>IF(BF22="","",IF(ISERROR(MATCH(BF22,Lune!$A$1:$A$1000,0)),IF(WEEKDAY(BF22)=5,INT((BF22-DATE(YEAR(BF22),1,1))/7+1),IF(AND(WEEKDAY(BF22)=4,NOT( ISERROR(MATCH(BF22+1,Lune!$A$1:$A$1000,0)))),INT((BF22+1-DATE(YEAR(BF22+1),1,1))/7+1),"")),INDEX(Lune!$B$1:$B$1000,MATCH(BF22,Lune!$A$1:$A$1000,0),1)))</f>
        <v>29</v>
      </c>
      <c r="BH22" s="80" t="str">
        <f t="shared" ca="1" si="12"/>
        <v/>
      </c>
      <c r="BI22" s="54" t="str">
        <f ca="1">IF(ISERROR(VLOOKUP(BF22,anniversaire!$X$2:$Z$100,2,0)),"",VLOOKUP(BF22,anniversaire!$X$2:$Z$100,2,0))</f>
        <v/>
      </c>
      <c r="BJ22" s="54" t="str">
        <f>IF(ISERROR(VLOOKUP(BF22,fête!$B$2:$C$367,2,0)),"",VLOOKUP(BF22,fête!$B$2:$C$367,2,0))</f>
        <v>Marina</v>
      </c>
      <c r="BK22" s="54" t="str">
        <f>IF(ISERROR(VLOOKUP(BF22,évènements!$A$3:$D$200,3,0)),"",VLOOKUP(BF22,évènements!$A$3:$D$200,3,0))</f>
        <v/>
      </c>
      <c r="BL22" s="54" t="str">
        <f>IF(ISERROR(VLOOKUP(BF22,évènements!$B$3:$D$200,2,0)),"",VLOOKUP(BF22,évènements!$B$3:$D$200,2,0))</f>
        <v/>
      </c>
      <c r="BM22" s="54" t="str">
        <f t="shared" si="34"/>
        <v xml:space="preserve">  </v>
      </c>
      <c r="BN22" s="41">
        <f t="shared" si="35"/>
        <v>42967</v>
      </c>
      <c r="BO22" s="42">
        <f t="shared" si="48"/>
        <v>42967</v>
      </c>
      <c r="BP22" s="43" t="str">
        <f>IF(BO22="","",IF(ISERROR(MATCH(BO22,Lune!$A$1:$A$1000,0)),IF(WEEKDAY(BO22)=5,INT((BO22-DATE(YEAR(BO22),1,1))/7+1),IF(AND(WEEKDAY(BO22)=4,NOT( ISERROR(MATCH(BO22+1,Lune!$A$1:$A$1000,0)))),INT((BO22+1-DATE(YEAR(BO22+1),1,1))/7+1),"")),INDEX(Lune!$B$1:$B$1000,MATCH(BO22,Lune!$A$1:$A$1000,0),1)))</f>
        <v/>
      </c>
      <c r="BQ22" s="80" t="str">
        <f t="shared" ca="1" si="13"/>
        <v/>
      </c>
      <c r="BR22" s="54" t="str">
        <f ca="1">IF(ISERROR(VLOOKUP(BO22,anniversaire!$X$2:$Z$100,2,0)),"",VLOOKUP(BO22,anniversaire!$X$2:$Z$100,2,0))</f>
        <v/>
      </c>
      <c r="BS22" s="54" t="str">
        <f>IF(ISERROR(VLOOKUP(BO22,fête!$B$2:$C$367,2,0)),"",VLOOKUP(BO22,fête!$B$2:$C$367,2,0))</f>
        <v>Bernard</v>
      </c>
      <c r="BT22" s="54" t="str">
        <f>IF(ISERROR(VLOOKUP(BO22,évènements!$A$3:$D$200,3,0)),"",VLOOKUP(BO22,évènements!$A$3:$D$200,3,0))</f>
        <v/>
      </c>
      <c r="BU22" s="54" t="str">
        <f>IF(ISERROR(VLOOKUP(BO22,évènements!$B$3:$D$200,2,0)),"",VLOOKUP(BO22,évènements!$B$3:$D$200,2,0))</f>
        <v/>
      </c>
      <c r="BV22" s="54" t="str">
        <f t="shared" si="14"/>
        <v xml:space="preserve">  </v>
      </c>
      <c r="BW22" s="41">
        <f t="shared" si="36"/>
        <v>42998</v>
      </c>
      <c r="BX22" s="42">
        <f t="shared" si="49"/>
        <v>42998</v>
      </c>
      <c r="BY22" s="43" t="str">
        <f>IF(BX22="","",IF(ISERROR(MATCH(BX22,Lune!$A$1:$A$1000,0)),IF(WEEKDAY(BX22)=5,INT((BX22-DATE(YEAR(BX22),1,1))/7+1),IF(AND(WEEKDAY(BX22)=4,NOT( ISERROR(MATCH(BX22+1,Lune!$A$1:$A$1000,0)))),INT((BX22+1-DATE(YEAR(BX22+1),1,1))/7+1),"")),INDEX(Lune!$B$1:$B$1000,MATCH(BX22,Lune!$A$1:$A$1000,0),1)))</f>
        <v>●</v>
      </c>
      <c r="BZ22" s="80" t="str">
        <f t="shared" ca="1" si="15"/>
        <v/>
      </c>
      <c r="CA22" s="54" t="str">
        <f ca="1">IF(ISERROR(VLOOKUP(BX22,anniversaire!$X$2:$Z$100,2,0)),"",VLOOKUP(BX22,anniversaire!$X$2:$Z$100,2,0))</f>
        <v/>
      </c>
      <c r="CB22" s="54" t="str">
        <f>IF(ISERROR(VLOOKUP(BX22,fête!$B$2:$C$367,2,0)),"",VLOOKUP(BX22,fête!$B$2:$C$367,2,0))</f>
        <v>Davy</v>
      </c>
      <c r="CC22" s="54" t="str">
        <f>IF(ISERROR(VLOOKUP(BX22,évènements!$A$3:$D$200,3,0)),"",VLOOKUP(BX22,évènements!$A$3:$D$200,3,0))</f>
        <v/>
      </c>
      <c r="CD22" s="54" t="str">
        <f>IF(ISERROR(VLOOKUP(BX22,évènements!$B$3:$D$200,2,0)),"",VLOOKUP(BX22,évènements!$B$3:$D$200,2,0))</f>
        <v/>
      </c>
      <c r="CE22" s="54" t="str">
        <f t="shared" si="16"/>
        <v xml:space="preserve">  </v>
      </c>
      <c r="CF22" s="41">
        <f t="shared" si="37"/>
        <v>43028</v>
      </c>
      <c r="CG22" s="42">
        <f t="shared" si="50"/>
        <v>43028</v>
      </c>
      <c r="CH22" s="43" t="str">
        <f>IF(CG22="","",IF(ISERROR(MATCH(CG22,Lune!$A$1:$A$1000,0)),IF(WEEKDAY(CG22)=5,INT((CG22-DATE(YEAR(CG22),1,1))/7+1),IF(AND(WEEKDAY(CG22)=4,NOT( ISERROR(MATCH(CG22+1,Lune!$A$1:$A$1000,0)))),INT((CG22+1-DATE(YEAR(CG22+1),1,1))/7+1),"")),INDEX(Lune!$B$1:$B$1000,MATCH(CG22,Lune!$A$1:$A$1000,0),1)))</f>
        <v/>
      </c>
      <c r="CI22" s="80" t="str">
        <f t="shared" ca="1" si="17"/>
        <v xml:space="preserve"> '</v>
      </c>
      <c r="CJ22" s="54" t="str">
        <f ca="1">IF(ISERROR(VLOOKUP(CG22,anniversaire!$X$2:$Z$100,2,0)),"",VLOOKUP(CG22,anniversaire!$X$2:$Z$100,2,0))</f>
        <v>Virely  élodie    32</v>
      </c>
      <c r="CK22" s="54" t="str">
        <f>IF(ISERROR(VLOOKUP(CG22,fête!$B$2:$C$367,2,0)),"",VLOOKUP(CG22,fête!$B$2:$C$367,2,0))</f>
        <v>Adeline</v>
      </c>
      <c r="CL22" s="54" t="str">
        <f>IF(ISERROR(VLOOKUP(CG22,évènements!$A$3:$D$200,3,0)),"",VLOOKUP(CG22,évènements!$A$3:$D$200,3,0))</f>
        <v/>
      </c>
      <c r="CM22" s="54" t="str">
        <f>IF(ISERROR(VLOOKUP(CG22,évènements!$B$3:$D$200,2,0)),"",VLOOKUP(CG22,évènements!$B$3:$D$200,2,0))</f>
        <v/>
      </c>
      <c r="CN22" s="54" t="str">
        <f t="shared" si="18"/>
        <v xml:space="preserve">  </v>
      </c>
      <c r="CO22" s="41">
        <f t="shared" si="38"/>
        <v>43059</v>
      </c>
      <c r="CP22" s="42">
        <f t="shared" si="51"/>
        <v>43059</v>
      </c>
      <c r="CQ22" s="43" t="str">
        <f>IF(CP22="","",IF(ISERROR(MATCH(CP22,Lune!$A$1:$A$1000,0)),IF(WEEKDAY(CP22)=5,INT((CP22-DATE(YEAR(CP22),1,1))/7+1),IF(AND(WEEKDAY(CP22)=4,NOT( ISERROR(MATCH(CP22+1,Lune!$A$1:$A$1000,0)))),INT((CP22+1-DATE(YEAR(CP22+1),1,1))/7+1),"")),INDEX(Lune!$B$1:$B$1000,MATCH(CP22,Lune!$A$1:$A$1000,0),1)))</f>
        <v/>
      </c>
      <c r="CR22" s="80" t="str">
        <f t="shared" ca="1" si="19"/>
        <v/>
      </c>
      <c r="CS22" s="54" t="str">
        <f ca="1">IF(ISERROR(VLOOKUP(CP22,anniversaire!$X$2:$Z$100,2,0)),"",VLOOKUP(CP22,anniversaire!$X$2:$Z$100,2,0))</f>
        <v/>
      </c>
      <c r="CT22" s="54" t="str">
        <f>IF(ISERROR(VLOOKUP(CP22,fête!$B$2:$C$367,2,0)),"",VLOOKUP(CP22,fête!$B$2:$C$367,2,0))</f>
        <v>Edmond</v>
      </c>
      <c r="CU22" s="54" t="str">
        <f>IF(ISERROR(VLOOKUP(CP22,évènements!$A$3:$D$200,3,0)),"",VLOOKUP(CP22,évènements!$A$3:$D$200,3,0))</f>
        <v/>
      </c>
      <c r="CV22" s="54" t="str">
        <f>IF(ISERROR(VLOOKUP(CP22,évènements!$B$3:$D$200,2,0)),"",VLOOKUP(CP22,évènements!$B$3:$D$200,2,0))</f>
        <v/>
      </c>
      <c r="CW22" s="54" t="str">
        <f t="shared" si="20"/>
        <v xml:space="preserve">  </v>
      </c>
      <c r="CX22" s="41">
        <f t="shared" si="39"/>
        <v>43089</v>
      </c>
      <c r="CY22" s="42">
        <f t="shared" si="52"/>
        <v>43089</v>
      </c>
      <c r="CZ22" s="43" t="str">
        <f>IF(CY22="","",IF(ISERROR(MATCH(CY22,Lune!$A$1:$A$1000,0)),IF(WEEKDAY(CY22)=5,INT((CY22-DATE(YEAR(CY22),1,1))/7+1),IF(AND(WEEKDAY(CY22)=4,NOT( ISERROR(MATCH(CY22+1,Lune!$A$1:$A$1000,0)))),INT((CY22+1-DATE(YEAR(CY22+1),1,1))/7+1),"")),INDEX(Lune!$B$1:$B$1000,MATCH(CY22,Lune!$A$1:$A$1000,0),1)))</f>
        <v/>
      </c>
      <c r="DA22" s="80" t="str">
        <f t="shared" ca="1" si="21"/>
        <v/>
      </c>
      <c r="DB22" s="54" t="str">
        <f ca="1">IF(ISERROR(VLOOKUP(CY22,anniversaire!$X$2:$Z$100,2,0)),"",VLOOKUP(CY22,anniversaire!$X$2:$Z$100,2,0))</f>
        <v/>
      </c>
      <c r="DC22" s="54" t="str">
        <f>IF(ISERROR(VLOOKUP(CY22,fête!$B$2:$C$367,2,0)),"",VLOOKUP(CY22,fête!$B$2:$C$367,2,0))</f>
        <v>Théophile</v>
      </c>
      <c r="DD22" s="54" t="str">
        <f>IF(ISERROR(VLOOKUP(CY22,évènements!$A$3:$D$200,3,0)),"",VLOOKUP(CY22,évènements!$A$3:$D$200,3,0))</f>
        <v/>
      </c>
      <c r="DE22" s="54" t="str">
        <f>IF(ISERROR(VLOOKUP(CY22,évènements!$B$3:$D$200,2,0)),"",VLOOKUP(CY22,évènements!$B$3:$D$200,2,0))</f>
        <v/>
      </c>
      <c r="DF22" s="54" t="str">
        <f t="shared" si="22"/>
        <v xml:space="preserve">  </v>
      </c>
      <c r="DG22" s="41">
        <f t="shared" si="40"/>
        <v>43120</v>
      </c>
      <c r="DH22" s="42">
        <f t="shared" si="53"/>
        <v>43120</v>
      </c>
      <c r="DI22" s="43" t="str">
        <f>IF(DH22="","",IF(ISERROR(MATCH(DH22,Lune!$A$1:$A$1000,0)),IF(WEEKDAY(DH22)=5,INT((DH22-DATE(YEAR(DH22),1,1))/7+1),IF(AND(WEEKDAY(DH22)=4,NOT( ISERROR(MATCH(DH22+1,Lune!$A$1:$A$1000,0)))),INT((DH22+1-DATE(YEAR(DH22+1),1,1))/7+1),"")),INDEX(Lune!$B$1:$B$1000,MATCH(DH22,Lune!$A$1:$A$1000,0),1)))</f>
        <v/>
      </c>
      <c r="DJ22" s="89" t="str">
        <f t="shared" ca="1" si="23"/>
        <v/>
      </c>
      <c r="DK22" s="252" t="str">
        <f t="shared" ca="1" si="24"/>
        <v/>
      </c>
      <c r="DL22" s="252" t="str">
        <f t="shared" si="25"/>
        <v>Sébastien</v>
      </c>
      <c r="DM22" s="252" t="str">
        <f>IF(ISERROR(VLOOKUP(DH22,évènements!$A$3:$D$200,3,0)),"",VLOOKUP(DH22,évènements!$A$3:$D$200,3,0))</f>
        <v/>
      </c>
      <c r="DN22" s="252" t="str">
        <f>IF(ISERROR(VLOOKUP(DH22,évènements!$B$3:$D$200,2,0)),"",VLOOKUP(DH22,évènements!$B$3:$D$200,2,0))</f>
        <v/>
      </c>
      <c r="DO22" s="252" t="str">
        <f t="shared" si="26"/>
        <v xml:space="preserve">  </v>
      </c>
    </row>
    <row r="23" spans="2:119" ht="15" customHeight="1">
      <c r="B23" s="29"/>
      <c r="C23" s="41">
        <f t="shared" si="27"/>
        <v>42756</v>
      </c>
      <c r="D23" s="40">
        <f t="shared" si="41"/>
        <v>42756</v>
      </c>
      <c r="E23" s="131" t="str">
        <f>IF(D23="","",IF(ISERROR(MATCH(D23,Lune!$A$1:$A$1000,0)),IF(WEEKDAY(D23)=5,INT((D23-DATE(YEAR(D23),1,1))/7+1),IF(AND(WEEKDAY(D23)=4,NOT( ISERROR(MATCH(D23+1,Lune!$A$1:$A$1000,0)))),INT((D23+1-DATE(YEAR(D23+1),1,1))/7+1),"")),INDEX(Lune!$B$1:$B$1000,MATCH(D23,Lune!$A$1:$A$1000,0),1)))</f>
        <v/>
      </c>
      <c r="F23" s="89" t="str">
        <f t="shared" ca="1" si="0"/>
        <v/>
      </c>
      <c r="G23" s="125" t="str">
        <f ca="1">IF(ISERROR(VLOOKUP(D23,anniversaire!$X$2:$Z$100,2,0)),"",VLOOKUP(D23,anniversaire!$X$2:$Z$100,2,0))</f>
        <v/>
      </c>
      <c r="H23" s="54" t="str">
        <f>IF(ISERROR(VLOOKUP(D23,fête!$B$2:$C$367,2,0)),"",VLOOKUP(D23,fête!$B$2:$C$367,2,0))</f>
        <v>Agnès</v>
      </c>
      <c r="I23" s="239" t="str">
        <f>IF(ISERROR(VLOOKUP(D23,évènements!$A$3:$D$200,3,0)),"",VLOOKUP(D23,évènements!$A$3:$D$200,3,0))</f>
        <v/>
      </c>
      <c r="J23" s="239" t="str">
        <f>IF(ISERROR(VLOOKUP(D23,évènements!$B$3:$D$200,2,0)),"",VLOOKUP(D23,évènements!$B$3:$D$200,2,0))</f>
        <v/>
      </c>
      <c r="K23" s="239" t="str">
        <f t="shared" ref="K23:K33" si="58">CONCATENATE(I23,"  ",J23)</f>
        <v xml:space="preserve">  </v>
      </c>
      <c r="L23" s="41">
        <f t="shared" si="28"/>
        <v>42787</v>
      </c>
      <c r="M23" s="42">
        <f t="shared" si="42"/>
        <v>42787</v>
      </c>
      <c r="N23" s="131" t="str">
        <f>IF(M23="","",IF(ISERROR(MATCH(M23,Lune!$A$1:$A$1000,0)),IF(WEEKDAY(M23)=5,INT((M23-DATE(YEAR(M23),1,1))/7+1),IF(AND(WEEKDAY(M23)=4,NOT( ISERROR(MATCH(M23+1,Lune!$A$1:$A$1000,0)))),INT((M23+1-DATE(YEAR(M23+1),1,1))/7+1),"")),INDEX(Lune!$B$1:$B$1000,MATCH(M23,Lune!$A$1:$A$1000,0),1)))</f>
        <v/>
      </c>
      <c r="O23" s="80" t="str">
        <f t="shared" ca="1" si="54"/>
        <v/>
      </c>
      <c r="P23" s="54" t="str">
        <f ca="1">IF(ISERROR(VLOOKUP(M23,anniversaire!$X$2:$Z$100,2,0)),"",VLOOKUP(M23,anniversaire!$X$2:$Z$100,2,0))</f>
        <v/>
      </c>
      <c r="Q23" s="54" t="str">
        <f>IF(ISERROR(VLOOKUP(M23,fête!$B$2:$C$367,2,0)),"",VLOOKUP(M23,fête!$B$2:$C$367,2,0))</f>
        <v>Damien</v>
      </c>
      <c r="R23" s="54" t="str">
        <f>IF(ISERROR(VLOOKUP(M23,évènements!$A$3:$D$200,3,0)),"",VLOOKUP(M23,évènements!$A$3:$D$200,3,0))</f>
        <v/>
      </c>
      <c r="S23" s="54" t="str">
        <f>IF(ISERROR(VLOOKUP(M23,évènements!$B$3:$D$200,2,0)),"",VLOOKUP(M23,évènements!$B$3:$D$200,2,0))</f>
        <v/>
      </c>
      <c r="T23" s="54" t="str">
        <f t="shared" si="3"/>
        <v xml:space="preserve">  </v>
      </c>
      <c r="U23" s="41">
        <f t="shared" si="29"/>
        <v>42815</v>
      </c>
      <c r="V23" s="42">
        <f t="shared" si="43"/>
        <v>42815</v>
      </c>
      <c r="W23" s="132" t="str">
        <f>IF(V23="","",IF(ISERROR(MATCH(V23,Lune!$A$1:$A$1000,0)),IF(WEEKDAY(V23)=5,INT((V23-DATE(YEAR(V23),1,1))/7+1),IF(AND(WEEKDAY(V23)=4,NOT( ISERROR(MATCH(V23+1,Lune!$A$1:$A$1000,0)))),INT((V23+1-DATE(YEAR(V23+1),1,1))/7+1),"")),INDEX(Lune!$B$1:$B$1000,MATCH(V23,Lune!$A$1:$A$1000,0),1)))</f>
        <v/>
      </c>
      <c r="X23" s="89" t="str">
        <f t="shared" ca="1" si="4"/>
        <v/>
      </c>
      <c r="Y23" s="125" t="str">
        <f ca="1">IF(ISERROR(VLOOKUP(V23,anniversaire!$X$2:$Z$100,2,0)),"",VLOOKUP(V23,anniversaire!$X$2:$Z$100,2,0))</f>
        <v/>
      </c>
      <c r="Z23" s="54" t="str">
        <f>IF(ISERROR(VLOOKUP(V23,fête!$B$2:$C$367,2,0)),"",VLOOKUP(V23,fête!$B$2:$C$367,2,0))</f>
        <v>Clémence</v>
      </c>
      <c r="AA23" s="54" t="str">
        <f>IF(ISERROR(VLOOKUP(V23,évènements!$A$3:$D$200,3,0)),"",VLOOKUP(V23,évènements!$A$3:$D$200,3,0))</f>
        <v/>
      </c>
      <c r="AB23" s="54" t="str">
        <f>IF(ISERROR(VLOOKUP(V23,évènements!$B$3:$D$200,2,0)),"",VLOOKUP(V23,évènements!$B$3:$D$200,2,0))</f>
        <v/>
      </c>
      <c r="AC23" s="54" t="str">
        <f t="shared" si="57"/>
        <v xml:space="preserve">  </v>
      </c>
      <c r="AD23" s="41">
        <f t="shared" si="30"/>
        <v>42846</v>
      </c>
      <c r="AE23" s="42">
        <f t="shared" si="44"/>
        <v>42846</v>
      </c>
      <c r="AF23" s="137" t="str">
        <f>IF(AE23="","",IF(ISERROR(MATCH(AE23,Lune!$A$1:$A$1000,0)),IF(WEEKDAY(AE23)=5,INT((AE23-DATE(YEAR(AE23),1,1))/7+1),IF(AND(WEEKDAY(AE23)=4,NOT( ISERROR(MATCH(AE23+1,Lune!$A$1:$A$1000,0)))),INT((AE23+1-DATE(YEAR(AE23+1),1,1))/7+1),"")),INDEX(Lune!$B$1:$B$1000,MATCH(AE23,Lune!$A$1:$A$1000,0),1)))</f>
        <v/>
      </c>
      <c r="AG23" s="80" t="str">
        <f t="shared" ca="1" si="6"/>
        <v/>
      </c>
      <c r="AH23" s="54" t="str">
        <f ca="1">IF(ISERROR(VLOOKUP(AE23,anniversaire!$X$2:$Z$100,2,0)),"",VLOOKUP(AE23,anniversaire!$X$2:$Z$100,2,0))</f>
        <v/>
      </c>
      <c r="AI23" s="54" t="str">
        <f>IF(ISERROR(VLOOKUP(AE23,fête!$B$2:$C$367,2,0)),"",VLOOKUP(AE23,fête!$B$2:$C$367,2,0))</f>
        <v>Anselme</v>
      </c>
      <c r="AJ23" s="54" t="str">
        <f>IF(ISERROR(VLOOKUP(AE23,évènements!$A$3:$D$200,3,0)),"",VLOOKUP(AE23,évènements!$A$3:$D$200,3,0))</f>
        <v/>
      </c>
      <c r="AK23" s="54" t="str">
        <f>IF(ISERROR(VLOOKUP(AE23,évènements!$B$3:$D$200,2,0)),"",VLOOKUP(AE23,évènements!$B$3:$D$200,2,0))</f>
        <v/>
      </c>
      <c r="AL23" s="238" t="str">
        <f t="shared" si="55"/>
        <v xml:space="preserve">  </v>
      </c>
      <c r="AM23" s="41">
        <f t="shared" si="31"/>
        <v>42876</v>
      </c>
      <c r="AN23" s="42">
        <f t="shared" si="45"/>
        <v>42876</v>
      </c>
      <c r="AO23" s="43" t="str">
        <f>IF(AN23="","",IF(ISERROR(MATCH(AN23,Lune!$A$1:$A$1000,0)),IF(WEEKDAY(AN23)=5,INT((AN23-DATE(YEAR(AN23),1,1))/7+1),IF(AND(WEEKDAY(AN23)=4,NOT( ISERROR(MATCH(AN23+1,Lune!$A$1:$A$1000,0)))),INT((AN23+1-DATE(YEAR(AN23+1),1,1))/7+1),"")),INDEX(Lune!$B$1:$B$1000,MATCH(AN23,Lune!$A$1:$A$1000,0),1)))</f>
        <v/>
      </c>
      <c r="AP23" s="79" t="str">
        <f t="shared" ca="1" si="8"/>
        <v/>
      </c>
      <c r="AQ23" s="54" t="str">
        <f ca="1">IF(ISERROR(VLOOKUP(AN23,anniversaire!$X$2:$Z$100,2,0)),"",VLOOKUP(AN23,anniversaire!$X$2:$Z$100,2,0))</f>
        <v/>
      </c>
      <c r="AR23" s="54" t="str">
        <f>IF(ISERROR(VLOOKUP(AN23,fête!$B$2:$C$367,2,0)),"",VLOOKUP(AN23,fête!$B$2:$C$367,2,0))</f>
        <v>Constantin</v>
      </c>
      <c r="AS23" s="238" t="str">
        <f>IF(ISERROR(VLOOKUP(AN23,évènements!$A$3:$D$200,3,0)),"",VLOOKUP(AN23,évènements!$A$3:$D$200,3,0))</f>
        <v/>
      </c>
      <c r="AT23" s="238" t="str">
        <f>IF(ISERROR(VLOOKUP(AN23,évènements!$B$3:$D$200,2,0)),"",VLOOKUP(AN23,évènements!$B$3:$D$200,2,0))</f>
        <v/>
      </c>
      <c r="AU23" s="238" t="str">
        <f t="shared" si="9"/>
        <v xml:space="preserve">  </v>
      </c>
      <c r="AV23" s="41">
        <f t="shared" si="32"/>
        <v>42907</v>
      </c>
      <c r="AW23" s="42">
        <f t="shared" si="46"/>
        <v>42907</v>
      </c>
      <c r="AX23" s="43" t="str">
        <f>IF(AW23="","",IF(ISERROR(MATCH(AW23,Lune!$A$1:$A$1000,0)),IF(WEEKDAY(AW23)=5,INT((AW23-DATE(YEAR(AW23),1,1))/7+1),IF(AND(WEEKDAY(AW23)=4,NOT( ISERROR(MATCH(AW23+1,Lune!$A$1:$A$1000,0)))),INT((AW23+1-DATE(YEAR(AW23+1),1,1))/7+1),"")),INDEX(Lune!$B$1:$B$1000,MATCH(AW23,Lune!$A$1:$A$1000,0),1)))</f>
        <v/>
      </c>
      <c r="AY23" s="79" t="str">
        <f t="shared" ca="1" si="10"/>
        <v/>
      </c>
      <c r="AZ23" s="54" t="str">
        <f ca="1">IF(ISERROR(VLOOKUP(AW23,anniversaire!$X$2:$Z$100,2,0)),"",VLOOKUP(AW23,anniversaire!$X$2:$Z$100,2,0))</f>
        <v/>
      </c>
      <c r="BA23" s="54" t="str">
        <f>IF(ISERROR(VLOOKUP(AW23,fête!$B$2:$C$367,2,0)),"",VLOOKUP(AW23,fête!$B$2:$C$367,2,0))</f>
        <v>Eté</v>
      </c>
      <c r="BB23" s="54" t="str">
        <f>IF(ISERROR(VLOOKUP(AW23,évènements!$A$3:$D$200,3,0)),"",VLOOKUP(AW23,évènements!$A$3:$D$200,3,0))</f>
        <v/>
      </c>
      <c r="BC23" s="54" t="str">
        <f>IF(ISERROR(VLOOKUP(AW23,évènements!$B$3:$D$200,2,0)),"",VLOOKUP(AW23,évènements!$B$3:$D$200,2,0))</f>
        <v/>
      </c>
      <c r="BD23" s="54" t="str">
        <f t="shared" si="56"/>
        <v xml:space="preserve">  </v>
      </c>
      <c r="BE23" s="41">
        <f t="shared" si="33"/>
        <v>42937</v>
      </c>
      <c r="BF23" s="42">
        <f t="shared" si="47"/>
        <v>42937</v>
      </c>
      <c r="BG23" s="43" t="str">
        <f>IF(BF23="","",IF(ISERROR(MATCH(BF23,Lune!$A$1:$A$1000,0)),IF(WEEKDAY(BF23)=5,INT((BF23-DATE(YEAR(BF23),1,1))/7+1),IF(AND(WEEKDAY(BF23)=4,NOT( ISERROR(MATCH(BF23+1,Lune!$A$1:$A$1000,0)))),INT((BF23+1-DATE(YEAR(BF23+1),1,1))/7+1),"")),INDEX(Lune!$B$1:$B$1000,MATCH(BF23,Lune!$A$1:$A$1000,0),1)))</f>
        <v/>
      </c>
      <c r="BH23" s="80" t="str">
        <f t="shared" ca="1" si="12"/>
        <v/>
      </c>
      <c r="BI23" s="54" t="str">
        <f ca="1">IF(ISERROR(VLOOKUP(BF23,anniversaire!$X$2:$Z$100,2,0)),"",VLOOKUP(BF23,anniversaire!$X$2:$Z$100,2,0))</f>
        <v/>
      </c>
      <c r="BJ23" s="54" t="str">
        <f>IF(ISERROR(VLOOKUP(BF23,fête!$B$2:$C$367,2,0)),"",VLOOKUP(BF23,fête!$B$2:$C$367,2,0))</f>
        <v>Victor</v>
      </c>
      <c r="BK23" s="54" t="str">
        <f>IF(ISERROR(VLOOKUP(BF23,évènements!$A$3:$D$200,3,0)),"",VLOOKUP(BF23,évènements!$A$3:$D$200,3,0))</f>
        <v/>
      </c>
      <c r="BL23" s="54" t="str">
        <f>IF(ISERROR(VLOOKUP(BF23,évènements!$B$3:$D$200,2,0)),"",VLOOKUP(BF23,évènements!$B$3:$D$200,2,0))</f>
        <v/>
      </c>
      <c r="BM23" s="54" t="str">
        <f t="shared" si="34"/>
        <v xml:space="preserve">  </v>
      </c>
      <c r="BN23" s="41">
        <f t="shared" si="35"/>
        <v>42968</v>
      </c>
      <c r="BO23" s="42">
        <f t="shared" si="48"/>
        <v>42968</v>
      </c>
      <c r="BP23" s="43" t="str">
        <f>IF(BO23="","",IF(ISERROR(MATCH(BO23,Lune!$A$1:$A$1000,0)),IF(WEEKDAY(BO23)=5,INT((BO23-DATE(YEAR(BO23),1,1))/7+1),IF(AND(WEEKDAY(BO23)=4,NOT( ISERROR(MATCH(BO23+1,Lune!$A$1:$A$1000,0)))),INT((BO23+1-DATE(YEAR(BO23+1),1,1))/7+1),"")),INDEX(Lune!$B$1:$B$1000,MATCH(BO23,Lune!$A$1:$A$1000,0),1)))</f>
        <v>●</v>
      </c>
      <c r="BQ23" s="80" t="str">
        <f t="shared" ca="1" si="13"/>
        <v/>
      </c>
      <c r="BR23" s="54" t="str">
        <f ca="1">IF(ISERROR(VLOOKUP(BO23,anniversaire!$X$2:$Z$100,2,0)),"",VLOOKUP(BO23,anniversaire!$X$2:$Z$100,2,0))</f>
        <v/>
      </c>
      <c r="BS23" s="54" t="str">
        <f>IF(ISERROR(VLOOKUP(BO23,fête!$B$2:$C$367,2,0)),"",VLOOKUP(BO23,fête!$B$2:$C$367,2,0))</f>
        <v>Christophe</v>
      </c>
      <c r="BT23" s="54" t="str">
        <f>IF(ISERROR(VLOOKUP(BO23,évènements!$A$3:$D$200,3,0)),"",VLOOKUP(BO23,évènements!$A$3:$D$200,3,0))</f>
        <v/>
      </c>
      <c r="BU23" s="54" t="str">
        <f>IF(ISERROR(VLOOKUP(BO23,évènements!$B$3:$D$200,2,0)),"",VLOOKUP(BO23,évènements!$B$3:$D$200,2,0))</f>
        <v/>
      </c>
      <c r="BV23" s="54" t="str">
        <f t="shared" si="14"/>
        <v xml:space="preserve">  </v>
      </c>
      <c r="BW23" s="41">
        <f t="shared" si="36"/>
        <v>42999</v>
      </c>
      <c r="BX23" s="42">
        <f t="shared" si="49"/>
        <v>42999</v>
      </c>
      <c r="BY23" s="43">
        <f>IF(BX23="","",IF(ISERROR(MATCH(BX23,Lune!$A$1:$A$1000,0)),IF(WEEKDAY(BX23)=5,INT((BX23-DATE(YEAR(BX23),1,1))/7+1),IF(AND(WEEKDAY(BX23)=4,NOT( ISERROR(MATCH(BX23+1,Lune!$A$1:$A$1000,0)))),INT((BX23+1-DATE(YEAR(BX23+1),1,1))/7+1),"")),INDEX(Lune!$B$1:$B$1000,MATCH(BX23,Lune!$A$1:$A$1000,0),1)))</f>
        <v>38</v>
      </c>
      <c r="BZ23" s="80" t="str">
        <f t="shared" ca="1" si="15"/>
        <v/>
      </c>
      <c r="CA23" s="54" t="str">
        <f ca="1">IF(ISERROR(VLOOKUP(BX23,anniversaire!$X$2:$Z$100,2,0)),"",VLOOKUP(BX23,anniversaire!$X$2:$Z$100,2,0))</f>
        <v/>
      </c>
      <c r="CB23" s="54" t="str">
        <f>IF(ISERROR(VLOOKUP(BX23,fête!$B$2:$C$367,2,0)),"",VLOOKUP(BX23,fête!$B$2:$C$367,2,0))</f>
        <v>Matthieu</v>
      </c>
      <c r="CC23" s="54" t="str">
        <f>IF(ISERROR(VLOOKUP(BX23,évènements!$A$3:$D$200,3,0)),"",VLOOKUP(BX23,évènements!$A$3:$D$200,3,0))</f>
        <v/>
      </c>
      <c r="CD23" s="54" t="str">
        <f>IF(ISERROR(VLOOKUP(BX23,évènements!$B$3:$D$200,2,0)),"",VLOOKUP(BX23,évènements!$B$3:$D$200,2,0))</f>
        <v/>
      </c>
      <c r="CE23" s="54" t="str">
        <f t="shared" si="16"/>
        <v xml:space="preserve">  </v>
      </c>
      <c r="CF23" s="41">
        <f t="shared" si="37"/>
        <v>43029</v>
      </c>
      <c r="CG23" s="42">
        <f t="shared" si="50"/>
        <v>43029</v>
      </c>
      <c r="CH23" s="43" t="str">
        <f>IF(CG23="","",IF(ISERROR(MATCH(CG23,Lune!$A$1:$A$1000,0)),IF(WEEKDAY(CG23)=5,INT((CG23-DATE(YEAR(CG23),1,1))/7+1),IF(AND(WEEKDAY(CG23)=4,NOT( ISERROR(MATCH(CG23+1,Lune!$A$1:$A$1000,0)))),INT((CG23+1-DATE(YEAR(CG23+1),1,1))/7+1),"")),INDEX(Lune!$B$1:$B$1000,MATCH(CG23,Lune!$A$1:$A$1000,0),1)))</f>
        <v/>
      </c>
      <c r="CI23" s="80" t="str">
        <f t="shared" ca="1" si="17"/>
        <v/>
      </c>
      <c r="CJ23" s="54" t="str">
        <f ca="1">IF(ISERROR(VLOOKUP(CG23,anniversaire!$X$2:$Z$100,2,0)),"",VLOOKUP(CG23,anniversaire!$X$2:$Z$100,2,0))</f>
        <v/>
      </c>
      <c r="CK23" s="54" t="str">
        <f>IF(ISERROR(VLOOKUP(CG23,fête!$B$2:$C$367,2,0)),"",VLOOKUP(CG23,fête!$B$2:$C$367,2,0))</f>
        <v>Céline</v>
      </c>
      <c r="CL23" s="54" t="str">
        <f>IF(ISERROR(VLOOKUP(CG23,évènements!$A$3:$D$200,3,0)),"",VLOOKUP(CG23,évènements!$A$3:$D$200,3,0))</f>
        <v/>
      </c>
      <c r="CM23" s="54" t="str">
        <f>IF(ISERROR(VLOOKUP(CG23,évènements!$B$3:$D$200,2,0)),"",VLOOKUP(CG23,évènements!$B$3:$D$200,2,0))</f>
        <v/>
      </c>
      <c r="CN23" s="54" t="str">
        <f t="shared" si="18"/>
        <v xml:space="preserve">  </v>
      </c>
      <c r="CO23" s="41">
        <f t="shared" si="38"/>
        <v>43060</v>
      </c>
      <c r="CP23" s="42">
        <f t="shared" si="51"/>
        <v>43060</v>
      </c>
      <c r="CQ23" s="43" t="str">
        <f>IF(CP23="","",IF(ISERROR(MATCH(CP23,Lune!$A$1:$A$1000,0)),IF(WEEKDAY(CP23)=5,INT((CP23-DATE(YEAR(CP23),1,1))/7+1),IF(AND(WEEKDAY(CP23)=4,NOT( ISERROR(MATCH(CP23+1,Lune!$A$1:$A$1000,0)))),INT((CP23+1-DATE(YEAR(CP23+1),1,1))/7+1),"")),INDEX(Lune!$B$1:$B$1000,MATCH(CP23,Lune!$A$1:$A$1000,0),1)))</f>
        <v/>
      </c>
      <c r="CR23" s="80" t="str">
        <f t="shared" ca="1" si="19"/>
        <v/>
      </c>
      <c r="CS23" s="54" t="str">
        <f ca="1">IF(ISERROR(VLOOKUP(CP23,anniversaire!$X$2:$Z$100,2,0)),"",VLOOKUP(CP23,anniversaire!$X$2:$Z$100,2,0))</f>
        <v/>
      </c>
      <c r="CT23" s="54" t="str">
        <f>IF(ISERROR(VLOOKUP(CP23,fête!$B$2:$C$367,2,0)),"",VLOOKUP(CP23,fête!$B$2:$C$367,2,0))</f>
        <v>Présence de Marie</v>
      </c>
      <c r="CU23" s="54" t="str">
        <f>IF(ISERROR(VLOOKUP(CP23,évènements!$A$3:$D$200,3,0)),"",VLOOKUP(CP23,évènements!$A$3:$D$200,3,0))</f>
        <v/>
      </c>
      <c r="CV23" s="54" t="str">
        <f>IF(ISERROR(VLOOKUP(CP23,évènements!$B$3:$D$200,2,0)),"",VLOOKUP(CP23,évènements!$B$3:$D$200,2,0))</f>
        <v/>
      </c>
      <c r="CW23" s="54" t="str">
        <f t="shared" si="20"/>
        <v xml:space="preserve">  </v>
      </c>
      <c r="CX23" s="41">
        <f t="shared" si="39"/>
        <v>43090</v>
      </c>
      <c r="CY23" s="42">
        <f t="shared" si="52"/>
        <v>43090</v>
      </c>
      <c r="CZ23" s="43">
        <f>IF(CY23="","",IF(ISERROR(MATCH(CY23,Lune!$A$1:$A$1000,0)),IF(WEEKDAY(CY23)=5,INT((CY23-DATE(YEAR(CY23),1,1))/7+1),IF(AND(WEEKDAY(CY23)=4,NOT( ISERROR(MATCH(CY23+1,Lune!$A$1:$A$1000,0)))),INT((CY23+1-DATE(YEAR(CY23+1),1,1))/7+1),"")),INDEX(Lune!$B$1:$B$1000,MATCH(CY23,Lune!$A$1:$A$1000,0),1)))</f>
        <v>51</v>
      </c>
      <c r="DA23" s="80" t="str">
        <f t="shared" ca="1" si="21"/>
        <v/>
      </c>
      <c r="DB23" s="54" t="str">
        <f ca="1">IF(ISERROR(VLOOKUP(CY23,anniversaire!$X$2:$Z$100,2,0)),"",VLOOKUP(CY23,anniversaire!$X$2:$Z$100,2,0))</f>
        <v/>
      </c>
      <c r="DC23" s="54" t="str">
        <f>IF(ISERROR(VLOOKUP(CY23,fête!$B$2:$C$367,2,0)),"",VLOOKUP(CY23,fête!$B$2:$C$367,2,0))</f>
        <v>Hiver</v>
      </c>
      <c r="DD23" s="54" t="str">
        <f>IF(ISERROR(VLOOKUP(CY23,évènements!$A$3:$D$200,3,0)),"",VLOOKUP(CY23,évènements!$A$3:$D$200,3,0))</f>
        <v/>
      </c>
      <c r="DE23" s="54" t="str">
        <f>IF(ISERROR(VLOOKUP(CY23,évènements!$B$3:$D$200,2,0)),"",VLOOKUP(CY23,évènements!$B$3:$D$200,2,0))</f>
        <v/>
      </c>
      <c r="DF23" s="54" t="str">
        <f t="shared" si="22"/>
        <v xml:space="preserve">  </v>
      </c>
      <c r="DG23" s="41">
        <f t="shared" si="40"/>
        <v>43121</v>
      </c>
      <c r="DH23" s="42">
        <f t="shared" si="53"/>
        <v>43121</v>
      </c>
      <c r="DI23" s="43" t="str">
        <f>IF(DH23="","",IF(ISERROR(MATCH(DH23,Lune!$A$1:$A$1000,0)),IF(WEEKDAY(DH23)=5,INT((DH23-DATE(YEAR(DH23),1,1))/7+1),IF(AND(WEEKDAY(DH23)=4,NOT( ISERROR(MATCH(DH23+1,Lune!$A$1:$A$1000,0)))),INT((DH23+1-DATE(YEAR(DH23+1),1,1))/7+1),"")),INDEX(Lune!$B$1:$B$1000,MATCH(DH23,Lune!$A$1:$A$1000,0),1)))</f>
        <v/>
      </c>
      <c r="DJ23" s="89" t="str">
        <f t="shared" ca="1" si="23"/>
        <v/>
      </c>
      <c r="DK23" s="252" t="str">
        <f t="shared" ca="1" si="24"/>
        <v/>
      </c>
      <c r="DL23" s="252" t="str">
        <f t="shared" si="25"/>
        <v>Agnès</v>
      </c>
      <c r="DM23" s="252" t="str">
        <f>IF(ISERROR(VLOOKUP(DH23,évènements!$A$3:$D$200,3,0)),"",VLOOKUP(DH23,évènements!$A$3:$D$200,3,0))</f>
        <v/>
      </c>
      <c r="DN23" s="252" t="str">
        <f>IF(ISERROR(VLOOKUP(DH23,évènements!$B$3:$D$200,2,0)),"",VLOOKUP(DH23,évènements!$B$3:$D$200,2,0))</f>
        <v/>
      </c>
      <c r="DO23" s="252" t="str">
        <f t="shared" si="26"/>
        <v xml:space="preserve">  </v>
      </c>
    </row>
    <row r="24" spans="2:119" ht="15" customHeight="1">
      <c r="B24" s="29"/>
      <c r="C24" s="41">
        <f t="shared" si="27"/>
        <v>42757</v>
      </c>
      <c r="D24" s="40">
        <f t="shared" si="41"/>
        <v>42757</v>
      </c>
      <c r="E24" s="131" t="str">
        <f>IF(D24="","",IF(ISERROR(MATCH(D24,Lune!$A$1:$A$1000,0)),IF(WEEKDAY(D24)=5,INT((D24-DATE(YEAR(D24),1,1))/7+1),IF(AND(WEEKDAY(D24)=4,NOT( ISERROR(MATCH(D24+1,Lune!$A$1:$A$1000,0)))),INT((D24+1-DATE(YEAR(D24+1),1,1))/7+1),"")),INDEX(Lune!$B$1:$B$1000,MATCH(D24,Lune!$A$1:$A$1000,0),1)))</f>
        <v/>
      </c>
      <c r="F24" s="89" t="str">
        <f t="shared" ca="1" si="0"/>
        <v/>
      </c>
      <c r="G24" s="125" t="str">
        <f ca="1">IF(ISERROR(VLOOKUP(D24,anniversaire!$X$2:$Z$100,2,0)),"",VLOOKUP(D24,anniversaire!$X$2:$Z$100,2,0))</f>
        <v/>
      </c>
      <c r="H24" s="54" t="str">
        <f>IF(ISERROR(VLOOKUP(D24,fête!$B$2:$C$367,2,0)),"",VLOOKUP(D24,fête!$B$2:$C$367,2,0))</f>
        <v>Vincent</v>
      </c>
      <c r="I24" s="239" t="str">
        <f>IF(ISERROR(VLOOKUP(D24,évènements!$A$3:$D$200,3,0)),"",VLOOKUP(D24,évènements!$A$3:$D$200,3,0))</f>
        <v/>
      </c>
      <c r="J24" s="239" t="str">
        <f>IF(ISERROR(VLOOKUP(D24,évènements!$B$3:$D$200,2,0)),"",VLOOKUP(D24,évènements!$B$3:$D$200,2,0))</f>
        <v/>
      </c>
      <c r="K24" s="239" t="str">
        <f t="shared" si="58"/>
        <v xml:space="preserve">  </v>
      </c>
      <c r="L24" s="41">
        <f t="shared" si="28"/>
        <v>42788</v>
      </c>
      <c r="M24" s="42">
        <f t="shared" si="42"/>
        <v>42788</v>
      </c>
      <c r="N24" s="131" t="str">
        <f>IF(M24="","",IF(ISERROR(MATCH(M24,Lune!$A$1:$A$1000,0)),IF(WEEKDAY(M24)=5,INT((M24-DATE(YEAR(M24),1,1))/7+1),IF(AND(WEEKDAY(M24)=4,NOT( ISERROR(MATCH(M24+1,Lune!$A$1:$A$1000,0)))),INT((M24+1-DATE(YEAR(M24+1),1,1))/7+1),"")),INDEX(Lune!$B$1:$B$1000,MATCH(M24,Lune!$A$1:$A$1000,0),1)))</f>
        <v/>
      </c>
      <c r="O24" s="80" t="str">
        <f t="shared" ca="1" si="54"/>
        <v/>
      </c>
      <c r="P24" s="54" t="str">
        <f ca="1">IF(ISERROR(VLOOKUP(M24,anniversaire!$X$2:$Z$100,2,0)),"",VLOOKUP(M24,anniversaire!$X$2:$Z$100,2,0))</f>
        <v/>
      </c>
      <c r="Q24" s="54" t="str">
        <f>IF(ISERROR(VLOOKUP(M24,fête!$B$2:$C$367,2,0)),"",VLOOKUP(M24,fête!$B$2:$C$367,2,0))</f>
        <v>Isabelle</v>
      </c>
      <c r="R24" s="54" t="str">
        <f>IF(ISERROR(VLOOKUP(M24,évènements!$A$3:$D$200,3,0)),"",VLOOKUP(M24,évènements!$A$3:$D$200,3,0))</f>
        <v/>
      </c>
      <c r="S24" s="54" t="str">
        <f>IF(ISERROR(VLOOKUP(M24,évènements!$B$3:$D$200,2,0)),"",VLOOKUP(M24,évènements!$B$3:$D$200,2,0))</f>
        <v/>
      </c>
      <c r="T24" s="54" t="str">
        <f t="shared" si="3"/>
        <v xml:space="preserve">  </v>
      </c>
      <c r="U24" s="41">
        <f t="shared" si="29"/>
        <v>42816</v>
      </c>
      <c r="V24" s="42">
        <f t="shared" si="43"/>
        <v>42816</v>
      </c>
      <c r="W24" s="132" t="str">
        <f>IF(V24="","",IF(ISERROR(MATCH(V24,Lune!$A$1:$A$1000,0)),IF(WEEKDAY(V24)=5,INT((V24-DATE(YEAR(V24),1,1))/7+1),IF(AND(WEEKDAY(V24)=4,NOT( ISERROR(MATCH(V24+1,Lune!$A$1:$A$1000,0)))),INT((V24+1-DATE(YEAR(V24+1),1,1))/7+1),"")),INDEX(Lune!$B$1:$B$1000,MATCH(V24,Lune!$A$1:$A$1000,0),1)))</f>
        <v/>
      </c>
      <c r="X24" s="89" t="str">
        <f t="shared" ca="1" si="4"/>
        <v xml:space="preserve"> '</v>
      </c>
      <c r="Y24" s="125" t="str">
        <f ca="1">IF(ISERROR(VLOOKUP(V24,anniversaire!$X$2:$Z$100,2,0)),"",VLOOKUP(V24,anniversaire!$X$2:$Z$100,2,0))</f>
        <v>decelle  antoine    7</v>
      </c>
      <c r="Z24" s="54" t="str">
        <f>IF(ISERROR(VLOOKUP(V24,fête!$B$2:$C$367,2,0)),"",VLOOKUP(V24,fête!$B$2:$C$367,2,0))</f>
        <v>Léa</v>
      </c>
      <c r="AA24" s="54" t="str">
        <f>IF(ISERROR(VLOOKUP(V24,évènements!$A$3:$D$200,3,0)),"",VLOOKUP(V24,évènements!$A$3:$D$200,3,0))</f>
        <v/>
      </c>
      <c r="AB24" s="54" t="str">
        <f>IF(ISERROR(VLOOKUP(V24,évènements!$B$3:$D$200,2,0)),"",VLOOKUP(V24,évènements!$B$3:$D$200,2,0))</f>
        <v/>
      </c>
      <c r="AC24" s="54" t="str">
        <f t="shared" si="57"/>
        <v xml:space="preserve">  </v>
      </c>
      <c r="AD24" s="41">
        <f t="shared" si="30"/>
        <v>42847</v>
      </c>
      <c r="AE24" s="42">
        <f t="shared" si="44"/>
        <v>42847</v>
      </c>
      <c r="AF24" s="137" t="str">
        <f>IF(AE24="","",IF(ISERROR(MATCH(AE24,Lune!$A$1:$A$1000,0)),IF(WEEKDAY(AE24)=5,INT((AE24-DATE(YEAR(AE24),1,1))/7+1),IF(AND(WEEKDAY(AE24)=4,NOT( ISERROR(MATCH(AE24+1,Lune!$A$1:$A$1000,0)))),INT((AE24+1-DATE(YEAR(AE24+1),1,1))/7+1),"")),INDEX(Lune!$B$1:$B$1000,MATCH(AE24,Lune!$A$1:$A$1000,0),1)))</f>
        <v/>
      </c>
      <c r="AG24" s="80" t="str">
        <f t="shared" ca="1" si="6"/>
        <v/>
      </c>
      <c r="AH24" s="54" t="str">
        <f ca="1">IF(ISERROR(VLOOKUP(AE24,anniversaire!$X$2:$Z$100,2,0)),"",VLOOKUP(AE24,anniversaire!$X$2:$Z$100,2,0))</f>
        <v/>
      </c>
      <c r="AI24" s="54" t="str">
        <f>IF(ISERROR(VLOOKUP(AE24,fête!$B$2:$C$367,2,0)),"",VLOOKUP(AE24,fête!$B$2:$C$367,2,0))</f>
        <v>Alexandre</v>
      </c>
      <c r="AJ24" s="54" t="str">
        <f>IF(ISERROR(VLOOKUP(AE24,évènements!$A$3:$D$200,3,0)),"",VLOOKUP(AE24,évènements!$A$3:$D$200,3,0))</f>
        <v/>
      </c>
      <c r="AK24" s="54" t="str">
        <f>IF(ISERROR(VLOOKUP(AE24,évènements!$B$3:$D$200,2,0)),"",VLOOKUP(AE24,évènements!$B$3:$D$200,2,0))</f>
        <v/>
      </c>
      <c r="AL24" s="238" t="str">
        <f t="shared" si="55"/>
        <v xml:space="preserve">  </v>
      </c>
      <c r="AM24" s="41">
        <f t="shared" si="31"/>
        <v>42877</v>
      </c>
      <c r="AN24" s="42">
        <f t="shared" si="45"/>
        <v>42877</v>
      </c>
      <c r="AO24" s="43" t="str">
        <f>IF(AN24="","",IF(ISERROR(MATCH(AN24,Lune!$A$1:$A$1000,0)),IF(WEEKDAY(AN24)=5,INT((AN24-DATE(YEAR(AN24),1,1))/7+1),IF(AND(WEEKDAY(AN24)=4,NOT( ISERROR(MATCH(AN24+1,Lune!$A$1:$A$1000,0)))),INT((AN24+1-DATE(YEAR(AN24+1),1,1))/7+1),"")),INDEX(Lune!$B$1:$B$1000,MATCH(AN24,Lune!$A$1:$A$1000,0),1)))</f>
        <v/>
      </c>
      <c r="AP24" s="79" t="str">
        <f t="shared" ca="1" si="8"/>
        <v/>
      </c>
      <c r="AQ24" s="54" t="str">
        <f ca="1">IF(ISERROR(VLOOKUP(AN24,anniversaire!$X$2:$Z$100,2,0)),"",VLOOKUP(AN24,anniversaire!$X$2:$Z$100,2,0))</f>
        <v/>
      </c>
      <c r="AR24" s="54" t="str">
        <f>IF(ISERROR(VLOOKUP(AN24,fête!$B$2:$C$367,2,0)),"",VLOOKUP(AN24,fête!$B$2:$C$367,2,0))</f>
        <v>Emile</v>
      </c>
      <c r="AS24" s="238" t="str">
        <f>IF(ISERROR(VLOOKUP(AN24,évènements!$A$3:$D$200,3,0)),"",VLOOKUP(AN24,évènements!$A$3:$D$200,3,0))</f>
        <v/>
      </c>
      <c r="AT24" s="238" t="str">
        <f>IF(ISERROR(VLOOKUP(AN24,évènements!$B$3:$D$200,2,0)),"",VLOOKUP(AN24,évènements!$B$3:$D$200,2,0))</f>
        <v/>
      </c>
      <c r="AU24" s="238" t="str">
        <f t="shared" si="9"/>
        <v xml:space="preserve">  </v>
      </c>
      <c r="AV24" s="41">
        <f t="shared" si="32"/>
        <v>42908</v>
      </c>
      <c r="AW24" s="42">
        <f t="shared" si="46"/>
        <v>42908</v>
      </c>
      <c r="AX24" s="43">
        <f>IF(AW24="","",IF(ISERROR(MATCH(AW24,Lune!$A$1:$A$1000,0)),IF(WEEKDAY(AW24)=5,INT((AW24-DATE(YEAR(AW24),1,1))/7+1),IF(AND(WEEKDAY(AW24)=4,NOT( ISERROR(MATCH(AW24+1,Lune!$A$1:$A$1000,0)))),INT((AW24+1-DATE(YEAR(AW24+1),1,1))/7+1),"")),INDEX(Lune!$B$1:$B$1000,MATCH(AW24,Lune!$A$1:$A$1000,0),1)))</f>
        <v>25</v>
      </c>
      <c r="AY24" s="79" t="str">
        <f t="shared" ca="1" si="10"/>
        <v/>
      </c>
      <c r="AZ24" s="54" t="str">
        <f ca="1">IF(ISERROR(VLOOKUP(AW24,anniversaire!$X$2:$Z$100,2,0)),"",VLOOKUP(AW24,anniversaire!$X$2:$Z$100,2,0))</f>
        <v/>
      </c>
      <c r="BA24" s="54" t="str">
        <f>IF(ISERROR(VLOOKUP(AW24,fête!$B$2:$C$367,2,0)),"",VLOOKUP(AW24,fête!$B$2:$C$367,2,0))</f>
        <v>Alban</v>
      </c>
      <c r="BB24" s="54" t="str">
        <f>IF(ISERROR(VLOOKUP(AW24,évènements!$A$3:$D$200,3,0)),"",VLOOKUP(AW24,évènements!$A$3:$D$200,3,0))</f>
        <v/>
      </c>
      <c r="BC24" s="54" t="str">
        <f>IF(ISERROR(VLOOKUP(AW24,évènements!$B$3:$D$200,2,0)),"",VLOOKUP(AW24,évènements!$B$3:$D$200,2,0))</f>
        <v/>
      </c>
      <c r="BD24" s="54" t="str">
        <f t="shared" si="56"/>
        <v xml:space="preserve">  </v>
      </c>
      <c r="BE24" s="41">
        <f t="shared" si="33"/>
        <v>42938</v>
      </c>
      <c r="BF24" s="42">
        <f t="shared" si="47"/>
        <v>42938</v>
      </c>
      <c r="BG24" s="43" t="str">
        <f>IF(BF24="","",IF(ISERROR(MATCH(BF24,Lune!$A$1:$A$1000,0)),IF(WEEKDAY(BF24)=5,INT((BF24-DATE(YEAR(BF24),1,1))/7+1),IF(AND(WEEKDAY(BF24)=4,NOT( ISERROR(MATCH(BF24+1,Lune!$A$1:$A$1000,0)))),INT((BF24+1-DATE(YEAR(BF24+1),1,1))/7+1),"")),INDEX(Lune!$B$1:$B$1000,MATCH(BF24,Lune!$A$1:$A$1000,0),1)))</f>
        <v/>
      </c>
      <c r="BH24" s="80" t="str">
        <f t="shared" ca="1" si="12"/>
        <v/>
      </c>
      <c r="BI24" s="54" t="str">
        <f ca="1">IF(ISERROR(VLOOKUP(BF24,anniversaire!$X$2:$Z$100,2,0)),"",VLOOKUP(BF24,anniversaire!$X$2:$Z$100,2,0))</f>
        <v/>
      </c>
      <c r="BJ24" s="54" t="str">
        <f>IF(ISERROR(VLOOKUP(BF24,fête!$B$2:$C$367,2,0)),"",VLOOKUP(BF24,fête!$B$2:$C$367,2,0))</f>
        <v>Marie-Madeleine</v>
      </c>
      <c r="BK24" s="54" t="str">
        <f>IF(ISERROR(VLOOKUP(BF24,évènements!$A$3:$D$200,3,0)),"",VLOOKUP(BF24,évènements!$A$3:$D$200,3,0))</f>
        <v/>
      </c>
      <c r="BL24" s="54" t="str">
        <f>IF(ISERROR(VLOOKUP(BF24,évènements!$B$3:$D$200,2,0)),"",VLOOKUP(BF24,évènements!$B$3:$D$200,2,0))</f>
        <v/>
      </c>
      <c r="BM24" s="54" t="str">
        <f t="shared" si="34"/>
        <v xml:space="preserve">  </v>
      </c>
      <c r="BN24" s="41">
        <f t="shared" si="35"/>
        <v>42969</v>
      </c>
      <c r="BO24" s="42">
        <f t="shared" si="48"/>
        <v>42969</v>
      </c>
      <c r="BP24" s="43" t="str">
        <f>IF(BO24="","",IF(ISERROR(MATCH(BO24,Lune!$A$1:$A$1000,0)),IF(WEEKDAY(BO24)=5,INT((BO24-DATE(YEAR(BO24),1,1))/7+1),IF(AND(WEEKDAY(BO24)=4,NOT( ISERROR(MATCH(BO24+1,Lune!$A$1:$A$1000,0)))),INT((BO24+1-DATE(YEAR(BO24+1),1,1))/7+1),"")),INDEX(Lune!$B$1:$B$1000,MATCH(BO24,Lune!$A$1:$A$1000,0),1)))</f>
        <v/>
      </c>
      <c r="BQ24" s="80" t="str">
        <f t="shared" ca="1" si="13"/>
        <v/>
      </c>
      <c r="BR24" s="54" t="str">
        <f ca="1">IF(ISERROR(VLOOKUP(BO24,anniversaire!$X$2:$Z$100,2,0)),"",VLOOKUP(BO24,anniversaire!$X$2:$Z$100,2,0))</f>
        <v/>
      </c>
      <c r="BS24" s="54" t="str">
        <f>IF(ISERROR(VLOOKUP(BO24,fête!$B$2:$C$367,2,0)),"",VLOOKUP(BO24,fête!$B$2:$C$367,2,0))</f>
        <v>Fabrice</v>
      </c>
      <c r="BT24" s="54" t="str">
        <f>IF(ISERROR(VLOOKUP(BO24,évènements!$A$3:$D$200,3,0)),"",VLOOKUP(BO24,évènements!$A$3:$D$200,3,0))</f>
        <v/>
      </c>
      <c r="BU24" s="54" t="str">
        <f>IF(ISERROR(VLOOKUP(BO24,évènements!$B$3:$D$200,2,0)),"",VLOOKUP(BO24,évènements!$B$3:$D$200,2,0))</f>
        <v/>
      </c>
      <c r="BV24" s="54" t="str">
        <f t="shared" si="14"/>
        <v xml:space="preserve">  </v>
      </c>
      <c r="BW24" s="41">
        <f t="shared" si="36"/>
        <v>43000</v>
      </c>
      <c r="BX24" s="42">
        <f t="shared" si="49"/>
        <v>43000</v>
      </c>
      <c r="BY24" s="43" t="str">
        <f>IF(BX24="","",IF(ISERROR(MATCH(BX24,Lune!$A$1:$A$1000,0)),IF(WEEKDAY(BX24)=5,INT((BX24-DATE(YEAR(BX24),1,1))/7+1),IF(AND(WEEKDAY(BX24)=4,NOT( ISERROR(MATCH(BX24+1,Lune!$A$1:$A$1000,0)))),INT((BX24+1-DATE(YEAR(BX24+1),1,1))/7+1),"")),INDEX(Lune!$B$1:$B$1000,MATCH(BX24,Lune!$A$1:$A$1000,0),1)))</f>
        <v/>
      </c>
      <c r="BZ24" s="80" t="str">
        <f t="shared" ca="1" si="15"/>
        <v/>
      </c>
      <c r="CA24" s="54" t="str">
        <f ca="1">IF(ISERROR(VLOOKUP(BX24,anniversaire!$X$2:$Z$100,2,0)),"",VLOOKUP(BX24,anniversaire!$X$2:$Z$100,2,0))</f>
        <v/>
      </c>
      <c r="CB24" s="54" t="str">
        <f>IF(ISERROR(VLOOKUP(BX24,fête!$B$2:$C$367,2,0)),"",VLOOKUP(BX24,fête!$B$2:$C$367,2,0))</f>
        <v>Maurice</v>
      </c>
      <c r="CC24" s="54" t="str">
        <f>IF(ISERROR(VLOOKUP(BX24,évènements!$A$3:$D$200,3,0)),"",VLOOKUP(BX24,évènements!$A$3:$D$200,3,0))</f>
        <v/>
      </c>
      <c r="CD24" s="54" t="str">
        <f>IF(ISERROR(VLOOKUP(BX24,évènements!$B$3:$D$200,2,0)),"",VLOOKUP(BX24,évènements!$B$3:$D$200,2,0))</f>
        <v/>
      </c>
      <c r="CE24" s="54" t="str">
        <f t="shared" si="16"/>
        <v xml:space="preserve">  </v>
      </c>
      <c r="CF24" s="41">
        <f t="shared" si="37"/>
        <v>43030</v>
      </c>
      <c r="CG24" s="42">
        <f t="shared" si="50"/>
        <v>43030</v>
      </c>
      <c r="CH24" s="43" t="str">
        <f>IF(CG24="","",IF(ISERROR(MATCH(CG24,Lune!$A$1:$A$1000,0)),IF(WEEKDAY(CG24)=5,INT((CG24-DATE(YEAR(CG24),1,1))/7+1),IF(AND(WEEKDAY(CG24)=4,NOT( ISERROR(MATCH(CG24+1,Lune!$A$1:$A$1000,0)))),INT((CG24+1-DATE(YEAR(CG24+1),1,1))/7+1),"")),INDEX(Lune!$B$1:$B$1000,MATCH(CG24,Lune!$A$1:$A$1000,0),1)))</f>
        <v/>
      </c>
      <c r="CI24" s="80" t="str">
        <f t="shared" ca="1" si="17"/>
        <v/>
      </c>
      <c r="CJ24" s="54" t="str">
        <f ca="1">IF(ISERROR(VLOOKUP(CG24,anniversaire!$X$2:$Z$100,2,0)),"",VLOOKUP(CG24,anniversaire!$X$2:$Z$100,2,0))</f>
        <v/>
      </c>
      <c r="CK24" s="54" t="str">
        <f>IF(ISERROR(VLOOKUP(CG24,fête!$B$2:$C$367,2,0)),"",VLOOKUP(CG24,fête!$B$2:$C$367,2,0))</f>
        <v>Elodie</v>
      </c>
      <c r="CL24" s="54" t="str">
        <f>IF(ISERROR(VLOOKUP(CG24,évènements!$A$3:$D$200,3,0)),"",VLOOKUP(CG24,évènements!$A$3:$D$200,3,0))</f>
        <v/>
      </c>
      <c r="CM24" s="54" t="str">
        <f>IF(ISERROR(VLOOKUP(CG24,évènements!$B$3:$D$200,2,0)),"",VLOOKUP(CG24,évènements!$B$3:$D$200,2,0))</f>
        <v/>
      </c>
      <c r="CN24" s="54" t="str">
        <f t="shared" si="18"/>
        <v xml:space="preserve">  </v>
      </c>
      <c r="CO24" s="41">
        <f t="shared" si="38"/>
        <v>43061</v>
      </c>
      <c r="CP24" s="42">
        <f t="shared" si="51"/>
        <v>43061</v>
      </c>
      <c r="CQ24" s="43" t="str">
        <f>IF(CP24="","",IF(ISERROR(MATCH(CP24,Lune!$A$1:$A$1000,0)),IF(WEEKDAY(CP24)=5,INT((CP24-DATE(YEAR(CP24),1,1))/7+1),IF(AND(WEEKDAY(CP24)=4,NOT( ISERROR(MATCH(CP24+1,Lune!$A$1:$A$1000,0)))),INT((CP24+1-DATE(YEAR(CP24+1),1,1))/7+1),"")),INDEX(Lune!$B$1:$B$1000,MATCH(CP24,Lune!$A$1:$A$1000,0),1)))</f>
        <v/>
      </c>
      <c r="CR24" s="80" t="str">
        <f t="shared" ca="1" si="19"/>
        <v/>
      </c>
      <c r="CS24" s="54" t="str">
        <f ca="1">IF(ISERROR(VLOOKUP(CP24,anniversaire!$X$2:$Z$100,2,0)),"",VLOOKUP(CP24,anniversaire!$X$2:$Z$100,2,0))</f>
        <v/>
      </c>
      <c r="CT24" s="54" t="str">
        <f>IF(ISERROR(VLOOKUP(CP24,fête!$B$2:$C$367,2,0)),"",VLOOKUP(CP24,fête!$B$2:$C$367,2,0))</f>
        <v>Cécile</v>
      </c>
      <c r="CU24" s="54" t="str">
        <f>IF(ISERROR(VLOOKUP(CP24,évènements!$A$3:$D$200,3,0)),"",VLOOKUP(CP24,évènements!$A$3:$D$200,3,0))</f>
        <v/>
      </c>
      <c r="CV24" s="54" t="str">
        <f>IF(ISERROR(VLOOKUP(CP24,évènements!$B$3:$D$200,2,0)),"",VLOOKUP(CP24,évènements!$B$3:$D$200,2,0))</f>
        <v/>
      </c>
      <c r="CW24" s="54" t="str">
        <f t="shared" si="20"/>
        <v xml:space="preserve">  </v>
      </c>
      <c r="CX24" s="41">
        <f t="shared" si="39"/>
        <v>43091</v>
      </c>
      <c r="CY24" s="42">
        <f t="shared" si="52"/>
        <v>43091</v>
      </c>
      <c r="CZ24" s="43" t="str">
        <f>IF(CY24="","",IF(ISERROR(MATCH(CY24,Lune!$A$1:$A$1000,0)),IF(WEEKDAY(CY24)=5,INT((CY24-DATE(YEAR(CY24),1,1))/7+1),IF(AND(WEEKDAY(CY24)=4,NOT( ISERROR(MATCH(CY24+1,Lune!$A$1:$A$1000,0)))),INT((CY24+1-DATE(YEAR(CY24+1),1,1))/7+1),"")),INDEX(Lune!$B$1:$B$1000,MATCH(CY24,Lune!$A$1:$A$1000,0),1)))</f>
        <v/>
      </c>
      <c r="DA24" s="80" t="str">
        <f t="shared" ca="1" si="21"/>
        <v/>
      </c>
      <c r="DB24" s="54" t="str">
        <f ca="1">IF(ISERROR(VLOOKUP(CY24,anniversaire!$X$2:$Z$100,2,0)),"",VLOOKUP(CY24,anniversaire!$X$2:$Z$100,2,0))</f>
        <v/>
      </c>
      <c r="DC24" s="54" t="str">
        <f>IF(ISERROR(VLOOKUP(CY24,fête!$B$2:$C$367,2,0)),"",VLOOKUP(CY24,fête!$B$2:$C$367,2,0))</f>
        <v>Françoise-Xavière</v>
      </c>
      <c r="DD24" s="54" t="str">
        <f>IF(ISERROR(VLOOKUP(CY24,évènements!$A$3:$D$200,3,0)),"",VLOOKUP(CY24,évènements!$A$3:$D$200,3,0))</f>
        <v/>
      </c>
      <c r="DE24" s="54" t="str">
        <f>IF(ISERROR(VLOOKUP(CY24,évènements!$B$3:$D$200,2,0)),"",VLOOKUP(CY24,évènements!$B$3:$D$200,2,0))</f>
        <v/>
      </c>
      <c r="DF24" s="54" t="str">
        <f t="shared" si="22"/>
        <v xml:space="preserve">  </v>
      </c>
      <c r="DG24" s="41">
        <f t="shared" si="40"/>
        <v>43122</v>
      </c>
      <c r="DH24" s="42">
        <f t="shared" si="53"/>
        <v>43122</v>
      </c>
      <c r="DI24" s="43" t="str">
        <f>IF(DH24="","",IF(ISERROR(MATCH(DH24,Lune!$A$1:$A$1000,0)),IF(WEEKDAY(DH24)=5,INT((DH24-DATE(YEAR(DH24),1,1))/7+1),IF(AND(WEEKDAY(DH24)=4,NOT( ISERROR(MATCH(DH24+1,Lune!$A$1:$A$1000,0)))),INT((DH24+1-DATE(YEAR(DH24+1),1,1))/7+1),"")),INDEX(Lune!$B$1:$B$1000,MATCH(DH24,Lune!$A$1:$A$1000,0),1)))</f>
        <v/>
      </c>
      <c r="DJ24" s="89" t="str">
        <f t="shared" ca="1" si="23"/>
        <v/>
      </c>
      <c r="DK24" s="252" t="str">
        <f t="shared" ca="1" si="24"/>
        <v/>
      </c>
      <c r="DL24" s="252" t="str">
        <f t="shared" si="25"/>
        <v>Vincent</v>
      </c>
      <c r="DM24" s="252" t="str">
        <f>IF(ISERROR(VLOOKUP(DH24,évènements!$A$3:$D$200,3,0)),"",VLOOKUP(DH24,évènements!$A$3:$D$200,3,0))</f>
        <v/>
      </c>
      <c r="DN24" s="252" t="str">
        <f>IF(ISERROR(VLOOKUP(DH24,évènements!$B$3:$D$200,2,0)),"",VLOOKUP(DH24,évènements!$B$3:$D$200,2,0))</f>
        <v/>
      </c>
      <c r="DO24" s="252" t="str">
        <f t="shared" si="26"/>
        <v xml:space="preserve">  </v>
      </c>
    </row>
    <row r="25" spans="2:119" ht="15" customHeight="1">
      <c r="B25" s="29"/>
      <c r="C25" s="41">
        <f t="shared" si="27"/>
        <v>42758</v>
      </c>
      <c r="D25" s="40">
        <f t="shared" si="41"/>
        <v>42758</v>
      </c>
      <c r="E25" s="131" t="str">
        <f>IF(D25="","",IF(ISERROR(MATCH(D25,Lune!$A$1:$A$1000,0)),IF(WEEKDAY(D25)=5,INT((D25-DATE(YEAR(D25),1,1))/7+1),IF(AND(WEEKDAY(D25)=4,NOT( ISERROR(MATCH(D25+1,Lune!$A$1:$A$1000,0)))),INT((D25+1-DATE(YEAR(D25+1),1,1))/7+1),"")),INDEX(Lune!$B$1:$B$1000,MATCH(D25,Lune!$A$1:$A$1000,0),1)))</f>
        <v/>
      </c>
      <c r="F25" s="89" t="str">
        <f t="shared" ca="1" si="0"/>
        <v/>
      </c>
      <c r="G25" s="125" t="str">
        <f ca="1">IF(ISERROR(VLOOKUP(D25,anniversaire!$X$2:$Z$100,2,0)),"",VLOOKUP(D25,anniversaire!$X$2:$Z$100,2,0))</f>
        <v/>
      </c>
      <c r="H25" s="54" t="str">
        <f>IF(ISERROR(VLOOKUP(D25,fête!$B$2:$C$367,2,0)),"",VLOOKUP(D25,fête!$B$2:$C$367,2,0))</f>
        <v>Banard</v>
      </c>
      <c r="I25" s="239" t="str">
        <f>IF(ISERROR(VLOOKUP(D25,évènements!$A$3:$D$200,3,0)),"",VLOOKUP(D25,évènements!$A$3:$D$200,3,0))</f>
        <v/>
      </c>
      <c r="J25" s="239" t="str">
        <f>IF(ISERROR(VLOOKUP(D25,évènements!$B$3:$D$200,2,0)),"",VLOOKUP(D25,évènements!$B$3:$D$200,2,0))</f>
        <v/>
      </c>
      <c r="K25" s="239" t="str">
        <f t="shared" si="58"/>
        <v xml:space="preserve">  </v>
      </c>
      <c r="L25" s="41">
        <f t="shared" si="28"/>
        <v>42789</v>
      </c>
      <c r="M25" s="42">
        <f t="shared" si="42"/>
        <v>42789</v>
      </c>
      <c r="N25" s="131">
        <f>IF(M25="","",IF(ISERROR(MATCH(M25,Lune!$A$1:$A$1000,0)),IF(WEEKDAY(M25)=5,INT((M25-DATE(YEAR(M25),1,1))/7+1),IF(AND(WEEKDAY(M25)=4,NOT( ISERROR(MATCH(M25+1,Lune!$A$1:$A$1000,0)))),INT((M25+1-DATE(YEAR(M25+1),1,1))/7+1),"")),INDEX(Lune!$B$1:$B$1000,MATCH(M25,Lune!$A$1:$A$1000,0),1)))</f>
        <v>8</v>
      </c>
      <c r="O25" s="80" t="str">
        <f t="shared" ca="1" si="54"/>
        <v/>
      </c>
      <c r="P25" s="54" t="str">
        <f ca="1">IF(ISERROR(VLOOKUP(M25,anniversaire!$X$2:$Z$100,2,0)),"",VLOOKUP(M25,anniversaire!$X$2:$Z$100,2,0))</f>
        <v/>
      </c>
      <c r="Q25" s="54" t="str">
        <f>IF(ISERROR(VLOOKUP(M25,fête!$B$2:$C$367,2,0)),"",VLOOKUP(M25,fête!$B$2:$C$367,2,0))</f>
        <v>Lazare</v>
      </c>
      <c r="R25" s="54" t="str">
        <f>IF(ISERROR(VLOOKUP(M25,évènements!$A$3:$D$200,3,0)),"",VLOOKUP(M25,évènements!$A$3:$D$200,3,0))</f>
        <v/>
      </c>
      <c r="S25" s="54" t="str">
        <f>IF(ISERROR(VLOOKUP(M25,évènements!$B$3:$D$200,2,0)),"",VLOOKUP(M25,évènements!$B$3:$D$200,2,0))</f>
        <v/>
      </c>
      <c r="T25" s="54" t="str">
        <f t="shared" si="3"/>
        <v xml:space="preserve">  </v>
      </c>
      <c r="U25" s="41">
        <f t="shared" si="29"/>
        <v>42817</v>
      </c>
      <c r="V25" s="42">
        <f t="shared" si="43"/>
        <v>42817</v>
      </c>
      <c r="W25" s="132">
        <f>IF(V25="","",IF(ISERROR(MATCH(V25,Lune!$A$1:$A$1000,0)),IF(WEEKDAY(V25)=5,INT((V25-DATE(YEAR(V25),1,1))/7+1),IF(AND(WEEKDAY(V25)=4,NOT( ISERROR(MATCH(V25+1,Lune!$A$1:$A$1000,0)))),INT((V25+1-DATE(YEAR(V25+1),1,1))/7+1),"")),INDEX(Lune!$B$1:$B$1000,MATCH(V25,Lune!$A$1:$A$1000,0),1)))</f>
        <v>12</v>
      </c>
      <c r="X25" s="89" t="str">
        <f t="shared" ca="1" si="4"/>
        <v/>
      </c>
      <c r="Y25" s="125" t="str">
        <f ca="1">IF(ISERROR(VLOOKUP(V25,anniversaire!$X$2:$Z$100,2,0)),"",VLOOKUP(V25,anniversaire!$X$2:$Z$100,2,0))</f>
        <v/>
      </c>
      <c r="Z25" s="54" t="str">
        <f>IF(ISERROR(VLOOKUP(V25,fête!$B$2:$C$367,2,0)),"",VLOOKUP(V25,fête!$B$2:$C$367,2,0))</f>
        <v>Victorien</v>
      </c>
      <c r="AA25" s="54" t="str">
        <f>IF(ISERROR(VLOOKUP(V25,évènements!$A$3:$D$200,3,0)),"",VLOOKUP(V25,évènements!$A$3:$D$200,3,0))</f>
        <v/>
      </c>
      <c r="AB25" s="54" t="str">
        <f>IF(ISERROR(VLOOKUP(V25,évènements!$B$3:$D$200,2,0)),"",VLOOKUP(V25,évènements!$B$3:$D$200,2,0))</f>
        <v/>
      </c>
      <c r="AC25" s="54" t="str">
        <f t="shared" si="57"/>
        <v xml:space="preserve">  </v>
      </c>
      <c r="AD25" s="41">
        <f t="shared" si="30"/>
        <v>42848</v>
      </c>
      <c r="AE25" s="42">
        <f t="shared" si="44"/>
        <v>42848</v>
      </c>
      <c r="AF25" s="137" t="str">
        <f>IF(AE25="","",IF(ISERROR(MATCH(AE25,Lune!$A$1:$A$1000,0)),IF(WEEKDAY(AE25)=5,INT((AE25-DATE(YEAR(AE25),1,1))/7+1),IF(AND(WEEKDAY(AE25)=4,NOT( ISERROR(MATCH(AE25+1,Lune!$A$1:$A$1000,0)))),INT((AE25+1-DATE(YEAR(AE25+1),1,1))/7+1),"")),INDEX(Lune!$B$1:$B$1000,MATCH(AE25,Lune!$A$1:$A$1000,0),1)))</f>
        <v/>
      </c>
      <c r="AG25" s="80" t="str">
        <f t="shared" ca="1" si="6"/>
        <v/>
      </c>
      <c r="AH25" s="54" t="str">
        <f ca="1">IF(ISERROR(VLOOKUP(AE25,anniversaire!$X$2:$Z$100,2,0)),"",VLOOKUP(AE25,anniversaire!$X$2:$Z$100,2,0))</f>
        <v/>
      </c>
      <c r="AI25" s="54" t="str">
        <f>IF(ISERROR(VLOOKUP(AE25,fête!$B$2:$C$367,2,0)),"",VLOOKUP(AE25,fête!$B$2:$C$367,2,0))</f>
        <v>Georges</v>
      </c>
      <c r="AJ25" s="54" t="str">
        <f>IF(ISERROR(VLOOKUP(AE25,évènements!$A$3:$D$200,3,0)),"",VLOOKUP(AE25,évènements!$A$3:$D$200,3,0))</f>
        <v/>
      </c>
      <c r="AK25" s="54" t="str">
        <f>IF(ISERROR(VLOOKUP(AE25,évènements!$B$3:$D$200,2,0)),"",VLOOKUP(AE25,évènements!$B$3:$D$200,2,0))</f>
        <v/>
      </c>
      <c r="AL25" s="238" t="str">
        <f t="shared" si="55"/>
        <v xml:space="preserve">  </v>
      </c>
      <c r="AM25" s="41">
        <f t="shared" si="31"/>
        <v>42878</v>
      </c>
      <c r="AN25" s="42">
        <f t="shared" si="45"/>
        <v>42878</v>
      </c>
      <c r="AO25" s="43" t="str">
        <f>IF(AN25="","",IF(ISERROR(MATCH(AN25,Lune!$A$1:$A$1000,0)),IF(WEEKDAY(AN25)=5,INT((AN25-DATE(YEAR(AN25),1,1))/7+1),IF(AND(WEEKDAY(AN25)=4,NOT( ISERROR(MATCH(AN25+1,Lune!$A$1:$A$1000,0)))),INT((AN25+1-DATE(YEAR(AN25+1),1,1))/7+1),"")),INDEX(Lune!$B$1:$B$1000,MATCH(AN25,Lune!$A$1:$A$1000,0),1)))</f>
        <v/>
      </c>
      <c r="AP25" s="79" t="str">
        <f t="shared" ca="1" si="8"/>
        <v/>
      </c>
      <c r="AQ25" s="54" t="str">
        <f ca="1">IF(ISERROR(VLOOKUP(AN25,anniversaire!$X$2:$Z$100,2,0)),"",VLOOKUP(AN25,anniversaire!$X$2:$Z$100,2,0))</f>
        <v/>
      </c>
      <c r="AR25" s="54" t="str">
        <f>IF(ISERROR(VLOOKUP(AN25,fête!$B$2:$C$367,2,0)),"",VLOOKUP(AN25,fête!$B$2:$C$367,2,0))</f>
        <v>Didier</v>
      </c>
      <c r="AS25" s="238" t="str">
        <f>IF(ISERROR(VLOOKUP(AN25,évènements!$A$3:$D$200,3,0)),"",VLOOKUP(AN25,évènements!$A$3:$D$200,3,0))</f>
        <v/>
      </c>
      <c r="AT25" s="238" t="str">
        <f>IF(ISERROR(VLOOKUP(AN25,évènements!$B$3:$D$200,2,0)),"",VLOOKUP(AN25,évènements!$B$3:$D$200,2,0))</f>
        <v/>
      </c>
      <c r="AU25" s="238" t="str">
        <f t="shared" si="9"/>
        <v xml:space="preserve">  </v>
      </c>
      <c r="AV25" s="41">
        <f t="shared" si="32"/>
        <v>42909</v>
      </c>
      <c r="AW25" s="42">
        <f t="shared" si="46"/>
        <v>42909</v>
      </c>
      <c r="AX25" s="43" t="str">
        <f>IF(AW25="","",IF(ISERROR(MATCH(AW25,Lune!$A$1:$A$1000,0)),IF(WEEKDAY(AW25)=5,INT((AW25-DATE(YEAR(AW25),1,1))/7+1),IF(AND(WEEKDAY(AW25)=4,NOT( ISERROR(MATCH(AW25+1,Lune!$A$1:$A$1000,0)))),INT((AW25+1-DATE(YEAR(AW25+1),1,1))/7+1),"")),INDEX(Lune!$B$1:$B$1000,MATCH(AW25,Lune!$A$1:$A$1000,0),1)))</f>
        <v/>
      </c>
      <c r="AY25" s="79" t="str">
        <f t="shared" ca="1" si="10"/>
        <v xml:space="preserve"> '</v>
      </c>
      <c r="AZ25" s="54" t="str">
        <f ca="1">IF(ISERROR(VLOOKUP(AW25,anniversaire!$X$2:$Z$100,2,0)),"",VLOOKUP(AW25,anniversaire!$X$2:$Z$100,2,0))</f>
        <v>Lachaise   Hervé    38</v>
      </c>
      <c r="BA25" s="54" t="str">
        <f>IF(ISERROR(VLOOKUP(AW25,fête!$B$2:$C$367,2,0)),"",VLOOKUP(AW25,fête!$B$2:$C$367,2,0))</f>
        <v>Audrey</v>
      </c>
      <c r="BB25" s="54" t="str">
        <f>IF(ISERROR(VLOOKUP(AW25,évènements!$A$3:$D$200,3,0)),"",VLOOKUP(AW25,évènements!$A$3:$D$200,3,0))</f>
        <v/>
      </c>
      <c r="BC25" s="54" t="str">
        <f>IF(ISERROR(VLOOKUP(AW25,évènements!$B$3:$D$200,2,0)),"",VLOOKUP(AW25,évènements!$B$3:$D$200,2,0))</f>
        <v/>
      </c>
      <c r="BD25" s="54" t="str">
        <f t="shared" si="56"/>
        <v xml:space="preserve">  </v>
      </c>
      <c r="BE25" s="41">
        <f t="shared" si="33"/>
        <v>42939</v>
      </c>
      <c r="BF25" s="42">
        <f t="shared" si="47"/>
        <v>42939</v>
      </c>
      <c r="BG25" s="43" t="str">
        <f>IF(BF25="","",IF(ISERROR(MATCH(BF25,Lune!$A$1:$A$1000,0)),IF(WEEKDAY(BF25)=5,INT((BF25-DATE(YEAR(BF25),1,1))/7+1),IF(AND(WEEKDAY(BF25)=4,NOT( ISERROR(MATCH(BF25+1,Lune!$A$1:$A$1000,0)))),INT((BF25+1-DATE(YEAR(BF25+1),1,1))/7+1),"")),INDEX(Lune!$B$1:$B$1000,MATCH(BF25,Lune!$A$1:$A$1000,0),1)))</f>
        <v>●</v>
      </c>
      <c r="BH25" s="80" t="str">
        <f t="shared" ca="1" si="12"/>
        <v/>
      </c>
      <c r="BI25" s="54" t="str">
        <f ca="1">IF(ISERROR(VLOOKUP(BF25,anniversaire!$X$2:$Z$100,2,0)),"",VLOOKUP(BF25,anniversaire!$X$2:$Z$100,2,0))</f>
        <v/>
      </c>
      <c r="BJ25" s="54" t="str">
        <f>IF(ISERROR(VLOOKUP(BF25,fête!$B$2:$C$367,2,0)),"",VLOOKUP(BF25,fête!$B$2:$C$367,2,0))</f>
        <v>Brigitte</v>
      </c>
      <c r="BK25" s="54" t="str">
        <f>IF(ISERROR(VLOOKUP(BF25,évènements!$A$3:$D$200,3,0)),"",VLOOKUP(BF25,évènements!$A$3:$D$200,3,0))</f>
        <v/>
      </c>
      <c r="BL25" s="54" t="str">
        <f>IF(ISERROR(VLOOKUP(BF25,évènements!$B$3:$D$200,2,0)),"",VLOOKUP(BF25,évènements!$B$3:$D$200,2,0))</f>
        <v/>
      </c>
      <c r="BM25" s="54" t="str">
        <f t="shared" si="34"/>
        <v xml:space="preserve">  </v>
      </c>
      <c r="BN25" s="41">
        <f t="shared" si="35"/>
        <v>42970</v>
      </c>
      <c r="BO25" s="42">
        <f t="shared" si="48"/>
        <v>42970</v>
      </c>
      <c r="BP25" s="43" t="str">
        <f>IF(BO25="","",IF(ISERROR(MATCH(BO25,Lune!$A$1:$A$1000,0)),IF(WEEKDAY(BO25)=5,INT((BO25-DATE(YEAR(BO25),1,1))/7+1),IF(AND(WEEKDAY(BO25)=4,NOT( ISERROR(MATCH(BO25+1,Lune!$A$1:$A$1000,0)))),INT((BO25+1-DATE(YEAR(BO25+1),1,1))/7+1),"")),INDEX(Lune!$B$1:$B$1000,MATCH(BO25,Lune!$A$1:$A$1000,0),1)))</f>
        <v/>
      </c>
      <c r="BQ25" s="80" t="str">
        <f t="shared" ca="1" si="13"/>
        <v/>
      </c>
      <c r="BR25" s="54" t="str">
        <f ca="1">IF(ISERROR(VLOOKUP(BO25,anniversaire!$X$2:$Z$100,2,0)),"",VLOOKUP(BO25,anniversaire!$X$2:$Z$100,2,0))</f>
        <v/>
      </c>
      <c r="BS25" s="54" t="str">
        <f>IF(ISERROR(VLOOKUP(BO25,fête!$B$2:$C$367,2,0)),"",VLOOKUP(BO25,fête!$B$2:$C$367,2,0))</f>
        <v>Rose de Lima</v>
      </c>
      <c r="BT25" s="54" t="str">
        <f>IF(ISERROR(VLOOKUP(BO25,évènements!$A$3:$D$200,3,0)),"",VLOOKUP(BO25,évènements!$A$3:$D$200,3,0))</f>
        <v/>
      </c>
      <c r="BU25" s="54" t="str">
        <f>IF(ISERROR(VLOOKUP(BO25,évènements!$B$3:$D$200,2,0)),"",VLOOKUP(BO25,évènements!$B$3:$D$200,2,0))</f>
        <v/>
      </c>
      <c r="BV25" s="54" t="str">
        <f t="shared" si="14"/>
        <v xml:space="preserve">  </v>
      </c>
      <c r="BW25" s="41">
        <f t="shared" si="36"/>
        <v>43001</v>
      </c>
      <c r="BX25" s="42">
        <f t="shared" si="49"/>
        <v>43001</v>
      </c>
      <c r="BY25" s="43" t="str">
        <f>IF(BX25="","",IF(ISERROR(MATCH(BX25,Lune!$A$1:$A$1000,0)),IF(WEEKDAY(BX25)=5,INT((BX25-DATE(YEAR(BX25),1,1))/7+1),IF(AND(WEEKDAY(BX25)=4,NOT( ISERROR(MATCH(BX25+1,Lune!$A$1:$A$1000,0)))),INT((BX25+1-DATE(YEAR(BX25+1),1,1))/7+1),"")),INDEX(Lune!$B$1:$B$1000,MATCH(BX25,Lune!$A$1:$A$1000,0),1)))</f>
        <v/>
      </c>
      <c r="BZ25" s="80" t="str">
        <f t="shared" ca="1" si="15"/>
        <v/>
      </c>
      <c r="CA25" s="54" t="str">
        <f ca="1">IF(ISERROR(VLOOKUP(BX25,anniversaire!$X$2:$Z$100,2,0)),"",VLOOKUP(BX25,anniversaire!$X$2:$Z$100,2,0))</f>
        <v/>
      </c>
      <c r="CB25" s="54" t="str">
        <f>IF(ISERROR(VLOOKUP(BX25,fête!$B$2:$C$367,2,0)),"",VLOOKUP(BX25,fête!$B$2:$C$367,2,0))</f>
        <v>Automne</v>
      </c>
      <c r="CC25" s="54" t="str">
        <f>IF(ISERROR(VLOOKUP(BX25,évènements!$A$3:$D$200,3,0)),"",VLOOKUP(BX25,évènements!$A$3:$D$200,3,0))</f>
        <v/>
      </c>
      <c r="CD25" s="54" t="str">
        <f>IF(ISERROR(VLOOKUP(BX25,évènements!$B$3:$D$200,2,0)),"",VLOOKUP(BX25,évènements!$B$3:$D$200,2,0))</f>
        <v/>
      </c>
      <c r="CE25" s="54" t="str">
        <f t="shared" si="16"/>
        <v xml:space="preserve">  </v>
      </c>
      <c r="CF25" s="41">
        <f t="shared" si="37"/>
        <v>43031</v>
      </c>
      <c r="CG25" s="42">
        <f t="shared" si="50"/>
        <v>43031</v>
      </c>
      <c r="CH25" s="43" t="str">
        <f>IF(CG25="","",IF(ISERROR(MATCH(CG25,Lune!$A$1:$A$1000,0)),IF(WEEKDAY(CG25)=5,INT((CG25-DATE(YEAR(CG25),1,1))/7+1),IF(AND(WEEKDAY(CG25)=4,NOT( ISERROR(MATCH(CG25+1,Lune!$A$1:$A$1000,0)))),INT((CG25+1-DATE(YEAR(CG25+1),1,1))/7+1),"")),INDEX(Lune!$B$1:$B$1000,MATCH(CG25,Lune!$A$1:$A$1000,0),1)))</f>
        <v/>
      </c>
      <c r="CI25" s="80" t="str">
        <f t="shared" ca="1" si="17"/>
        <v/>
      </c>
      <c r="CJ25" s="54" t="str">
        <f ca="1">IF(ISERROR(VLOOKUP(CG25,anniversaire!$X$2:$Z$100,2,0)),"",VLOOKUP(CG25,anniversaire!$X$2:$Z$100,2,0))</f>
        <v/>
      </c>
      <c r="CK25" s="54" t="str">
        <f>IF(ISERROR(VLOOKUP(CG25,fête!$B$2:$C$367,2,0)),"",VLOOKUP(CG25,fête!$B$2:$C$367,2,0))</f>
        <v>Jean de Capistran</v>
      </c>
      <c r="CL25" s="54" t="str">
        <f>IF(ISERROR(VLOOKUP(CG25,évènements!$A$3:$D$200,3,0)),"",VLOOKUP(CG25,évènements!$A$3:$D$200,3,0))</f>
        <v/>
      </c>
      <c r="CM25" s="54" t="str">
        <f>IF(ISERROR(VLOOKUP(CG25,évènements!$B$3:$D$200,2,0)),"",VLOOKUP(CG25,évènements!$B$3:$D$200,2,0))</f>
        <v/>
      </c>
      <c r="CN25" s="54" t="str">
        <f t="shared" si="18"/>
        <v xml:space="preserve">  </v>
      </c>
      <c r="CO25" s="41">
        <f t="shared" si="38"/>
        <v>43062</v>
      </c>
      <c r="CP25" s="42">
        <f t="shared" si="51"/>
        <v>43062</v>
      </c>
      <c r="CQ25" s="43">
        <f>IF(CP25="","",IF(ISERROR(MATCH(CP25,Lune!$A$1:$A$1000,0)),IF(WEEKDAY(CP25)=5,INT((CP25-DATE(YEAR(CP25),1,1))/7+1),IF(AND(WEEKDAY(CP25)=4,NOT( ISERROR(MATCH(CP25+1,Lune!$A$1:$A$1000,0)))),INT((CP25+1-DATE(YEAR(CP25+1),1,1))/7+1),"")),INDEX(Lune!$B$1:$B$1000,MATCH(CP25,Lune!$A$1:$A$1000,0),1)))</f>
        <v>47</v>
      </c>
      <c r="CR25" s="80" t="str">
        <f t="shared" ca="1" si="19"/>
        <v/>
      </c>
      <c r="CS25" s="54" t="str">
        <f ca="1">IF(ISERROR(VLOOKUP(CP25,anniversaire!$X$2:$Z$100,2,0)),"",VLOOKUP(CP25,anniversaire!$X$2:$Z$100,2,0))</f>
        <v/>
      </c>
      <c r="CT25" s="54" t="str">
        <f>IF(ISERROR(VLOOKUP(CP25,fête!$B$2:$C$367,2,0)),"",VLOOKUP(CP25,fête!$B$2:$C$367,2,0))</f>
        <v>Clément</v>
      </c>
      <c r="CU25" s="54" t="str">
        <f>IF(ISERROR(VLOOKUP(CP25,évènements!$A$3:$D$200,3,0)),"",VLOOKUP(CP25,évènements!$A$3:$D$200,3,0))</f>
        <v/>
      </c>
      <c r="CV25" s="54" t="str">
        <f>IF(ISERROR(VLOOKUP(CP25,évènements!$B$3:$D$200,2,0)),"",VLOOKUP(CP25,évènements!$B$3:$D$200,2,0))</f>
        <v/>
      </c>
      <c r="CW25" s="54" t="str">
        <f t="shared" si="20"/>
        <v xml:space="preserve">  </v>
      </c>
      <c r="CX25" s="41">
        <f t="shared" si="39"/>
        <v>43092</v>
      </c>
      <c r="CY25" s="42">
        <f t="shared" si="52"/>
        <v>43092</v>
      </c>
      <c r="CZ25" s="43" t="str">
        <f>IF(CY25="","",IF(ISERROR(MATCH(CY25,Lune!$A$1:$A$1000,0)),IF(WEEKDAY(CY25)=5,INT((CY25-DATE(YEAR(CY25),1,1))/7+1),IF(AND(WEEKDAY(CY25)=4,NOT( ISERROR(MATCH(CY25+1,Lune!$A$1:$A$1000,0)))),INT((CY25+1-DATE(YEAR(CY25+1),1,1))/7+1),"")),INDEX(Lune!$B$1:$B$1000,MATCH(CY25,Lune!$A$1:$A$1000,0),1)))</f>
        <v/>
      </c>
      <c r="DA25" s="80" t="str">
        <f t="shared" ca="1" si="21"/>
        <v/>
      </c>
      <c r="DB25" s="54" t="str">
        <f ca="1">IF(ISERROR(VLOOKUP(CY25,anniversaire!$X$2:$Z$100,2,0)),"",VLOOKUP(CY25,anniversaire!$X$2:$Z$100,2,0))</f>
        <v/>
      </c>
      <c r="DC25" s="54" t="str">
        <f>IF(ISERROR(VLOOKUP(CY25,fête!$B$2:$C$367,2,0)),"",VLOOKUP(CY25,fête!$B$2:$C$367,2,0))</f>
        <v>Armand</v>
      </c>
      <c r="DD25" s="54" t="str">
        <f>IF(ISERROR(VLOOKUP(CY25,évènements!$A$3:$D$200,3,0)),"",VLOOKUP(CY25,évènements!$A$3:$D$200,3,0))</f>
        <v/>
      </c>
      <c r="DE25" s="54" t="str">
        <f>IF(ISERROR(VLOOKUP(CY25,évènements!$B$3:$D$200,2,0)),"",VLOOKUP(CY25,évènements!$B$3:$D$200,2,0))</f>
        <v/>
      </c>
      <c r="DF25" s="54" t="str">
        <f t="shared" si="22"/>
        <v xml:space="preserve">  </v>
      </c>
      <c r="DG25" s="41">
        <f t="shared" si="40"/>
        <v>43123</v>
      </c>
      <c r="DH25" s="42">
        <f t="shared" si="53"/>
        <v>43123</v>
      </c>
      <c r="DI25" s="43" t="str">
        <f>IF(DH25="","",IF(ISERROR(MATCH(DH25,Lune!$A$1:$A$1000,0)),IF(WEEKDAY(DH25)=5,INT((DH25-DATE(YEAR(DH25),1,1))/7+1),IF(AND(WEEKDAY(DH25)=4,NOT( ISERROR(MATCH(DH25+1,Lune!$A$1:$A$1000,0)))),INT((DH25+1-DATE(YEAR(DH25+1),1,1))/7+1),"")),INDEX(Lune!$B$1:$B$1000,MATCH(DH25,Lune!$A$1:$A$1000,0),1)))</f>
        <v/>
      </c>
      <c r="DJ25" s="89" t="str">
        <f t="shared" ca="1" si="23"/>
        <v/>
      </c>
      <c r="DK25" s="252" t="str">
        <f t="shared" ca="1" si="24"/>
        <v/>
      </c>
      <c r="DL25" s="252" t="str">
        <f t="shared" si="25"/>
        <v>Banard</v>
      </c>
      <c r="DM25" s="252" t="str">
        <f>IF(ISERROR(VLOOKUP(DH25,évènements!$A$3:$D$200,3,0)),"",VLOOKUP(DH25,évènements!$A$3:$D$200,3,0))</f>
        <v/>
      </c>
      <c r="DN25" s="252" t="str">
        <f>IF(ISERROR(VLOOKUP(DH25,évènements!$B$3:$D$200,2,0)),"",VLOOKUP(DH25,évènements!$B$3:$D$200,2,0))</f>
        <v/>
      </c>
      <c r="DO25" s="252" t="str">
        <f t="shared" si="26"/>
        <v xml:space="preserve">  </v>
      </c>
    </row>
    <row r="26" spans="2:119" ht="15" customHeight="1">
      <c r="B26" s="29"/>
      <c r="C26" s="41">
        <f t="shared" si="27"/>
        <v>42759</v>
      </c>
      <c r="D26" s="40">
        <f t="shared" si="41"/>
        <v>42759</v>
      </c>
      <c r="E26" s="131" t="str">
        <f>IF(D26="","",IF(ISERROR(MATCH(D26,Lune!$A$1:$A$1000,0)),IF(WEEKDAY(D26)=5,INT((D26-DATE(YEAR(D26),1,1))/7+1),IF(AND(WEEKDAY(D26)=4,NOT( ISERROR(MATCH(D26+1,Lune!$A$1:$A$1000,0)))),INT((D26+1-DATE(YEAR(D26+1),1,1))/7+1),"")),INDEX(Lune!$B$1:$B$1000,MATCH(D26,Lune!$A$1:$A$1000,0),1)))</f>
        <v/>
      </c>
      <c r="F26" s="89" t="str">
        <f t="shared" ca="1" si="0"/>
        <v/>
      </c>
      <c r="G26" s="125" t="str">
        <f ca="1">IF(ISERROR(VLOOKUP(D26,anniversaire!$X$2:$Z$100,2,0)),"",VLOOKUP(D26,anniversaire!$X$2:$Z$100,2,0))</f>
        <v/>
      </c>
      <c r="H26" s="54" t="str">
        <f>IF(ISERROR(VLOOKUP(D26,fête!$B$2:$C$367,2,0)),"",VLOOKUP(D26,fête!$B$2:$C$367,2,0))</f>
        <v>François de Sales</v>
      </c>
      <c r="I26" s="239" t="str">
        <f>IF(ISERROR(VLOOKUP(D26,évènements!$A$3:$D$200,3,0)),"",VLOOKUP(D26,évènements!$A$3:$D$200,3,0))</f>
        <v/>
      </c>
      <c r="J26" s="239" t="str">
        <f>IF(ISERROR(VLOOKUP(D26,évènements!$B$3:$D$200,2,0)),"",VLOOKUP(D26,évènements!$B$3:$D$200,2,0))</f>
        <v/>
      </c>
      <c r="K26" s="239" t="str">
        <f t="shared" si="58"/>
        <v xml:space="preserve">  </v>
      </c>
      <c r="L26" s="41">
        <f t="shared" si="28"/>
        <v>42790</v>
      </c>
      <c r="M26" s="42">
        <f t="shared" si="42"/>
        <v>42790</v>
      </c>
      <c r="N26" s="131" t="str">
        <f>IF(M26="","",IF(ISERROR(MATCH(M26,Lune!$A$1:$A$1000,0)),IF(WEEKDAY(M26)=5,INT((M26-DATE(YEAR(M26),1,1))/7+1),IF(AND(WEEKDAY(M26)=4,NOT( ISERROR(MATCH(M26+1,Lune!$A$1:$A$1000,0)))),INT((M26+1-DATE(YEAR(M26+1),1,1))/7+1),"")),INDEX(Lune!$B$1:$B$1000,MATCH(M26,Lune!$A$1:$A$1000,0),1)))</f>
        <v/>
      </c>
      <c r="O26" s="80" t="str">
        <f t="shared" ca="1" si="54"/>
        <v/>
      </c>
      <c r="P26" s="54" t="str">
        <f ca="1">IF(ISERROR(VLOOKUP(M26,anniversaire!$X$2:$Z$100,2,0)),"",VLOOKUP(M26,anniversaire!$X$2:$Z$100,2,0))</f>
        <v/>
      </c>
      <c r="Q26" s="54" t="str">
        <f>IF(ISERROR(VLOOKUP(M26,fête!$B$2:$C$367,2,0)),"",VLOOKUP(M26,fête!$B$2:$C$367,2,0))</f>
        <v>Modeste</v>
      </c>
      <c r="R26" s="54" t="str">
        <f>IF(ISERROR(VLOOKUP(M26,évènements!$A$3:$D$200,3,0)),"",VLOOKUP(M26,évènements!$A$3:$D$200,3,0))</f>
        <v/>
      </c>
      <c r="S26" s="54" t="str">
        <f>IF(ISERROR(VLOOKUP(M26,évènements!$B$3:$D$200,2,0)),"",VLOOKUP(M26,évènements!$B$3:$D$200,2,0))</f>
        <v/>
      </c>
      <c r="T26" s="54" t="str">
        <f t="shared" si="3"/>
        <v xml:space="preserve">  </v>
      </c>
      <c r="U26" s="41">
        <f t="shared" si="29"/>
        <v>42818</v>
      </c>
      <c r="V26" s="42">
        <f t="shared" si="43"/>
        <v>42818</v>
      </c>
      <c r="W26" s="132" t="str">
        <f>IF(V26="","",IF(ISERROR(MATCH(V26,Lune!$A$1:$A$1000,0)),IF(WEEKDAY(V26)=5,INT((V26-DATE(YEAR(V26),1,1))/7+1),IF(AND(WEEKDAY(V26)=4,NOT( ISERROR(MATCH(V26+1,Lune!$A$1:$A$1000,0)))),INT((V26+1-DATE(YEAR(V26+1),1,1))/7+1),"")),INDEX(Lune!$B$1:$B$1000,MATCH(V26,Lune!$A$1:$A$1000,0),1)))</f>
        <v/>
      </c>
      <c r="X26" s="89" t="str">
        <f t="shared" ca="1" si="4"/>
        <v/>
      </c>
      <c r="Y26" s="125" t="str">
        <f ca="1">IF(ISERROR(VLOOKUP(V26,anniversaire!$X$2:$Z$100,2,0)),"",VLOOKUP(V26,anniversaire!$X$2:$Z$100,2,0))</f>
        <v/>
      </c>
      <c r="Z26" s="54" t="str">
        <f>IF(ISERROR(VLOOKUP(V26,fête!$B$2:$C$367,2,0)),"",VLOOKUP(V26,fête!$B$2:$C$367,2,0))</f>
        <v>Catherine</v>
      </c>
      <c r="AA26" s="54" t="str">
        <f>IF(ISERROR(VLOOKUP(V26,évènements!$A$3:$D$200,3,0)),"",VLOOKUP(V26,évènements!$A$3:$D$200,3,0))</f>
        <v/>
      </c>
      <c r="AB26" s="54" t="str">
        <f>IF(ISERROR(VLOOKUP(V26,évènements!$B$3:$D$200,2,0)),"",VLOOKUP(V26,évènements!$B$3:$D$200,2,0))</f>
        <v/>
      </c>
      <c r="AC26" s="54" t="str">
        <f t="shared" si="57"/>
        <v xml:space="preserve">  </v>
      </c>
      <c r="AD26" s="41">
        <f t="shared" si="30"/>
        <v>42849</v>
      </c>
      <c r="AE26" s="42">
        <f t="shared" si="44"/>
        <v>42849</v>
      </c>
      <c r="AF26" s="137" t="str">
        <f>IF(AE26="","",IF(ISERROR(MATCH(AE26,Lune!$A$1:$A$1000,0)),IF(WEEKDAY(AE26)=5,INT((AE26-DATE(YEAR(AE26),1,1))/7+1),IF(AND(WEEKDAY(AE26)=4,NOT( ISERROR(MATCH(AE26+1,Lune!$A$1:$A$1000,0)))),INT((AE26+1-DATE(YEAR(AE26+1),1,1))/7+1),"")),INDEX(Lune!$B$1:$B$1000,MATCH(AE26,Lune!$A$1:$A$1000,0),1)))</f>
        <v/>
      </c>
      <c r="AG26" s="80" t="str">
        <f t="shared" ca="1" si="6"/>
        <v/>
      </c>
      <c r="AH26" s="54" t="str">
        <f ca="1">IF(ISERROR(VLOOKUP(AE26,anniversaire!$X$2:$Z$100,2,0)),"",VLOOKUP(AE26,anniversaire!$X$2:$Z$100,2,0))</f>
        <v/>
      </c>
      <c r="AI26" s="54" t="str">
        <f>IF(ISERROR(VLOOKUP(AE26,fête!$B$2:$C$367,2,0)),"",VLOOKUP(AE26,fête!$B$2:$C$367,2,0))</f>
        <v>Fidèle</v>
      </c>
      <c r="AJ26" s="54" t="str">
        <f>IF(ISERROR(VLOOKUP(AE26,évènements!$A$3:$D$200,3,0)),"",VLOOKUP(AE26,évènements!$A$3:$D$200,3,0))</f>
        <v xml:space="preserve"> CFCAI</v>
      </c>
      <c r="AK26" s="54" t="str">
        <f>IF(ISERROR(VLOOKUP(AE26,évènements!$B$3:$D$200,2,0)),"",VLOOKUP(AE26,évènements!$B$3:$D$200,2,0))</f>
        <v/>
      </c>
      <c r="AL26" s="238" t="str">
        <f t="shared" si="55"/>
        <v xml:space="preserve"> CFCAI  </v>
      </c>
      <c r="AM26" s="41">
        <f t="shared" si="31"/>
        <v>42879</v>
      </c>
      <c r="AN26" s="42">
        <f t="shared" si="45"/>
        <v>42879</v>
      </c>
      <c r="AO26" s="43">
        <f>IF(AN26="","",IF(ISERROR(MATCH(AN26,Lune!$A$1:$A$1000,0)),IF(WEEKDAY(AN26)=5,INT((AN26-DATE(YEAR(AN26),1,1))/7+1),IF(AND(WEEKDAY(AN26)=4,NOT( ISERROR(MATCH(AN26+1,Lune!$A$1:$A$1000,0)))),INT((AN26+1-DATE(YEAR(AN26+1),1,1))/7+1),"")),INDEX(Lune!$B$1:$B$1000,MATCH(AN26,Lune!$A$1:$A$1000,0),1)))</f>
        <v>21</v>
      </c>
      <c r="AP26" s="79" t="str">
        <f t="shared" ca="1" si="8"/>
        <v/>
      </c>
      <c r="AQ26" s="54" t="str">
        <f ca="1">IF(ISERROR(VLOOKUP(AN26,anniversaire!$X$2:$Z$100,2,0)),"",VLOOKUP(AN26,anniversaire!$X$2:$Z$100,2,0))</f>
        <v/>
      </c>
      <c r="AR26" s="54" t="str">
        <f>IF(ISERROR(VLOOKUP(AN26,fête!$B$2:$C$367,2,0)),"",VLOOKUP(AN26,fête!$B$2:$C$367,2,0))</f>
        <v>Donatien</v>
      </c>
      <c r="AS26" s="238" t="str">
        <f>IF(ISERROR(VLOOKUP(AN26,évènements!$A$3:$D$200,3,0)),"",VLOOKUP(AN26,évènements!$A$3:$D$200,3,0))</f>
        <v/>
      </c>
      <c r="AT26" s="238" t="str">
        <f>IF(ISERROR(VLOOKUP(AN26,évènements!$B$3:$D$200,2,0)),"",VLOOKUP(AN26,évènements!$B$3:$D$200,2,0))</f>
        <v/>
      </c>
      <c r="AU26" s="238" t="str">
        <f t="shared" si="9"/>
        <v xml:space="preserve">  </v>
      </c>
      <c r="AV26" s="41">
        <f t="shared" si="32"/>
        <v>42910</v>
      </c>
      <c r="AW26" s="42">
        <f t="shared" si="46"/>
        <v>42910</v>
      </c>
      <c r="AX26" s="43" t="str">
        <f>IF(AW26="","",IF(ISERROR(MATCH(AW26,Lune!$A$1:$A$1000,0)),IF(WEEKDAY(AW26)=5,INT((AW26-DATE(YEAR(AW26),1,1))/7+1),IF(AND(WEEKDAY(AW26)=4,NOT( ISERROR(MATCH(AW26+1,Lune!$A$1:$A$1000,0)))),INT((AW26+1-DATE(YEAR(AW26+1),1,1))/7+1),"")),INDEX(Lune!$B$1:$B$1000,MATCH(AW26,Lune!$A$1:$A$1000,0),1)))</f>
        <v>●</v>
      </c>
      <c r="AY26" s="79" t="str">
        <f t="shared" ca="1" si="10"/>
        <v/>
      </c>
      <c r="AZ26" s="54" t="str">
        <f ca="1">IF(ISERROR(VLOOKUP(AW26,anniversaire!$X$2:$Z$100,2,0)),"",VLOOKUP(AW26,anniversaire!$X$2:$Z$100,2,0))</f>
        <v/>
      </c>
      <c r="BA26" s="54" t="str">
        <f>IF(ISERROR(VLOOKUP(AW26,fête!$B$2:$C$367,2,0)),"",VLOOKUP(AW26,fête!$B$2:$C$367,2,0))</f>
        <v>Jean-Baptiste</v>
      </c>
      <c r="BB26" s="54" t="str">
        <f>IF(ISERROR(VLOOKUP(AW26,évènements!$A$3:$D$200,3,0)),"",VLOOKUP(AW26,évènements!$A$3:$D$200,3,0))</f>
        <v/>
      </c>
      <c r="BC26" s="54" t="str">
        <f>IF(ISERROR(VLOOKUP(AW26,évènements!$B$3:$D$200,2,0)),"",VLOOKUP(AW26,évènements!$B$3:$D$200,2,0))</f>
        <v/>
      </c>
      <c r="BD26" s="54" t="str">
        <f t="shared" si="56"/>
        <v xml:space="preserve">  </v>
      </c>
      <c r="BE26" s="41">
        <f t="shared" si="33"/>
        <v>42940</v>
      </c>
      <c r="BF26" s="42">
        <f t="shared" si="47"/>
        <v>42940</v>
      </c>
      <c r="BG26" s="43" t="str">
        <f>IF(BF26="","",IF(ISERROR(MATCH(BF26,Lune!$A$1:$A$1000,0)),IF(WEEKDAY(BF26)=5,INT((BF26-DATE(YEAR(BF26),1,1))/7+1),IF(AND(WEEKDAY(BF26)=4,NOT( ISERROR(MATCH(BF26+1,Lune!$A$1:$A$1000,0)))),INT((BF26+1-DATE(YEAR(BF26+1),1,1))/7+1),"")),INDEX(Lune!$B$1:$B$1000,MATCH(BF26,Lune!$A$1:$A$1000,0),1)))</f>
        <v/>
      </c>
      <c r="BH26" s="80" t="str">
        <f t="shared" ca="1" si="12"/>
        <v/>
      </c>
      <c r="BI26" s="54" t="str">
        <f ca="1">IF(ISERROR(VLOOKUP(BF26,anniversaire!$X$2:$Z$100,2,0)),"",VLOOKUP(BF26,anniversaire!$X$2:$Z$100,2,0))</f>
        <v/>
      </c>
      <c r="BJ26" s="54" t="str">
        <f>IF(ISERROR(VLOOKUP(BF26,fête!$B$2:$C$367,2,0)),"",VLOOKUP(BF26,fête!$B$2:$C$367,2,0))</f>
        <v>Christine</v>
      </c>
      <c r="BK26" s="54" t="str">
        <f>IF(ISERROR(VLOOKUP(BF26,évènements!$A$3:$D$200,3,0)),"",VLOOKUP(BF26,évènements!$A$3:$D$200,3,0))</f>
        <v/>
      </c>
      <c r="BL26" s="54" t="str">
        <f>IF(ISERROR(VLOOKUP(BF26,évènements!$B$3:$D$200,2,0)),"",VLOOKUP(BF26,évènements!$B$3:$D$200,2,0))</f>
        <v/>
      </c>
      <c r="BM26" s="54" t="str">
        <f t="shared" si="34"/>
        <v xml:space="preserve">  </v>
      </c>
      <c r="BN26" s="41">
        <f t="shared" si="35"/>
        <v>42971</v>
      </c>
      <c r="BO26" s="42">
        <f t="shared" si="48"/>
        <v>42971</v>
      </c>
      <c r="BP26" s="43">
        <f>IF(BO26="","",IF(ISERROR(MATCH(BO26,Lune!$A$1:$A$1000,0)),IF(WEEKDAY(BO26)=5,INT((BO26-DATE(YEAR(BO26),1,1))/7+1),IF(AND(WEEKDAY(BO26)=4,NOT( ISERROR(MATCH(BO26+1,Lune!$A$1:$A$1000,0)))),INT((BO26+1-DATE(YEAR(BO26+1),1,1))/7+1),"")),INDEX(Lune!$B$1:$B$1000,MATCH(BO26,Lune!$A$1:$A$1000,0),1)))</f>
        <v>34</v>
      </c>
      <c r="BQ26" s="80" t="str">
        <f t="shared" ca="1" si="13"/>
        <v/>
      </c>
      <c r="BR26" s="54" t="str">
        <f ca="1">IF(ISERROR(VLOOKUP(BO26,anniversaire!$X$2:$Z$100,2,0)),"",VLOOKUP(BO26,anniversaire!$X$2:$Z$100,2,0))</f>
        <v/>
      </c>
      <c r="BS26" s="54" t="str">
        <f>IF(ISERROR(VLOOKUP(BO26,fête!$B$2:$C$367,2,0)),"",VLOOKUP(BO26,fête!$B$2:$C$367,2,0))</f>
        <v>Barthélémy</v>
      </c>
      <c r="BT26" s="54" t="str">
        <f>IF(ISERROR(VLOOKUP(BO26,évènements!$A$3:$D$200,3,0)),"",VLOOKUP(BO26,évènements!$A$3:$D$200,3,0))</f>
        <v/>
      </c>
      <c r="BU26" s="54" t="str">
        <f>IF(ISERROR(VLOOKUP(BO26,évènements!$B$3:$D$200,2,0)),"",VLOOKUP(BO26,évènements!$B$3:$D$200,2,0))</f>
        <v/>
      </c>
      <c r="BV26" s="54" t="str">
        <f t="shared" si="14"/>
        <v xml:space="preserve">  </v>
      </c>
      <c r="BW26" s="41">
        <f t="shared" si="36"/>
        <v>43002</v>
      </c>
      <c r="BX26" s="42">
        <f t="shared" si="49"/>
        <v>43002</v>
      </c>
      <c r="BY26" s="43" t="str">
        <f>IF(BX26="","",IF(ISERROR(MATCH(BX26,Lune!$A$1:$A$1000,0)),IF(WEEKDAY(BX26)=5,INT((BX26-DATE(YEAR(BX26),1,1))/7+1),IF(AND(WEEKDAY(BX26)=4,NOT( ISERROR(MATCH(BX26+1,Lune!$A$1:$A$1000,0)))),INT((BX26+1-DATE(YEAR(BX26+1),1,1))/7+1),"")),INDEX(Lune!$B$1:$B$1000,MATCH(BX26,Lune!$A$1:$A$1000,0),1)))</f>
        <v/>
      </c>
      <c r="BZ26" s="80" t="str">
        <f t="shared" ca="1" si="15"/>
        <v/>
      </c>
      <c r="CA26" s="54" t="str">
        <f ca="1">IF(ISERROR(VLOOKUP(BX26,anniversaire!$X$2:$Z$100,2,0)),"",VLOOKUP(BX26,anniversaire!$X$2:$Z$100,2,0))</f>
        <v/>
      </c>
      <c r="CB26" s="54" t="str">
        <f>IF(ISERROR(VLOOKUP(BX26,fête!$B$2:$C$367,2,0)),"",VLOOKUP(BX26,fête!$B$2:$C$367,2,0))</f>
        <v>Thècle</v>
      </c>
      <c r="CC26" s="54" t="str">
        <f>IF(ISERROR(VLOOKUP(BX26,évènements!$A$3:$D$200,3,0)),"",VLOOKUP(BX26,évènements!$A$3:$D$200,3,0))</f>
        <v/>
      </c>
      <c r="CD26" s="54" t="str">
        <f>IF(ISERROR(VLOOKUP(BX26,évènements!$B$3:$D$200,2,0)),"",VLOOKUP(BX26,évènements!$B$3:$D$200,2,0))</f>
        <v/>
      </c>
      <c r="CE26" s="54" t="str">
        <f t="shared" si="16"/>
        <v xml:space="preserve">  </v>
      </c>
      <c r="CF26" s="41">
        <f t="shared" si="37"/>
        <v>43032</v>
      </c>
      <c r="CG26" s="42">
        <f t="shared" si="50"/>
        <v>43032</v>
      </c>
      <c r="CH26" s="43" t="str">
        <f>IF(CG26="","",IF(ISERROR(MATCH(CG26,Lune!$A$1:$A$1000,0)),IF(WEEKDAY(CG26)=5,INT((CG26-DATE(YEAR(CG26),1,1))/7+1),IF(AND(WEEKDAY(CG26)=4,NOT( ISERROR(MATCH(CG26+1,Lune!$A$1:$A$1000,0)))),INT((CG26+1-DATE(YEAR(CG26+1),1,1))/7+1),"")),INDEX(Lune!$B$1:$B$1000,MATCH(CG26,Lune!$A$1:$A$1000,0),1)))</f>
        <v/>
      </c>
      <c r="CI26" s="80" t="str">
        <f t="shared" ca="1" si="17"/>
        <v/>
      </c>
      <c r="CJ26" s="54" t="str">
        <f ca="1">IF(ISERROR(VLOOKUP(CG26,anniversaire!$X$2:$Z$100,2,0)),"",VLOOKUP(CG26,anniversaire!$X$2:$Z$100,2,0))</f>
        <v/>
      </c>
      <c r="CK26" s="54" t="str">
        <f>IF(ISERROR(VLOOKUP(CG26,fête!$B$2:$C$367,2,0)),"",VLOOKUP(CG26,fête!$B$2:$C$367,2,0))</f>
        <v>Florentin</v>
      </c>
      <c r="CL26" s="54" t="str">
        <f>IF(ISERROR(VLOOKUP(CG26,évènements!$A$3:$D$200,3,0)),"",VLOOKUP(CG26,évènements!$A$3:$D$200,3,0))</f>
        <v/>
      </c>
      <c r="CM26" s="54" t="str">
        <f>IF(ISERROR(VLOOKUP(CG26,évènements!$B$3:$D$200,2,0)),"",VLOOKUP(CG26,évènements!$B$3:$D$200,2,0))</f>
        <v/>
      </c>
      <c r="CN26" s="54" t="str">
        <f t="shared" si="18"/>
        <v xml:space="preserve">  </v>
      </c>
      <c r="CO26" s="41">
        <f t="shared" si="38"/>
        <v>43063</v>
      </c>
      <c r="CP26" s="42">
        <f t="shared" si="51"/>
        <v>43063</v>
      </c>
      <c r="CQ26" s="43" t="str">
        <f>IF(CP26="","",IF(ISERROR(MATCH(CP26,Lune!$A$1:$A$1000,0)),IF(WEEKDAY(CP26)=5,INT((CP26-DATE(YEAR(CP26),1,1))/7+1),IF(AND(WEEKDAY(CP26)=4,NOT( ISERROR(MATCH(CP26+1,Lune!$A$1:$A$1000,0)))),INT((CP26+1-DATE(YEAR(CP26+1),1,1))/7+1),"")),INDEX(Lune!$B$1:$B$1000,MATCH(CP26,Lune!$A$1:$A$1000,0),1)))</f>
        <v/>
      </c>
      <c r="CR26" s="80" t="str">
        <f t="shared" ca="1" si="19"/>
        <v/>
      </c>
      <c r="CS26" s="54" t="str">
        <f ca="1">IF(ISERROR(VLOOKUP(CP26,anniversaire!$X$2:$Z$100,2,0)),"",VLOOKUP(CP26,anniversaire!$X$2:$Z$100,2,0))</f>
        <v/>
      </c>
      <c r="CT26" s="54" t="str">
        <f>IF(ISERROR(VLOOKUP(CP26,fête!$B$2:$C$367,2,0)),"",VLOOKUP(CP26,fête!$B$2:$C$367,2,0))</f>
        <v>Flora</v>
      </c>
      <c r="CU26" s="54" t="str">
        <f>IF(ISERROR(VLOOKUP(CP26,évènements!$A$3:$D$200,3,0)),"",VLOOKUP(CP26,évènements!$A$3:$D$200,3,0))</f>
        <v/>
      </c>
      <c r="CV26" s="54" t="str">
        <f>IF(ISERROR(VLOOKUP(CP26,évènements!$B$3:$D$200,2,0)),"",VLOOKUP(CP26,évènements!$B$3:$D$200,2,0))</f>
        <v/>
      </c>
      <c r="CW26" s="54" t="str">
        <f t="shared" si="20"/>
        <v xml:space="preserve">  </v>
      </c>
      <c r="CX26" s="41">
        <f t="shared" si="39"/>
        <v>43093</v>
      </c>
      <c r="CY26" s="42">
        <f t="shared" si="52"/>
        <v>43093</v>
      </c>
      <c r="CZ26" s="43" t="str">
        <f>IF(CY26="","",IF(ISERROR(MATCH(CY26,Lune!$A$1:$A$1000,0)),IF(WEEKDAY(CY26)=5,INT((CY26-DATE(YEAR(CY26),1,1))/7+1),IF(AND(WEEKDAY(CY26)=4,NOT( ISERROR(MATCH(CY26+1,Lune!$A$1:$A$1000,0)))),INT((CY26+1-DATE(YEAR(CY26+1),1,1))/7+1),"")),INDEX(Lune!$B$1:$B$1000,MATCH(CY26,Lune!$A$1:$A$1000,0),1)))</f>
        <v/>
      </c>
      <c r="DA26" s="80" t="str">
        <f t="shared" ca="1" si="21"/>
        <v/>
      </c>
      <c r="DB26" s="54" t="str">
        <f ca="1">IF(ISERROR(VLOOKUP(CY26,anniversaire!$X$2:$Z$100,2,0)),"",VLOOKUP(CY26,anniversaire!$X$2:$Z$100,2,0))</f>
        <v/>
      </c>
      <c r="DC26" s="54" t="str">
        <f>IF(ISERROR(VLOOKUP(CY26,fête!$B$2:$C$367,2,0)),"",VLOOKUP(CY26,fête!$B$2:$C$367,2,0))</f>
        <v>Adèle</v>
      </c>
      <c r="DD26" s="54" t="str">
        <f>IF(ISERROR(VLOOKUP(CY26,évènements!$A$3:$D$200,3,0)),"",VLOOKUP(CY26,évènements!$A$3:$D$200,3,0))</f>
        <v/>
      </c>
      <c r="DE26" s="54" t="str">
        <f>IF(ISERROR(VLOOKUP(CY26,évènements!$B$3:$D$200,2,0)),"",VLOOKUP(CY26,évènements!$B$3:$D$200,2,0))</f>
        <v/>
      </c>
      <c r="DF26" s="54" t="str">
        <f t="shared" si="22"/>
        <v xml:space="preserve">  </v>
      </c>
      <c r="DG26" s="41">
        <f t="shared" si="40"/>
        <v>43124</v>
      </c>
      <c r="DH26" s="42">
        <f t="shared" si="53"/>
        <v>43124</v>
      </c>
      <c r="DI26" s="43" t="str">
        <f>IF(DH26="","",IF(ISERROR(MATCH(DH26,Lune!$A$1:$A$1000,0)),IF(WEEKDAY(DH26)=5,INT((DH26-DATE(YEAR(DH26),1,1))/7+1),IF(AND(WEEKDAY(DH26)=4,NOT( ISERROR(MATCH(DH26+1,Lune!$A$1:$A$1000,0)))),INT((DH26+1-DATE(YEAR(DH26+1),1,1))/7+1),"")),INDEX(Lune!$B$1:$B$1000,MATCH(DH26,Lune!$A$1:$A$1000,0),1)))</f>
        <v>◐</v>
      </c>
      <c r="DJ26" s="89" t="str">
        <f t="shared" ca="1" si="23"/>
        <v/>
      </c>
      <c r="DK26" s="252" t="str">
        <f t="shared" ca="1" si="24"/>
        <v/>
      </c>
      <c r="DL26" s="252" t="str">
        <f t="shared" si="25"/>
        <v>François de Sales</v>
      </c>
      <c r="DM26" s="252" t="str">
        <f>IF(ISERROR(VLOOKUP(DH26,évènements!$A$3:$D$200,3,0)),"",VLOOKUP(DH26,évènements!$A$3:$D$200,3,0))</f>
        <v/>
      </c>
      <c r="DN26" s="252" t="str">
        <f>IF(ISERROR(VLOOKUP(DH26,évènements!$B$3:$D$200,2,0)),"",VLOOKUP(DH26,évènements!$B$3:$D$200,2,0))</f>
        <v/>
      </c>
      <c r="DO26" s="252" t="str">
        <f t="shared" si="26"/>
        <v xml:space="preserve">  </v>
      </c>
    </row>
    <row r="27" spans="2:119" ht="15" customHeight="1">
      <c r="B27" s="29"/>
      <c r="C27" s="41">
        <f t="shared" si="27"/>
        <v>42760</v>
      </c>
      <c r="D27" s="40">
        <f t="shared" si="41"/>
        <v>42760</v>
      </c>
      <c r="E27" s="131" t="str">
        <f>IF(D27="","",IF(ISERROR(MATCH(D27,Lune!$A$1:$A$1000,0)),IF(WEEKDAY(D27)=5,INT((D27-DATE(YEAR(D27),1,1))/7+1),IF(AND(WEEKDAY(D27)=4,NOT( ISERROR(MATCH(D27+1,Lune!$A$1:$A$1000,0)))),INT((D27+1-DATE(YEAR(D27+1),1,1))/7+1),"")),INDEX(Lune!$B$1:$B$1000,MATCH(D27,Lune!$A$1:$A$1000,0),1)))</f>
        <v/>
      </c>
      <c r="F27" s="89" t="str">
        <f t="shared" ca="1" si="0"/>
        <v/>
      </c>
      <c r="G27" s="125" t="str">
        <f ca="1">IF(ISERROR(VLOOKUP(D27,anniversaire!$X$2:$Z$100,2,0)),"",VLOOKUP(D27,anniversaire!$X$2:$Z$100,2,0))</f>
        <v/>
      </c>
      <c r="H27" s="54" t="str">
        <f>IF(ISERROR(VLOOKUP(D27,fête!$B$2:$C$367,2,0)),"",VLOOKUP(D27,fête!$B$2:$C$367,2,0))</f>
        <v>Conversion de Paul</v>
      </c>
      <c r="I27" s="239" t="str">
        <f>IF(ISERROR(VLOOKUP(D27,évènements!$A$3:$D$200,3,0)),"",VLOOKUP(D27,évènements!$A$3:$D$200,3,0))</f>
        <v/>
      </c>
      <c r="J27" s="239" t="str">
        <f>IF(ISERROR(VLOOKUP(D27,évènements!$B$3:$D$200,2,0)),"",VLOOKUP(D27,évènements!$B$3:$D$200,2,0))</f>
        <v/>
      </c>
      <c r="K27" s="239" t="str">
        <f t="shared" si="58"/>
        <v xml:space="preserve">  </v>
      </c>
      <c r="L27" s="41">
        <f t="shared" si="28"/>
        <v>42791</v>
      </c>
      <c r="M27" s="42">
        <f t="shared" si="42"/>
        <v>42791</v>
      </c>
      <c r="N27" s="131" t="str">
        <f>IF(M27="","",IF(ISERROR(MATCH(M27,Lune!$A$1:$A$1000,0)),IF(WEEKDAY(M27)=5,INT((M27-DATE(YEAR(M27),1,1))/7+1),IF(AND(WEEKDAY(M27)=4,NOT( ISERROR(MATCH(M27+1,Lune!$A$1:$A$1000,0)))),INT((M27+1-DATE(YEAR(M27+1),1,1))/7+1),"")),INDEX(Lune!$B$1:$B$1000,MATCH(M27,Lune!$A$1:$A$1000,0),1)))</f>
        <v/>
      </c>
      <c r="O27" s="80" t="str">
        <f t="shared" ca="1" si="54"/>
        <v/>
      </c>
      <c r="P27" s="54" t="str">
        <f ca="1">IF(ISERROR(VLOOKUP(M27,anniversaire!$X$2:$Z$100,2,0)),"",VLOOKUP(M27,anniversaire!$X$2:$Z$100,2,0))</f>
        <v/>
      </c>
      <c r="Q27" s="54" t="str">
        <f>IF(ISERROR(VLOOKUP(M27,fête!$B$2:$C$367,2,0)),"",VLOOKUP(M27,fête!$B$2:$C$367,2,0))</f>
        <v>Roméo</v>
      </c>
      <c r="R27" s="54" t="str">
        <f>IF(ISERROR(VLOOKUP(M27,évènements!$A$3:$D$200,3,0)),"",VLOOKUP(M27,évènements!$A$3:$D$200,3,0))</f>
        <v/>
      </c>
      <c r="S27" s="54" t="str">
        <f>IF(ISERROR(VLOOKUP(M27,évènements!$B$3:$D$200,2,0)),"",VLOOKUP(M27,évènements!$B$3:$D$200,2,0))</f>
        <v/>
      </c>
      <c r="T27" s="54" t="str">
        <f t="shared" si="3"/>
        <v xml:space="preserve">  </v>
      </c>
      <c r="U27" s="41">
        <f t="shared" si="29"/>
        <v>42819</v>
      </c>
      <c r="V27" s="42">
        <f t="shared" si="43"/>
        <v>42819</v>
      </c>
      <c r="W27" s="132" t="str">
        <f>IF(V27="","",IF(ISERROR(MATCH(V27,Lune!$A$1:$A$1000,0)),IF(WEEKDAY(V27)=5,INT((V27-DATE(YEAR(V27),1,1))/7+1),IF(AND(WEEKDAY(V27)=4,NOT( ISERROR(MATCH(V27+1,Lune!$A$1:$A$1000,0)))),INT((V27+1-DATE(YEAR(V27+1),1,1))/7+1),"")),INDEX(Lune!$B$1:$B$1000,MATCH(V27,Lune!$A$1:$A$1000,0),1)))</f>
        <v/>
      </c>
      <c r="X27" s="89" t="str">
        <f t="shared" ca="1" si="4"/>
        <v/>
      </c>
      <c r="Y27" s="125" t="str">
        <f ca="1">IF(ISERROR(VLOOKUP(V27,anniversaire!$X$2:$Z$100,2,0)),"",VLOOKUP(V27,anniversaire!$X$2:$Z$100,2,0))</f>
        <v/>
      </c>
      <c r="Z27" s="54" t="str">
        <f>IF(ISERROR(VLOOKUP(V27,fête!$B$2:$C$367,2,0)),"",VLOOKUP(V27,fête!$B$2:$C$367,2,0))</f>
        <v>Annonciation</v>
      </c>
      <c r="AA27" s="54" t="str">
        <f>IF(ISERROR(VLOOKUP(V27,évènements!$A$3:$D$200,3,0)),"",VLOOKUP(V27,évènements!$A$3:$D$200,3,0))</f>
        <v/>
      </c>
      <c r="AB27" s="54" t="str">
        <f>IF(ISERROR(VLOOKUP(V27,évènements!$B$3:$D$200,2,0)),"",VLOOKUP(V27,évènements!$B$3:$D$200,2,0))</f>
        <v/>
      </c>
      <c r="AC27" s="54" t="str">
        <f t="shared" si="57"/>
        <v xml:space="preserve">  </v>
      </c>
      <c r="AD27" s="41">
        <f t="shared" si="30"/>
        <v>42850</v>
      </c>
      <c r="AE27" s="42">
        <f t="shared" si="44"/>
        <v>42850</v>
      </c>
      <c r="AF27" s="137" t="str">
        <f>IF(AE27="","",IF(ISERROR(MATCH(AE27,Lune!$A$1:$A$1000,0)),IF(WEEKDAY(AE27)=5,INT((AE27-DATE(YEAR(AE27),1,1))/7+1),IF(AND(WEEKDAY(AE27)=4,NOT( ISERROR(MATCH(AE27+1,Lune!$A$1:$A$1000,0)))),INT((AE27+1-DATE(YEAR(AE27+1),1,1))/7+1),"")),INDEX(Lune!$B$1:$B$1000,MATCH(AE27,Lune!$A$1:$A$1000,0),1)))</f>
        <v/>
      </c>
      <c r="AG27" s="80" t="str">
        <f t="shared" ca="1" si="6"/>
        <v/>
      </c>
      <c r="AH27" s="54" t="str">
        <f ca="1">IF(ISERROR(VLOOKUP(AE27,anniversaire!$X$2:$Z$100,2,0)),"",VLOOKUP(AE27,anniversaire!$X$2:$Z$100,2,0))</f>
        <v/>
      </c>
      <c r="AI27" s="54" t="str">
        <f>IF(ISERROR(VLOOKUP(AE27,fête!$B$2:$C$367,2,0)),"",VLOOKUP(AE27,fête!$B$2:$C$367,2,0))</f>
        <v>Marc</v>
      </c>
      <c r="AJ27" s="54" t="str">
        <f>IF(ISERROR(VLOOKUP(AE27,évènements!$A$3:$D$200,3,0)),"",VLOOKUP(AE27,évènements!$A$3:$D$200,3,0))</f>
        <v/>
      </c>
      <c r="AK27" s="54" t="str">
        <f>IF(ISERROR(VLOOKUP(AE27,évènements!$B$3:$D$200,2,0)),"",VLOOKUP(AE27,évènements!$B$3:$D$200,2,0))</f>
        <v/>
      </c>
      <c r="AL27" s="238" t="str">
        <f t="shared" si="55"/>
        <v xml:space="preserve">  </v>
      </c>
      <c r="AM27" s="41">
        <f t="shared" si="31"/>
        <v>42880</v>
      </c>
      <c r="AN27" s="42">
        <f t="shared" si="45"/>
        <v>42880</v>
      </c>
      <c r="AO27" s="43" t="str">
        <f>IF(AN27="","",IF(ISERROR(MATCH(AN27,Lune!$A$1:$A$1000,0)),IF(WEEKDAY(AN27)=5,INT((AN27-DATE(YEAR(AN27),1,1))/7+1),IF(AND(WEEKDAY(AN27)=4,NOT( ISERROR(MATCH(AN27+1,Lune!$A$1:$A$1000,0)))),INT((AN27+1-DATE(YEAR(AN27+1),1,1))/7+1),"")),INDEX(Lune!$B$1:$B$1000,MATCH(AN27,Lune!$A$1:$A$1000,0),1)))</f>
        <v>●</v>
      </c>
      <c r="AP27" s="79" t="str">
        <f t="shared" ca="1" si="8"/>
        <v/>
      </c>
      <c r="AQ27" s="54" t="str">
        <f ca="1">IF(ISERROR(VLOOKUP(AN27,anniversaire!$X$2:$Z$100,2,0)),"",VLOOKUP(AN27,anniversaire!$X$2:$Z$100,2,0))</f>
        <v/>
      </c>
      <c r="AR27" s="54" t="str">
        <f>IF(ISERROR(VLOOKUP(AN27,fête!$B$2:$C$367,2,0)),"",VLOOKUP(AN27,fête!$B$2:$C$367,2,0))</f>
        <v>Sophie</v>
      </c>
      <c r="AS27" s="238" t="str">
        <f>IF(ISERROR(VLOOKUP(AN27,évènements!$A$3:$D$200,3,0)),"",VLOOKUP(AN27,évènements!$A$3:$D$200,3,0))</f>
        <v/>
      </c>
      <c r="AT27" s="238" t="str">
        <f>IF(ISERROR(VLOOKUP(AN27,évènements!$B$3:$D$200,2,0)),"",VLOOKUP(AN27,évènements!$B$3:$D$200,2,0))</f>
        <v/>
      </c>
      <c r="AU27" s="238" t="str">
        <f t="shared" si="9"/>
        <v xml:space="preserve">  </v>
      </c>
      <c r="AV27" s="41">
        <f t="shared" si="32"/>
        <v>42911</v>
      </c>
      <c r="AW27" s="42">
        <f t="shared" si="46"/>
        <v>42911</v>
      </c>
      <c r="AX27" s="43" t="str">
        <f>IF(AW27="","",IF(ISERROR(MATCH(AW27,Lune!$A$1:$A$1000,0)),IF(WEEKDAY(AW27)=5,INT((AW27-DATE(YEAR(AW27),1,1))/7+1),IF(AND(WEEKDAY(AW27)=4,NOT( ISERROR(MATCH(AW27+1,Lune!$A$1:$A$1000,0)))),INT((AW27+1-DATE(YEAR(AW27+1),1,1))/7+1),"")),INDEX(Lune!$B$1:$B$1000,MATCH(AW27,Lune!$A$1:$A$1000,0),1)))</f>
        <v/>
      </c>
      <c r="AY27" s="79" t="str">
        <f t="shared" ca="1" si="10"/>
        <v/>
      </c>
      <c r="AZ27" s="54" t="str">
        <f ca="1">IF(ISERROR(VLOOKUP(AW27,anniversaire!$X$2:$Z$100,2,0)),"",VLOOKUP(AW27,anniversaire!$X$2:$Z$100,2,0))</f>
        <v/>
      </c>
      <c r="BA27" s="54" t="str">
        <f>IF(ISERROR(VLOOKUP(AW27,fête!$B$2:$C$367,2,0)),"",VLOOKUP(AW27,fête!$B$2:$C$367,2,0))</f>
        <v>Prosper</v>
      </c>
      <c r="BB27" s="54" t="str">
        <f>IF(ISERROR(VLOOKUP(AW27,évènements!$A$3:$D$200,3,0)),"",VLOOKUP(AW27,évènements!$A$3:$D$200,3,0))</f>
        <v/>
      </c>
      <c r="BC27" s="54" t="str">
        <f>IF(ISERROR(VLOOKUP(AW27,évènements!$B$3:$D$200,2,0)),"",VLOOKUP(AW27,évènements!$B$3:$D$200,2,0))</f>
        <v/>
      </c>
      <c r="BD27" s="54" t="str">
        <f t="shared" si="56"/>
        <v xml:space="preserve">  </v>
      </c>
      <c r="BE27" s="41">
        <f t="shared" si="33"/>
        <v>42941</v>
      </c>
      <c r="BF27" s="42">
        <f t="shared" si="47"/>
        <v>42941</v>
      </c>
      <c r="BG27" s="43" t="str">
        <f>IF(BF27="","",IF(ISERROR(MATCH(BF27,Lune!$A$1:$A$1000,0)),IF(WEEKDAY(BF27)=5,INT((BF27-DATE(YEAR(BF27),1,1))/7+1),IF(AND(WEEKDAY(BF27)=4,NOT( ISERROR(MATCH(BF27+1,Lune!$A$1:$A$1000,0)))),INT((BF27+1-DATE(YEAR(BF27+1),1,1))/7+1),"")),INDEX(Lune!$B$1:$B$1000,MATCH(BF27,Lune!$A$1:$A$1000,0),1)))</f>
        <v/>
      </c>
      <c r="BH27" s="80" t="str">
        <f t="shared" ca="1" si="12"/>
        <v/>
      </c>
      <c r="BI27" s="54" t="str">
        <f ca="1">IF(ISERROR(VLOOKUP(BF27,anniversaire!$X$2:$Z$100,2,0)),"",VLOOKUP(BF27,anniversaire!$X$2:$Z$100,2,0))</f>
        <v/>
      </c>
      <c r="BJ27" s="54" t="str">
        <f>IF(ISERROR(VLOOKUP(BF27,fête!$B$2:$C$367,2,0)),"",VLOOKUP(BF27,fête!$B$2:$C$367,2,0))</f>
        <v>Jacques</v>
      </c>
      <c r="BK27" s="54" t="str">
        <f>IF(ISERROR(VLOOKUP(BF27,évènements!$A$3:$D$200,3,0)),"",VLOOKUP(BF27,évènements!$A$3:$D$200,3,0))</f>
        <v/>
      </c>
      <c r="BL27" s="54" t="str">
        <f>IF(ISERROR(VLOOKUP(BF27,évènements!$B$3:$D$200,2,0)),"",VLOOKUP(BF27,évènements!$B$3:$D$200,2,0))</f>
        <v/>
      </c>
      <c r="BM27" s="54" t="str">
        <f t="shared" si="34"/>
        <v xml:space="preserve">  </v>
      </c>
      <c r="BN27" s="41">
        <f t="shared" si="35"/>
        <v>42972</v>
      </c>
      <c r="BO27" s="42">
        <f t="shared" si="48"/>
        <v>42972</v>
      </c>
      <c r="BP27" s="43" t="str">
        <f>IF(BO27="","",IF(ISERROR(MATCH(BO27,Lune!$A$1:$A$1000,0)),IF(WEEKDAY(BO27)=5,INT((BO27-DATE(YEAR(BO27),1,1))/7+1),IF(AND(WEEKDAY(BO27)=4,NOT( ISERROR(MATCH(BO27+1,Lune!$A$1:$A$1000,0)))),INT((BO27+1-DATE(YEAR(BO27+1),1,1))/7+1),"")),INDEX(Lune!$B$1:$B$1000,MATCH(BO27,Lune!$A$1:$A$1000,0),1)))</f>
        <v/>
      </c>
      <c r="BQ27" s="80" t="str">
        <f t="shared" ca="1" si="13"/>
        <v/>
      </c>
      <c r="BR27" s="54" t="str">
        <f ca="1">IF(ISERROR(VLOOKUP(BO27,anniversaire!$X$2:$Z$100,2,0)),"",VLOOKUP(BO27,anniversaire!$X$2:$Z$100,2,0))</f>
        <v/>
      </c>
      <c r="BS27" s="54" t="str">
        <f>IF(ISERROR(VLOOKUP(BO27,fête!$B$2:$C$367,2,0)),"",VLOOKUP(BO27,fête!$B$2:$C$367,2,0))</f>
        <v>Louis</v>
      </c>
      <c r="BT27" s="54" t="str">
        <f>IF(ISERROR(VLOOKUP(BO27,évènements!$A$3:$D$200,3,0)),"",VLOOKUP(BO27,évènements!$A$3:$D$200,3,0))</f>
        <v/>
      </c>
      <c r="BU27" s="54" t="str">
        <f>IF(ISERROR(VLOOKUP(BO27,évènements!$B$3:$D$200,2,0)),"",VLOOKUP(BO27,évènements!$B$3:$D$200,2,0))</f>
        <v/>
      </c>
      <c r="BV27" s="54" t="str">
        <f t="shared" si="14"/>
        <v xml:space="preserve">  </v>
      </c>
      <c r="BW27" s="41">
        <f t="shared" si="36"/>
        <v>43003</v>
      </c>
      <c r="BX27" s="42">
        <f t="shared" si="49"/>
        <v>43003</v>
      </c>
      <c r="BY27" s="43" t="str">
        <f>IF(BX27="","",IF(ISERROR(MATCH(BX27,Lune!$A$1:$A$1000,0)),IF(WEEKDAY(BX27)=5,INT((BX27-DATE(YEAR(BX27),1,1))/7+1),IF(AND(WEEKDAY(BX27)=4,NOT( ISERROR(MATCH(BX27+1,Lune!$A$1:$A$1000,0)))),INT((BX27+1-DATE(YEAR(BX27+1),1,1))/7+1),"")),INDEX(Lune!$B$1:$B$1000,MATCH(BX27,Lune!$A$1:$A$1000,0),1)))</f>
        <v/>
      </c>
      <c r="BZ27" s="80" t="str">
        <f t="shared" ca="1" si="15"/>
        <v/>
      </c>
      <c r="CA27" s="54" t="str">
        <f ca="1">IF(ISERROR(VLOOKUP(BX27,anniversaire!$X$2:$Z$100,2,0)),"",VLOOKUP(BX27,anniversaire!$X$2:$Z$100,2,0))</f>
        <v/>
      </c>
      <c r="CB27" s="54" t="str">
        <f>IF(ISERROR(VLOOKUP(BX27,fête!$B$2:$C$367,2,0)),"",VLOOKUP(BX27,fête!$B$2:$C$367,2,0))</f>
        <v>Hermann</v>
      </c>
      <c r="CC27" s="54" t="str">
        <f>IF(ISERROR(VLOOKUP(BX27,évènements!$A$3:$D$200,3,0)),"",VLOOKUP(BX27,évènements!$A$3:$D$200,3,0))</f>
        <v/>
      </c>
      <c r="CD27" s="54" t="str">
        <f>IF(ISERROR(VLOOKUP(BX27,évènements!$B$3:$D$200,2,0)),"",VLOOKUP(BX27,évènements!$B$3:$D$200,2,0))</f>
        <v/>
      </c>
      <c r="CE27" s="54" t="str">
        <f t="shared" si="16"/>
        <v xml:space="preserve">  </v>
      </c>
      <c r="CF27" s="41">
        <f t="shared" si="37"/>
        <v>43033</v>
      </c>
      <c r="CG27" s="42">
        <f t="shared" si="50"/>
        <v>43033</v>
      </c>
      <c r="CH27" s="43" t="str">
        <f>IF(CG27="","",IF(ISERROR(MATCH(CG27,Lune!$A$1:$A$1000,0)),IF(WEEKDAY(CG27)=5,INT((CG27-DATE(YEAR(CG27),1,1))/7+1),IF(AND(WEEKDAY(CG27)=4,NOT( ISERROR(MATCH(CG27+1,Lune!$A$1:$A$1000,0)))),INT((CG27+1-DATE(YEAR(CG27+1),1,1))/7+1),"")),INDEX(Lune!$B$1:$B$1000,MATCH(CG27,Lune!$A$1:$A$1000,0),1)))</f>
        <v/>
      </c>
      <c r="CI27" s="80" t="str">
        <f t="shared" ca="1" si="17"/>
        <v/>
      </c>
      <c r="CJ27" s="54" t="str">
        <f ca="1">IF(ISERROR(VLOOKUP(CG27,anniversaire!$X$2:$Z$100,2,0)),"",VLOOKUP(CG27,anniversaire!$X$2:$Z$100,2,0))</f>
        <v/>
      </c>
      <c r="CK27" s="54" t="str">
        <f>IF(ISERROR(VLOOKUP(CG27,fête!$B$2:$C$367,2,0)),"",VLOOKUP(CG27,fête!$B$2:$C$367,2,0))</f>
        <v>Crépin</v>
      </c>
      <c r="CL27" s="54" t="str">
        <f>IF(ISERROR(VLOOKUP(CG27,évènements!$A$3:$D$200,3,0)),"",VLOOKUP(CG27,évènements!$A$3:$D$200,3,0))</f>
        <v/>
      </c>
      <c r="CM27" s="54" t="str">
        <f>IF(ISERROR(VLOOKUP(CG27,évènements!$B$3:$D$200,2,0)),"",VLOOKUP(CG27,évènements!$B$3:$D$200,2,0))</f>
        <v/>
      </c>
      <c r="CN27" s="54" t="str">
        <f t="shared" si="18"/>
        <v xml:space="preserve">  </v>
      </c>
      <c r="CO27" s="41">
        <f t="shared" si="38"/>
        <v>43064</v>
      </c>
      <c r="CP27" s="42">
        <f t="shared" si="51"/>
        <v>43064</v>
      </c>
      <c r="CQ27" s="43" t="str">
        <f>IF(CP27="","",IF(ISERROR(MATCH(CP27,Lune!$A$1:$A$1000,0)),IF(WEEKDAY(CP27)=5,INT((CP27-DATE(YEAR(CP27),1,1))/7+1),IF(AND(WEEKDAY(CP27)=4,NOT( ISERROR(MATCH(CP27+1,Lune!$A$1:$A$1000,0)))),INT((CP27+1-DATE(YEAR(CP27+1),1,1))/7+1),"")),INDEX(Lune!$B$1:$B$1000,MATCH(CP27,Lune!$A$1:$A$1000,0),1)))</f>
        <v/>
      </c>
      <c r="CR27" s="80" t="str">
        <f t="shared" ca="1" si="19"/>
        <v/>
      </c>
      <c r="CS27" s="54" t="str">
        <f ca="1">IF(ISERROR(VLOOKUP(CP27,anniversaire!$X$2:$Z$100,2,0)),"",VLOOKUP(CP27,anniversaire!$X$2:$Z$100,2,0))</f>
        <v/>
      </c>
      <c r="CT27" s="54" t="str">
        <f>IF(ISERROR(VLOOKUP(CP27,fête!$B$2:$C$367,2,0)),"",VLOOKUP(CP27,fête!$B$2:$C$367,2,0))</f>
        <v>Catherine</v>
      </c>
      <c r="CU27" s="54" t="str">
        <f>IF(ISERROR(VLOOKUP(CP27,évènements!$A$3:$D$200,3,0)),"",VLOOKUP(CP27,évènements!$A$3:$D$200,3,0))</f>
        <v/>
      </c>
      <c r="CV27" s="54" t="str">
        <f>IF(ISERROR(VLOOKUP(CP27,évènements!$B$3:$D$200,2,0)),"",VLOOKUP(CP27,évènements!$B$3:$D$200,2,0))</f>
        <v/>
      </c>
      <c r="CW27" s="54" t="str">
        <f t="shared" si="20"/>
        <v xml:space="preserve">  </v>
      </c>
      <c r="CX27" s="41">
        <f t="shared" si="39"/>
        <v>43094</v>
      </c>
      <c r="CY27" s="42">
        <f t="shared" si="52"/>
        <v>43094</v>
      </c>
      <c r="CZ27" s="43" t="str">
        <f>IF(CY27="","",IF(ISERROR(MATCH(CY27,Lune!$A$1:$A$1000,0)),IF(WEEKDAY(CY27)=5,INT((CY27-DATE(YEAR(CY27),1,1))/7+1),IF(AND(WEEKDAY(CY27)=4,NOT( ISERROR(MATCH(CY27+1,Lune!$A$1:$A$1000,0)))),INT((CY27+1-DATE(YEAR(CY27+1),1,1))/7+1),"")),INDEX(Lune!$B$1:$B$1000,MATCH(CY27,Lune!$A$1:$A$1000,0),1)))</f>
        <v/>
      </c>
      <c r="DA27" s="80" t="str">
        <f t="shared" ca="1" si="21"/>
        <v/>
      </c>
      <c r="DB27" s="54" t="str">
        <f ca="1">IF(ISERROR(VLOOKUP(CY27,anniversaire!$X$2:$Z$100,2,0)),"",VLOOKUP(CY27,anniversaire!$X$2:$Z$100,2,0))</f>
        <v/>
      </c>
      <c r="DC27" s="54" t="str">
        <f>IF(ISERROR(VLOOKUP(CY27,fête!$B$2:$C$367,2,0)),"",VLOOKUP(CY27,fête!$B$2:$C$367,2,0))</f>
        <v>Noël</v>
      </c>
      <c r="DD27" s="54" t="str">
        <f>IF(ISERROR(VLOOKUP(CY27,évènements!$A$3:$D$200,3,0)),"",VLOOKUP(CY27,évènements!$A$3:$D$200,3,0))</f>
        <v/>
      </c>
      <c r="DE27" s="54" t="str">
        <f>IF(ISERROR(VLOOKUP(CY27,évènements!$B$3:$D$200,2,0)),"",VLOOKUP(CY27,évènements!$B$3:$D$200,2,0))</f>
        <v/>
      </c>
      <c r="DF27" s="54" t="str">
        <f t="shared" si="22"/>
        <v xml:space="preserve">  </v>
      </c>
      <c r="DG27" s="41">
        <f t="shared" si="40"/>
        <v>43125</v>
      </c>
      <c r="DH27" s="42">
        <f t="shared" si="53"/>
        <v>43125</v>
      </c>
      <c r="DI27" s="43">
        <f>IF(DH27="","",IF(ISERROR(MATCH(DH27,Lune!$A$1:$A$1000,0)),IF(WEEKDAY(DH27)=5,INT((DH27-DATE(YEAR(DH27),1,1))/7+1),IF(AND(WEEKDAY(DH27)=4,NOT( ISERROR(MATCH(DH27+1,Lune!$A$1:$A$1000,0)))),INT((DH27+1-DATE(YEAR(DH27+1),1,1))/7+1),"")),INDEX(Lune!$B$1:$B$1000,MATCH(DH27,Lune!$A$1:$A$1000,0),1)))</f>
        <v>4</v>
      </c>
      <c r="DJ27" s="89" t="str">
        <f t="shared" ca="1" si="23"/>
        <v/>
      </c>
      <c r="DK27" s="252" t="str">
        <f t="shared" ca="1" si="24"/>
        <v/>
      </c>
      <c r="DL27" s="252" t="str">
        <f t="shared" si="25"/>
        <v>Conversion de Paul</v>
      </c>
      <c r="DM27" s="252" t="str">
        <f>IF(ISERROR(VLOOKUP(DH27,évènements!$A$3:$D$200,3,0)),"",VLOOKUP(DH27,évènements!$A$3:$D$200,3,0))</f>
        <v/>
      </c>
      <c r="DN27" s="252" t="str">
        <f>IF(ISERROR(VLOOKUP(DH27,évènements!$B$3:$D$200,2,0)),"",VLOOKUP(DH27,évènements!$B$3:$D$200,2,0))</f>
        <v/>
      </c>
      <c r="DO27" s="252" t="str">
        <f t="shared" si="26"/>
        <v xml:space="preserve">  </v>
      </c>
    </row>
    <row r="28" spans="2:119" ht="15" customHeight="1">
      <c r="B28" s="29"/>
      <c r="C28" s="41">
        <f t="shared" si="27"/>
        <v>42761</v>
      </c>
      <c r="D28" s="40">
        <f t="shared" si="41"/>
        <v>42761</v>
      </c>
      <c r="E28" s="131">
        <f>IF(D28="","",IF(ISERROR(MATCH(D28,Lune!$A$1:$A$1000,0)),IF(WEEKDAY(D28)=5,INT((D28-DATE(YEAR(D28),1,1))/7+1),IF(AND(WEEKDAY(D28)=4,NOT( ISERROR(MATCH(D28+1,Lune!$A$1:$A$1000,0)))),INT((D28+1-DATE(YEAR(D28+1),1,1))/7+1),"")),INDEX(Lune!$B$1:$B$1000,MATCH(D28,Lune!$A$1:$A$1000,0),1)))</f>
        <v>4</v>
      </c>
      <c r="F28" s="89" t="str">
        <f t="shared" ca="1" si="0"/>
        <v/>
      </c>
      <c r="G28" s="125" t="str">
        <f ca="1">IF(ISERROR(VLOOKUP(D28,anniversaire!$X$2:$Z$100,2,0)),"",VLOOKUP(D28,anniversaire!$X$2:$Z$100,2,0))</f>
        <v/>
      </c>
      <c r="H28" s="54" t="str">
        <f>IF(ISERROR(VLOOKUP(D28,fête!$B$2:$C$367,2,0)),"",VLOOKUP(D28,fête!$B$2:$C$367,2,0))</f>
        <v>Paule</v>
      </c>
      <c r="I28" s="239" t="str">
        <f>IF(ISERROR(VLOOKUP(D28,évènements!$A$3:$D$200,3,0)),"",VLOOKUP(D28,évènements!$A$3:$D$200,3,0))</f>
        <v/>
      </c>
      <c r="J28" s="239" t="str">
        <f>IF(ISERROR(VLOOKUP(D28,évènements!$B$3:$D$200,2,0)),"",VLOOKUP(D28,évènements!$B$3:$D$200,2,0))</f>
        <v/>
      </c>
      <c r="K28" s="239" t="str">
        <f t="shared" si="58"/>
        <v xml:space="preserve">  </v>
      </c>
      <c r="L28" s="41">
        <f t="shared" si="28"/>
        <v>42792</v>
      </c>
      <c r="M28" s="42">
        <f t="shared" si="42"/>
        <v>42792</v>
      </c>
      <c r="N28" s="131" t="str">
        <f>IF(M28="","",IF(ISERROR(MATCH(M28,Lune!$A$1:$A$1000,0)),IF(WEEKDAY(M28)=5,INT((M28-DATE(YEAR(M28),1,1))/7+1),IF(AND(WEEKDAY(M28)=4,NOT( ISERROR(MATCH(M28+1,Lune!$A$1:$A$1000,0)))),INT((M28+1-DATE(YEAR(M28+1),1,1))/7+1),"")),INDEX(Lune!$B$1:$B$1000,MATCH(M28,Lune!$A$1:$A$1000,0),1)))</f>
        <v>●</v>
      </c>
      <c r="O28" s="80" t="str">
        <f t="shared" ca="1" si="54"/>
        <v xml:space="preserve"> '</v>
      </c>
      <c r="P28" s="54" t="str">
        <f ca="1">IF(ISERROR(VLOOKUP(M28,anniversaire!$X$2:$Z$100,2,0)),"",VLOOKUP(M28,anniversaire!$X$2:$Z$100,2,0))</f>
        <v>mica      35</v>
      </c>
      <c r="Q28" s="54" t="str">
        <f>IF(ISERROR(VLOOKUP(M28,fête!$B$2:$C$367,2,0)),"",VLOOKUP(M28,fête!$B$2:$C$367,2,0))</f>
        <v>Nestor</v>
      </c>
      <c r="R28" s="54" t="str">
        <f>IF(ISERROR(VLOOKUP(M28,évènements!$A$3:$D$200,3,0)),"",VLOOKUP(M28,évènements!$A$3:$D$200,3,0))</f>
        <v/>
      </c>
      <c r="S28" s="54" t="str">
        <f>IF(ISERROR(VLOOKUP(M28,évènements!$B$3:$D$200,2,0)),"",VLOOKUP(M28,évènements!$B$3:$D$200,2,0))</f>
        <v/>
      </c>
      <c r="T28" s="54" t="str">
        <f t="shared" si="3"/>
        <v xml:space="preserve">  </v>
      </c>
      <c r="U28" s="41">
        <f t="shared" si="29"/>
        <v>42820</v>
      </c>
      <c r="V28" s="42">
        <f t="shared" si="43"/>
        <v>42820</v>
      </c>
      <c r="W28" s="132" t="str">
        <f>IF(V28="","",IF(ISERROR(MATCH(V28,Lune!$A$1:$A$1000,0)),IF(WEEKDAY(V28)=5,INT((V28-DATE(YEAR(V28),1,1))/7+1),IF(AND(WEEKDAY(V28)=4,NOT( ISERROR(MATCH(V28+1,Lune!$A$1:$A$1000,0)))),INT((V28+1-DATE(YEAR(V28+1),1,1))/7+1),"")),INDEX(Lune!$B$1:$B$1000,MATCH(V28,Lune!$A$1:$A$1000,0),1)))</f>
        <v/>
      </c>
      <c r="X28" s="89" t="str">
        <f t="shared" ca="1" si="4"/>
        <v/>
      </c>
      <c r="Y28" s="125" t="str">
        <f ca="1">IF(ISERROR(VLOOKUP(V28,anniversaire!$X$2:$Z$100,2,0)),"",VLOOKUP(V28,anniversaire!$X$2:$Z$100,2,0))</f>
        <v/>
      </c>
      <c r="Z28" s="54" t="str">
        <f>IF(ISERROR(VLOOKUP(V28,fête!$B$2:$C$367,2,0)),"",VLOOKUP(V28,fête!$B$2:$C$367,2,0))</f>
        <v>Larissa</v>
      </c>
      <c r="AA28" s="54" t="str">
        <f>IF(ISERROR(VLOOKUP(V28,évènements!$A$3:$D$200,3,0)),"",VLOOKUP(V28,évènements!$A$3:$D$200,3,0))</f>
        <v/>
      </c>
      <c r="AB28" s="54" t="str">
        <f>IF(ISERROR(VLOOKUP(V28,évènements!$B$3:$D$200,2,0)),"",VLOOKUP(V28,évènements!$B$3:$D$200,2,0))</f>
        <v/>
      </c>
      <c r="AC28" s="54" t="str">
        <f t="shared" si="57"/>
        <v xml:space="preserve">  </v>
      </c>
      <c r="AD28" s="41">
        <f t="shared" si="30"/>
        <v>42851</v>
      </c>
      <c r="AE28" s="42">
        <f t="shared" si="44"/>
        <v>42851</v>
      </c>
      <c r="AF28" s="137" t="str">
        <f>IF(AE28="","",IF(ISERROR(MATCH(AE28,Lune!$A$1:$A$1000,0)),IF(WEEKDAY(AE28)=5,INT((AE28-DATE(YEAR(AE28),1,1))/7+1),IF(AND(WEEKDAY(AE28)=4,NOT( ISERROR(MATCH(AE28+1,Lune!$A$1:$A$1000,0)))),INT((AE28+1-DATE(YEAR(AE28+1),1,1))/7+1),"")),INDEX(Lune!$B$1:$B$1000,MATCH(AE28,Lune!$A$1:$A$1000,0),1)))</f>
        <v>●</v>
      </c>
      <c r="AG28" s="80" t="str">
        <f t="shared" ca="1" si="6"/>
        <v/>
      </c>
      <c r="AH28" s="54" t="str">
        <f ca="1">IF(ISERROR(VLOOKUP(AE28,anniversaire!$X$2:$Z$100,2,0)),"",VLOOKUP(AE28,anniversaire!$X$2:$Z$100,2,0))</f>
        <v/>
      </c>
      <c r="AI28" s="54" t="str">
        <f>IF(ISERROR(VLOOKUP(AE28,fête!$B$2:$C$367,2,0)),"",VLOOKUP(AE28,fête!$B$2:$C$367,2,0))</f>
        <v>Alida</v>
      </c>
      <c r="AJ28" s="54" t="str">
        <f>IF(ISERROR(VLOOKUP(AE28,évènements!$A$3:$D$200,3,0)),"",VLOOKUP(AE28,évènements!$A$3:$D$200,3,0))</f>
        <v/>
      </c>
      <c r="AK28" s="54" t="str">
        <f>IF(ISERROR(VLOOKUP(AE28,évènements!$B$3:$D$200,2,0)),"",VLOOKUP(AE28,évènements!$B$3:$D$200,2,0))</f>
        <v/>
      </c>
      <c r="AL28" s="238" t="str">
        <f t="shared" si="55"/>
        <v xml:space="preserve">  </v>
      </c>
      <c r="AM28" s="41">
        <f t="shared" si="31"/>
        <v>42881</v>
      </c>
      <c r="AN28" s="42">
        <f t="shared" si="45"/>
        <v>42881</v>
      </c>
      <c r="AO28" s="43" t="str">
        <f>IF(AN28="","",IF(ISERROR(MATCH(AN28,Lune!$A$1:$A$1000,0)),IF(WEEKDAY(AN28)=5,INT((AN28-DATE(YEAR(AN28),1,1))/7+1),IF(AND(WEEKDAY(AN28)=4,NOT( ISERROR(MATCH(AN28+1,Lune!$A$1:$A$1000,0)))),INT((AN28+1-DATE(YEAR(AN28+1),1,1))/7+1),"")),INDEX(Lune!$B$1:$B$1000,MATCH(AN28,Lune!$A$1:$A$1000,0),1)))</f>
        <v/>
      </c>
      <c r="AP28" s="79" t="str">
        <f t="shared" ca="1" si="8"/>
        <v/>
      </c>
      <c r="AQ28" s="54" t="str">
        <f ca="1">IF(ISERROR(VLOOKUP(AN28,anniversaire!$X$2:$Z$100,2,0)),"",VLOOKUP(AN28,anniversaire!$X$2:$Z$100,2,0))</f>
        <v/>
      </c>
      <c r="AR28" s="54" t="str">
        <f>IF(ISERROR(VLOOKUP(AN28,fête!$B$2:$C$367,2,0)),"",VLOOKUP(AN28,fête!$B$2:$C$367,2,0))</f>
        <v>Bérenger</v>
      </c>
      <c r="AS28" s="238" t="str">
        <f>IF(ISERROR(VLOOKUP(AN28,évènements!$A$3:$D$200,3,0)),"",VLOOKUP(AN28,évènements!$A$3:$D$200,3,0))</f>
        <v/>
      </c>
      <c r="AT28" s="238" t="str">
        <f>IF(ISERROR(VLOOKUP(AN28,évènements!$B$3:$D$200,2,0)),"",VLOOKUP(AN28,évènements!$B$3:$D$200,2,0))</f>
        <v/>
      </c>
      <c r="AU28" s="238" t="str">
        <f t="shared" si="9"/>
        <v xml:space="preserve">  </v>
      </c>
      <c r="AV28" s="41">
        <f t="shared" si="32"/>
        <v>42912</v>
      </c>
      <c r="AW28" s="42">
        <f t="shared" si="46"/>
        <v>42912</v>
      </c>
      <c r="AX28" s="43" t="str">
        <f>IF(AW28="","",IF(ISERROR(MATCH(AW28,Lune!$A$1:$A$1000,0)),IF(WEEKDAY(AW28)=5,INT((AW28-DATE(YEAR(AW28),1,1))/7+1),IF(AND(WEEKDAY(AW28)=4,NOT( ISERROR(MATCH(AW28+1,Lune!$A$1:$A$1000,0)))),INT((AW28+1-DATE(YEAR(AW28+1),1,1))/7+1),"")),INDEX(Lune!$B$1:$B$1000,MATCH(AW28,Lune!$A$1:$A$1000,0),1)))</f>
        <v/>
      </c>
      <c r="AY28" s="79" t="str">
        <f t="shared" ca="1" si="10"/>
        <v/>
      </c>
      <c r="AZ28" s="54" t="str">
        <f ca="1">IF(ISERROR(VLOOKUP(AW28,anniversaire!$X$2:$Z$100,2,0)),"",VLOOKUP(AW28,anniversaire!$X$2:$Z$100,2,0))</f>
        <v/>
      </c>
      <c r="BA28" s="54" t="str">
        <f>IF(ISERROR(VLOOKUP(AW28,fête!$B$2:$C$367,2,0)),"",VLOOKUP(AW28,fête!$B$2:$C$367,2,0))</f>
        <v>Anthelme</v>
      </c>
      <c r="BB28" s="54" t="str">
        <f>IF(ISERROR(VLOOKUP(AW28,évènements!$A$3:$D$200,3,0)),"",VLOOKUP(AW28,évènements!$A$3:$D$200,3,0))</f>
        <v/>
      </c>
      <c r="BC28" s="54" t="str">
        <f>IF(ISERROR(VLOOKUP(AW28,évènements!$B$3:$D$200,2,0)),"",VLOOKUP(AW28,évènements!$B$3:$D$200,2,0))</f>
        <v/>
      </c>
      <c r="BD28" s="54" t="str">
        <f t="shared" si="56"/>
        <v xml:space="preserve">  </v>
      </c>
      <c r="BE28" s="41">
        <f t="shared" si="33"/>
        <v>42942</v>
      </c>
      <c r="BF28" s="42">
        <f t="shared" si="47"/>
        <v>42942</v>
      </c>
      <c r="BG28" s="43" t="str">
        <f>IF(BF28="","",IF(ISERROR(MATCH(BF28,Lune!$A$1:$A$1000,0)),IF(WEEKDAY(BF28)=5,INT((BF28-DATE(YEAR(BF28),1,1))/7+1),IF(AND(WEEKDAY(BF28)=4,NOT( ISERROR(MATCH(BF28+1,Lune!$A$1:$A$1000,0)))),INT((BF28+1-DATE(YEAR(BF28+1),1,1))/7+1),"")),INDEX(Lune!$B$1:$B$1000,MATCH(BF28,Lune!$A$1:$A$1000,0),1)))</f>
        <v/>
      </c>
      <c r="BH28" s="80" t="str">
        <f t="shared" ca="1" si="12"/>
        <v xml:space="preserve"> '</v>
      </c>
      <c r="BI28" s="54" t="str">
        <f ca="1">IF(ISERROR(VLOOKUP(BF28,anniversaire!$X$2:$Z$100,2,0)),"",VLOOKUP(BF28,anniversaire!$X$2:$Z$100,2,0))</f>
        <v>Taraud  daniel    66</v>
      </c>
      <c r="BJ28" s="54" t="str">
        <f>IF(ISERROR(VLOOKUP(BF28,fête!$B$2:$C$367,2,0)),"",VLOOKUP(BF28,fête!$B$2:$C$367,2,0))</f>
        <v>Anne, Joachin</v>
      </c>
      <c r="BK28" s="54" t="str">
        <f>IF(ISERROR(VLOOKUP(BF28,évènements!$A$3:$D$200,3,0)),"",VLOOKUP(BF28,évènements!$A$3:$D$200,3,0))</f>
        <v/>
      </c>
      <c r="BL28" s="54" t="str">
        <f>IF(ISERROR(VLOOKUP(BF28,évènements!$B$3:$D$200,2,0)),"",VLOOKUP(BF28,évènements!$B$3:$D$200,2,0))</f>
        <v/>
      </c>
      <c r="BM28" s="54" t="str">
        <f t="shared" si="34"/>
        <v xml:space="preserve">  </v>
      </c>
      <c r="BN28" s="41">
        <f t="shared" si="35"/>
        <v>42973</v>
      </c>
      <c r="BO28" s="42">
        <f t="shared" si="48"/>
        <v>42973</v>
      </c>
      <c r="BP28" s="43" t="str">
        <f>IF(BO28="","",IF(ISERROR(MATCH(BO28,Lune!$A$1:$A$1000,0)),IF(WEEKDAY(BO28)=5,INT((BO28-DATE(YEAR(BO28),1,1))/7+1),IF(AND(WEEKDAY(BO28)=4,NOT( ISERROR(MATCH(BO28+1,Lune!$A$1:$A$1000,0)))),INT((BO28+1-DATE(YEAR(BO28+1),1,1))/7+1),"")),INDEX(Lune!$B$1:$B$1000,MATCH(BO28,Lune!$A$1:$A$1000,0),1)))</f>
        <v/>
      </c>
      <c r="BQ28" s="80" t="str">
        <f t="shared" ca="1" si="13"/>
        <v/>
      </c>
      <c r="BR28" s="54" t="str">
        <f ca="1">IF(ISERROR(VLOOKUP(BO28,anniversaire!$X$2:$Z$100,2,0)),"",VLOOKUP(BO28,anniversaire!$X$2:$Z$100,2,0))</f>
        <v/>
      </c>
      <c r="BS28" s="54" t="str">
        <f>IF(ISERROR(VLOOKUP(BO28,fête!$B$2:$C$367,2,0)),"",VLOOKUP(BO28,fête!$B$2:$C$367,2,0))</f>
        <v>Natacha</v>
      </c>
      <c r="BT28" s="54" t="str">
        <f>IF(ISERROR(VLOOKUP(BO28,évènements!$A$3:$D$200,3,0)),"",VLOOKUP(BO28,évènements!$A$3:$D$200,3,0))</f>
        <v/>
      </c>
      <c r="BU28" s="54" t="str">
        <f>IF(ISERROR(VLOOKUP(BO28,évènements!$B$3:$D$200,2,0)),"",VLOOKUP(BO28,évènements!$B$3:$D$200,2,0))</f>
        <v/>
      </c>
      <c r="BV28" s="54" t="str">
        <f t="shared" si="14"/>
        <v xml:space="preserve">  </v>
      </c>
      <c r="BW28" s="41">
        <f t="shared" si="36"/>
        <v>43004</v>
      </c>
      <c r="BX28" s="42">
        <f t="shared" si="49"/>
        <v>43004</v>
      </c>
      <c r="BY28" s="43" t="str">
        <f>IF(BX28="","",IF(ISERROR(MATCH(BX28,Lune!$A$1:$A$1000,0)),IF(WEEKDAY(BX28)=5,INT((BX28-DATE(YEAR(BX28),1,1))/7+1),IF(AND(WEEKDAY(BX28)=4,NOT( ISERROR(MATCH(BX28+1,Lune!$A$1:$A$1000,0)))),INT((BX28+1-DATE(YEAR(BX28+1),1,1))/7+1),"")),INDEX(Lune!$B$1:$B$1000,MATCH(BX28,Lune!$A$1:$A$1000,0),1)))</f>
        <v/>
      </c>
      <c r="BZ28" s="80" t="str">
        <f t="shared" ca="1" si="15"/>
        <v/>
      </c>
      <c r="CA28" s="54" t="str">
        <f ca="1">IF(ISERROR(VLOOKUP(BX28,anniversaire!$X$2:$Z$100,2,0)),"",VLOOKUP(BX28,anniversaire!$X$2:$Z$100,2,0))</f>
        <v/>
      </c>
      <c r="CB28" s="54" t="str">
        <f>IF(ISERROR(VLOOKUP(BX28,fête!$B$2:$C$367,2,0)),"",VLOOKUP(BX28,fête!$B$2:$C$367,2,0))</f>
        <v>Côme, Damien</v>
      </c>
      <c r="CC28" s="54" t="str">
        <f>IF(ISERROR(VLOOKUP(BX28,évènements!$A$3:$D$200,3,0)),"",VLOOKUP(BX28,évènements!$A$3:$D$200,3,0))</f>
        <v/>
      </c>
      <c r="CD28" s="54" t="str">
        <f>IF(ISERROR(VLOOKUP(BX28,évènements!$B$3:$D$200,2,0)),"",VLOOKUP(BX28,évènements!$B$3:$D$200,2,0))</f>
        <v/>
      </c>
      <c r="CE28" s="54" t="str">
        <f t="shared" si="16"/>
        <v xml:space="preserve">  </v>
      </c>
      <c r="CF28" s="41">
        <f t="shared" si="37"/>
        <v>43034</v>
      </c>
      <c r="CG28" s="42">
        <f t="shared" si="50"/>
        <v>43034</v>
      </c>
      <c r="CH28" s="43">
        <f>IF(CG28="","",IF(ISERROR(MATCH(CG28,Lune!$A$1:$A$1000,0)),IF(WEEKDAY(CG28)=5,INT((CG28-DATE(YEAR(CG28),1,1))/7+1),IF(AND(WEEKDAY(CG28)=4,NOT( ISERROR(MATCH(CG28+1,Lune!$A$1:$A$1000,0)))),INT((CG28+1-DATE(YEAR(CG28+1),1,1))/7+1),"")),INDEX(Lune!$B$1:$B$1000,MATCH(CG28,Lune!$A$1:$A$1000,0),1)))</f>
        <v>43</v>
      </c>
      <c r="CI28" s="80" t="str">
        <f t="shared" ca="1" si="17"/>
        <v/>
      </c>
      <c r="CJ28" s="54" t="str">
        <f ca="1">IF(ISERROR(VLOOKUP(CG28,anniversaire!$X$2:$Z$100,2,0)),"",VLOOKUP(CG28,anniversaire!$X$2:$Z$100,2,0))</f>
        <v/>
      </c>
      <c r="CK28" s="54" t="str">
        <f>IF(ISERROR(VLOOKUP(CG28,fête!$B$2:$C$367,2,0)),"",VLOOKUP(CG28,fête!$B$2:$C$367,2,0))</f>
        <v>Dimitri</v>
      </c>
      <c r="CL28" s="54" t="str">
        <f>IF(ISERROR(VLOOKUP(CG28,évènements!$A$3:$D$200,3,0)),"",VLOOKUP(CG28,évènements!$A$3:$D$200,3,0))</f>
        <v/>
      </c>
      <c r="CM28" s="54" t="str">
        <f>IF(ISERROR(VLOOKUP(CG28,évènements!$B$3:$D$200,2,0)),"",VLOOKUP(CG28,évènements!$B$3:$D$200,2,0))</f>
        <v/>
      </c>
      <c r="CN28" s="54" t="str">
        <f t="shared" si="18"/>
        <v xml:space="preserve">  </v>
      </c>
      <c r="CO28" s="41">
        <f t="shared" si="38"/>
        <v>43065</v>
      </c>
      <c r="CP28" s="42">
        <f t="shared" si="51"/>
        <v>43065</v>
      </c>
      <c r="CQ28" s="43" t="str">
        <f>IF(CP28="","",IF(ISERROR(MATCH(CP28,Lune!$A$1:$A$1000,0)),IF(WEEKDAY(CP28)=5,INT((CP28-DATE(YEAR(CP28),1,1))/7+1),IF(AND(WEEKDAY(CP28)=4,NOT( ISERROR(MATCH(CP28+1,Lune!$A$1:$A$1000,0)))),INT((CP28+1-DATE(YEAR(CP28+1),1,1))/7+1),"")),INDEX(Lune!$B$1:$B$1000,MATCH(CP28,Lune!$A$1:$A$1000,0),1)))</f>
        <v>◐</v>
      </c>
      <c r="CR28" s="80" t="str">
        <f t="shared" ca="1" si="19"/>
        <v/>
      </c>
      <c r="CS28" s="54" t="str">
        <f ca="1">IF(ISERROR(VLOOKUP(CP28,anniversaire!$X$2:$Z$100,2,0)),"",VLOOKUP(CP28,anniversaire!$X$2:$Z$100,2,0))</f>
        <v/>
      </c>
      <c r="CT28" s="54" t="str">
        <f>IF(ISERROR(VLOOKUP(CP28,fête!$B$2:$C$367,2,0)),"",VLOOKUP(CP28,fête!$B$2:$C$367,2,0))</f>
        <v>Delphine</v>
      </c>
      <c r="CU28" s="54" t="str">
        <f>IF(ISERROR(VLOOKUP(CP28,évènements!$A$3:$D$200,3,0)),"",VLOOKUP(CP28,évènements!$A$3:$D$200,3,0))</f>
        <v/>
      </c>
      <c r="CV28" s="54" t="str">
        <f>IF(ISERROR(VLOOKUP(CP28,évènements!$B$3:$D$200,2,0)),"",VLOOKUP(CP28,évènements!$B$3:$D$200,2,0))</f>
        <v/>
      </c>
      <c r="CW28" s="54" t="str">
        <f t="shared" si="20"/>
        <v xml:space="preserve">  </v>
      </c>
      <c r="CX28" s="41">
        <f t="shared" si="39"/>
        <v>43095</v>
      </c>
      <c r="CY28" s="42">
        <f t="shared" si="52"/>
        <v>43095</v>
      </c>
      <c r="CZ28" s="43" t="str">
        <f>IF(CY28="","",IF(ISERROR(MATCH(CY28,Lune!$A$1:$A$1000,0)),IF(WEEKDAY(CY28)=5,INT((CY28-DATE(YEAR(CY28),1,1))/7+1),IF(AND(WEEKDAY(CY28)=4,NOT( ISERROR(MATCH(CY28+1,Lune!$A$1:$A$1000,0)))),INT((CY28+1-DATE(YEAR(CY28+1),1,1))/7+1),"")),INDEX(Lune!$B$1:$B$1000,MATCH(CY28,Lune!$A$1:$A$1000,0),1)))</f>
        <v>◐</v>
      </c>
      <c r="DA28" s="80" t="str">
        <f t="shared" ca="1" si="21"/>
        <v/>
      </c>
      <c r="DB28" s="54" t="str">
        <f ca="1">IF(ISERROR(VLOOKUP(CY28,anniversaire!$X$2:$Z$100,2,0)),"",VLOOKUP(CY28,anniversaire!$X$2:$Z$100,2,0))</f>
        <v/>
      </c>
      <c r="DC28" s="54" t="str">
        <f>IF(ISERROR(VLOOKUP(CY28,fête!$B$2:$C$367,2,0)),"",VLOOKUP(CY28,fête!$B$2:$C$367,2,0))</f>
        <v>Etienne</v>
      </c>
      <c r="DD28" s="54" t="str">
        <f>IF(ISERROR(VLOOKUP(CY28,évènements!$A$3:$D$200,3,0)),"",VLOOKUP(CY28,évènements!$A$3:$D$200,3,0))</f>
        <v/>
      </c>
      <c r="DE28" s="54" t="str">
        <f>IF(ISERROR(VLOOKUP(CY28,évènements!$B$3:$D$200,2,0)),"",VLOOKUP(CY28,évènements!$B$3:$D$200,2,0))</f>
        <v/>
      </c>
      <c r="DF28" s="54" t="str">
        <f t="shared" si="22"/>
        <v xml:space="preserve">  </v>
      </c>
      <c r="DG28" s="41">
        <f t="shared" si="40"/>
        <v>43126</v>
      </c>
      <c r="DH28" s="42">
        <f t="shared" si="53"/>
        <v>43126</v>
      </c>
      <c r="DI28" s="43" t="str">
        <f>IF(DH28="","",IF(ISERROR(MATCH(DH28,Lune!$A$1:$A$1000,0)),IF(WEEKDAY(DH28)=5,INT((DH28-DATE(YEAR(DH28),1,1))/7+1),IF(AND(WEEKDAY(DH28)=4,NOT( ISERROR(MATCH(DH28+1,Lune!$A$1:$A$1000,0)))),INT((DH28+1-DATE(YEAR(DH28+1),1,1))/7+1),"")),INDEX(Lune!$B$1:$B$1000,MATCH(DH28,Lune!$A$1:$A$1000,0),1)))</f>
        <v/>
      </c>
      <c r="DJ28" s="89" t="str">
        <f t="shared" ca="1" si="23"/>
        <v/>
      </c>
      <c r="DK28" s="252" t="str">
        <f t="shared" ca="1" si="24"/>
        <v/>
      </c>
      <c r="DL28" s="252" t="str">
        <f t="shared" si="25"/>
        <v>Paule</v>
      </c>
      <c r="DM28" s="252" t="str">
        <f>IF(ISERROR(VLOOKUP(DH28,évènements!$A$3:$D$200,3,0)),"",VLOOKUP(DH28,évènements!$A$3:$D$200,3,0))</f>
        <v/>
      </c>
      <c r="DN28" s="252" t="str">
        <f>IF(ISERROR(VLOOKUP(DH28,évènements!$B$3:$D$200,2,0)),"",VLOOKUP(DH28,évènements!$B$3:$D$200,2,0))</f>
        <v/>
      </c>
      <c r="DO28" s="252" t="str">
        <f t="shared" si="26"/>
        <v xml:space="preserve">  </v>
      </c>
    </row>
    <row r="29" spans="2:119" ht="15" customHeight="1">
      <c r="B29" s="29"/>
      <c r="C29" s="41">
        <f t="shared" si="27"/>
        <v>42762</v>
      </c>
      <c r="D29" s="40">
        <f t="shared" si="41"/>
        <v>42762</v>
      </c>
      <c r="E29" s="131" t="str">
        <f>IF(D29="","",IF(ISERROR(MATCH(D29,Lune!$A$1:$A$1000,0)),IF(WEEKDAY(D29)=5,INT((D29-DATE(YEAR(D29),1,1))/7+1),IF(AND(WEEKDAY(D29)=4,NOT( ISERROR(MATCH(D29+1,Lune!$A$1:$A$1000,0)))),INT((D29+1-DATE(YEAR(D29+1),1,1))/7+1),"")),INDEX(Lune!$B$1:$B$1000,MATCH(D29,Lune!$A$1:$A$1000,0),1)))</f>
        <v/>
      </c>
      <c r="F29" s="89" t="str">
        <f t="shared" ca="1" si="0"/>
        <v/>
      </c>
      <c r="G29" s="125" t="str">
        <f ca="1">IF(ISERROR(VLOOKUP(D29,anniversaire!$X$2:$Z$100,2,0)),"",VLOOKUP(D29,anniversaire!$X$2:$Z$100,2,0))</f>
        <v/>
      </c>
      <c r="H29" s="54" t="str">
        <f>IF(ISERROR(VLOOKUP(D29,fête!$B$2:$C$367,2,0)),"",VLOOKUP(D29,fête!$B$2:$C$367,2,0))</f>
        <v>Angèle</v>
      </c>
      <c r="I29" s="239" t="str">
        <f>IF(ISERROR(VLOOKUP(D29,évènements!$A$3:$D$200,3,0)),"",VLOOKUP(D29,évènements!$A$3:$D$200,3,0))</f>
        <v/>
      </c>
      <c r="J29" s="239" t="str">
        <f>IF(ISERROR(VLOOKUP(D29,évènements!$B$3:$D$200,2,0)),"",VLOOKUP(D29,évènements!$B$3:$D$200,2,0))</f>
        <v/>
      </c>
      <c r="K29" s="239" t="str">
        <f t="shared" si="58"/>
        <v xml:space="preserve">  </v>
      </c>
      <c r="L29" s="41">
        <f t="shared" si="28"/>
        <v>42793</v>
      </c>
      <c r="M29" s="42">
        <f t="shared" si="42"/>
        <v>42793</v>
      </c>
      <c r="N29" s="131" t="str">
        <f>IF(M29="","",IF(ISERROR(MATCH(M29,Lune!$A$1:$A$1000,0)),IF(WEEKDAY(M29)=5,INT((M29-DATE(YEAR(M29),1,1))/7+1),IF(AND(WEEKDAY(M29)=4,NOT( ISERROR(MATCH(M29+1,Lune!$A$1:$A$1000,0)))),INT((M29+1-DATE(YEAR(M29+1),1,1))/7+1),"")),INDEX(Lune!$B$1:$B$1000,MATCH(M29,Lune!$A$1:$A$1000,0),1)))</f>
        <v/>
      </c>
      <c r="O29" s="80" t="str">
        <f t="shared" ca="1" si="54"/>
        <v/>
      </c>
      <c r="P29" s="54" t="str">
        <f ca="1">IF(ISERROR(VLOOKUP(M29,anniversaire!$X$2:$Z$100,2,0)),"",VLOOKUP(M29,anniversaire!$X$2:$Z$100,2,0))</f>
        <v/>
      </c>
      <c r="Q29" s="54" t="str">
        <f>IF(ISERROR(VLOOKUP(M29,fête!$B$2:$C$367,2,0)),"",VLOOKUP(M29,fête!$B$2:$C$367,2,0))</f>
        <v>Honorine</v>
      </c>
      <c r="R29" s="54" t="str">
        <f>IF(ISERROR(VLOOKUP(M29,évènements!$A$3:$D$200,3,0)),"",VLOOKUP(M29,évènements!$A$3:$D$200,3,0))</f>
        <v/>
      </c>
      <c r="S29" s="54" t="str">
        <f>IF(ISERROR(VLOOKUP(M29,évènements!$B$3:$D$200,2,0)),"",VLOOKUP(M29,évènements!$B$3:$D$200,2,0))</f>
        <v/>
      </c>
      <c r="T29" s="54" t="str">
        <f t="shared" si="3"/>
        <v xml:space="preserve">  </v>
      </c>
      <c r="U29" s="41">
        <f t="shared" si="29"/>
        <v>42821</v>
      </c>
      <c r="V29" s="42">
        <f t="shared" si="43"/>
        <v>42821</v>
      </c>
      <c r="W29" s="132" t="str">
        <f>IF(V29="","",IF(ISERROR(MATCH(V29,Lune!$A$1:$A$1000,0)),IF(WEEKDAY(V29)=5,INT((V29-DATE(YEAR(V29),1,1))/7+1),IF(AND(WEEKDAY(V29)=4,NOT( ISERROR(MATCH(V29+1,Lune!$A$1:$A$1000,0)))),INT((V29+1-DATE(YEAR(V29+1),1,1))/7+1),"")),INDEX(Lune!$B$1:$B$1000,MATCH(V29,Lune!$A$1:$A$1000,0),1)))</f>
        <v/>
      </c>
      <c r="X29" s="89" t="str">
        <f t="shared" ca="1" si="4"/>
        <v xml:space="preserve"> '</v>
      </c>
      <c r="Y29" s="125" t="str">
        <f ca="1">IF(ISERROR(VLOOKUP(V29,anniversaire!$X$2:$Z$100,2,0)),"",VLOOKUP(V29,anniversaire!$X$2:$Z$100,2,0))</f>
        <v>Lapostalle  Alexandre    30</v>
      </c>
      <c r="Z29" s="54" t="str">
        <f>IF(ISERROR(VLOOKUP(V29,fête!$B$2:$C$367,2,0)),"",VLOOKUP(V29,fête!$B$2:$C$367,2,0))</f>
        <v>Habib</v>
      </c>
      <c r="AA29" s="54" t="str">
        <f>IF(ISERROR(VLOOKUP(V29,évènements!$A$3:$D$200,3,0)),"",VLOOKUP(V29,évènements!$A$3:$D$200,3,0))</f>
        <v/>
      </c>
      <c r="AB29" s="54" t="str">
        <f>IF(ISERROR(VLOOKUP(V29,évènements!$B$3:$D$200,2,0)),"",VLOOKUP(V29,évènements!$B$3:$D$200,2,0))</f>
        <v/>
      </c>
      <c r="AC29" s="54" t="str">
        <f t="shared" si="57"/>
        <v xml:space="preserve">  </v>
      </c>
      <c r="AD29" s="41">
        <f t="shared" si="30"/>
        <v>42852</v>
      </c>
      <c r="AE29" s="42">
        <f t="shared" si="44"/>
        <v>42852</v>
      </c>
      <c r="AF29" s="137">
        <f>IF(AE29="","",IF(ISERROR(MATCH(AE29,Lune!$A$1:$A$1000,0)),IF(WEEKDAY(AE29)=5,INT((AE29-DATE(YEAR(AE29),1,1))/7+1),IF(AND(WEEKDAY(AE29)=4,NOT( ISERROR(MATCH(AE29+1,Lune!$A$1:$A$1000,0)))),INT((AE29+1-DATE(YEAR(AE29+1),1,1))/7+1),"")),INDEX(Lune!$B$1:$B$1000,MATCH(AE29,Lune!$A$1:$A$1000,0),1)))</f>
        <v>17</v>
      </c>
      <c r="AG29" s="80" t="str">
        <f t="shared" ca="1" si="6"/>
        <v/>
      </c>
      <c r="AH29" s="54" t="str">
        <f ca="1">IF(ISERROR(VLOOKUP(AE29,anniversaire!$X$2:$Z$100,2,0)),"",VLOOKUP(AE29,anniversaire!$X$2:$Z$100,2,0))</f>
        <v/>
      </c>
      <c r="AI29" s="54" t="str">
        <f>IF(ISERROR(VLOOKUP(AE29,fête!$B$2:$C$367,2,0)),"",VLOOKUP(AE29,fête!$B$2:$C$367,2,0))</f>
        <v>Zita</v>
      </c>
      <c r="AJ29" s="54" t="str">
        <f>IF(ISERROR(VLOOKUP(AE29,évènements!$A$3:$D$200,3,0)),"",VLOOKUP(AE29,évènements!$A$3:$D$200,3,0))</f>
        <v/>
      </c>
      <c r="AK29" s="54" t="str">
        <f>IF(ISERROR(VLOOKUP(AE29,évènements!$B$3:$D$200,2,0)),"",VLOOKUP(AE29,évènements!$B$3:$D$200,2,0))</f>
        <v/>
      </c>
      <c r="AL29" s="238" t="str">
        <f t="shared" si="55"/>
        <v xml:space="preserve">  </v>
      </c>
      <c r="AM29" s="41">
        <f t="shared" si="31"/>
        <v>42882</v>
      </c>
      <c r="AN29" s="42">
        <f t="shared" si="45"/>
        <v>42882</v>
      </c>
      <c r="AO29" s="43" t="str">
        <f>IF(AN29="","",IF(ISERROR(MATCH(AN29,Lune!$A$1:$A$1000,0)),IF(WEEKDAY(AN29)=5,INT((AN29-DATE(YEAR(AN29),1,1))/7+1),IF(AND(WEEKDAY(AN29)=4,NOT( ISERROR(MATCH(AN29+1,Lune!$A$1:$A$1000,0)))),INT((AN29+1-DATE(YEAR(AN29+1),1,1))/7+1),"")),INDEX(Lune!$B$1:$B$1000,MATCH(AN29,Lune!$A$1:$A$1000,0),1)))</f>
        <v/>
      </c>
      <c r="AP29" s="79" t="str">
        <f t="shared" ca="1" si="8"/>
        <v/>
      </c>
      <c r="AQ29" s="54" t="str">
        <f ca="1">IF(ISERROR(VLOOKUP(AN29,anniversaire!$X$2:$Z$100,2,0)),"",VLOOKUP(AN29,anniversaire!$X$2:$Z$100,2,0))</f>
        <v/>
      </c>
      <c r="AR29" s="54" t="str">
        <f>IF(ISERROR(VLOOKUP(AN29,fête!$B$2:$C$367,2,0)),"",VLOOKUP(AN29,fête!$B$2:$C$367,2,0))</f>
        <v>Augustin</v>
      </c>
      <c r="AS29" s="238" t="str">
        <f>IF(ISERROR(VLOOKUP(AN29,évènements!$A$3:$D$200,3,0)),"",VLOOKUP(AN29,évènements!$A$3:$D$200,3,0))</f>
        <v/>
      </c>
      <c r="AT29" s="238" t="str">
        <f>IF(ISERROR(VLOOKUP(AN29,évènements!$B$3:$D$200,2,0)),"",VLOOKUP(AN29,évènements!$B$3:$D$200,2,0))</f>
        <v/>
      </c>
      <c r="AU29" s="238" t="str">
        <f t="shared" si="9"/>
        <v xml:space="preserve">  </v>
      </c>
      <c r="AV29" s="41">
        <f t="shared" si="32"/>
        <v>42913</v>
      </c>
      <c r="AW29" s="42">
        <f t="shared" si="46"/>
        <v>42913</v>
      </c>
      <c r="AX29" s="43" t="str">
        <f>IF(AW29="","",IF(ISERROR(MATCH(AW29,Lune!$A$1:$A$1000,0)),IF(WEEKDAY(AW29)=5,INT((AW29-DATE(YEAR(AW29),1,1))/7+1),IF(AND(WEEKDAY(AW29)=4,NOT( ISERROR(MATCH(AW29+1,Lune!$A$1:$A$1000,0)))),INT((AW29+1-DATE(YEAR(AW29+1),1,1))/7+1),"")),INDEX(Lune!$B$1:$B$1000,MATCH(AW29,Lune!$A$1:$A$1000,0),1)))</f>
        <v/>
      </c>
      <c r="AY29" s="79" t="str">
        <f t="shared" ca="1" si="10"/>
        <v/>
      </c>
      <c r="AZ29" s="54" t="str">
        <f ca="1">IF(ISERROR(VLOOKUP(AW29,anniversaire!$X$2:$Z$100,2,0)),"",VLOOKUP(AW29,anniversaire!$X$2:$Z$100,2,0))</f>
        <v/>
      </c>
      <c r="BA29" s="54" t="str">
        <f>IF(ISERROR(VLOOKUP(AW29,fête!$B$2:$C$367,2,0)),"",VLOOKUP(AW29,fête!$B$2:$C$367,2,0))</f>
        <v>Fernand</v>
      </c>
      <c r="BB29" s="54" t="str">
        <f>IF(ISERROR(VLOOKUP(AW29,évènements!$A$3:$D$200,3,0)),"",VLOOKUP(AW29,évènements!$A$3:$D$200,3,0))</f>
        <v/>
      </c>
      <c r="BC29" s="54" t="str">
        <f>IF(ISERROR(VLOOKUP(AW29,évènements!$B$3:$D$200,2,0)),"",VLOOKUP(AW29,évènements!$B$3:$D$200,2,0))</f>
        <v/>
      </c>
      <c r="BD29" s="54" t="str">
        <f t="shared" si="56"/>
        <v xml:space="preserve">  </v>
      </c>
      <c r="BE29" s="41">
        <f t="shared" si="33"/>
        <v>42943</v>
      </c>
      <c r="BF29" s="42">
        <f t="shared" si="47"/>
        <v>42943</v>
      </c>
      <c r="BG29" s="43">
        <f>IF(BF29="","",IF(ISERROR(MATCH(BF29,Lune!$A$1:$A$1000,0)),IF(WEEKDAY(BF29)=5,INT((BF29-DATE(YEAR(BF29),1,1))/7+1),IF(AND(WEEKDAY(BF29)=4,NOT( ISERROR(MATCH(BF29+1,Lune!$A$1:$A$1000,0)))),INT((BF29+1-DATE(YEAR(BF29+1),1,1))/7+1),"")),INDEX(Lune!$B$1:$B$1000,MATCH(BF29,Lune!$A$1:$A$1000,0),1)))</f>
        <v>30</v>
      </c>
      <c r="BH29" s="80" t="str">
        <f t="shared" ca="1" si="12"/>
        <v/>
      </c>
      <c r="BI29" s="54" t="str">
        <f ca="1">IF(ISERROR(VLOOKUP(BF29,anniversaire!$X$2:$Z$100,2,0)),"",VLOOKUP(BF29,anniversaire!$X$2:$Z$100,2,0))</f>
        <v/>
      </c>
      <c r="BJ29" s="54" t="str">
        <f>IF(ISERROR(VLOOKUP(BF29,fête!$B$2:$C$367,2,0)),"",VLOOKUP(BF29,fête!$B$2:$C$367,2,0))</f>
        <v>Nathalie</v>
      </c>
      <c r="BK29" s="54" t="str">
        <f>IF(ISERROR(VLOOKUP(BF29,évènements!$A$3:$D$200,3,0)),"",VLOOKUP(BF29,évènements!$A$3:$D$200,3,0))</f>
        <v/>
      </c>
      <c r="BL29" s="54" t="str">
        <f>IF(ISERROR(VLOOKUP(BF29,évènements!$B$3:$D$200,2,0)),"",VLOOKUP(BF29,évènements!$B$3:$D$200,2,0))</f>
        <v/>
      </c>
      <c r="BM29" s="54" t="str">
        <f t="shared" si="34"/>
        <v xml:space="preserve">  </v>
      </c>
      <c r="BN29" s="41">
        <f t="shared" si="35"/>
        <v>42974</v>
      </c>
      <c r="BO29" s="42">
        <f t="shared" si="48"/>
        <v>42974</v>
      </c>
      <c r="BP29" s="43" t="str">
        <f>IF(BO29="","",IF(ISERROR(MATCH(BO29,Lune!$A$1:$A$1000,0)),IF(WEEKDAY(BO29)=5,INT((BO29-DATE(YEAR(BO29),1,1))/7+1),IF(AND(WEEKDAY(BO29)=4,NOT( ISERROR(MATCH(BO29+1,Lune!$A$1:$A$1000,0)))),INT((BO29+1-DATE(YEAR(BO29+1),1,1))/7+1),"")),INDEX(Lune!$B$1:$B$1000,MATCH(BO29,Lune!$A$1:$A$1000,0),1)))</f>
        <v/>
      </c>
      <c r="BQ29" s="80" t="str">
        <f t="shared" ca="1" si="13"/>
        <v xml:space="preserve"> '</v>
      </c>
      <c r="BR29" s="54" t="str">
        <f ca="1">IF(ISERROR(VLOOKUP(BO29,anniversaire!$X$2:$Z$100,2,0)),"",VLOOKUP(BO29,anniversaire!$X$2:$Z$100,2,0))</f>
        <v>boireau  léna    2</v>
      </c>
      <c r="BS29" s="54" t="str">
        <f>IF(ISERROR(VLOOKUP(BO29,fête!$B$2:$C$367,2,0)),"",VLOOKUP(BO29,fête!$B$2:$C$367,2,0))</f>
        <v>Monique</v>
      </c>
      <c r="BT29" s="54" t="str">
        <f>IF(ISERROR(VLOOKUP(BO29,évènements!$A$3:$D$200,3,0)),"",VLOOKUP(BO29,évènements!$A$3:$D$200,3,0))</f>
        <v/>
      </c>
      <c r="BU29" s="54" t="str">
        <f>IF(ISERROR(VLOOKUP(BO29,évènements!$B$3:$D$200,2,0)),"",VLOOKUP(BO29,évènements!$B$3:$D$200,2,0))</f>
        <v/>
      </c>
      <c r="BV29" s="54" t="str">
        <f t="shared" si="14"/>
        <v xml:space="preserve">  </v>
      </c>
      <c r="BW29" s="41">
        <f t="shared" si="36"/>
        <v>43005</v>
      </c>
      <c r="BX29" s="42">
        <f t="shared" si="49"/>
        <v>43005</v>
      </c>
      <c r="BY29" s="43">
        <f>IF(BX29="","",IF(ISERROR(MATCH(BX29,Lune!$A$1:$A$1000,0)),IF(WEEKDAY(BX29)=5,INT((BX29-DATE(YEAR(BX29),1,1))/7+1),IF(AND(WEEKDAY(BX29)=4,NOT( ISERROR(MATCH(BX29+1,Lune!$A$1:$A$1000,0)))),INT((BX29+1-DATE(YEAR(BX29+1),1,1))/7+1),"")),INDEX(Lune!$B$1:$B$1000,MATCH(BX29,Lune!$A$1:$A$1000,0),1)))</f>
        <v>39</v>
      </c>
      <c r="BZ29" s="80" t="str">
        <f t="shared" ca="1" si="15"/>
        <v/>
      </c>
      <c r="CA29" s="54" t="str">
        <f ca="1">IF(ISERROR(VLOOKUP(BX29,anniversaire!$X$2:$Z$100,2,0)),"",VLOOKUP(BX29,anniversaire!$X$2:$Z$100,2,0))</f>
        <v/>
      </c>
      <c r="CB29" s="54" t="str">
        <f>IF(ISERROR(VLOOKUP(BX29,fête!$B$2:$C$367,2,0)),"",VLOOKUP(BX29,fête!$B$2:$C$367,2,0))</f>
        <v>Vincent de Paul</v>
      </c>
      <c r="CC29" s="54" t="str">
        <f>IF(ISERROR(VLOOKUP(BX29,évènements!$A$3:$D$200,3,0)),"",VLOOKUP(BX29,évènements!$A$3:$D$200,3,0))</f>
        <v/>
      </c>
      <c r="CD29" s="54" t="str">
        <f>IF(ISERROR(VLOOKUP(BX29,évènements!$B$3:$D$200,2,0)),"",VLOOKUP(BX29,évènements!$B$3:$D$200,2,0))</f>
        <v/>
      </c>
      <c r="CE29" s="54" t="str">
        <f t="shared" si="16"/>
        <v xml:space="preserve">  </v>
      </c>
      <c r="CF29" s="41">
        <f t="shared" si="37"/>
        <v>43035</v>
      </c>
      <c r="CG29" s="42">
        <f t="shared" si="50"/>
        <v>43035</v>
      </c>
      <c r="CH29" s="43" t="str">
        <f>IF(CG29="","",IF(ISERROR(MATCH(CG29,Lune!$A$1:$A$1000,0)),IF(WEEKDAY(CG29)=5,INT((CG29-DATE(YEAR(CG29),1,1))/7+1),IF(AND(WEEKDAY(CG29)=4,NOT( ISERROR(MATCH(CG29+1,Lune!$A$1:$A$1000,0)))),INT((CG29+1-DATE(YEAR(CG29+1),1,1))/7+1),"")),INDEX(Lune!$B$1:$B$1000,MATCH(CG29,Lune!$A$1:$A$1000,0),1)))</f>
        <v>◐</v>
      </c>
      <c r="CI29" s="80" t="str">
        <f t="shared" ca="1" si="17"/>
        <v/>
      </c>
      <c r="CJ29" s="54" t="str">
        <f ca="1">IF(ISERROR(VLOOKUP(CG29,anniversaire!$X$2:$Z$100,2,0)),"",VLOOKUP(CG29,anniversaire!$X$2:$Z$100,2,0))</f>
        <v/>
      </c>
      <c r="CK29" s="54" t="str">
        <f>IF(ISERROR(VLOOKUP(CG29,fête!$B$2:$C$367,2,0)),"",VLOOKUP(CG29,fête!$B$2:$C$367,2,0))</f>
        <v>Emeline</v>
      </c>
      <c r="CL29" s="54" t="str">
        <f>IF(ISERROR(VLOOKUP(CG29,évènements!$A$3:$D$200,3,0)),"",VLOOKUP(CG29,évènements!$A$3:$D$200,3,0))</f>
        <v/>
      </c>
      <c r="CM29" s="54" t="str">
        <f>IF(ISERROR(VLOOKUP(CG29,évènements!$B$3:$D$200,2,0)),"",VLOOKUP(CG29,évènements!$B$3:$D$200,2,0))</f>
        <v/>
      </c>
      <c r="CN29" s="54" t="str">
        <f t="shared" si="18"/>
        <v xml:space="preserve">  </v>
      </c>
      <c r="CO29" s="41">
        <f t="shared" si="38"/>
        <v>43066</v>
      </c>
      <c r="CP29" s="42">
        <f t="shared" si="51"/>
        <v>43066</v>
      </c>
      <c r="CQ29" s="43" t="str">
        <f>IF(CP29="","",IF(ISERROR(MATCH(CP29,Lune!$A$1:$A$1000,0)),IF(WEEKDAY(CP29)=5,INT((CP29-DATE(YEAR(CP29),1,1))/7+1),IF(AND(WEEKDAY(CP29)=4,NOT( ISERROR(MATCH(CP29+1,Lune!$A$1:$A$1000,0)))),INT((CP29+1-DATE(YEAR(CP29+1),1,1))/7+1),"")),INDEX(Lune!$B$1:$B$1000,MATCH(CP29,Lune!$A$1:$A$1000,0),1)))</f>
        <v/>
      </c>
      <c r="CR29" s="80" t="str">
        <f t="shared" ca="1" si="19"/>
        <v/>
      </c>
      <c r="CS29" s="54" t="str">
        <f ca="1">IF(ISERROR(VLOOKUP(CP29,anniversaire!$X$2:$Z$100,2,0)),"",VLOOKUP(CP29,anniversaire!$X$2:$Z$100,2,0))</f>
        <v/>
      </c>
      <c r="CT29" s="54" t="str">
        <f>IF(ISERROR(VLOOKUP(CP29,fête!$B$2:$C$367,2,0)),"",VLOOKUP(CP29,fête!$B$2:$C$367,2,0))</f>
        <v>Sévrin</v>
      </c>
      <c r="CU29" s="54" t="str">
        <f>IF(ISERROR(VLOOKUP(CP29,évènements!$A$3:$D$200,3,0)),"",VLOOKUP(CP29,évènements!$A$3:$D$200,3,0))</f>
        <v/>
      </c>
      <c r="CV29" s="54" t="str">
        <f>IF(ISERROR(VLOOKUP(CP29,évènements!$B$3:$D$200,2,0)),"",VLOOKUP(CP29,évènements!$B$3:$D$200,2,0))</f>
        <v/>
      </c>
      <c r="CW29" s="54" t="str">
        <f t="shared" si="20"/>
        <v xml:space="preserve">  </v>
      </c>
      <c r="CX29" s="41">
        <f t="shared" si="39"/>
        <v>43096</v>
      </c>
      <c r="CY29" s="42">
        <f t="shared" si="52"/>
        <v>43096</v>
      </c>
      <c r="CZ29" s="43" t="str">
        <f>IF(CY29="","",IF(ISERROR(MATCH(CY29,Lune!$A$1:$A$1000,0)),IF(WEEKDAY(CY29)=5,INT((CY29-DATE(YEAR(CY29),1,1))/7+1),IF(AND(WEEKDAY(CY29)=4,NOT( ISERROR(MATCH(CY29+1,Lune!$A$1:$A$1000,0)))),INT((CY29+1-DATE(YEAR(CY29+1),1,1))/7+1),"")),INDEX(Lune!$B$1:$B$1000,MATCH(CY29,Lune!$A$1:$A$1000,0),1)))</f>
        <v/>
      </c>
      <c r="DA29" s="80" t="str">
        <f t="shared" ca="1" si="21"/>
        <v/>
      </c>
      <c r="DB29" s="54" t="str">
        <f ca="1">IF(ISERROR(VLOOKUP(CY29,anniversaire!$X$2:$Z$100,2,0)),"",VLOOKUP(CY29,anniversaire!$X$2:$Z$100,2,0))</f>
        <v/>
      </c>
      <c r="DC29" s="54" t="str">
        <f>IF(ISERROR(VLOOKUP(CY29,fête!$B$2:$C$367,2,0)),"",VLOOKUP(CY29,fête!$B$2:$C$367,2,0))</f>
        <v>Jean</v>
      </c>
      <c r="DD29" s="54" t="str">
        <f>IF(ISERROR(VLOOKUP(CY29,évènements!$A$3:$D$200,3,0)),"",VLOOKUP(CY29,évènements!$A$3:$D$200,3,0))</f>
        <v/>
      </c>
      <c r="DE29" s="54" t="str">
        <f>IF(ISERROR(VLOOKUP(CY29,évènements!$B$3:$D$200,2,0)),"",VLOOKUP(CY29,évènements!$B$3:$D$200,2,0))</f>
        <v/>
      </c>
      <c r="DF29" s="54" t="str">
        <f t="shared" si="22"/>
        <v xml:space="preserve">  </v>
      </c>
      <c r="DG29" s="41">
        <f t="shared" si="40"/>
        <v>43127</v>
      </c>
      <c r="DH29" s="42">
        <f t="shared" si="53"/>
        <v>43127</v>
      </c>
      <c r="DI29" s="43" t="str">
        <f>IF(DH29="","",IF(ISERROR(MATCH(DH29,Lune!$A$1:$A$1000,0)),IF(WEEKDAY(DH29)=5,INT((DH29-DATE(YEAR(DH29),1,1))/7+1),IF(AND(WEEKDAY(DH29)=4,NOT( ISERROR(MATCH(DH29+1,Lune!$A$1:$A$1000,0)))),INT((DH29+1-DATE(YEAR(DH29+1),1,1))/7+1),"")),INDEX(Lune!$B$1:$B$1000,MATCH(DH29,Lune!$A$1:$A$1000,0),1)))</f>
        <v/>
      </c>
      <c r="DJ29" s="89" t="str">
        <f t="shared" ca="1" si="23"/>
        <v/>
      </c>
      <c r="DK29" s="252" t="str">
        <f t="shared" ca="1" si="24"/>
        <v/>
      </c>
      <c r="DL29" s="252" t="str">
        <f t="shared" si="25"/>
        <v>Angèle</v>
      </c>
      <c r="DM29" s="252" t="str">
        <f>IF(ISERROR(VLOOKUP(DH29,évènements!$A$3:$D$200,3,0)),"",VLOOKUP(DH29,évènements!$A$3:$D$200,3,0))</f>
        <v/>
      </c>
      <c r="DN29" s="252" t="str">
        <f>IF(ISERROR(VLOOKUP(DH29,évènements!$B$3:$D$200,2,0)),"",VLOOKUP(DH29,évènements!$B$3:$D$200,2,0))</f>
        <v/>
      </c>
      <c r="DO29" s="252" t="str">
        <f t="shared" si="26"/>
        <v xml:space="preserve">  </v>
      </c>
    </row>
    <row r="30" spans="2:119" ht="15" customHeight="1">
      <c r="B30" s="29"/>
      <c r="C30" s="41">
        <f t="shared" si="27"/>
        <v>42763</v>
      </c>
      <c r="D30" s="40">
        <f t="shared" si="41"/>
        <v>42763</v>
      </c>
      <c r="E30" s="131" t="str">
        <f>IF(D30="","",IF(ISERROR(MATCH(D30,Lune!$A$1:$A$1000,0)),IF(WEEKDAY(D30)=5,INT((D30-DATE(YEAR(D30),1,1))/7+1),IF(AND(WEEKDAY(D30)=4,NOT( ISERROR(MATCH(D30+1,Lune!$A$1:$A$1000,0)))),INT((D30+1-DATE(YEAR(D30+1),1,1))/7+1),"")),INDEX(Lune!$B$1:$B$1000,MATCH(D30,Lune!$A$1:$A$1000,0),1)))</f>
        <v>●</v>
      </c>
      <c r="F30" s="89" t="str">
        <f t="shared" ca="1" si="0"/>
        <v/>
      </c>
      <c r="G30" s="125" t="str">
        <f ca="1">IF(ISERROR(VLOOKUP(D30,anniversaire!$X$2:$Z$100,2,0)),"",VLOOKUP(D30,anniversaire!$X$2:$Z$100,2,0))</f>
        <v/>
      </c>
      <c r="H30" s="54" t="str">
        <f>IF(ISERROR(VLOOKUP(D30,fête!$B$2:$C$367,2,0)),"",VLOOKUP(D30,fête!$B$2:$C$367,2,0))</f>
        <v>Thomas d'Aquin</v>
      </c>
      <c r="I30" s="239" t="str">
        <f>IF(ISERROR(VLOOKUP(D30,évènements!$A$3:$D$200,3,0)),"",VLOOKUP(D30,évènements!$A$3:$D$200,3,0))</f>
        <v/>
      </c>
      <c r="J30" s="239" t="str">
        <f>IF(ISERROR(VLOOKUP(D30,évènements!$B$3:$D$200,2,0)),"",VLOOKUP(D30,évènements!$B$3:$D$200,2,0))</f>
        <v/>
      </c>
      <c r="K30" s="239" t="str">
        <f t="shared" si="58"/>
        <v xml:space="preserve">  </v>
      </c>
      <c r="L30" s="41">
        <f t="shared" si="28"/>
        <v>42794</v>
      </c>
      <c r="M30" s="42">
        <f t="shared" si="42"/>
        <v>42794</v>
      </c>
      <c r="N30" s="131" t="str">
        <f>IF(M30="","",IF(ISERROR(MATCH(M30,Lune!$A$1:$A$1000,0)),IF(WEEKDAY(M30)=5,INT((M30-DATE(YEAR(M30),1,1))/7+1),IF(AND(WEEKDAY(M30)=4,NOT( ISERROR(MATCH(M30+1,Lune!$A$1:$A$1000,0)))),INT((M30+1-DATE(YEAR(M30+1),1,1))/7+1),"")),INDEX(Lune!$B$1:$B$1000,MATCH(M30,Lune!$A$1:$A$1000,0),1)))</f>
        <v/>
      </c>
      <c r="O30" s="80" t="str">
        <f t="shared" ca="1" si="54"/>
        <v/>
      </c>
      <c r="P30" s="54" t="str">
        <f ca="1">IF(ISERROR(VLOOKUP(M30,anniversaire!$X$2:$Z$100,2,0)),"",VLOOKUP(M30,anniversaire!$X$2:$Z$100,2,0))</f>
        <v/>
      </c>
      <c r="Q30" s="54" t="str">
        <f>IF(ISERROR(VLOOKUP(M30,fête!$B$2:$C$367,2,0)),"",VLOOKUP(M30,fête!$B$2:$C$367,2,0))</f>
        <v>Romain</v>
      </c>
      <c r="R30" s="54" t="str">
        <f>IF(ISERROR(VLOOKUP(M30,évènements!$A$3:$D$200,3,0)),"",VLOOKUP(M30,évènements!$A$3:$D$200,3,0))</f>
        <v/>
      </c>
      <c r="S30" s="54" t="str">
        <f>IF(ISERROR(VLOOKUP(M30,évènements!$B$3:$D$200,2,0)),"",VLOOKUP(M30,évènements!$B$3:$D$200,2,0))</f>
        <v/>
      </c>
      <c r="T30" s="54" t="str">
        <f t="shared" si="3"/>
        <v xml:space="preserve">  </v>
      </c>
      <c r="U30" s="41">
        <f t="shared" si="29"/>
        <v>42822</v>
      </c>
      <c r="V30" s="42">
        <f t="shared" si="43"/>
        <v>42822</v>
      </c>
      <c r="W30" s="132" t="str">
        <f>IF(V30="","",IF(ISERROR(MATCH(V30,Lune!$A$1:$A$1000,0)),IF(WEEKDAY(V30)=5,INT((V30-DATE(YEAR(V30),1,1))/7+1),IF(AND(WEEKDAY(V30)=4,NOT( ISERROR(MATCH(V30+1,Lune!$A$1:$A$1000,0)))),INT((V30+1-DATE(YEAR(V30+1),1,1))/7+1),"")),INDEX(Lune!$B$1:$B$1000,MATCH(V30,Lune!$A$1:$A$1000,0),1)))</f>
        <v>●</v>
      </c>
      <c r="X30" s="89" t="str">
        <f t="shared" ca="1" si="4"/>
        <v/>
      </c>
      <c r="Y30" s="125" t="str">
        <f ca="1">IF(ISERROR(VLOOKUP(V30,anniversaire!$X$2:$Z$100,2,0)),"",VLOOKUP(V30,anniversaire!$X$2:$Z$100,2,0))</f>
        <v/>
      </c>
      <c r="Z30" s="54" t="str">
        <f>IF(ISERROR(VLOOKUP(V30,fête!$B$2:$C$367,2,0)),"",VLOOKUP(V30,fête!$B$2:$C$367,2,0))</f>
        <v>Gontran</v>
      </c>
      <c r="AA30" s="54" t="str">
        <f>IF(ISERROR(VLOOKUP(V30,évènements!$A$3:$D$200,3,0)),"",VLOOKUP(V30,évènements!$A$3:$D$200,3,0))</f>
        <v/>
      </c>
      <c r="AB30" s="54" t="str">
        <f>IF(ISERROR(VLOOKUP(V30,évènements!$B$3:$D$200,2,0)),"",VLOOKUP(V30,évènements!$B$3:$D$200,2,0))</f>
        <v/>
      </c>
      <c r="AC30" s="54" t="str">
        <f t="shared" si="57"/>
        <v xml:space="preserve">  </v>
      </c>
      <c r="AD30" s="41">
        <f t="shared" si="30"/>
        <v>42853</v>
      </c>
      <c r="AE30" s="42">
        <f t="shared" si="44"/>
        <v>42853</v>
      </c>
      <c r="AF30" s="137" t="str">
        <f>IF(AE30="","",IF(ISERROR(MATCH(AE30,Lune!$A$1:$A$1000,0)),IF(WEEKDAY(AE30)=5,INT((AE30-DATE(YEAR(AE30),1,1))/7+1),IF(AND(WEEKDAY(AE30)=4,NOT( ISERROR(MATCH(AE30+1,Lune!$A$1:$A$1000,0)))),INT((AE30+1-DATE(YEAR(AE30+1),1,1))/7+1),"")),INDEX(Lune!$B$1:$B$1000,MATCH(AE30,Lune!$A$1:$A$1000,0),1)))</f>
        <v/>
      </c>
      <c r="AG30" s="80" t="str">
        <f t="shared" ca="1" si="6"/>
        <v xml:space="preserve"> '</v>
      </c>
      <c r="AH30" s="54" t="str">
        <f ca="1">IF(ISERROR(VLOOKUP(AE30,anniversaire!$X$2:$Z$100,2,0)),"",VLOOKUP(AE30,anniversaire!$X$2:$Z$100,2,0))</f>
        <v>Boireau  eric    32</v>
      </c>
      <c r="AI30" s="54" t="str">
        <f>IF(ISERROR(VLOOKUP(AE30,fête!$B$2:$C$367,2,0)),"",VLOOKUP(AE30,fête!$B$2:$C$367,2,0))</f>
        <v>Valérie</v>
      </c>
      <c r="AJ30" s="54" t="str">
        <f>IF(ISERROR(VLOOKUP(AE30,évènements!$A$3:$D$200,3,0)),"",VLOOKUP(AE30,évènements!$A$3:$D$200,3,0))</f>
        <v/>
      </c>
      <c r="AK30" s="54" t="str">
        <f>IF(ISERROR(VLOOKUP(AE30,évènements!$B$3:$D$200,2,0)),"",VLOOKUP(AE30,évènements!$B$3:$D$200,2,0))</f>
        <v/>
      </c>
      <c r="AL30" s="238" t="str">
        <f t="shared" si="55"/>
        <v xml:space="preserve">  </v>
      </c>
      <c r="AM30" s="41">
        <f t="shared" si="31"/>
        <v>42883</v>
      </c>
      <c r="AN30" s="42">
        <f t="shared" si="45"/>
        <v>42883</v>
      </c>
      <c r="AO30" s="43" t="str">
        <f>IF(AN30="","",IF(ISERROR(MATCH(AN30,Lune!$A$1:$A$1000,0)),IF(WEEKDAY(AN30)=5,INT((AN30-DATE(YEAR(AN30),1,1))/7+1),IF(AND(WEEKDAY(AN30)=4,NOT( ISERROR(MATCH(AN30+1,Lune!$A$1:$A$1000,0)))),INT((AN30+1-DATE(YEAR(AN30+1),1,1))/7+1),"")),INDEX(Lune!$B$1:$B$1000,MATCH(AN30,Lune!$A$1:$A$1000,0),1)))</f>
        <v/>
      </c>
      <c r="AP30" s="79" t="str">
        <f t="shared" ca="1" si="8"/>
        <v/>
      </c>
      <c r="AQ30" s="54" t="str">
        <f ca="1">IF(ISERROR(VLOOKUP(AN30,anniversaire!$X$2:$Z$100,2,0)),"",VLOOKUP(AN30,anniversaire!$X$2:$Z$100,2,0))</f>
        <v/>
      </c>
      <c r="AR30" s="54" t="str">
        <f>IF(ISERROR(VLOOKUP(AN30,fête!$B$2:$C$367,2,0)),"",VLOOKUP(AN30,fête!$B$2:$C$367,2,0))</f>
        <v>Germain</v>
      </c>
      <c r="AS30" s="238" t="str">
        <f>IF(ISERROR(VLOOKUP(AN30,évènements!$A$3:$D$200,3,0)),"",VLOOKUP(AN30,évènements!$A$3:$D$200,3,0))</f>
        <v/>
      </c>
      <c r="AT30" s="238" t="str">
        <f>IF(ISERROR(VLOOKUP(AN30,évènements!$B$3:$D$200,2,0)),"",VLOOKUP(AN30,évènements!$B$3:$D$200,2,0))</f>
        <v/>
      </c>
      <c r="AU30" s="238" t="str">
        <f t="shared" si="9"/>
        <v xml:space="preserve">  </v>
      </c>
      <c r="AV30" s="41">
        <f t="shared" si="32"/>
        <v>42914</v>
      </c>
      <c r="AW30" s="42">
        <f t="shared" si="46"/>
        <v>42914</v>
      </c>
      <c r="AX30" s="43" t="str">
        <f>IF(AW30="","",IF(ISERROR(MATCH(AW30,Lune!$A$1:$A$1000,0)),IF(WEEKDAY(AW30)=5,INT((AW30-DATE(YEAR(AW30),1,1))/7+1),IF(AND(WEEKDAY(AW30)=4,NOT( ISERROR(MATCH(AW30+1,Lune!$A$1:$A$1000,0)))),INT((AW30+1-DATE(YEAR(AW30+1),1,1))/7+1),"")),INDEX(Lune!$B$1:$B$1000,MATCH(AW30,Lune!$A$1:$A$1000,0),1)))</f>
        <v/>
      </c>
      <c r="AY30" s="79" t="str">
        <f t="shared" ca="1" si="10"/>
        <v/>
      </c>
      <c r="AZ30" s="54" t="str">
        <f ca="1">IF(ISERROR(VLOOKUP(AW30,anniversaire!$X$2:$Z$100,2,0)),"",VLOOKUP(AW30,anniversaire!$X$2:$Z$100,2,0))</f>
        <v/>
      </c>
      <c r="BA30" s="54" t="str">
        <f>IF(ISERROR(VLOOKUP(AW30,fête!$B$2:$C$367,2,0)),"",VLOOKUP(AW30,fête!$B$2:$C$367,2,0))</f>
        <v>Irénée</v>
      </c>
      <c r="BB30" s="54" t="str">
        <f>IF(ISERROR(VLOOKUP(AW30,évènements!$A$3:$D$200,3,0)),"",VLOOKUP(AW30,évènements!$A$3:$D$200,3,0))</f>
        <v/>
      </c>
      <c r="BC30" s="54" t="str">
        <f>IF(ISERROR(VLOOKUP(AW30,évènements!$B$3:$D$200,2,0)),"",VLOOKUP(AW30,évènements!$B$3:$D$200,2,0))</f>
        <v/>
      </c>
      <c r="BD30" s="54" t="str">
        <f t="shared" si="56"/>
        <v xml:space="preserve">  </v>
      </c>
      <c r="BE30" s="41">
        <f t="shared" si="33"/>
        <v>42944</v>
      </c>
      <c r="BF30" s="42">
        <f t="shared" si="47"/>
        <v>42944</v>
      </c>
      <c r="BG30" s="43" t="str">
        <f>IF(BF30="","",IF(ISERROR(MATCH(BF30,Lune!$A$1:$A$1000,0)),IF(WEEKDAY(BF30)=5,INT((BF30-DATE(YEAR(BF30),1,1))/7+1),IF(AND(WEEKDAY(BF30)=4,NOT( ISERROR(MATCH(BF30+1,Lune!$A$1:$A$1000,0)))),INT((BF30+1-DATE(YEAR(BF30+1),1,1))/7+1),"")),INDEX(Lune!$B$1:$B$1000,MATCH(BF30,Lune!$A$1:$A$1000,0),1)))</f>
        <v/>
      </c>
      <c r="BH30" s="80" t="str">
        <f t="shared" ca="1" si="12"/>
        <v/>
      </c>
      <c r="BI30" s="54" t="str">
        <f ca="1">IF(ISERROR(VLOOKUP(BF30,anniversaire!$X$2:$Z$100,2,0)),"",VLOOKUP(BF30,anniversaire!$X$2:$Z$100,2,0))</f>
        <v/>
      </c>
      <c r="BJ30" s="54" t="str">
        <f>IF(ISERROR(VLOOKUP(BF30,fête!$B$2:$C$367,2,0)),"",VLOOKUP(BF30,fête!$B$2:$C$367,2,0))</f>
        <v>Samson</v>
      </c>
      <c r="BK30" s="54" t="str">
        <f>IF(ISERROR(VLOOKUP(BF30,évènements!$A$3:$D$200,3,0)),"",VLOOKUP(BF30,évènements!$A$3:$D$200,3,0))</f>
        <v/>
      </c>
      <c r="BL30" s="54" t="str">
        <f>IF(ISERROR(VLOOKUP(BF30,évènements!$B$3:$D$200,2,0)),"",VLOOKUP(BF30,évènements!$B$3:$D$200,2,0))</f>
        <v/>
      </c>
      <c r="BM30" s="54" t="str">
        <f t="shared" si="34"/>
        <v xml:space="preserve">  </v>
      </c>
      <c r="BN30" s="41">
        <f t="shared" si="35"/>
        <v>42975</v>
      </c>
      <c r="BO30" s="42">
        <f t="shared" si="48"/>
        <v>42975</v>
      </c>
      <c r="BP30" s="43" t="str">
        <f>IF(BO30="","",IF(ISERROR(MATCH(BO30,Lune!$A$1:$A$1000,0)),IF(WEEKDAY(BO30)=5,INT((BO30-DATE(YEAR(BO30),1,1))/7+1),IF(AND(WEEKDAY(BO30)=4,NOT( ISERROR(MATCH(BO30+1,Lune!$A$1:$A$1000,0)))),INT((BO30+1-DATE(YEAR(BO30+1),1,1))/7+1),"")),INDEX(Lune!$B$1:$B$1000,MATCH(BO30,Lune!$A$1:$A$1000,0),1)))</f>
        <v/>
      </c>
      <c r="BQ30" s="80" t="str">
        <f t="shared" ca="1" si="13"/>
        <v/>
      </c>
      <c r="BR30" s="54" t="str">
        <f ca="1">IF(ISERROR(VLOOKUP(BO30,anniversaire!$X$2:$Z$100,2,0)),"",VLOOKUP(BO30,anniversaire!$X$2:$Z$100,2,0))</f>
        <v/>
      </c>
      <c r="BS30" s="54" t="str">
        <f>IF(ISERROR(VLOOKUP(BO30,fête!$B$2:$C$367,2,0)),"",VLOOKUP(BO30,fête!$B$2:$C$367,2,0))</f>
        <v>Augustin</v>
      </c>
      <c r="BT30" s="54" t="str">
        <f>IF(ISERROR(VLOOKUP(BO30,évènements!$A$3:$D$200,3,0)),"",VLOOKUP(BO30,évènements!$A$3:$D$200,3,0))</f>
        <v/>
      </c>
      <c r="BU30" s="54" t="str">
        <f>IF(ISERROR(VLOOKUP(BO30,évènements!$B$3:$D$200,2,0)),"",VLOOKUP(BO30,évènements!$B$3:$D$200,2,0))</f>
        <v/>
      </c>
      <c r="BV30" s="54" t="str">
        <f t="shared" si="14"/>
        <v xml:space="preserve">  </v>
      </c>
      <c r="BW30" s="41">
        <f t="shared" si="36"/>
        <v>43006</v>
      </c>
      <c r="BX30" s="42">
        <f t="shared" si="49"/>
        <v>43006</v>
      </c>
      <c r="BY30" s="43" t="str">
        <f>IF(BX30="","",IF(ISERROR(MATCH(BX30,Lune!$A$1:$A$1000,0)),IF(WEEKDAY(BX30)=5,INT((BX30-DATE(YEAR(BX30),1,1))/7+1),IF(AND(WEEKDAY(BX30)=4,NOT( ISERROR(MATCH(BX30+1,Lune!$A$1:$A$1000,0)))),INT((BX30+1-DATE(YEAR(BX30+1),1,1))/7+1),"")),INDEX(Lune!$B$1:$B$1000,MATCH(BX30,Lune!$A$1:$A$1000,0),1)))</f>
        <v>◐</v>
      </c>
      <c r="BZ30" s="80" t="str">
        <f t="shared" ca="1" si="15"/>
        <v/>
      </c>
      <c r="CA30" s="54" t="str">
        <f ca="1">IF(ISERROR(VLOOKUP(BX30,anniversaire!$X$2:$Z$100,2,0)),"",VLOOKUP(BX30,anniversaire!$X$2:$Z$100,2,0))</f>
        <v/>
      </c>
      <c r="CB30" s="54" t="str">
        <f>IF(ISERROR(VLOOKUP(BX30,fête!$B$2:$C$367,2,0)),"",VLOOKUP(BX30,fête!$B$2:$C$367,2,0))</f>
        <v>Venceslas</v>
      </c>
      <c r="CC30" s="54" t="str">
        <f>IF(ISERROR(VLOOKUP(BX30,évènements!$A$3:$D$200,3,0)),"",VLOOKUP(BX30,évènements!$A$3:$D$200,3,0))</f>
        <v/>
      </c>
      <c r="CD30" s="54" t="str">
        <f>IF(ISERROR(VLOOKUP(BX30,évènements!$B$3:$D$200,2,0)),"",VLOOKUP(BX30,évènements!$B$3:$D$200,2,0))</f>
        <v/>
      </c>
      <c r="CE30" s="54" t="str">
        <f t="shared" si="16"/>
        <v xml:space="preserve">  </v>
      </c>
      <c r="CF30" s="41">
        <f t="shared" si="37"/>
        <v>43036</v>
      </c>
      <c r="CG30" s="42">
        <f t="shared" si="50"/>
        <v>43036</v>
      </c>
      <c r="CH30" s="43" t="str">
        <f>IF(CG30="","",IF(ISERROR(MATCH(CG30,Lune!$A$1:$A$1000,0)),IF(WEEKDAY(CG30)=5,INT((CG30-DATE(YEAR(CG30),1,1))/7+1),IF(AND(WEEKDAY(CG30)=4,NOT( ISERROR(MATCH(CG30+1,Lune!$A$1:$A$1000,0)))),INT((CG30+1-DATE(YEAR(CG30+1),1,1))/7+1),"")),INDEX(Lune!$B$1:$B$1000,MATCH(CG30,Lune!$A$1:$A$1000,0),1)))</f>
        <v/>
      </c>
      <c r="CI30" s="80" t="str">
        <f t="shared" ca="1" si="17"/>
        <v/>
      </c>
      <c r="CJ30" s="54" t="str">
        <f ca="1">IF(ISERROR(VLOOKUP(CG30,anniversaire!$X$2:$Z$100,2,0)),"",VLOOKUP(CG30,anniversaire!$X$2:$Z$100,2,0))</f>
        <v/>
      </c>
      <c r="CK30" s="54" t="str">
        <f>IF(ISERROR(VLOOKUP(CG30,fête!$B$2:$C$367,2,0)),"",VLOOKUP(CG30,fête!$B$2:$C$367,2,0))</f>
        <v>Jude</v>
      </c>
      <c r="CL30" s="54" t="str">
        <f>IF(ISERROR(VLOOKUP(CG30,évènements!$A$3:$D$200,3,0)),"",VLOOKUP(CG30,évènements!$A$3:$D$200,3,0))</f>
        <v/>
      </c>
      <c r="CM30" s="54" t="str">
        <f>IF(ISERROR(VLOOKUP(CG30,évènements!$B$3:$D$200,2,0)),"",VLOOKUP(CG30,évènements!$B$3:$D$200,2,0))</f>
        <v/>
      </c>
      <c r="CN30" s="54" t="str">
        <f t="shared" si="18"/>
        <v xml:space="preserve">  </v>
      </c>
      <c r="CO30" s="41">
        <f t="shared" si="38"/>
        <v>43067</v>
      </c>
      <c r="CP30" s="42">
        <f t="shared" si="51"/>
        <v>43067</v>
      </c>
      <c r="CQ30" s="43" t="str">
        <f>IF(CP30="","",IF(ISERROR(MATCH(CP30,Lune!$A$1:$A$1000,0)),IF(WEEKDAY(CP30)=5,INT((CP30-DATE(YEAR(CP30),1,1))/7+1),IF(AND(WEEKDAY(CP30)=4,NOT( ISERROR(MATCH(CP30+1,Lune!$A$1:$A$1000,0)))),INT((CP30+1-DATE(YEAR(CP30+1),1,1))/7+1),"")),INDEX(Lune!$B$1:$B$1000,MATCH(CP30,Lune!$A$1:$A$1000,0),1)))</f>
        <v/>
      </c>
      <c r="CR30" s="80" t="str">
        <f t="shared" ca="1" si="19"/>
        <v/>
      </c>
      <c r="CS30" s="54" t="str">
        <f ca="1">IF(ISERROR(VLOOKUP(CP30,anniversaire!$X$2:$Z$100,2,0)),"",VLOOKUP(CP30,anniversaire!$X$2:$Z$100,2,0))</f>
        <v/>
      </c>
      <c r="CT30" s="54" t="str">
        <f>IF(ISERROR(VLOOKUP(CP30,fête!$B$2:$C$367,2,0)),"",VLOOKUP(CP30,fête!$B$2:$C$367,2,0))</f>
        <v>Jacques de la Marche</v>
      </c>
      <c r="CU30" s="54" t="str">
        <f>IF(ISERROR(VLOOKUP(CP30,évènements!$A$3:$D$200,3,0)),"",VLOOKUP(CP30,évènements!$A$3:$D$200,3,0))</f>
        <v/>
      </c>
      <c r="CV30" s="54" t="str">
        <f>IF(ISERROR(VLOOKUP(CP30,évènements!$B$3:$D$200,2,0)),"",VLOOKUP(CP30,évènements!$B$3:$D$200,2,0))</f>
        <v/>
      </c>
      <c r="CW30" s="54" t="str">
        <f t="shared" si="20"/>
        <v xml:space="preserve">  </v>
      </c>
      <c r="CX30" s="41">
        <f t="shared" si="39"/>
        <v>43097</v>
      </c>
      <c r="CY30" s="42">
        <f t="shared" si="52"/>
        <v>43097</v>
      </c>
      <c r="CZ30" s="43">
        <f>IF(CY30="","",IF(ISERROR(MATCH(CY30,Lune!$A$1:$A$1000,0)),IF(WEEKDAY(CY30)=5,INT((CY30-DATE(YEAR(CY30),1,1))/7+1),IF(AND(WEEKDAY(CY30)=4,NOT( ISERROR(MATCH(CY30+1,Lune!$A$1:$A$1000,0)))),INT((CY30+1-DATE(YEAR(CY30+1),1,1))/7+1),"")),INDEX(Lune!$B$1:$B$1000,MATCH(CY30,Lune!$A$1:$A$1000,0),1)))</f>
        <v>52</v>
      </c>
      <c r="DA30" s="80" t="str">
        <f t="shared" ca="1" si="21"/>
        <v/>
      </c>
      <c r="DB30" s="54" t="str">
        <f ca="1">IF(ISERROR(VLOOKUP(CY30,anniversaire!$X$2:$Z$100,2,0)),"",VLOOKUP(CY30,anniversaire!$X$2:$Z$100,2,0))</f>
        <v/>
      </c>
      <c r="DC30" s="54" t="str">
        <f>IF(ISERROR(VLOOKUP(CY30,fête!$B$2:$C$367,2,0)),"",VLOOKUP(CY30,fête!$B$2:$C$367,2,0))</f>
        <v>Innocents</v>
      </c>
      <c r="DD30" s="54" t="str">
        <f>IF(ISERROR(VLOOKUP(CY30,évènements!$A$3:$D$200,3,0)),"",VLOOKUP(CY30,évènements!$A$3:$D$200,3,0))</f>
        <v/>
      </c>
      <c r="DE30" s="54" t="str">
        <f>IF(ISERROR(VLOOKUP(CY30,évènements!$B$3:$D$200,2,0)),"",VLOOKUP(CY30,évènements!$B$3:$D$200,2,0))</f>
        <v/>
      </c>
      <c r="DF30" s="54" t="str">
        <f t="shared" si="22"/>
        <v xml:space="preserve">  </v>
      </c>
      <c r="DG30" s="41">
        <f t="shared" si="40"/>
        <v>43128</v>
      </c>
      <c r="DH30" s="42">
        <f t="shared" si="53"/>
        <v>43128</v>
      </c>
      <c r="DI30" s="43" t="str">
        <f>IF(DH30="","",IF(ISERROR(MATCH(DH30,Lune!$A$1:$A$1000,0)),IF(WEEKDAY(DH30)=5,INT((DH30-DATE(YEAR(DH30),1,1))/7+1),IF(AND(WEEKDAY(DH30)=4,NOT( ISERROR(MATCH(DH30+1,Lune!$A$1:$A$1000,0)))),INT((DH30+1-DATE(YEAR(DH30+1),1,1))/7+1),"")),INDEX(Lune!$B$1:$B$1000,MATCH(DH30,Lune!$A$1:$A$1000,0),1)))</f>
        <v/>
      </c>
      <c r="DJ30" s="89" t="str">
        <f t="shared" ca="1" si="23"/>
        <v/>
      </c>
      <c r="DK30" s="252" t="str">
        <f t="shared" ca="1" si="24"/>
        <v/>
      </c>
      <c r="DL30" s="252" t="str">
        <f t="shared" si="25"/>
        <v>Thomas d'Aquin</v>
      </c>
      <c r="DM30" s="252" t="str">
        <f>IF(ISERROR(VLOOKUP(DH30,évènements!$A$3:$D$200,3,0)),"",VLOOKUP(DH30,évènements!$A$3:$D$200,3,0))</f>
        <v/>
      </c>
      <c r="DN30" s="252" t="str">
        <f>IF(ISERROR(VLOOKUP(DH30,évènements!$B$3:$D$200,2,0)),"",VLOOKUP(DH30,évènements!$B$3:$D$200,2,0))</f>
        <v/>
      </c>
      <c r="DO30" s="252" t="str">
        <f t="shared" si="26"/>
        <v xml:space="preserve">  </v>
      </c>
    </row>
    <row r="31" spans="2:119" ht="15" customHeight="1">
      <c r="B31" s="29"/>
      <c r="C31" s="41">
        <f t="shared" si="27"/>
        <v>42764</v>
      </c>
      <c r="D31" s="40">
        <f>IFERROR(IF(OR(D30="",MONTH(D30+1)&gt;MONTH(D30)),"",D30+1),"")</f>
        <v>42764</v>
      </c>
      <c r="E31" s="131" t="str">
        <f>IF(D31="","",IF(ISERROR(MATCH(D31,Lune!$A$1:$A$1000,0)),IF(WEEKDAY(D31)=5,INT((D31-DATE(YEAR(D31),1,1))/7+1),IF(AND(WEEKDAY(D31)=4,NOT( ISERROR(MATCH(D31+1,Lune!$A$1:$A$1000,0)))),INT((D31+1-DATE(YEAR(D31+1),1,1))/7+1),"")),INDEX(Lune!$B$1:$B$1000,MATCH(D31,Lune!$A$1:$A$1000,0),1)))</f>
        <v/>
      </c>
      <c r="F31" s="89" t="str">
        <f t="shared" ca="1" si="0"/>
        <v/>
      </c>
      <c r="G31" s="125" t="str">
        <f ca="1">IF(ISERROR(VLOOKUP(D31,anniversaire!$X$2:$Z$100,2,0)),"",VLOOKUP(D31,anniversaire!$X$2:$Z$100,2,0))</f>
        <v/>
      </c>
      <c r="H31" s="54" t="str">
        <f>IF(ISERROR(VLOOKUP(D31,fête!$B$2:$C$367,2,0)),"",VLOOKUP(D31,fête!$B$2:$C$367,2,0))</f>
        <v>Gildas</v>
      </c>
      <c r="I31" s="239" t="str">
        <f>IF(ISERROR(VLOOKUP(D31,évènements!$A$3:$D$200,3,0)),"",VLOOKUP(D31,évènements!$A$3:$D$200,3,0))</f>
        <v/>
      </c>
      <c r="J31" s="239" t="str">
        <f>IF(ISERROR(VLOOKUP(D31,évènements!$B$3:$D$200,2,0)),"",VLOOKUP(D31,évènements!$B$3:$D$200,2,0))</f>
        <v/>
      </c>
      <c r="K31" s="239" t="str">
        <f t="shared" si="58"/>
        <v xml:space="preserve">  </v>
      </c>
      <c r="L31" s="41" t="str">
        <f t="shared" si="28"/>
        <v/>
      </c>
      <c r="M31" s="40" t="str">
        <f>IFERROR(IF(OR(M30="",MONTH(M30+1)&gt;MONTH(M30)),"",M30+1),"")</f>
        <v/>
      </c>
      <c r="N31" s="131" t="str">
        <f>IF(M31="","",IF(ISERROR(MATCH(M31,Lune!$A$1:$A$1000,0)),IF(WEEKDAY(M31)=5,INT((M31-DATE(YEAR(M31),1,1))/7+1),IF(AND(WEEKDAY(M31)=4,NOT( ISERROR(MATCH(M31+1,Lune!$A$1:$A$1000,0)))),INT((M31+1-DATE(YEAR(M31+1),1,1))/7+1),"")),INDEX(Lune!$B$1:$B$1000,MATCH(M31,Lune!$A$1:$A$1000,0),1)))</f>
        <v/>
      </c>
      <c r="O31" s="80" t="str">
        <f t="shared" ca="1" si="54"/>
        <v/>
      </c>
      <c r="P31" s="54" t="str">
        <f ca="1">IF(ISERROR(VLOOKUP(M31,anniversaire!$X$2:$Z$100,2,0)),"",VLOOKUP(M31,anniversaire!$X$2:$Z$100,2,0))</f>
        <v/>
      </c>
      <c r="Q31" s="54" t="str">
        <f>IF(ISERROR(VLOOKUP(M31,fête!$B$2:$C$367,2,0)),"",VLOOKUP(M31,fête!$B$2:$C$367,2,0))</f>
        <v/>
      </c>
      <c r="R31" s="54" t="str">
        <f>IF(ISERROR(VLOOKUP(M31,évènements!$A$3:$D$200,3,0)),"",VLOOKUP(M31,évènements!$A$3:$D$200,3,0))</f>
        <v/>
      </c>
      <c r="S31" s="54" t="str">
        <f>IF(ISERROR(VLOOKUP(M31,évènements!$B$3:$D$200,2,0)),"",VLOOKUP(M31,évènements!$B$3:$D$200,2,0))</f>
        <v/>
      </c>
      <c r="T31" s="54" t="str">
        <f t="shared" si="3"/>
        <v xml:space="preserve">  </v>
      </c>
      <c r="U31" s="41">
        <f t="shared" si="29"/>
        <v>42823</v>
      </c>
      <c r="V31" s="42">
        <f>IFERROR(IF(OR(V30="",MONTH(V30+1)&gt;MONTH(V30)),"",V30+1),"")</f>
        <v>42823</v>
      </c>
      <c r="W31" s="132" t="str">
        <f>IF(V31="","",IF(ISERROR(MATCH(V31,Lune!$A$1:$A$1000,0)),IF(WEEKDAY(V31)=5,INT((V31-DATE(YEAR(V31),1,1))/7+1),IF(AND(WEEKDAY(V31)=4,NOT( ISERROR(MATCH(V31+1,Lune!$A$1:$A$1000,0)))),INT((V31+1-DATE(YEAR(V31+1),1,1))/7+1),"")),INDEX(Lune!$B$1:$B$1000,MATCH(V31,Lune!$A$1:$A$1000,0),1)))</f>
        <v/>
      </c>
      <c r="X31" s="89" t="str">
        <f t="shared" ca="1" si="4"/>
        <v xml:space="preserve"> '</v>
      </c>
      <c r="Y31" s="125" t="str">
        <f ca="1">IF(ISERROR(VLOOKUP(V31,anniversaire!$X$2:$Z$100,2,0)),"",VLOOKUP(V31,anniversaire!$X$2:$Z$100,2,0))</f>
        <v>taraud  albane    8</v>
      </c>
      <c r="Z31" s="54" t="str">
        <f>IF(ISERROR(VLOOKUP(V31,fête!$B$2:$C$367,2,0)),"",VLOOKUP(V31,fête!$B$2:$C$367,2,0))</f>
        <v>Gwladys</v>
      </c>
      <c r="AA31" s="54" t="str">
        <f>IF(ISERROR(VLOOKUP(V31,évènements!$A$3:$D$200,3,0)),"",VLOOKUP(V31,évènements!$A$3:$D$200,3,0))</f>
        <v/>
      </c>
      <c r="AB31" s="54" t="str">
        <f>IF(ISERROR(VLOOKUP(V31,évènements!$B$3:$D$200,2,0)),"",VLOOKUP(V31,évènements!$B$3:$D$200,2,0))</f>
        <v/>
      </c>
      <c r="AC31" s="54" t="str">
        <f t="shared" si="57"/>
        <v xml:space="preserve">  </v>
      </c>
      <c r="AD31" s="41">
        <f t="shared" si="30"/>
        <v>42854</v>
      </c>
      <c r="AE31" s="42">
        <f>IFERROR(IF(OR(AE30="",MONTH(AE30+1)&gt;MONTH(AE30)),"",AE30+1),"")</f>
        <v>42854</v>
      </c>
      <c r="AF31" s="137" t="str">
        <f>IF(AE31="","",IF(ISERROR(MATCH(AE31,Lune!$A$1:$A$1000,0)),IF(WEEKDAY(AE31)=5,INT((AE31-DATE(YEAR(AE31),1,1))/7+1),IF(AND(WEEKDAY(AE31)=4,NOT( ISERROR(MATCH(AE31+1,Lune!$A$1:$A$1000,0)))),INT((AE31+1-DATE(YEAR(AE31+1),1,1))/7+1),"")),INDEX(Lune!$B$1:$B$1000,MATCH(AE31,Lune!$A$1:$A$1000,0),1)))</f>
        <v/>
      </c>
      <c r="AG31" s="80" t="str">
        <f t="shared" ca="1" si="6"/>
        <v/>
      </c>
      <c r="AH31" s="54" t="str">
        <f ca="1">IF(ISERROR(VLOOKUP(AE31,anniversaire!$X$2:$Z$100,2,0)),"",VLOOKUP(AE31,anniversaire!$X$2:$Z$100,2,0))</f>
        <v/>
      </c>
      <c r="AI31" s="54" t="str">
        <f>IF(ISERROR(VLOOKUP(AE31,fête!$B$2:$C$367,2,0)),"",VLOOKUP(AE31,fête!$B$2:$C$367,2,0))</f>
        <v>Catherine de Sienne</v>
      </c>
      <c r="AJ31" s="54" t="str">
        <f>IF(ISERROR(VLOOKUP(AE31,évènements!$A$3:$D$200,3,0)),"",VLOOKUP(AE31,évènements!$A$3:$D$200,3,0))</f>
        <v/>
      </c>
      <c r="AK31" s="54" t="str">
        <f>IF(ISERROR(VLOOKUP(AE31,évènements!$B$3:$D$200,2,0)),"",VLOOKUP(AE31,évènements!$B$3:$D$200,2,0))</f>
        <v/>
      </c>
      <c r="AL31" s="238" t="str">
        <f t="shared" si="55"/>
        <v xml:space="preserve">  </v>
      </c>
      <c r="AM31" s="41">
        <f t="shared" si="31"/>
        <v>42884</v>
      </c>
      <c r="AN31" s="42">
        <f>IFERROR(IF(OR(AN30="",MONTH(AN30+1)&gt;MONTH(AN30)),"",AN30+1),"")</f>
        <v>42884</v>
      </c>
      <c r="AO31" s="43" t="str">
        <f>IF(AN31="","",IF(ISERROR(MATCH(AN31,Lune!$A$1:$A$1000,0)),IF(WEEKDAY(AN31)=5,INT((AN31-DATE(YEAR(AN31),1,1))/7+1),IF(AND(WEEKDAY(AN31)=4,NOT( ISERROR(MATCH(AN31+1,Lune!$A$1:$A$1000,0)))),INT((AN31+1-DATE(YEAR(AN31+1),1,1))/7+1),"")),INDEX(Lune!$B$1:$B$1000,MATCH(AN31,Lune!$A$1:$A$1000,0),1)))</f>
        <v/>
      </c>
      <c r="AP31" s="79" t="str">
        <f t="shared" ca="1" si="8"/>
        <v/>
      </c>
      <c r="AQ31" s="54" t="str">
        <f ca="1">IF(ISERROR(VLOOKUP(AN31,anniversaire!$X$2:$Z$100,2,0)),"",VLOOKUP(AN31,anniversaire!$X$2:$Z$100,2,0))</f>
        <v/>
      </c>
      <c r="AR31" s="54" t="str">
        <f>IF(ISERROR(VLOOKUP(AN31,fête!$B$2:$C$367,2,0)),"",VLOOKUP(AN31,fête!$B$2:$C$367,2,0))</f>
        <v>Aymar</v>
      </c>
      <c r="AS31" s="238" t="str">
        <f>IF(ISERROR(VLOOKUP(AN31,évènements!$A$3:$D$200,3,0)),"",VLOOKUP(AN31,évènements!$A$3:$D$200,3,0))</f>
        <v/>
      </c>
      <c r="AT31" s="238" t="str">
        <f>IF(ISERROR(VLOOKUP(AN31,évènements!$B$3:$D$200,2,0)),"",VLOOKUP(AN31,évènements!$B$3:$D$200,2,0))</f>
        <v/>
      </c>
      <c r="AU31" s="238" t="str">
        <f t="shared" si="9"/>
        <v xml:space="preserve">  </v>
      </c>
      <c r="AV31" s="41">
        <f t="shared" si="32"/>
        <v>42915</v>
      </c>
      <c r="AW31" s="42">
        <f>IFERROR(IF(OR(AW30="",MONTH(AW30+1)&gt;MONTH(AW30)),"",AW30+1),"")</f>
        <v>42915</v>
      </c>
      <c r="AX31" s="43">
        <f>IF(AW31="","",IF(ISERROR(MATCH(AW31,Lune!$A$1:$A$1000,0)),IF(WEEKDAY(AW31)=5,INT((AW31-DATE(YEAR(AW31),1,1))/7+1),IF(AND(WEEKDAY(AW31)=4,NOT( ISERROR(MATCH(AW31+1,Lune!$A$1:$A$1000,0)))),INT((AW31+1-DATE(YEAR(AW31+1),1,1))/7+1),"")),INDEX(Lune!$B$1:$B$1000,MATCH(AW31,Lune!$A$1:$A$1000,0),1)))</f>
        <v>26</v>
      </c>
      <c r="AY31" s="79" t="str">
        <f t="shared" ca="1" si="10"/>
        <v/>
      </c>
      <c r="AZ31" s="54" t="str">
        <f ca="1">IF(ISERROR(VLOOKUP(AW31,anniversaire!$X$2:$Z$100,2,0)),"",VLOOKUP(AW31,anniversaire!$X$2:$Z$100,2,0))</f>
        <v/>
      </c>
      <c r="BA31" s="54" t="str">
        <f>IF(ISERROR(VLOOKUP(AW31,fête!$B$2:$C$367,2,0)),"",VLOOKUP(AW31,fête!$B$2:$C$367,2,0))</f>
        <v>Pierre, Paul</v>
      </c>
      <c r="BB31" s="54" t="str">
        <f>IF(ISERROR(VLOOKUP(AW31,évènements!$A$3:$D$200,3,0)),"",VLOOKUP(AW31,évènements!$A$3:$D$200,3,0))</f>
        <v/>
      </c>
      <c r="BC31" s="54" t="str">
        <f>IF(ISERROR(VLOOKUP(AW31,évènements!$B$3:$D$200,2,0)),"",VLOOKUP(AW31,évènements!$B$3:$D$200,2,0))</f>
        <v/>
      </c>
      <c r="BD31" s="54" t="str">
        <f t="shared" si="56"/>
        <v xml:space="preserve">  </v>
      </c>
      <c r="BE31" s="41">
        <f t="shared" si="33"/>
        <v>42945</v>
      </c>
      <c r="BF31" s="42">
        <f>IFERROR(IF(OR(BF30="",MONTH(BF30+1)&gt;MONTH(BF30)),"",BF30+1),"")</f>
        <v>42945</v>
      </c>
      <c r="BG31" s="43" t="str">
        <f>IF(BF31="","",IF(ISERROR(MATCH(BF31,Lune!$A$1:$A$1000,0)),IF(WEEKDAY(BF31)=5,INT((BF31-DATE(YEAR(BF31),1,1))/7+1),IF(AND(WEEKDAY(BF31)=4,NOT( ISERROR(MATCH(BF31+1,Lune!$A$1:$A$1000,0)))),INT((BF31+1-DATE(YEAR(BF31+1),1,1))/7+1),"")),INDEX(Lune!$B$1:$B$1000,MATCH(BF31,Lune!$A$1:$A$1000,0),1)))</f>
        <v/>
      </c>
      <c r="BH31" s="80" t="str">
        <f t="shared" ca="1" si="12"/>
        <v/>
      </c>
      <c r="BI31" s="54" t="str">
        <f ca="1">IF(ISERROR(VLOOKUP(BF31,anniversaire!$X$2:$Z$100,2,0)),"",VLOOKUP(BF31,anniversaire!$X$2:$Z$100,2,0))</f>
        <v/>
      </c>
      <c r="BJ31" s="54" t="str">
        <f>IF(ISERROR(VLOOKUP(BF31,fête!$B$2:$C$367,2,0)),"",VLOOKUP(BF31,fête!$B$2:$C$367,2,0))</f>
        <v>Marthe</v>
      </c>
      <c r="BK31" s="54" t="str">
        <f>IF(ISERROR(VLOOKUP(BF31,évènements!$A$3:$D$200,3,0)),"",VLOOKUP(BF31,évènements!$A$3:$D$200,3,0))</f>
        <v/>
      </c>
      <c r="BL31" s="54" t="str">
        <f>IF(ISERROR(VLOOKUP(BF31,évènements!$B$3:$D$200,2,0)),"",VLOOKUP(BF31,évènements!$B$3:$D$200,2,0))</f>
        <v/>
      </c>
      <c r="BM31" s="54" t="str">
        <f t="shared" si="34"/>
        <v xml:space="preserve">  </v>
      </c>
      <c r="BN31" s="41">
        <f t="shared" si="35"/>
        <v>42976</v>
      </c>
      <c r="BO31" s="42">
        <f>IFERROR(IF(OR(BO30="",MONTH(BO30+1)&gt;MONTH(BO30)),"",BO30+1),"")</f>
        <v>42976</v>
      </c>
      <c r="BP31" s="43" t="str">
        <f>IF(BO31="","",IF(ISERROR(MATCH(BO31,Lune!$A$1:$A$1000,0)),IF(WEEKDAY(BO31)=5,INT((BO31-DATE(YEAR(BO31),1,1))/7+1),IF(AND(WEEKDAY(BO31)=4,NOT( ISERROR(MATCH(BO31+1,Lune!$A$1:$A$1000,0)))),INT((BO31+1-DATE(YEAR(BO31+1),1,1))/7+1),"")),INDEX(Lune!$B$1:$B$1000,MATCH(BO31,Lune!$A$1:$A$1000,0),1)))</f>
        <v>◐</v>
      </c>
      <c r="BQ31" s="80" t="str">
        <f t="shared" ca="1" si="13"/>
        <v/>
      </c>
      <c r="BR31" s="54" t="str">
        <f ca="1">IF(ISERROR(VLOOKUP(BO31,anniversaire!$X$2:$Z$100,2,0)),"",VLOOKUP(BO31,anniversaire!$X$2:$Z$100,2,0))</f>
        <v/>
      </c>
      <c r="BS31" s="54" t="str">
        <f>IF(ISERROR(VLOOKUP(BO31,fête!$B$2:$C$367,2,0)),"",VLOOKUP(BO31,fête!$B$2:$C$367,2,0))</f>
        <v>Sabine</v>
      </c>
      <c r="BT31" s="54" t="str">
        <f>IF(ISERROR(VLOOKUP(BO31,évènements!$A$3:$D$200,3,0)),"",VLOOKUP(BO31,évènements!$A$3:$D$200,3,0))</f>
        <v/>
      </c>
      <c r="BU31" s="54" t="str">
        <f>IF(ISERROR(VLOOKUP(BO31,évènements!$B$3:$D$200,2,0)),"",VLOOKUP(BO31,évènements!$B$3:$D$200,2,0))</f>
        <v/>
      </c>
      <c r="BV31" s="54" t="str">
        <f t="shared" si="14"/>
        <v xml:space="preserve">  </v>
      </c>
      <c r="BW31" s="41">
        <f t="shared" si="36"/>
        <v>43007</v>
      </c>
      <c r="BX31" s="42">
        <f>IFERROR(IF(OR(BX30="",MONTH(BX30+1)&gt;MONTH(BX30)),"",BX30+1),"")</f>
        <v>43007</v>
      </c>
      <c r="BY31" s="43" t="str">
        <f>IF(BX31="","",IF(ISERROR(MATCH(BX31,Lune!$A$1:$A$1000,0)),IF(WEEKDAY(BX31)=5,INT((BX31-DATE(YEAR(BX31),1,1))/7+1),IF(AND(WEEKDAY(BX31)=4,NOT( ISERROR(MATCH(BX31+1,Lune!$A$1:$A$1000,0)))),INT((BX31+1-DATE(YEAR(BX31+1),1,1))/7+1),"")),INDEX(Lune!$B$1:$B$1000,MATCH(BX31,Lune!$A$1:$A$1000,0),1)))</f>
        <v/>
      </c>
      <c r="BZ31" s="80" t="str">
        <f t="shared" ca="1" si="15"/>
        <v/>
      </c>
      <c r="CA31" s="54" t="str">
        <f ca="1">IF(ISERROR(VLOOKUP(BX31,anniversaire!$X$2:$Z$100,2,0)),"",VLOOKUP(BX31,anniversaire!$X$2:$Z$100,2,0))</f>
        <v/>
      </c>
      <c r="CB31" s="54" t="str">
        <f>IF(ISERROR(VLOOKUP(BX31,fête!$B$2:$C$367,2,0)),"",VLOOKUP(BX31,fête!$B$2:$C$367,2,0))</f>
        <v>Michel, Gabriel, Raphaël</v>
      </c>
      <c r="CC31" s="54" t="str">
        <f>IF(ISERROR(VLOOKUP(BX31,évènements!$A$3:$D$200,3,0)),"",VLOOKUP(BX31,évènements!$A$3:$D$200,3,0))</f>
        <v/>
      </c>
      <c r="CD31" s="54" t="str">
        <f>IF(ISERROR(VLOOKUP(BX31,évènements!$B$3:$D$200,2,0)),"",VLOOKUP(BX31,évènements!$B$3:$D$200,2,0))</f>
        <v/>
      </c>
      <c r="CE31" s="54" t="str">
        <f t="shared" si="16"/>
        <v xml:space="preserve">  </v>
      </c>
      <c r="CF31" s="41">
        <f t="shared" si="37"/>
        <v>43037</v>
      </c>
      <c r="CG31" s="42">
        <f>IFERROR(IF(OR(CG30="",MONTH(CG30+1)&gt;MONTH(CG30)),"",CG30+1),"")</f>
        <v>43037</v>
      </c>
      <c r="CH31" s="43" t="str">
        <f>IF(CG31="","",IF(ISERROR(MATCH(CG31,Lune!$A$1:$A$1000,0)),IF(WEEKDAY(CG31)=5,INT((CG31-DATE(YEAR(CG31),1,1))/7+1),IF(AND(WEEKDAY(CG31)=4,NOT( ISERROR(MATCH(CG31+1,Lune!$A$1:$A$1000,0)))),INT((CG31+1-DATE(YEAR(CG31+1),1,1))/7+1),"")),INDEX(Lune!$B$1:$B$1000,MATCH(CG31,Lune!$A$1:$A$1000,0),1)))</f>
        <v/>
      </c>
      <c r="CI31" s="80" t="str">
        <f t="shared" ca="1" si="17"/>
        <v/>
      </c>
      <c r="CJ31" s="54" t="str">
        <f ca="1">IF(ISERROR(VLOOKUP(CG31,anniversaire!$X$2:$Z$100,2,0)),"",VLOOKUP(CG31,anniversaire!$X$2:$Z$100,2,0))</f>
        <v/>
      </c>
      <c r="CK31" s="54" t="str">
        <f>IF(ISERROR(VLOOKUP(CG31,fête!$B$2:$C$367,2,0)),"",VLOOKUP(CG31,fête!$B$2:$C$367,2,0))</f>
        <v>Narcisse</v>
      </c>
      <c r="CL31" s="54" t="str">
        <f>IF(ISERROR(VLOOKUP(CG31,évènements!$A$3:$D$200,3,0)),"",VLOOKUP(CG31,évènements!$A$3:$D$200,3,0))</f>
        <v/>
      </c>
      <c r="CM31" s="54" t="str">
        <f>IF(ISERROR(VLOOKUP(CG31,évènements!$B$3:$D$200,2,0)),"",VLOOKUP(CG31,évènements!$B$3:$D$200,2,0))</f>
        <v/>
      </c>
      <c r="CN31" s="54" t="str">
        <f t="shared" si="18"/>
        <v xml:space="preserve">  </v>
      </c>
      <c r="CO31" s="41">
        <f t="shared" si="38"/>
        <v>43068</v>
      </c>
      <c r="CP31" s="42">
        <f>IFERROR(IF(OR(CP30="",MONTH(CP30+1)&gt;MONTH(CP30)),"",CP30+1),"")</f>
        <v>43068</v>
      </c>
      <c r="CQ31" s="43" t="str">
        <f>IF(CP31="","",IF(ISERROR(MATCH(CP31,Lune!$A$1:$A$1000,0)),IF(WEEKDAY(CP31)=5,INT((CP31-DATE(YEAR(CP31),1,1))/7+1),IF(AND(WEEKDAY(CP31)=4,NOT( ISERROR(MATCH(CP31+1,Lune!$A$1:$A$1000,0)))),INT((CP31+1-DATE(YEAR(CP31+1),1,1))/7+1),"")),INDEX(Lune!$B$1:$B$1000,MATCH(CP31,Lune!$A$1:$A$1000,0),1)))</f>
        <v/>
      </c>
      <c r="CR31" s="80" t="str">
        <f t="shared" ca="1" si="19"/>
        <v/>
      </c>
      <c r="CS31" s="54" t="str">
        <f ca="1">IF(ISERROR(VLOOKUP(CP31,anniversaire!$X$2:$Z$100,2,0)),"",VLOOKUP(CP31,anniversaire!$X$2:$Z$100,2,0))</f>
        <v/>
      </c>
      <c r="CT31" s="54" t="str">
        <f>IF(ISERROR(VLOOKUP(CP31,fête!$B$2:$C$367,2,0)),"",VLOOKUP(CP31,fête!$B$2:$C$367,2,0))</f>
        <v>Saturnin</v>
      </c>
      <c r="CU31" s="54" t="str">
        <f>IF(ISERROR(VLOOKUP(CP31,évènements!$A$3:$D$200,3,0)),"",VLOOKUP(CP31,évènements!$A$3:$D$200,3,0))</f>
        <v/>
      </c>
      <c r="CV31" s="54" t="str">
        <f>IF(ISERROR(VLOOKUP(CP31,évènements!$B$3:$D$200,2,0)),"",VLOOKUP(CP31,évènements!$B$3:$D$200,2,0))</f>
        <v/>
      </c>
      <c r="CW31" s="54" t="str">
        <f t="shared" si="20"/>
        <v xml:space="preserve">  </v>
      </c>
      <c r="CX31" s="41">
        <f t="shared" si="39"/>
        <v>43098</v>
      </c>
      <c r="CY31" s="42">
        <f>IFERROR(IF(OR(CY30="",MONTH(CY30+1)&gt;MONTH(CY30)),"",CY30+1),"")</f>
        <v>43098</v>
      </c>
      <c r="CZ31" s="43" t="str">
        <f>IF(CY31="","",IF(ISERROR(MATCH(CY31,Lune!$A$1:$A$1000,0)),IF(WEEKDAY(CY31)=5,INT((CY31-DATE(YEAR(CY31),1,1))/7+1),IF(AND(WEEKDAY(CY31)=4,NOT( ISERROR(MATCH(CY31+1,Lune!$A$1:$A$1000,0)))),INT((CY31+1-DATE(YEAR(CY31+1),1,1))/7+1),"")),INDEX(Lune!$B$1:$B$1000,MATCH(CY31,Lune!$A$1:$A$1000,0),1)))</f>
        <v/>
      </c>
      <c r="DA31" s="80" t="str">
        <f t="shared" ca="1" si="21"/>
        <v/>
      </c>
      <c r="DB31" s="54" t="str">
        <f ca="1">IF(ISERROR(VLOOKUP(CY31,anniversaire!$X$2:$Z$100,2,0)),"",VLOOKUP(CY31,anniversaire!$X$2:$Z$100,2,0))</f>
        <v/>
      </c>
      <c r="DC31" s="54" t="str">
        <f>IF(ISERROR(VLOOKUP(CY31,fête!$B$2:$C$367,2,0)),"",VLOOKUP(CY31,fête!$B$2:$C$367,2,0))</f>
        <v>David</v>
      </c>
      <c r="DD31" s="54" t="str">
        <f>IF(ISERROR(VLOOKUP(CY31,évènements!$A$3:$D$200,3,0)),"",VLOOKUP(CY31,évènements!$A$3:$D$200,3,0))</f>
        <v/>
      </c>
      <c r="DE31" s="54" t="str">
        <f>IF(ISERROR(VLOOKUP(CY31,évènements!$B$3:$D$200,2,0)),"",VLOOKUP(CY31,évènements!$B$3:$D$200,2,0))</f>
        <v/>
      </c>
      <c r="DF31" s="54" t="str">
        <f t="shared" si="22"/>
        <v xml:space="preserve">  </v>
      </c>
      <c r="DG31" s="41">
        <f t="shared" si="40"/>
        <v>43129</v>
      </c>
      <c r="DH31" s="42">
        <f>IFERROR(IF(OR(DH30="",MONTH(DH30+1)&gt;MONTH(DH30)),"",DH30+1),"")</f>
        <v>43129</v>
      </c>
      <c r="DI31" s="43" t="str">
        <f>IF(DH31="","",IF(ISERROR(MATCH(DH31,Lune!$A$1:$A$1000,0)),IF(WEEKDAY(DH31)=5,INT((DH31-DATE(YEAR(DH31),1,1))/7+1),IF(AND(WEEKDAY(DH31)=4,NOT( ISERROR(MATCH(DH31+1,Lune!$A$1:$A$1000,0)))),INT((DH31+1-DATE(YEAR(DH31+1),1,1))/7+1),"")),INDEX(Lune!$B$1:$B$1000,MATCH(DH31,Lune!$A$1:$A$1000,0),1)))</f>
        <v/>
      </c>
      <c r="DJ31" s="89" t="str">
        <f t="shared" ca="1" si="23"/>
        <v/>
      </c>
      <c r="DK31" s="252" t="str">
        <f t="shared" ca="1" si="24"/>
        <v/>
      </c>
      <c r="DL31" s="252" t="str">
        <f t="shared" si="25"/>
        <v>Gildas</v>
      </c>
      <c r="DM31" s="252" t="str">
        <f>IF(ISERROR(VLOOKUP(DH31,évènements!$A$3:$D$200,3,0)),"",VLOOKUP(DH31,évènements!$A$3:$D$200,3,0))</f>
        <v/>
      </c>
      <c r="DN31" s="252" t="str">
        <f>IF(ISERROR(VLOOKUP(DH31,évènements!$B$3:$D$200,2,0)),"",VLOOKUP(DH31,évènements!$B$3:$D$200,2,0))</f>
        <v/>
      </c>
      <c r="DO31" s="252" t="str">
        <f t="shared" si="26"/>
        <v xml:space="preserve">  </v>
      </c>
    </row>
    <row r="32" spans="2:119" ht="15" customHeight="1">
      <c r="B32" s="29"/>
      <c r="C32" s="41">
        <f t="shared" si="27"/>
        <v>42765</v>
      </c>
      <c r="D32" s="40">
        <f>IFERROR(IF(OR(D31="",MONTH(D31+1)&gt;MONTH(D31)),"",D31+1),"")</f>
        <v>42765</v>
      </c>
      <c r="E32" s="131" t="str">
        <f>IF(D32="","",IF(ISERROR(MATCH(D32,Lune!$A$1:$A$1000,0)),IF(WEEKDAY(D32)=5,INT((D32-DATE(YEAR(D32),1,1))/7+1),IF(AND(WEEKDAY(D32)=4,NOT( ISERROR(MATCH(D32+1,Lune!$A$1:$A$1000,0)))),INT((D32+1-DATE(YEAR(D32+1),1,1))/7+1),"")),INDEX(Lune!$B$1:$B$1000,MATCH(D32,Lune!$A$1:$A$1000,0),1)))</f>
        <v/>
      </c>
      <c r="F32" s="89" t="str">
        <f t="shared" ca="1" si="0"/>
        <v/>
      </c>
      <c r="G32" s="125" t="str">
        <f ca="1">IF(ISERROR(VLOOKUP(D32,anniversaire!$X$2:$Z$100,2,0)),"",VLOOKUP(D32,anniversaire!$X$2:$Z$100,2,0))</f>
        <v/>
      </c>
      <c r="H32" s="54" t="str">
        <f>IF(ISERROR(VLOOKUP(D32,fête!$B$2:$C$367,2,0)),"",VLOOKUP(D32,fête!$B$2:$C$367,2,0))</f>
        <v>Martine</v>
      </c>
      <c r="I32" s="239" t="str">
        <f>IF(ISERROR(VLOOKUP(D32,évènements!$A$3:$D$200,3,0)),"",VLOOKUP(D32,évènements!$A$3:$D$200,3,0))</f>
        <v/>
      </c>
      <c r="J32" s="239" t="str">
        <f>IF(ISERROR(VLOOKUP(D32,évènements!$B$3:$D$200,2,0)),"",VLOOKUP(D32,évènements!$B$3:$D$200,2,0))</f>
        <v/>
      </c>
      <c r="K32" s="239" t="str">
        <f t="shared" si="58"/>
        <v xml:space="preserve">  </v>
      </c>
      <c r="L32" s="41" t="str">
        <f t="shared" si="28"/>
        <v/>
      </c>
      <c r="M32" s="42" t="str">
        <f>IFERROR(IF(OR(M31="",MONTH(M31+1)&gt;MONTH(M31)),"",M31+1),"")</f>
        <v/>
      </c>
      <c r="N32" s="42"/>
      <c r="O32" s="43"/>
      <c r="P32" s="41" t="s">
        <v>595</v>
      </c>
      <c r="Q32" s="42"/>
      <c r="R32" s="40"/>
      <c r="S32" s="40"/>
      <c r="T32" s="240"/>
      <c r="U32" s="41">
        <f t="shared" si="29"/>
        <v>42824</v>
      </c>
      <c r="V32" s="42">
        <f>IFERROR(IF(OR(V31="",MONTH(V31+1)&gt;MONTH(V31)),"",V31+1),"")</f>
        <v>42824</v>
      </c>
      <c r="W32" s="132">
        <f>IF(V32="","",IF(ISERROR(MATCH(V32,Lune!$A$1:$A$1000,0)),IF(WEEKDAY(V32)=5,INT((V32-DATE(YEAR(V32),1,1))/7+1),IF(AND(WEEKDAY(V32)=4,NOT( ISERROR(MATCH(V32+1,Lune!$A$1:$A$1000,0)))),INT((V32+1-DATE(YEAR(V32+1),1,1))/7+1),"")),INDEX(Lune!$B$1:$B$1000,MATCH(V32,Lune!$A$1:$A$1000,0),1)))</f>
        <v>13</v>
      </c>
      <c r="X32" s="132" t="str">
        <f ca="1">IF(Y32="",""," '")</f>
        <v xml:space="preserve"> '</v>
      </c>
      <c r="Y32" s="125" t="str">
        <f ca="1">IF(ISERROR(VLOOKUP(V32,anniversaire!$X$2:$Z$100,2,0)),"",VLOOKUP(V32,anniversaire!$X$2:$Z$100,2,0))</f>
        <v>decelle  daniel    38</v>
      </c>
      <c r="Z32" s="54" t="str">
        <f>IF(ISERROR(VLOOKUP(V32,fête!$B$2:$C$367,2,0)),"",VLOOKUP(V32,fête!$B$2:$C$367,2,0))</f>
        <v>Amédée</v>
      </c>
      <c r="AA32" s="54" t="str">
        <f>IF(ISERROR(VLOOKUP(V32,évènements!$A$3:$D$200,3,0)),"",VLOOKUP(V32,évènements!$A$3:$D$200,3,0))</f>
        <v/>
      </c>
      <c r="AB32" s="54" t="str">
        <f>IF(ISERROR(VLOOKUP(V32,évènements!$B$3:$D$200,2,0)),"",VLOOKUP(V32,évènements!$B$3:$D$200,2,0))</f>
        <v/>
      </c>
      <c r="AC32" s="54" t="str">
        <f t="shared" si="57"/>
        <v xml:space="preserve">  </v>
      </c>
      <c r="AD32" s="41">
        <f t="shared" si="30"/>
        <v>42855</v>
      </c>
      <c r="AE32" s="42">
        <f>IFERROR(IF(OR(AE31="",MONTH(AE31+1)&gt;MONTH(AE31)),"",AE31+1),"")</f>
        <v>42855</v>
      </c>
      <c r="AF32" s="137" t="str">
        <f>IF(AE32="","",IF(ISERROR(MATCH(AE32,Lune!$A$1:$A$1000,0)),IF(WEEKDAY(AE32)=5,INT((AE32-DATE(YEAR(AE32),1,1))/7+1),IF(AND(WEEKDAY(AE32)=4,NOT( ISERROR(MATCH(AE32+1,Lune!$A$1:$A$1000,0)))),INT((AE32+1-DATE(YEAR(AE32+1),1,1))/7+1),"")),INDEX(Lune!$B$1:$B$1000,MATCH(AE32,Lune!$A$1:$A$1000,0),1)))</f>
        <v/>
      </c>
      <c r="AG32" s="80" t="str">
        <f t="shared" ca="1" si="6"/>
        <v/>
      </c>
      <c r="AH32" s="54" t="str">
        <f ca="1">IF(ISERROR(VLOOKUP(AE32,anniversaire!$X$2:$Z$100,2,0)),"",VLOOKUP(AE32,anniversaire!$X$2:$Z$100,2,0))</f>
        <v/>
      </c>
      <c r="AI32" s="54" t="str">
        <f>IF(ISERROR(VLOOKUP(AE32,fête!$B$2:$C$367,2,0)),"",VLOOKUP(AE32,fête!$B$2:$C$367,2,0))</f>
        <v>Robert</v>
      </c>
      <c r="AJ32" s="54" t="str">
        <f>IF(ISERROR(VLOOKUP(AE32,évènements!$A$3:$D$200,3,0)),"",VLOOKUP(AE32,évènements!$A$3:$D$200,3,0))</f>
        <v/>
      </c>
      <c r="AK32" s="54" t="str">
        <f>IF(ISERROR(VLOOKUP(AE32,évènements!$B$3:$D$200,2,0)),"",VLOOKUP(AE32,évènements!$B$3:$D$200,2,0))</f>
        <v/>
      </c>
      <c r="AL32" s="238" t="str">
        <f t="shared" si="55"/>
        <v xml:space="preserve">  </v>
      </c>
      <c r="AM32" s="41">
        <f t="shared" si="31"/>
        <v>42885</v>
      </c>
      <c r="AN32" s="42">
        <f>IFERROR(IF(OR(AN31="",MONTH(AN31+1)&gt;MONTH(AN31)),"",AN31+1),"")</f>
        <v>42885</v>
      </c>
      <c r="AO32" s="43" t="str">
        <f>IF(AN32="","",IF(ISERROR(MATCH(AN32,Lune!$A$1:$A$1000,0)),IF(WEEKDAY(AN32)=5,INT((AN32-DATE(YEAR(AN32),1,1))/7+1),IF(AND(WEEKDAY(AN32)=4,NOT( ISERROR(MATCH(AN32+1,Lune!$A$1:$A$1000,0)))),INT((AN32+1-DATE(YEAR(AN32+1),1,1))/7+1),"")),INDEX(Lune!$B$1:$B$1000,MATCH(AN32,Lune!$A$1:$A$1000,0),1)))</f>
        <v/>
      </c>
      <c r="AP32" s="79" t="str">
        <f t="shared" ca="1" si="8"/>
        <v/>
      </c>
      <c r="AQ32" s="54" t="str">
        <f ca="1">IF(ISERROR(VLOOKUP(AN32,anniversaire!$X$2:$Z$100,2,0)),"",VLOOKUP(AN32,anniversaire!$X$2:$Z$100,2,0))</f>
        <v/>
      </c>
      <c r="AR32" s="54" t="str">
        <f>IF(ISERROR(VLOOKUP(AN32,fête!$B$2:$C$367,2,0)),"",VLOOKUP(AN32,fête!$B$2:$C$367,2,0))</f>
        <v>Ferdinand</v>
      </c>
      <c r="AS32" s="238" t="str">
        <f>IF(ISERROR(VLOOKUP(AN32,évènements!$A$3:$D$200,3,0)),"",VLOOKUP(AN32,évènements!$A$3:$D$200,3,0))</f>
        <v/>
      </c>
      <c r="AT32" s="238" t="str">
        <f>IF(ISERROR(VLOOKUP(AN32,évènements!$B$3:$D$200,2,0)),"",VLOOKUP(AN32,évènements!$B$3:$D$200,2,0))</f>
        <v/>
      </c>
      <c r="AU32" s="238" t="str">
        <f t="shared" si="9"/>
        <v xml:space="preserve">  </v>
      </c>
      <c r="AV32" s="41">
        <f t="shared" si="32"/>
        <v>42916</v>
      </c>
      <c r="AW32" s="42">
        <f>IFERROR(IF(OR(AW31="",MONTH(AW31+1)&gt;MONTH(AW31)),"",AW31+1),"")</f>
        <v>42916</v>
      </c>
      <c r="AX32" s="43" t="str">
        <f>IF(AW32="","",IF(ISERROR(MATCH(AW32,Lune!$A$1:$A$1000,0)),IF(WEEKDAY(AW32)=5,INT((AW32-DATE(YEAR(AW32),1,1))/7+1),IF(AND(WEEKDAY(AW32)=4,NOT( ISERROR(MATCH(AW32+1,Lune!$A$1:$A$1000,0)))),INT((AW32+1-DATE(YEAR(AW32+1),1,1))/7+1),"")),INDEX(Lune!$B$1:$B$1000,MATCH(AW32,Lune!$A$1:$A$1000,0),1)))</f>
        <v/>
      </c>
      <c r="AY32" s="79" t="str">
        <f t="shared" ca="1" si="10"/>
        <v/>
      </c>
      <c r="AZ32" s="54" t="str">
        <f ca="1">IF(ISERROR(VLOOKUP(AW32,anniversaire!$X$2:$Z$100,2,0)),"",VLOOKUP(AW32,anniversaire!$X$2:$Z$100,2,0))</f>
        <v/>
      </c>
      <c r="BA32" s="54" t="str">
        <f>IF(ISERROR(VLOOKUP(AW32,fête!$B$2:$C$367,2,0)),"",VLOOKUP(AW32,fête!$B$2:$C$367,2,0))</f>
        <v>Martial</v>
      </c>
      <c r="BB32" s="54" t="str">
        <f>IF(ISERROR(VLOOKUP(AW32,évènements!$A$3:$D$200,3,0)),"",VLOOKUP(AW32,évènements!$A$3:$D$200,3,0))</f>
        <v/>
      </c>
      <c r="BC32" s="54" t="str">
        <f>IF(ISERROR(VLOOKUP(AW32,évènements!$B$3:$D$200,2,0)),"",VLOOKUP(AW32,évènements!$B$3:$D$200,2,0))</f>
        <v/>
      </c>
      <c r="BD32" s="54" t="str">
        <f t="shared" si="56"/>
        <v xml:space="preserve">  </v>
      </c>
      <c r="BE32" s="41">
        <f t="shared" si="33"/>
        <v>42946</v>
      </c>
      <c r="BF32" s="42">
        <f>IFERROR(IF(OR(BF31="",MONTH(BF31+1)&gt;MONTH(BF31)),"",BF31+1),"")</f>
        <v>42946</v>
      </c>
      <c r="BG32" s="43" t="str">
        <f>IF(BF32="","",IF(ISERROR(MATCH(BF32,Lune!$A$1:$A$1000,0)),IF(WEEKDAY(BF32)=5,INT((BF32-DATE(YEAR(BF32),1,1))/7+1),IF(AND(WEEKDAY(BF32)=4,NOT( ISERROR(MATCH(BF32+1,Lune!$A$1:$A$1000,0)))),INT((BF32+1-DATE(YEAR(BF32+1),1,1))/7+1),"")),INDEX(Lune!$B$1:$B$1000,MATCH(BF32,Lune!$A$1:$A$1000,0),1)))</f>
        <v>◐</v>
      </c>
      <c r="BH32" s="80" t="str">
        <f t="shared" ca="1" si="12"/>
        <v/>
      </c>
      <c r="BI32" s="54" t="str">
        <f ca="1">IF(ISERROR(VLOOKUP(BF32,anniversaire!$X$2:$Z$100,2,0)),"",VLOOKUP(BF32,anniversaire!$X$2:$Z$100,2,0))</f>
        <v/>
      </c>
      <c r="BJ32" s="54" t="str">
        <f>IF(ISERROR(VLOOKUP(BF32,fête!$B$2:$C$367,2,0)),"",VLOOKUP(BF32,fête!$B$2:$C$367,2,0))</f>
        <v>Juliette</v>
      </c>
      <c r="BK32" s="54" t="str">
        <f>IF(ISERROR(VLOOKUP(BF32,évènements!$A$3:$D$200,3,0)),"",VLOOKUP(BF32,évènements!$A$3:$D$200,3,0))</f>
        <v/>
      </c>
      <c r="BL32" s="54" t="str">
        <f>IF(ISERROR(VLOOKUP(BF32,évènements!$B$3:$D$200,2,0)),"",VLOOKUP(BF32,évènements!$B$3:$D$200,2,0))</f>
        <v/>
      </c>
      <c r="BM32" s="54" t="str">
        <f t="shared" si="34"/>
        <v xml:space="preserve">  </v>
      </c>
      <c r="BN32" s="41">
        <f t="shared" si="35"/>
        <v>42977</v>
      </c>
      <c r="BO32" s="42">
        <f>IFERROR(IF(OR(BO31="",MONTH(BO31+1)&gt;MONTH(BO31)),"",BO31+1),"")</f>
        <v>42977</v>
      </c>
      <c r="BP32" s="43" t="str">
        <f>IF(BO32="","",IF(ISERROR(MATCH(BO32,Lune!$A$1:$A$1000,0)),IF(WEEKDAY(BO32)=5,INT((BO32-DATE(YEAR(BO32),1,1))/7+1),IF(AND(WEEKDAY(BO32)=4,NOT( ISERROR(MATCH(BO32+1,Lune!$A$1:$A$1000,0)))),INT((BO32+1-DATE(YEAR(BO32+1),1,1))/7+1),"")),INDEX(Lune!$B$1:$B$1000,MATCH(BO32,Lune!$A$1:$A$1000,0),1)))</f>
        <v/>
      </c>
      <c r="BQ32" s="80" t="str">
        <f t="shared" ca="1" si="13"/>
        <v/>
      </c>
      <c r="BR32" s="54" t="str">
        <f ca="1">IF(ISERROR(VLOOKUP(BO32,anniversaire!$X$2:$Z$100,2,0)),"",VLOOKUP(BO32,anniversaire!$X$2:$Z$100,2,0))</f>
        <v/>
      </c>
      <c r="BS32" s="54" t="str">
        <f>IF(ISERROR(VLOOKUP(BO32,fête!$B$2:$C$367,2,0)),"",VLOOKUP(BO32,fête!$B$2:$C$367,2,0))</f>
        <v>Fiacre</v>
      </c>
      <c r="BT32" s="54" t="str">
        <f>IF(ISERROR(VLOOKUP(BO32,évènements!$A$3:$D$200,3,0)),"",VLOOKUP(BO32,évènements!$A$3:$D$200,3,0))</f>
        <v/>
      </c>
      <c r="BU32" s="54" t="str">
        <f>IF(ISERROR(VLOOKUP(BO32,évènements!$B$3:$D$200,2,0)),"",VLOOKUP(BO32,évènements!$B$3:$D$200,2,0))</f>
        <v/>
      </c>
      <c r="BV32" s="54" t="str">
        <f t="shared" si="14"/>
        <v xml:space="preserve">  </v>
      </c>
      <c r="BW32" s="41">
        <f t="shared" si="36"/>
        <v>43008</v>
      </c>
      <c r="BX32" s="42">
        <f>IFERROR(IF(OR(BX31="",MONTH(BX31+1)&gt;MONTH(BX31)),"",BX31+1),"")</f>
        <v>43008</v>
      </c>
      <c r="BY32" s="43" t="str">
        <f>IF(BX32="","",IF(ISERROR(MATCH(BX32,Lune!$A$1:$A$1000,0)),IF(WEEKDAY(BX32)=5,INT((BX32-DATE(YEAR(BX32),1,1))/7+1),IF(AND(WEEKDAY(BX32)=4,NOT( ISERROR(MATCH(BX32+1,Lune!$A$1:$A$1000,0)))),INT((BX32+1-DATE(YEAR(BX32+1),1,1))/7+1),"")),INDEX(Lune!$B$1:$B$1000,MATCH(BX32,Lune!$A$1:$A$1000,0),1)))</f>
        <v/>
      </c>
      <c r="BZ32" s="80" t="str">
        <f t="shared" ca="1" si="15"/>
        <v/>
      </c>
      <c r="CA32" s="54" t="str">
        <f ca="1">IF(ISERROR(VLOOKUP(BX32,anniversaire!$X$2:$Z$100,2,0)),"",VLOOKUP(BX32,anniversaire!$X$2:$Z$100,2,0))</f>
        <v/>
      </c>
      <c r="CB32" s="54" t="str">
        <f>IF(ISERROR(VLOOKUP(BX32,fête!$B$2:$C$367,2,0)),"",VLOOKUP(BX32,fête!$B$2:$C$367,2,0))</f>
        <v>Jérôme</v>
      </c>
      <c r="CC32" s="54" t="str">
        <f>IF(ISERROR(VLOOKUP(BX32,évènements!$A$3:$D$200,3,0)),"",VLOOKUP(BX32,évènements!$A$3:$D$200,3,0))</f>
        <v/>
      </c>
      <c r="CD32" s="54" t="str">
        <f>IF(ISERROR(VLOOKUP(BX32,évènements!$B$3:$D$200,2,0)),"",VLOOKUP(BX32,évènements!$B$3:$D$200,2,0))</f>
        <v/>
      </c>
      <c r="CE32" s="54" t="str">
        <f t="shared" si="16"/>
        <v xml:space="preserve">  </v>
      </c>
      <c r="CF32" s="41">
        <f t="shared" si="37"/>
        <v>43038</v>
      </c>
      <c r="CG32" s="42">
        <f>IFERROR(IF(OR(CG31="",MONTH(CG31+1)&gt;MONTH(CG31)),"",CG31+1),"")</f>
        <v>43038</v>
      </c>
      <c r="CH32" s="43" t="str">
        <f>IF(CG32="","",IF(ISERROR(MATCH(CG32,Lune!$A$1:$A$1000,0)),IF(WEEKDAY(CG32)=5,INT((CG32-DATE(YEAR(CG32),1,1))/7+1),IF(AND(WEEKDAY(CG32)=4,NOT( ISERROR(MATCH(CG32+1,Lune!$A$1:$A$1000,0)))),INT((CG32+1-DATE(YEAR(CG32+1),1,1))/7+1),"")),INDEX(Lune!$B$1:$B$1000,MATCH(CG32,Lune!$A$1:$A$1000,0),1)))</f>
        <v/>
      </c>
      <c r="CI32" s="80" t="str">
        <f t="shared" ca="1" si="17"/>
        <v/>
      </c>
      <c r="CJ32" s="54" t="str">
        <f ca="1">IF(ISERROR(VLOOKUP(CG32,anniversaire!$X$2:$Z$100,2,0)),"",VLOOKUP(CG32,anniversaire!$X$2:$Z$100,2,0))</f>
        <v/>
      </c>
      <c r="CK32" s="54" t="str">
        <f>IF(ISERROR(VLOOKUP(CG32,fête!$B$2:$C$367,2,0)),"",VLOOKUP(CG32,fête!$B$2:$C$367,2,0))</f>
        <v>Bienvenu</v>
      </c>
      <c r="CL32" s="54" t="str">
        <f>IF(ISERROR(VLOOKUP(CG32,évènements!$A$3:$D$200,3,0)),"",VLOOKUP(CG32,évènements!$A$3:$D$200,3,0))</f>
        <v/>
      </c>
      <c r="CM32" s="54" t="str">
        <f>IF(ISERROR(VLOOKUP(CG32,évènements!$B$3:$D$200,2,0)),"",VLOOKUP(CG32,évènements!$B$3:$D$200,2,0))</f>
        <v/>
      </c>
      <c r="CN32" s="54" t="str">
        <f t="shared" si="18"/>
        <v xml:space="preserve">  </v>
      </c>
      <c r="CO32" s="41">
        <f t="shared" si="38"/>
        <v>43069</v>
      </c>
      <c r="CP32" s="42">
        <f>IFERROR(IF(OR(CP31="",MONTH(CP31+1)&gt;MONTH(CP31)),"",CP31+1),"")</f>
        <v>43069</v>
      </c>
      <c r="CQ32" s="43">
        <f>IF(CP32="","",IF(ISERROR(MATCH(CP32,Lune!$A$1:$A$1000,0)),IF(WEEKDAY(CP32)=5,INT((CP32-DATE(YEAR(CP32),1,1))/7+1),IF(AND(WEEKDAY(CP32)=4,NOT( ISERROR(MATCH(CP32+1,Lune!$A$1:$A$1000,0)))),INT((CP32+1-DATE(YEAR(CP32+1),1,1))/7+1),"")),INDEX(Lune!$B$1:$B$1000,MATCH(CP32,Lune!$A$1:$A$1000,0),1)))</f>
        <v>48</v>
      </c>
      <c r="CR32" s="80" t="str">
        <f t="shared" ca="1" si="19"/>
        <v xml:space="preserve"> '</v>
      </c>
      <c r="CS32" s="54" t="str">
        <f ca="1">IF(ISERROR(VLOOKUP(CP32,anniversaire!$X$2:$Z$100,2,0)),"",VLOOKUP(CP32,anniversaire!$X$2:$Z$100,2,0))</f>
        <v>boireau  élodie    33</v>
      </c>
      <c r="CT32" s="54" t="str">
        <f>IF(ISERROR(VLOOKUP(CP32,fête!$B$2:$C$367,2,0)),"",VLOOKUP(CP32,fête!$B$2:$C$367,2,0))</f>
        <v>André</v>
      </c>
      <c r="CU32" s="54" t="str">
        <f>IF(ISERROR(VLOOKUP(CP32,évènements!$A$3:$D$200,3,0)),"",VLOOKUP(CP32,évènements!$A$3:$D$200,3,0))</f>
        <v/>
      </c>
      <c r="CV32" s="54" t="str">
        <f>IF(ISERROR(VLOOKUP(CP32,évènements!$B$3:$D$200,2,0)),"",VLOOKUP(CP32,évènements!$B$3:$D$200,2,0))</f>
        <v/>
      </c>
      <c r="CW32" s="54" t="str">
        <f t="shared" si="20"/>
        <v xml:space="preserve">  </v>
      </c>
      <c r="CX32" s="41">
        <f t="shared" si="39"/>
        <v>43099</v>
      </c>
      <c r="CY32" s="42">
        <f>IFERROR(IF(OR(CY31="",MONTH(CY31+1)&gt;MONTH(CY31)),"",CY31+1),"")</f>
        <v>43099</v>
      </c>
      <c r="CZ32" s="43" t="str">
        <f>IF(CY32="","",IF(ISERROR(MATCH(CY32,Lune!$A$1:$A$1000,0)),IF(WEEKDAY(CY32)=5,INT((CY32-DATE(YEAR(CY32),1,1))/7+1),IF(AND(WEEKDAY(CY32)=4,NOT( ISERROR(MATCH(CY32+1,Lune!$A$1:$A$1000,0)))),INT((CY32+1-DATE(YEAR(CY32+1),1,1))/7+1),"")),INDEX(Lune!$B$1:$B$1000,MATCH(CY32,Lune!$A$1:$A$1000,0),1)))</f>
        <v/>
      </c>
      <c r="DA32" s="80" t="str">
        <f t="shared" ca="1" si="21"/>
        <v/>
      </c>
      <c r="DB32" s="54" t="str">
        <f ca="1">IF(ISERROR(VLOOKUP(CY32,anniversaire!$X$2:$Z$100,2,0)),"",VLOOKUP(CY32,anniversaire!$X$2:$Z$100,2,0))</f>
        <v/>
      </c>
      <c r="DC32" s="54" t="str">
        <f>IF(ISERROR(VLOOKUP(CY32,fête!$B$2:$C$367,2,0)),"",VLOOKUP(CY32,fête!$B$2:$C$367,2,0))</f>
        <v>Roger</v>
      </c>
      <c r="DD32" s="54" t="str">
        <f>IF(ISERROR(VLOOKUP(CY32,évènements!$A$3:$D$200,3,0)),"",VLOOKUP(CY32,évènements!$A$3:$D$200,3,0))</f>
        <v/>
      </c>
      <c r="DE32" s="54" t="str">
        <f>IF(ISERROR(VLOOKUP(CY32,évènements!$B$3:$D$200,2,0)),"",VLOOKUP(CY32,évènements!$B$3:$D$200,2,0))</f>
        <v/>
      </c>
      <c r="DF32" s="54" t="str">
        <f t="shared" si="22"/>
        <v xml:space="preserve">  </v>
      </c>
      <c r="DG32" s="41">
        <f t="shared" si="40"/>
        <v>43130</v>
      </c>
      <c r="DH32" s="42">
        <f>IFERROR(IF(OR(DH31="",MONTH(DH31+1)&gt;MONTH(DH31)),"",DH31+1),"")</f>
        <v>43130</v>
      </c>
      <c r="DI32" s="43" t="str">
        <f>IF(DH32="","",IF(ISERROR(MATCH(DH32,Lune!$A$1:$A$1000,0)),IF(WEEKDAY(DH32)=5,INT((DH32-DATE(YEAR(DH32),1,1))/7+1),IF(AND(WEEKDAY(DH32)=4,NOT( ISERROR(MATCH(DH32+1,Lune!$A$1:$A$1000,0)))),INT((DH32+1-DATE(YEAR(DH32+1),1,1))/7+1),"")),INDEX(Lune!$B$1:$B$1000,MATCH(DH32,Lune!$A$1:$A$1000,0),1)))</f>
        <v/>
      </c>
      <c r="DJ32" s="89" t="str">
        <f t="shared" ca="1" si="23"/>
        <v/>
      </c>
      <c r="DK32" s="252" t="str">
        <f t="shared" ca="1" si="24"/>
        <v/>
      </c>
      <c r="DL32" s="252" t="str">
        <f t="shared" si="25"/>
        <v>Martine</v>
      </c>
      <c r="DM32" s="252" t="str">
        <f>IF(ISERROR(VLOOKUP(DH32,évènements!$A$3:$D$200,3,0)),"",VLOOKUP(DH32,évènements!$A$3:$D$200,3,0))</f>
        <v/>
      </c>
      <c r="DN32" s="252" t="str">
        <f>IF(ISERROR(VLOOKUP(DH32,évènements!$B$3:$D$200,2,0)),"",VLOOKUP(DH32,évènements!$B$3:$D$200,2,0))</f>
        <v/>
      </c>
      <c r="DO32" s="252" t="str">
        <f t="shared" si="26"/>
        <v xml:space="preserve">  </v>
      </c>
    </row>
    <row r="33" spans="2:119" ht="15" customHeight="1">
      <c r="B33" s="29"/>
      <c r="C33" s="41">
        <f t="shared" si="27"/>
        <v>42766</v>
      </c>
      <c r="D33" s="40">
        <f>IFERROR(IF(OR(D31="",D32="",MONTH(D32+1)&gt;MONTH(D32)),"",D32+1),"")</f>
        <v>42766</v>
      </c>
      <c r="E33" s="131" t="str">
        <f>IF(D33="","",IF(ISERROR(MATCH(D33,Lune!$A$1:$A$1000,0)),IF(WEEKDAY(D33)=5,INT((D33-DATE(YEAR(D33),1,1))/7+1),IF(AND(WEEKDAY(D33)=4,NOT( ISERROR(MATCH(D33+1,Lune!$A$1:$A$1000,0)))),INT((D33+1-DATE(YEAR(D33+1),1,1))/7+1),"")),INDEX(Lune!$B$1:$B$1000,MATCH(D33,Lune!$A$1:$A$1000,0),1)))</f>
        <v/>
      </c>
      <c r="F33" s="89" t="str">
        <f t="shared" ca="1" si="0"/>
        <v/>
      </c>
      <c r="G33" s="125" t="str">
        <f ca="1">IF(ISERROR(VLOOKUP(D33,anniversaire!$X$2:$Z$100,2,0)),"",VLOOKUP(D33,anniversaire!$X$2:$Z$100,2,0))</f>
        <v/>
      </c>
      <c r="H33" s="54" t="str">
        <f>IF(ISERROR(VLOOKUP(D33,fête!$B$2:$C$367,2,0)),"",VLOOKUP(D33,fête!$B$2:$C$367,2,0))</f>
        <v>Marcelle</v>
      </c>
      <c r="I33" s="239" t="str">
        <f>IF(ISERROR(VLOOKUP(D33,évènements!$A$3:$D$200,3,0)),"",VLOOKUP(D33,évènements!$A$3:$D$200,3,0))</f>
        <v/>
      </c>
      <c r="J33" s="239" t="str">
        <f>IF(ISERROR(VLOOKUP(D33,évènements!$B$3:$D$200,2,0)),"",VLOOKUP(D33,évènements!$B$3:$D$200,2,0))</f>
        <v/>
      </c>
      <c r="K33" s="239" t="str">
        <f t="shared" si="58"/>
        <v xml:space="preserve">  </v>
      </c>
      <c r="L33" s="41" t="str">
        <f t="shared" si="28"/>
        <v/>
      </c>
      <c r="M33" s="42" t="str">
        <f>IFERROR(IF(OR(M32="",MONTH(M32+1)&gt;MONTH(M32)),"",M32+1),"")</f>
        <v/>
      </c>
      <c r="N33" s="42"/>
      <c r="O33" s="42"/>
      <c r="P33" s="237" t="s">
        <v>595</v>
      </c>
      <c r="Q33" s="42"/>
      <c r="R33" s="42"/>
      <c r="S33" s="42"/>
      <c r="T33" s="241"/>
      <c r="U33" s="41">
        <f t="shared" si="29"/>
        <v>42825</v>
      </c>
      <c r="V33" s="42">
        <f>IFERROR(IF(OR(V32="",MONTH(V32+1)&gt;MONTH(V32)),"",V32+1),"")</f>
        <v>42825</v>
      </c>
      <c r="W33" s="132" t="str">
        <f>IF(V33="","",IF(ISERROR(MATCH(V33,Lune!$A$1:$A$1000,0)),IF(WEEKDAY(V33)=5,INT((V33-DATE(YEAR(V33),1,1))/7+1),IF(AND(WEEKDAY(V33)=4,NOT( ISERROR(MATCH(V33+1,Lune!$A$1:$A$1000,0)))),INT((V33+1-DATE(YEAR(V33+1),1,1))/7+1),"")),INDEX(Lune!$B$1:$B$1000,MATCH(V33,Lune!$A$1:$A$1000,0),1)))</f>
        <v/>
      </c>
      <c r="X33" s="132" t="str">
        <f ca="1">IF(Y33="",""," '")</f>
        <v/>
      </c>
      <c r="Y33" s="132" t="str">
        <f ca="1">IF(ISERROR(VLOOKUP(V33,anniversaire!$X$2:$Z$100,2,0)),"",VLOOKUP(V33,anniversaire!$X$2:$Z$100,2,0))</f>
        <v/>
      </c>
      <c r="Z33" s="54" t="str">
        <f>IF(ISERROR(VLOOKUP(V33,fête!$B$2:$C$367,2,0)),"",VLOOKUP(V33,fête!$B$2:$C$367,2,0))</f>
        <v>Benjamin</v>
      </c>
      <c r="AA33" s="54" t="str">
        <f>IF(ISERROR(VLOOKUP(V33,évènements!$A$3:$D$200,3,0)),"",VLOOKUP(V33,évènements!$A$3:$D$200,3,0))</f>
        <v>Inventaire ROLOT</v>
      </c>
      <c r="AB33" s="54" t="str">
        <f>IF(ISERROR(VLOOKUP(V33,évènements!$B$3:$D$200,2,0)),"",VLOOKUP(V33,évènements!$B$3:$D$200,2,0))</f>
        <v/>
      </c>
      <c r="AC33" s="54" t="str">
        <f t="shared" si="57"/>
        <v xml:space="preserve">Inventaire ROLOT  </v>
      </c>
      <c r="AD33" s="41" t="str">
        <f t="shared" si="30"/>
        <v/>
      </c>
      <c r="AE33" s="42" t="str">
        <f>IFERROR(IF(OR(AE32="",MONTH(AE32+1)&gt;MONTH(AE32)),"",AE32+1),"")</f>
        <v/>
      </c>
      <c r="AF33" s="40"/>
      <c r="AG33" s="40"/>
      <c r="AH33" s="124"/>
      <c r="AI33" s="40"/>
      <c r="AJ33" s="42"/>
      <c r="AK33" s="42"/>
      <c r="AL33" s="247"/>
      <c r="AM33" s="41">
        <f t="shared" si="31"/>
        <v>42886</v>
      </c>
      <c r="AN33" s="42">
        <f>IFERROR(IF(OR(AN32="",MONTH(AN32+1)&gt;MONTH(AN32)),"",AN32+1),"")</f>
        <v>42886</v>
      </c>
      <c r="AO33" s="43">
        <f>IF(AN33="","",IF(ISERROR(MATCH(AN33,Lune!$A$1:$A$1000,0)),IF(WEEKDAY(AN33)=5,INT((AN33-DATE(YEAR(AN33),1,1))/7+1),IF(AND(WEEKDAY(AN33)=4,NOT( ISERROR(MATCH(AN33+1,Lune!$A$1:$A$1000,0)))),INT((AN33+1-DATE(YEAR(AN33+1),1,1))/7+1),"")),INDEX(Lune!$B$1:$B$1000,MATCH(AN33,Lune!$A$1:$A$1000,0),1)))</f>
        <v>22</v>
      </c>
      <c r="AP33" s="79" t="str">
        <f t="shared" ca="1" si="8"/>
        <v/>
      </c>
      <c r="AQ33" s="54" t="str">
        <f ca="1">IF(ISERROR(VLOOKUP(AN33,anniversaire!$X$2:$Z$100,2,0)),"",VLOOKUP(AN33,anniversaire!$X$2:$Z$100,2,0))</f>
        <v/>
      </c>
      <c r="AR33" s="54" t="str">
        <f>IF(ISERROR(VLOOKUP(AN33,fête!$B$2:$C$367,2,0)),"",VLOOKUP(AN33,fête!$B$2:$C$367,2,0))</f>
        <v>Visitation de la Sainte Vierge</v>
      </c>
      <c r="AS33" s="238" t="str">
        <f>IF(ISERROR(VLOOKUP(AN33,évènements!$A$3:$D$200,3,0)),"",VLOOKUP(AN33,évènements!$A$3:$D$200,3,0))</f>
        <v/>
      </c>
      <c r="AT33" s="238" t="str">
        <f>IF(ISERROR(VLOOKUP(AN33,évènements!$B$3:$D$200,2,0)),"",VLOOKUP(AN33,évènements!$B$3:$D$200,2,0))</f>
        <v/>
      </c>
      <c r="AU33" s="238" t="str">
        <f t="shared" si="9"/>
        <v xml:space="preserve">  </v>
      </c>
      <c r="AV33" s="41" t="str">
        <f t="shared" si="32"/>
        <v/>
      </c>
      <c r="AW33" s="42" t="str">
        <f>IFERROR(IF(OR(AW32="",MONTH(AW32+1)&gt;MONTH(AW32)),"",AW32+1),"")</f>
        <v/>
      </c>
      <c r="AX33" s="40"/>
      <c r="AY33" s="84"/>
      <c r="AZ33" s="125"/>
      <c r="BA33" s="125"/>
      <c r="BB33" s="125" t="str">
        <f>IF(ISERROR(VLOOKUP(AW33,évènements!$A$3:$D$200,3,0)),"",VLOOKUP(AW33,évènements!$A$3:$D$200,3,0))</f>
        <v/>
      </c>
      <c r="BC33" s="125" t="str">
        <f>IF(ISERROR(VLOOKUP(AW33,évènements!$B$3:$D$200,2,0)),"",VLOOKUP(AW33,évènements!$B$3:$D$200,2,0))</f>
        <v/>
      </c>
      <c r="BD33" s="125" t="str">
        <f t="shared" si="56"/>
        <v xml:space="preserve">  </v>
      </c>
      <c r="BE33" s="41">
        <f t="shared" si="33"/>
        <v>42947</v>
      </c>
      <c r="BF33" s="42">
        <f>IFERROR(IF(OR(BF32="",MONTH(BF32+1)&gt;MONTH(BF32)),"",BF32+1),"")</f>
        <v>42947</v>
      </c>
      <c r="BG33" s="43" t="str">
        <f>IF(BF33="","",IF(ISERROR(MATCH(BF33,Lune!$A$1:$A$1000,0)),IF(WEEKDAY(BF33)=5,INT((BF33-DATE(YEAR(BF33),1,1))/7+1),IF(AND(WEEKDAY(BF33)=4,NOT( ISERROR(MATCH(BF33+1,Lune!$A$1:$A$1000,0)))),INT((BF33+1-DATE(YEAR(BF33+1),1,1))/7+1),"")),INDEX(Lune!$B$1:$B$1000,MATCH(BF33,Lune!$A$1:$A$1000,0),1)))</f>
        <v/>
      </c>
      <c r="BH33" s="80" t="str">
        <f t="shared" ca="1" si="12"/>
        <v/>
      </c>
      <c r="BI33" s="54" t="str">
        <f ca="1">IF(ISERROR(VLOOKUP(BF33,anniversaire!$X$2:$Z$100,2,0)),"",VLOOKUP(BF33,anniversaire!$X$2:$Z$100,2,0))</f>
        <v/>
      </c>
      <c r="BJ33" s="54" t="str">
        <f>IF(ISERROR(VLOOKUP(BF33,fête!$B$2:$C$367,2,0)),"",VLOOKUP(BF33,fête!$B$2:$C$367,2,0))</f>
        <v>Ignace de Loyola</v>
      </c>
      <c r="BK33" s="54" t="str">
        <f>IF(ISERROR(VLOOKUP(BF33,évènements!$A$3:$D$200,3,0)),"",VLOOKUP(BF33,évènements!$A$3:$D$200,3,0))</f>
        <v/>
      </c>
      <c r="BL33" s="54" t="str">
        <f>IF(ISERROR(VLOOKUP(BF33,évènements!$B$3:$D$200,2,0)),"",VLOOKUP(BF33,évènements!$B$3:$D$200,2,0))</f>
        <v/>
      </c>
      <c r="BM33" s="54" t="str">
        <f t="shared" si="34"/>
        <v xml:space="preserve">  </v>
      </c>
      <c r="BN33" s="41">
        <f t="shared" si="35"/>
        <v>42978</v>
      </c>
      <c r="BO33" s="42">
        <f>IFERROR(IF(OR(BO32="",MONTH(BO32+1)&gt;MONTH(BO32)),"",BO32+1),"")</f>
        <v>42978</v>
      </c>
      <c r="BP33" s="43">
        <f>IF(BO33="","",IF(ISERROR(MATCH(BO33,Lune!$A$1:$A$1000,0)),IF(WEEKDAY(BO33)=5,INT((BO33-DATE(YEAR(BO33),1,1))/7+1),IF(AND(WEEKDAY(BO33)=4,NOT( ISERROR(MATCH(BO33+1,Lune!$A$1:$A$1000,0)))),INT((BO33+1-DATE(YEAR(BO33+1),1,1))/7+1),"")),INDEX(Lune!$B$1:$B$1000,MATCH(BO33,Lune!$A$1:$A$1000,0),1)))</f>
        <v>35</v>
      </c>
      <c r="BQ33" s="80" t="str">
        <f t="shared" ca="1" si="13"/>
        <v/>
      </c>
      <c r="BR33" s="54" t="str">
        <f ca="1">IF(ISERROR(VLOOKUP(BO33,anniversaire!$X$2:$Z$100,2,0)),"",VLOOKUP(BO33,anniversaire!$X$2:$Z$100,2,0))</f>
        <v/>
      </c>
      <c r="BS33" s="54" t="str">
        <f>IF(ISERROR(VLOOKUP(BO33,fête!$B$2:$C$367,2,0)),"",VLOOKUP(BO33,fête!$B$2:$C$367,2,0))</f>
        <v>Aristide</v>
      </c>
      <c r="BT33" s="54" t="str">
        <f>IF(ISERROR(VLOOKUP(BO33,évènements!$A$3:$D$200,3,0)),"",VLOOKUP(BO33,évènements!$A$3:$D$200,3,0))</f>
        <v/>
      </c>
      <c r="BU33" s="54" t="str">
        <f>IF(ISERROR(VLOOKUP(BO33,évènements!$B$3:$D$200,2,0)),"",VLOOKUP(BO33,évènements!$B$3:$D$200,2,0))</f>
        <v/>
      </c>
      <c r="BV33" s="54" t="str">
        <f t="shared" si="14"/>
        <v xml:space="preserve">  </v>
      </c>
      <c r="BW33" s="41" t="str">
        <f t="shared" si="36"/>
        <v/>
      </c>
      <c r="BX33" s="42" t="str">
        <f>IFERROR(IF(OR(BX32="",MONTH(BX32+1)&gt;MONTH(BX32)),"",BX32+1),"")</f>
        <v/>
      </c>
      <c r="BY33" s="40"/>
      <c r="BZ33" s="89"/>
      <c r="CA33" s="124"/>
      <c r="CB33" s="124"/>
      <c r="CC33" s="124" t="str">
        <f>IF(ISERROR(VLOOKUP(BX33,évènements!$A$3:$D$200,3,0)),"",VLOOKUP(BX33,évènements!$A$3:$D$200,3,0))</f>
        <v/>
      </c>
      <c r="CD33" s="124" t="str">
        <f>IF(ISERROR(VLOOKUP(BX33,évènements!$B$3:$D$200,2,0)),"",VLOOKUP(BX33,évènements!$B$3:$D$200,2,0))</f>
        <v/>
      </c>
      <c r="CE33" s="124" t="str">
        <f t="shared" si="16"/>
        <v xml:space="preserve">  </v>
      </c>
      <c r="CF33" s="41">
        <f t="shared" si="37"/>
        <v>43039</v>
      </c>
      <c r="CG33" s="42">
        <f>IFERROR(IF(OR(CG32="",MONTH(CG32+1)&gt;MONTH(CG32)),"",CG32+1),"")</f>
        <v>43039</v>
      </c>
      <c r="CH33" s="43" t="str">
        <f>IF(CG33="","",IF(ISERROR(MATCH(CG33,Lune!$A$1:$A$1000,0)),IF(WEEKDAY(CG33)=5,INT((CG33-DATE(YEAR(CG33),1,1))/7+1),IF(AND(WEEKDAY(CG33)=4,NOT( ISERROR(MATCH(CG33+1,Lune!$A$1:$A$1000,0)))),INT((CG33+1-DATE(YEAR(CG33+1),1,1))/7+1),"")),INDEX(Lune!$B$1:$B$1000,MATCH(CG33,Lune!$A$1:$A$1000,0),1)))</f>
        <v/>
      </c>
      <c r="CI33" s="80" t="str">
        <f t="shared" ca="1" si="17"/>
        <v/>
      </c>
      <c r="CJ33" s="54" t="str">
        <f ca="1">IF(ISERROR(VLOOKUP(CG33,anniversaire!$X$2:$Z$100,2,0)),"",VLOOKUP(CG33,anniversaire!$X$2:$Z$100,2,0))</f>
        <v/>
      </c>
      <c r="CK33" s="54" t="str">
        <f>IF(ISERROR(VLOOKUP(CG33,fête!$B$2:$C$367,2,0)),"",VLOOKUP(CG33,fête!$B$2:$C$367,2,0))</f>
        <v>Quentin</v>
      </c>
      <c r="CL33" s="54" t="str">
        <f>IF(ISERROR(VLOOKUP(CG33,évènements!$A$3:$D$200,3,0)),"",VLOOKUP(CG33,évènements!$A$3:$D$200,3,0))</f>
        <v/>
      </c>
      <c r="CM33" s="54" t="str">
        <f>IF(ISERROR(VLOOKUP(CG33,évènements!$B$3:$D$200,2,0)),"",VLOOKUP(CG33,évènements!$B$3:$D$200,2,0))</f>
        <v/>
      </c>
      <c r="CN33" s="54" t="str">
        <f t="shared" si="18"/>
        <v xml:space="preserve">  </v>
      </c>
      <c r="CO33" s="41" t="str">
        <f t="shared" si="38"/>
        <v/>
      </c>
      <c r="CP33" s="42" t="str">
        <f>IFERROR(IF(OR(CP32="",MONTH(CP32+1)&gt;MONTH(CP32)),"",CP32+1),"")</f>
        <v/>
      </c>
      <c r="CQ33" s="40"/>
      <c r="CR33" s="89"/>
      <c r="CS33" s="124"/>
      <c r="CT33" s="124"/>
      <c r="CU33" s="124" t="str">
        <f>IF(ISERROR(VLOOKUP(CP33,évènements!$A$3:$D$200,3,0)),"",VLOOKUP(CP33,évènements!$A$3:$D$200,3,0))</f>
        <v/>
      </c>
      <c r="CV33" s="124" t="str">
        <f>IF(ISERROR(VLOOKUP(CP33,évènements!$B$3:$D$200,2,0)),"",VLOOKUP(CP33,évènements!$B$3:$D$200,2,0))</f>
        <v/>
      </c>
      <c r="CW33" s="124" t="str">
        <f t="shared" si="20"/>
        <v xml:space="preserve">  </v>
      </c>
      <c r="CX33" s="41">
        <f t="shared" si="39"/>
        <v>43100</v>
      </c>
      <c r="CY33" s="42">
        <f>IFERROR(IF(OR(CY32="",MONTH(CY32+1)&gt;MONTH(CY32)),"",CY32+1),"")</f>
        <v>43100</v>
      </c>
      <c r="CZ33" s="43" t="str">
        <f>IF(CY33="","",IF(ISERROR(MATCH(CY33,Lune!$A$1:$A$1000,0)),IF(WEEKDAY(CY33)=5,INT((CY33-DATE(YEAR(CY33),1,1))/7+1),IF(AND(WEEKDAY(CY33)=4,NOT( ISERROR(MATCH(CY33+1,Lune!$A$1:$A$1000,0)))),INT((CY33+1-DATE(YEAR(CY33+1),1,1))/7+1),"")),INDEX(Lune!$B$1:$B$1000,MATCH(CY33,Lune!$A$1:$A$1000,0),1)))</f>
        <v/>
      </c>
      <c r="DA33" s="80" t="str">
        <f t="shared" ca="1" si="21"/>
        <v/>
      </c>
      <c r="DB33" s="54" t="str">
        <f ca="1">IF(ISERROR(VLOOKUP(CY33,anniversaire!$X$2:$Z$100,2,0)),"",VLOOKUP(CY33,anniversaire!$X$2:$Z$100,2,0))</f>
        <v/>
      </c>
      <c r="DC33" s="54" t="str">
        <f>IF(ISERROR(VLOOKUP(CY33,fête!$B$2:$C$367,2,0)),"",VLOOKUP(CY33,fête!$B$2:$C$367,2,0))</f>
        <v>Sylvestre</v>
      </c>
      <c r="DD33" s="54" t="str">
        <f>IF(ISERROR(VLOOKUP(CY33,évènements!$A$3:$D$200,3,0)),"",VLOOKUP(CY33,évènements!$A$3:$D$200,3,0))</f>
        <v/>
      </c>
      <c r="DE33" s="54" t="str">
        <f>IF(ISERROR(VLOOKUP(CY33,évènements!$B$3:$D$200,2,0)),"",VLOOKUP(CY33,évènements!$B$3:$D$200,2,0))</f>
        <v/>
      </c>
      <c r="DF33" s="54" t="str">
        <f t="shared" si="22"/>
        <v xml:space="preserve">  </v>
      </c>
      <c r="DG33" s="41">
        <f t="shared" si="40"/>
        <v>43131</v>
      </c>
      <c r="DH33" s="42">
        <f>IFERROR(IF(OR(DH32="",MONTH(DH32+1)&gt;MONTH(DH32)),"",DH32+1),"")</f>
        <v>43131</v>
      </c>
      <c r="DI33" s="43" t="str">
        <f>IF(DH33="","",IF(ISERROR(MATCH(DH33,Lune!$A$1:$A$1000,0)),IF(WEEKDAY(DH33)=5,INT((DH33-DATE(YEAR(DH33),1,1))/7+1),IF(AND(WEEKDAY(DH33)=4,NOT( ISERROR(MATCH(DH33+1,Lune!$A$1:$A$1000,0)))),INT((DH33+1-DATE(YEAR(DH33+1),1,1))/7+1),"")),INDEX(Lune!$B$1:$B$1000,MATCH(DH33,Lune!$A$1:$A$1000,0),1)))</f>
        <v>○</v>
      </c>
      <c r="DJ33" s="89" t="str">
        <f t="shared" ca="1" si="23"/>
        <v/>
      </c>
      <c r="DK33" s="252" t="str">
        <f t="shared" ca="1" si="24"/>
        <v/>
      </c>
      <c r="DL33" s="252" t="str">
        <f t="shared" si="25"/>
        <v>Marcelle</v>
      </c>
      <c r="DM33" s="252" t="str">
        <f>IF(ISERROR(VLOOKUP(DH33,évènements!$A$3:$D$200,3,0)),"",VLOOKUP(DH33,évènements!$A$3:$D$200,3,0))</f>
        <v/>
      </c>
      <c r="DN33" s="252" t="str">
        <f>IF(ISERROR(VLOOKUP(DH33,évènements!$B$3:$D$200,2,0)),"",VLOOKUP(DH33,évènements!$B$3:$D$200,2,0))</f>
        <v/>
      </c>
      <c r="DO33" s="252" t="str">
        <f t="shared" si="26"/>
        <v xml:space="preserve">  </v>
      </c>
    </row>
    <row r="34" spans="2:119" ht="14.25" customHeight="1">
      <c r="B34" s="29"/>
      <c r="C34" s="41"/>
      <c r="D34" s="47"/>
      <c r="E34" s="47"/>
      <c r="F34" s="85"/>
      <c r="G34" s="118"/>
      <c r="H34" s="118"/>
      <c r="I34" s="42"/>
      <c r="J34" s="42"/>
      <c r="K34" s="241"/>
      <c r="L34" s="41"/>
      <c r="M34" s="42"/>
      <c r="N34" s="42"/>
      <c r="O34" s="42"/>
      <c r="P34" s="237"/>
      <c r="Q34" s="42"/>
      <c r="R34" s="42"/>
      <c r="S34" s="42"/>
      <c r="T34" s="241"/>
      <c r="U34" s="41"/>
      <c r="V34" s="47"/>
      <c r="W34" s="133"/>
      <c r="X34" s="85"/>
      <c r="Y34" s="118"/>
      <c r="Z34" s="127"/>
      <c r="AA34" s="42"/>
      <c r="AB34" s="42"/>
      <c r="AC34" s="244"/>
      <c r="AD34" s="41"/>
      <c r="AE34" s="53"/>
      <c r="AF34" s="130"/>
      <c r="AG34" s="88"/>
      <c r="AH34" s="118"/>
      <c r="AI34" s="118"/>
      <c r="AJ34" s="42"/>
      <c r="AK34" s="42"/>
      <c r="AL34" s="244"/>
      <c r="AM34" s="29"/>
      <c r="AN34" s="47"/>
      <c r="AO34" s="47"/>
      <c r="AP34" s="82"/>
      <c r="AQ34" s="118"/>
      <c r="AR34" s="118"/>
      <c r="AS34" s="42"/>
      <c r="AT34" s="42"/>
      <c r="AU34" s="244"/>
      <c r="AV34" s="41"/>
      <c r="AW34" s="47"/>
      <c r="AX34" s="47"/>
      <c r="AY34" s="82"/>
      <c r="AZ34" s="118"/>
      <c r="BA34" s="118"/>
      <c r="BB34" s="42"/>
      <c r="BC34" s="42"/>
      <c r="BD34" s="244"/>
      <c r="BE34" s="29"/>
      <c r="BF34" s="47"/>
      <c r="BG34" s="47"/>
      <c r="BH34" s="85"/>
      <c r="BI34" s="118"/>
      <c r="BJ34" s="118"/>
      <c r="BK34" s="42"/>
      <c r="BL34" s="42"/>
      <c r="BM34" s="244"/>
      <c r="BN34" s="41"/>
      <c r="BO34" s="47"/>
      <c r="BP34" s="47"/>
      <c r="BQ34" s="92"/>
      <c r="BR34" s="118"/>
      <c r="BS34" s="118"/>
      <c r="BT34" s="42"/>
      <c r="BU34" s="42"/>
      <c r="BV34" s="244"/>
      <c r="BW34" s="41"/>
      <c r="BX34" s="47"/>
      <c r="BY34" s="47"/>
      <c r="BZ34" s="85"/>
      <c r="CA34" s="118"/>
      <c r="CB34" s="118"/>
      <c r="CC34" s="42"/>
      <c r="CD34" s="42"/>
      <c r="CE34" s="244"/>
      <c r="CF34" s="41"/>
      <c r="CG34" s="47"/>
      <c r="CH34" s="47"/>
      <c r="CI34" s="85"/>
      <c r="CJ34" s="118"/>
      <c r="CK34" s="118"/>
      <c r="CL34" s="42"/>
      <c r="CM34" s="42"/>
      <c r="CN34" s="244"/>
      <c r="CO34" s="41"/>
      <c r="CP34" s="47"/>
      <c r="CQ34" s="47"/>
      <c r="CR34" s="85"/>
      <c r="CS34" s="118"/>
      <c r="CT34" s="118"/>
      <c r="CU34" s="42"/>
      <c r="CV34" s="42"/>
      <c r="CW34" s="244"/>
      <c r="CX34" s="41"/>
      <c r="CY34" s="47"/>
      <c r="CZ34" s="47"/>
      <c r="DA34" s="85"/>
      <c r="DB34" s="118"/>
      <c r="DC34" s="118"/>
      <c r="DD34" s="42"/>
      <c r="DE34" s="42"/>
      <c r="DF34" s="244"/>
      <c r="DG34" s="30"/>
      <c r="DH34" s="47"/>
      <c r="DI34" s="47"/>
      <c r="DJ34" s="85"/>
      <c r="DK34" s="118"/>
      <c r="DL34" s="121"/>
      <c r="DM34" s="42"/>
      <c r="DN34" s="42"/>
      <c r="DO34" s="244"/>
    </row>
    <row r="35" spans="2:119" ht="15" hidden="1" customHeight="1">
      <c r="B35" s="29"/>
      <c r="C35" s="29"/>
      <c r="AC35" s="244"/>
      <c r="AD35" s="41"/>
      <c r="AE35" s="47"/>
      <c r="AF35" s="47"/>
      <c r="AG35" s="85"/>
      <c r="AL35" s="244"/>
      <c r="AM35" s="29"/>
      <c r="AN35" s="47"/>
      <c r="AO35" s="47"/>
      <c r="AP35" s="82"/>
      <c r="AQ35" s="118"/>
      <c r="AR35" s="118"/>
      <c r="AU35" s="244"/>
      <c r="AV35" s="41"/>
      <c r="AW35" s="47"/>
      <c r="AX35" s="47"/>
      <c r="AY35" s="82"/>
      <c r="AZ35" s="118"/>
      <c r="BA35" s="118"/>
      <c r="BD35" s="244"/>
      <c r="BE35" s="29"/>
      <c r="BF35" s="47"/>
      <c r="BG35" s="47"/>
      <c r="BH35" s="85"/>
      <c r="BI35" s="118"/>
      <c r="BJ35" s="118"/>
      <c r="BM35" s="244"/>
      <c r="BN35" s="41"/>
      <c r="BO35" s="47"/>
      <c r="BP35" s="47"/>
      <c r="BQ35" s="92"/>
      <c r="BR35" s="118"/>
      <c r="BS35" s="118"/>
      <c r="BV35" s="244"/>
      <c r="BW35" s="41"/>
      <c r="BX35" s="47"/>
      <c r="BY35" s="47"/>
      <c r="BZ35" s="85"/>
      <c r="CA35" s="118"/>
      <c r="CB35" s="118"/>
      <c r="CE35" s="244"/>
      <c r="CF35" s="41"/>
      <c r="CG35" s="47"/>
      <c r="CH35" s="47"/>
      <c r="CI35" s="85"/>
      <c r="CJ35" s="118"/>
      <c r="CK35" s="118"/>
      <c r="CN35" s="244"/>
      <c r="CO35" s="41"/>
      <c r="CP35" s="47"/>
      <c r="CQ35" s="47"/>
      <c r="CR35" s="85"/>
      <c r="CS35" s="118"/>
      <c r="CT35" s="118"/>
      <c r="CW35" s="244"/>
      <c r="CX35" s="41"/>
      <c r="CY35" s="47"/>
      <c r="CZ35" s="47"/>
      <c r="DA35" s="85"/>
      <c r="DB35" s="118"/>
      <c r="DC35" s="118"/>
      <c r="DF35" s="244"/>
      <c r="DG35" s="30"/>
      <c r="DH35" s="47"/>
      <c r="DI35" s="47"/>
      <c r="DJ35" s="85"/>
      <c r="DK35" s="118"/>
      <c r="DL35" s="121"/>
      <c r="DO35" s="244"/>
    </row>
    <row r="36" spans="2:119" ht="15" hidden="1" customHeight="1">
      <c r="B36" s="29"/>
      <c r="C36" s="29"/>
      <c r="AC36" s="244"/>
      <c r="AD36" s="41"/>
      <c r="AE36" s="47"/>
      <c r="AF36" s="47"/>
      <c r="AG36" s="85"/>
      <c r="AL36" s="244"/>
      <c r="AM36" s="29"/>
      <c r="AN36" s="47"/>
      <c r="AO36" s="47"/>
      <c r="AP36" s="82"/>
      <c r="AQ36" s="118"/>
      <c r="AR36" s="118"/>
      <c r="AU36" s="244"/>
      <c r="AV36" s="41"/>
      <c r="AW36" s="47"/>
      <c r="AX36" s="47"/>
      <c r="AY36" s="82"/>
      <c r="AZ36" s="118"/>
      <c r="BA36" s="118"/>
      <c r="BD36" s="244"/>
      <c r="BE36" s="29"/>
      <c r="BF36" s="47"/>
      <c r="BG36" s="47"/>
      <c r="BH36" s="85"/>
      <c r="BI36" s="118"/>
      <c r="BJ36" s="118"/>
      <c r="BM36" s="244"/>
      <c r="BN36" s="41"/>
      <c r="BO36" s="47"/>
      <c r="BP36" s="47"/>
      <c r="BQ36" s="92"/>
      <c r="BR36" s="118"/>
      <c r="BS36" s="118"/>
      <c r="BV36" s="244"/>
      <c r="BW36" s="41"/>
      <c r="BX36" s="47"/>
      <c r="BY36" s="47"/>
      <c r="BZ36" s="85"/>
      <c r="CA36" s="118"/>
      <c r="CB36" s="118"/>
      <c r="CE36" s="244"/>
      <c r="CF36" s="41"/>
      <c r="CG36" s="47"/>
      <c r="CH36" s="47"/>
      <c r="CI36" s="85"/>
      <c r="CJ36" s="118"/>
      <c r="CK36" s="118"/>
      <c r="CN36" s="244"/>
      <c r="CO36" s="41"/>
      <c r="CP36" s="47"/>
      <c r="CQ36" s="47"/>
      <c r="CR36" s="85"/>
      <c r="CS36" s="118"/>
      <c r="CT36" s="118"/>
      <c r="CW36" s="244"/>
      <c r="CX36" s="41"/>
      <c r="CY36" s="47"/>
      <c r="CZ36" s="47"/>
      <c r="DA36" s="85"/>
      <c r="DB36" s="118"/>
      <c r="DC36" s="118"/>
      <c r="DF36" s="244"/>
      <c r="DG36" s="30"/>
      <c r="DH36" s="47"/>
      <c r="DI36" s="47"/>
      <c r="DJ36" s="85"/>
      <c r="DK36" s="118"/>
      <c r="DL36" s="121"/>
      <c r="DO36" s="244"/>
    </row>
    <row r="37" spans="2:119" ht="15" hidden="1" customHeight="1">
      <c r="B37" s="29"/>
      <c r="C37" s="29"/>
      <c r="AC37" s="244"/>
      <c r="AD37" s="41"/>
      <c r="AE37" s="47"/>
      <c r="AF37" s="47"/>
      <c r="AG37" s="85"/>
      <c r="AL37" s="244"/>
      <c r="AM37" s="29"/>
      <c r="AN37" s="47"/>
      <c r="AO37" s="47"/>
      <c r="AP37" s="82"/>
      <c r="AQ37" s="118"/>
      <c r="AR37" s="118"/>
      <c r="AU37" s="244"/>
      <c r="AV37" s="41"/>
      <c r="AW37" s="47"/>
      <c r="AX37" s="47"/>
      <c r="AY37" s="82"/>
      <c r="AZ37" s="118"/>
      <c r="BA37" s="118"/>
      <c r="BD37" s="244"/>
      <c r="BE37" s="29"/>
      <c r="BF37" s="47"/>
      <c r="BG37" s="47"/>
      <c r="BH37" s="85"/>
      <c r="BI37" s="118"/>
      <c r="BJ37" s="118"/>
      <c r="BM37" s="244"/>
      <c r="BN37" s="41"/>
      <c r="BO37" s="47"/>
      <c r="BP37" s="47"/>
      <c r="BQ37" s="92"/>
      <c r="BR37" s="118"/>
      <c r="BS37" s="118"/>
      <c r="BV37" s="244"/>
      <c r="BW37" s="41"/>
      <c r="BX37" s="47"/>
      <c r="BY37" s="47"/>
      <c r="BZ37" s="85"/>
      <c r="CA37" s="118"/>
      <c r="CB37" s="118"/>
      <c r="CE37" s="244"/>
      <c r="CF37" s="41"/>
      <c r="CG37" s="47"/>
      <c r="CH37" s="47"/>
      <c r="CI37" s="85"/>
      <c r="CJ37" s="118"/>
      <c r="CK37" s="118"/>
      <c r="CN37" s="244"/>
      <c r="CO37" s="41"/>
      <c r="CP37" s="47"/>
      <c r="CQ37" s="47"/>
      <c r="CR37" s="85"/>
      <c r="CS37" s="118"/>
      <c r="CT37" s="118"/>
      <c r="CW37" s="244"/>
      <c r="CX37" s="41"/>
      <c r="CY37" s="47"/>
      <c r="CZ37" s="47"/>
      <c r="DA37" s="85"/>
      <c r="DB37" s="118"/>
      <c r="DC37" s="118"/>
      <c r="DF37" s="244"/>
      <c r="DG37" s="30"/>
      <c r="DH37" s="47"/>
      <c r="DI37" s="47"/>
      <c r="DJ37" s="85"/>
      <c r="DK37" s="118"/>
      <c r="DL37" s="121"/>
      <c r="DO37" s="244"/>
    </row>
    <row r="38" spans="2:119" ht="15" hidden="1" customHeight="1">
      <c r="B38" s="29"/>
      <c r="C38" s="29"/>
      <c r="AC38" s="244"/>
      <c r="AD38" s="41"/>
      <c r="AE38" s="47"/>
      <c r="AF38" s="47"/>
      <c r="AG38" s="85"/>
      <c r="AL38" s="244"/>
      <c r="AM38" s="29"/>
      <c r="AN38" s="47"/>
      <c r="AO38" s="47"/>
      <c r="AP38" s="82"/>
      <c r="AQ38" s="118"/>
      <c r="AR38" s="118"/>
      <c r="AU38" s="244"/>
      <c r="AV38" s="41"/>
      <c r="AW38" s="47"/>
      <c r="AX38" s="47"/>
      <c r="AY38" s="82"/>
      <c r="AZ38" s="118"/>
      <c r="BA38" s="118"/>
      <c r="BD38" s="244"/>
      <c r="BE38" s="41"/>
      <c r="BF38" s="47"/>
      <c r="BG38" s="47"/>
      <c r="BH38" s="85"/>
      <c r="BI38" s="118"/>
      <c r="BJ38" s="118"/>
      <c r="BM38" s="244"/>
      <c r="BN38" s="41"/>
      <c r="BO38" s="47"/>
      <c r="BP38" s="47"/>
      <c r="BQ38" s="92"/>
      <c r="BR38" s="118"/>
      <c r="BS38" s="118"/>
      <c r="BV38" s="244"/>
      <c r="BW38" s="41"/>
      <c r="BX38" s="47"/>
      <c r="BY38" s="47"/>
      <c r="BZ38" s="85"/>
      <c r="CA38" s="118"/>
      <c r="CB38" s="118"/>
      <c r="CE38" s="244"/>
      <c r="CF38" s="41"/>
      <c r="CG38" s="47"/>
      <c r="CH38" s="47"/>
      <c r="CI38" s="85"/>
      <c r="CJ38" s="118"/>
      <c r="CK38" s="118"/>
      <c r="CN38" s="244"/>
      <c r="CO38" s="41"/>
      <c r="CP38" s="47"/>
      <c r="CQ38" s="47"/>
      <c r="CR38" s="85"/>
      <c r="CS38" s="118"/>
      <c r="CT38" s="118"/>
      <c r="CW38" s="244"/>
      <c r="CX38" s="41"/>
      <c r="CY38" s="47"/>
      <c r="CZ38" s="47"/>
      <c r="DA38" s="85"/>
      <c r="DB38" s="118"/>
      <c r="DC38" s="118"/>
      <c r="DF38" s="244"/>
      <c r="DG38" s="30"/>
      <c r="DH38" s="47"/>
      <c r="DI38" s="47"/>
      <c r="DJ38" s="85"/>
      <c r="DK38" s="118"/>
      <c r="DL38" s="121"/>
      <c r="DO38" s="244"/>
    </row>
    <row r="39" spans="2:119" ht="15" hidden="1" customHeight="1">
      <c r="B39" s="29"/>
      <c r="C39" s="29"/>
      <c r="AC39" s="244"/>
      <c r="AD39" s="41"/>
      <c r="AE39" s="47"/>
      <c r="AF39" s="47"/>
      <c r="AG39" s="85"/>
      <c r="AL39" s="244"/>
      <c r="AM39" s="29"/>
      <c r="AN39" s="47"/>
      <c r="AO39" s="47"/>
      <c r="AP39" s="82"/>
      <c r="AQ39" s="118"/>
      <c r="AR39" s="118"/>
      <c r="AU39" s="244"/>
      <c r="AV39" s="41"/>
      <c r="AW39" s="47"/>
      <c r="AX39" s="47"/>
      <c r="AY39" s="82"/>
      <c r="AZ39" s="118"/>
      <c r="BA39" s="118"/>
      <c r="BD39" s="244"/>
      <c r="BE39" s="41"/>
      <c r="BF39" s="47"/>
      <c r="BG39" s="47"/>
      <c r="BH39" s="85"/>
      <c r="BI39" s="118"/>
      <c r="BJ39" s="118"/>
      <c r="BM39" s="244"/>
      <c r="BN39" s="41"/>
      <c r="BO39" s="47"/>
      <c r="BP39" s="47"/>
      <c r="BQ39" s="92"/>
      <c r="BR39" s="118"/>
      <c r="BS39" s="118"/>
      <c r="BV39" s="244"/>
      <c r="BW39" s="41"/>
      <c r="BX39" s="47"/>
      <c r="BY39" s="47"/>
      <c r="BZ39" s="85"/>
      <c r="CA39" s="118"/>
      <c r="CB39" s="118"/>
      <c r="CE39" s="244"/>
      <c r="CF39" s="41"/>
      <c r="CG39" s="47"/>
      <c r="CH39" s="47"/>
      <c r="CI39" s="85"/>
      <c r="CJ39" s="118"/>
      <c r="CK39" s="118"/>
      <c r="CN39" s="244"/>
      <c r="CO39" s="41"/>
      <c r="CP39" s="47"/>
      <c r="CQ39" s="47"/>
      <c r="CR39" s="85"/>
      <c r="CS39" s="118"/>
      <c r="CT39" s="118"/>
      <c r="CW39" s="244"/>
      <c r="CX39" s="41"/>
      <c r="CY39" s="47"/>
      <c r="CZ39" s="47"/>
      <c r="DA39" s="85"/>
      <c r="DB39" s="118"/>
      <c r="DC39" s="118"/>
      <c r="DF39" s="244"/>
      <c r="DG39" s="30"/>
      <c r="DH39" s="47"/>
      <c r="DI39" s="47"/>
      <c r="DJ39" s="85"/>
      <c r="DK39" s="118"/>
      <c r="DL39" s="121"/>
      <c r="DO39" s="244"/>
    </row>
    <row r="40" spans="2:119" ht="15" hidden="1">
      <c r="B40" s="29"/>
      <c r="C40" s="29"/>
      <c r="D40" s="39"/>
      <c r="E40" s="39"/>
      <c r="F40" s="90"/>
      <c r="G40" s="128"/>
      <c r="H40" s="128"/>
      <c r="I40" s="126"/>
      <c r="J40" s="126"/>
      <c r="K40" s="243"/>
      <c r="L40" s="36"/>
      <c r="M40" s="37"/>
      <c r="N40" s="135"/>
      <c r="O40" s="90"/>
      <c r="P40" s="126"/>
      <c r="Q40" s="126"/>
      <c r="R40" s="126"/>
      <c r="S40" s="126"/>
      <c r="T40" s="243"/>
      <c r="U40" s="29"/>
      <c r="V40" s="31"/>
      <c r="W40" s="136"/>
      <c r="X40" s="86"/>
      <c r="Y40" s="126"/>
      <c r="Z40" s="126"/>
      <c r="AA40" s="126"/>
      <c r="AB40" s="126"/>
      <c r="AC40" s="246"/>
      <c r="AD40" s="29"/>
      <c r="AE40" s="31"/>
      <c r="AF40" s="31"/>
      <c r="AG40" s="86"/>
      <c r="AH40" s="126"/>
      <c r="AI40" s="126"/>
      <c r="AJ40" s="126"/>
      <c r="AK40" s="126"/>
      <c r="AL40" s="246"/>
      <c r="AM40" s="29"/>
      <c r="AN40" s="31"/>
      <c r="AO40" s="31"/>
      <c r="AP40" s="81"/>
      <c r="AQ40" s="119"/>
      <c r="AR40" s="119"/>
      <c r="AS40" s="126"/>
      <c r="AT40" s="126"/>
      <c r="AU40" s="246"/>
      <c r="AV40" s="29"/>
      <c r="AW40" s="31"/>
      <c r="AX40" s="31"/>
      <c r="AY40" s="81"/>
      <c r="AZ40" s="119"/>
      <c r="BA40" s="119"/>
      <c r="BB40" s="126"/>
      <c r="BC40" s="126"/>
      <c r="BD40" s="246"/>
      <c r="BE40" s="29"/>
      <c r="BF40" s="31"/>
      <c r="BG40" s="31"/>
      <c r="BH40" s="86"/>
      <c r="BI40" s="119"/>
      <c r="BJ40" s="119"/>
      <c r="BK40" s="126"/>
      <c r="BL40" s="126"/>
      <c r="BM40" s="246"/>
      <c r="BN40" s="29"/>
      <c r="BO40" s="31"/>
      <c r="BP40" s="31"/>
      <c r="BQ40" s="93"/>
      <c r="BR40" s="119"/>
      <c r="BS40" s="119"/>
      <c r="BT40" s="126"/>
      <c r="BU40" s="126"/>
      <c r="BV40" s="246"/>
      <c r="BW40" s="29"/>
      <c r="BX40" s="31"/>
      <c r="BY40" s="31"/>
      <c r="BZ40" s="86"/>
      <c r="CA40" s="119"/>
      <c r="CB40" s="119"/>
      <c r="CC40" s="126"/>
      <c r="CD40" s="126"/>
      <c r="CE40" s="246"/>
      <c r="CF40" s="29"/>
      <c r="CG40" s="31"/>
      <c r="CH40" s="31"/>
      <c r="CI40" s="86"/>
      <c r="CJ40" s="119"/>
      <c r="CK40" s="119"/>
      <c r="CL40" s="126"/>
      <c r="CM40" s="126"/>
      <c r="CN40" s="246"/>
      <c r="CO40" s="29"/>
      <c r="CP40" s="31"/>
      <c r="CQ40" s="31"/>
      <c r="CR40" s="86"/>
      <c r="CS40" s="119"/>
      <c r="CT40" s="119"/>
      <c r="CU40" s="126"/>
      <c r="CV40" s="126"/>
      <c r="CW40" s="246"/>
      <c r="CX40" s="29"/>
      <c r="CY40" s="31"/>
      <c r="CZ40" s="31"/>
      <c r="DA40" s="86"/>
      <c r="DB40" s="119"/>
      <c r="DC40" s="119"/>
      <c r="DD40" s="126"/>
      <c r="DE40" s="126"/>
      <c r="DF40" s="246"/>
      <c r="DG40" s="30"/>
      <c r="DH40" s="30"/>
      <c r="DI40" s="30"/>
      <c r="DJ40" s="95"/>
      <c r="DK40" s="235"/>
      <c r="DL40" s="122"/>
      <c r="DM40" s="126"/>
      <c r="DN40" s="126"/>
      <c r="DO40" s="246"/>
    </row>
    <row r="41" spans="2:119" ht="15" hidden="1"/>
  </sheetData>
  <mergeCells count="26">
    <mergeCell ref="D2:K2"/>
    <mergeCell ref="M2:T2"/>
    <mergeCell ref="V2:AC2"/>
    <mergeCell ref="AE2:AL2"/>
    <mergeCell ref="AN2:AU2"/>
    <mergeCell ref="C1:K1"/>
    <mergeCell ref="L1:T1"/>
    <mergeCell ref="U1:AC1"/>
    <mergeCell ref="AD1:AL1"/>
    <mergeCell ref="AM1:AU1"/>
    <mergeCell ref="DH2:DO2"/>
    <mergeCell ref="CX1:DF1"/>
    <mergeCell ref="DG1:DO1"/>
    <mergeCell ref="CO1:CW1"/>
    <mergeCell ref="AW2:BD2"/>
    <mergeCell ref="BF2:BM2"/>
    <mergeCell ref="BO2:BV2"/>
    <mergeCell ref="AV1:BD1"/>
    <mergeCell ref="BE1:BM1"/>
    <mergeCell ref="BN1:BV1"/>
    <mergeCell ref="BW1:CE1"/>
    <mergeCell ref="CF1:CN1"/>
    <mergeCell ref="BX2:CE2"/>
    <mergeCell ref="CG2:CN2"/>
    <mergeCell ref="CP2:CW2"/>
    <mergeCell ref="CY2:DF2"/>
  </mergeCells>
  <conditionalFormatting sqref="C3:C34 AV34:AV39 BE38:BE39 BW34:BW39 CO34:CO39 BN34:BN39 CF34:CF39 CX34:CX39">
    <cfRule type="expression" dxfId="747" priority="1120">
      <formula>SUMPRODUCT((D3&gt;=DVac)*(D3&lt;=FVac))&gt;0</formula>
    </cfRule>
    <cfRule type="expression" dxfId="746" priority="1121" stopIfTrue="1">
      <formula>SUMPRODUCT((D3&gt;=DVac)*(D3&lt;=FVac))&lt;2</formula>
    </cfRule>
  </conditionalFormatting>
  <conditionalFormatting sqref="AW34:BA39 BO34:BS39 BX34:CB39 CG34:CK39 CP34:CT39 CY34:DC39 DH34:DL39 BF34:BJ39 AN34:AR39 AE34:AG39 AE33:AF33 AN4:AN33 AE4:AE32 M3:N30 M33:T34">
    <cfRule type="cellIs" dxfId="745" priority="1101" operator="equal">
      <formula>TODAY()</formula>
    </cfRule>
  </conditionalFormatting>
  <conditionalFormatting sqref="V34:X34">
    <cfRule type="cellIs" dxfId="744" priority="1116" operator="equal">
      <formula>TODAY()</formula>
    </cfRule>
  </conditionalFormatting>
  <conditionalFormatting sqref="AW33:BA33 AW4:AW32">
    <cfRule type="cellIs" dxfId="743" priority="1100" operator="equal">
      <formula>TODAY()</formula>
    </cfRule>
  </conditionalFormatting>
  <conditionalFormatting sqref="D3:E34 G3:H34">
    <cfRule type="cellIs" dxfId="742" priority="1112" operator="equal">
      <formula>TODAY()</formula>
    </cfRule>
  </conditionalFormatting>
  <conditionalFormatting sqref="L3:L30 L33:L34">
    <cfRule type="expression" dxfId="741" priority="1110" stopIfTrue="1">
      <formula>SUMPRODUCT((M3&gt;=DVac)*(M3&lt;=FVac))&gt;0</formula>
    </cfRule>
    <cfRule type="expression" dxfId="740" priority="1111" stopIfTrue="1">
      <formula>SUMPRODUCT((M3&gt;=DVac)*(M3&lt;=FVac))&lt;2</formula>
    </cfRule>
  </conditionalFormatting>
  <conditionalFormatting sqref="U3:U34">
    <cfRule type="expression" dxfId="739" priority="1108">
      <formula>SUMPRODUCT((V3&gt;=DVac)*(V3&lt;=FVac))&gt;0</formula>
    </cfRule>
    <cfRule type="expression" dxfId="738" priority="1109" stopIfTrue="1">
      <formula>SUMPRODUCT((V3&gt;=DVac)*(V3&lt;=FVac))&lt;2</formula>
    </cfRule>
  </conditionalFormatting>
  <conditionalFormatting sqref="AD3:AD39">
    <cfRule type="expression" dxfId="737" priority="1106">
      <formula>SUMPRODUCT((AE3&gt;=DVac)*(AE3&lt;=FVac))&gt;0</formula>
    </cfRule>
    <cfRule type="expression" dxfId="736" priority="1107">
      <formula>SUMPRODUCT((AE3&gt;=DVac)*(AE3&lt;=FVac))&lt;2</formula>
    </cfRule>
  </conditionalFormatting>
  <conditionalFormatting sqref="AM3:AM32">
    <cfRule type="expression" dxfId="735" priority="1104">
      <formula>SUMPRODUCT((AN3&gt;=DVac)*(AN3&lt;=FVac))&gt;0</formula>
    </cfRule>
    <cfRule type="expression" dxfId="734" priority="1105" stopIfTrue="1">
      <formula>SUMPRODUCT((AN3&gt;=DVac)*(AN3&lt;=FVac))&lt;2</formula>
    </cfRule>
  </conditionalFormatting>
  <conditionalFormatting sqref="AV3:AV32">
    <cfRule type="expression" dxfId="733" priority="1102">
      <formula>SUMPRODUCT((AW3&gt;=DVac)*(AW3&lt;=FVac))&gt;0</formula>
    </cfRule>
    <cfRule type="expression" dxfId="732" priority="1103" stopIfTrue="1">
      <formula>SUMPRODUCT((AW3&gt;=DVac)*(AW3&lt;=FVac))&lt;2</formula>
    </cfRule>
  </conditionalFormatting>
  <conditionalFormatting sqref="D3:E34 G3:H34">
    <cfRule type="expression" dxfId="731" priority="1097">
      <formula>WEEKDAY($D3,2)=7</formula>
    </cfRule>
    <cfRule type="expression" dxfId="730" priority="1099">
      <formula>WEEKDAY($D3,2)&gt;5</formula>
    </cfRule>
    <cfRule type="expression" dxfId="729" priority="1122">
      <formula>COUNTIF(Fériés,$D3)=1</formula>
    </cfRule>
  </conditionalFormatting>
  <conditionalFormatting sqref="D31:E34 H3:H30 G31:H34">
    <cfRule type="expression" dxfId="728" priority="980">
      <formula>$D3=""</formula>
    </cfRule>
  </conditionalFormatting>
  <conditionalFormatting sqref="C31:C34">
    <cfRule type="expression" dxfId="727" priority="1098">
      <formula>$D31=""</formula>
    </cfRule>
  </conditionalFormatting>
  <conditionalFormatting sqref="V34:X34">
    <cfRule type="expression" dxfId="726" priority="1092">
      <formula>$V34=""</formula>
    </cfRule>
  </conditionalFormatting>
  <conditionalFormatting sqref="L33:L34">
    <cfRule type="expression" dxfId="725" priority="1091">
      <formula>$M33=""</formula>
    </cfRule>
  </conditionalFormatting>
  <conditionalFormatting sqref="U31:U34">
    <cfRule type="expression" dxfId="724" priority="1090">
      <formula>$V31=""</formula>
    </cfRule>
  </conditionalFormatting>
  <conditionalFormatting sqref="AE34:AG39 AE33:AF33 AE31:AE32 M33:T34 AL33:AL39">
    <cfRule type="expression" dxfId="723" priority="1087">
      <formula>$AE31=""</formula>
    </cfRule>
  </conditionalFormatting>
  <conditionalFormatting sqref="AD31:AD39">
    <cfRule type="expression" dxfId="722" priority="1086">
      <formula>$AE31=""</formula>
    </cfRule>
  </conditionalFormatting>
  <conditionalFormatting sqref="AN34:AR39 AN31:AN33">
    <cfRule type="expression" dxfId="721" priority="1078">
      <formula>$AN31=""</formula>
    </cfRule>
  </conditionalFormatting>
  <conditionalFormatting sqref="AW33:BA39 AW31:AW32">
    <cfRule type="expression" dxfId="720" priority="1079">
      <formula>$AW31=""</formula>
    </cfRule>
  </conditionalFormatting>
  <conditionalFormatting sqref="AW33:BA39 AW4:AW32">
    <cfRule type="expression" dxfId="719" priority="1080">
      <formula>WEEKDAY($AW4,2)=6</formula>
    </cfRule>
    <cfRule type="expression" dxfId="718" priority="1081">
      <formula>WEEKDAY($AW4,2)=7</formula>
    </cfRule>
    <cfRule type="expression" dxfId="717" priority="1084">
      <formula>COUNTIF(Fériés,$AW4)=1</formula>
    </cfRule>
  </conditionalFormatting>
  <conditionalFormatting sqref="M3:N30">
    <cfRule type="expression" dxfId="716" priority="721">
      <formula>WEEKDAY($M3,2)=6</formula>
    </cfRule>
    <cfRule type="expression" dxfId="715" priority="1096">
      <formula>WEEKDAY($M3,2)=7</formula>
    </cfRule>
    <cfRule type="expression" dxfId="714" priority="1118">
      <formula>COUNTIF(Fériés,$M3)=1</formula>
    </cfRule>
  </conditionalFormatting>
  <conditionalFormatting sqref="V34:X34">
    <cfRule type="expression" dxfId="713" priority="1094">
      <formula>WEEKDAY($V34,2)=6</formula>
    </cfRule>
    <cfRule type="expression" dxfId="712" priority="1095">
      <formula>WEEKDAY($V34,2)=7</formula>
    </cfRule>
    <cfRule type="expression" dxfId="711" priority="1117">
      <formula>COUNTIF(Fériés,$V34)=1</formula>
    </cfRule>
  </conditionalFormatting>
  <conditionalFormatting sqref="AE34:AG39 AE33:AF33 AE4:AE32 M33:T34 AL3:AL39">
    <cfRule type="expression" dxfId="710" priority="1088">
      <formula>WEEKDAY($AE3,2)=6</formula>
    </cfRule>
    <cfRule type="expression" dxfId="709" priority="1089">
      <formula>WEEKDAY($AE3,2)=7</formula>
    </cfRule>
    <cfRule type="expression" dxfId="708" priority="1115">
      <formula>COUNTIF(Fériés,$AE3)=1</formula>
    </cfRule>
  </conditionalFormatting>
  <conditionalFormatting sqref="AN34:AR39 AN4:AN33 AS3:AU33">
    <cfRule type="expression" dxfId="707" priority="1082">
      <formula>WEEKDAY($AN3,2)=7</formula>
    </cfRule>
    <cfRule type="expression" dxfId="706" priority="1083">
      <formula>WEEKDAY($AN3,2)=6</formula>
    </cfRule>
    <cfRule type="expression" dxfId="705" priority="1113">
      <formula>COUNTIF(Fériés,$AN3)=1</formula>
    </cfRule>
  </conditionalFormatting>
  <conditionalFormatting sqref="BF4:BF33">
    <cfRule type="cellIs" dxfId="704" priority="1072" operator="equal">
      <formula>TODAY()</formula>
    </cfRule>
  </conditionalFormatting>
  <conditionalFormatting sqref="BE3:BE30">
    <cfRule type="expression" dxfId="703" priority="1073">
      <formula>SUMPRODUCT((BF3&gt;=DVac)*(BF3&lt;=FVac))&gt;0</formula>
    </cfRule>
    <cfRule type="expression" dxfId="702" priority="1074" stopIfTrue="1">
      <formula>SUMPRODUCT((BF3&gt;=DVac)*(BF3&lt;=FVac))&lt;2</formula>
    </cfRule>
  </conditionalFormatting>
  <conditionalFormatting sqref="BF34:BJ39 BF31:BF33">
    <cfRule type="expression" dxfId="701" priority="1068">
      <formula>$BF31=""</formula>
    </cfRule>
  </conditionalFormatting>
  <conditionalFormatting sqref="BF34:BJ39 BF4:BF33">
    <cfRule type="expression" dxfId="700" priority="1069">
      <formula>COUNTIF(Fériés,$BF4)=1</formula>
    </cfRule>
    <cfRule type="expression" dxfId="699" priority="1070">
      <formula>WEEKDAY($BF4,2)=6</formula>
    </cfRule>
    <cfRule type="expression" dxfId="698" priority="1071">
      <formula>WEEKDAY($BF4,2)=7</formula>
    </cfRule>
  </conditionalFormatting>
  <conditionalFormatting sqref="BO4:BO33">
    <cfRule type="cellIs" dxfId="697" priority="1062" operator="equal">
      <formula>TODAY()</formula>
    </cfRule>
  </conditionalFormatting>
  <conditionalFormatting sqref="BN3:BN31">
    <cfRule type="expression" dxfId="696" priority="1066">
      <formula>SUMPRODUCT((BO3&gt;=DVac)*(BO3&lt;=FVac))&gt;0</formula>
    </cfRule>
    <cfRule type="expression" dxfId="695" priority="1067" stopIfTrue="1">
      <formula>SUMPRODUCT((BO3&gt;=DVac)*(BO3&lt;=FVac))&lt;2</formula>
    </cfRule>
  </conditionalFormatting>
  <conditionalFormatting sqref="BO34:BS39 BO31:BO33">
    <cfRule type="expression" dxfId="694" priority="1061">
      <formula>$BO31=""</formula>
    </cfRule>
  </conditionalFormatting>
  <conditionalFormatting sqref="BO34:BS39 BO4:BO33">
    <cfRule type="expression" dxfId="693" priority="1063">
      <formula>COUNTIF(Fériés,$BO4)=1</formula>
    </cfRule>
    <cfRule type="expression" dxfId="692" priority="1064">
      <formula>WEEKDAY($BO4,2)=6</formula>
    </cfRule>
    <cfRule type="expression" dxfId="691" priority="1065">
      <formula>WEEKDAY($BO4,2)=7</formula>
    </cfRule>
  </conditionalFormatting>
  <conditionalFormatting sqref="BX33:CB33 BX4:BX32">
    <cfRule type="cellIs" dxfId="690" priority="1055" operator="equal">
      <formula>TODAY()</formula>
    </cfRule>
  </conditionalFormatting>
  <conditionalFormatting sqref="BW3:BW32">
    <cfRule type="expression" dxfId="689" priority="1059">
      <formula>SUMPRODUCT((BX3&gt;=DVac)*(BX3&lt;=FVac))&gt;0</formula>
    </cfRule>
    <cfRule type="expression" dxfId="688" priority="1060" stopIfTrue="1">
      <formula>SUMPRODUCT((BX3&gt;=DVac)*(BX3&lt;=FVac))&lt;2</formula>
    </cfRule>
  </conditionalFormatting>
  <conditionalFormatting sqref="BX33:CB39 BX31:BX32">
    <cfRule type="expression" dxfId="687" priority="1054">
      <formula>$BX31=""</formula>
    </cfRule>
  </conditionalFormatting>
  <conditionalFormatting sqref="BX33:CB39 BX4:BX32">
    <cfRule type="expression" dxfId="686" priority="1056">
      <formula>COUNTIF(Fériés,$BX4)=1</formula>
    </cfRule>
    <cfRule type="expression" dxfId="685" priority="1057">
      <formula>WEEKDAY($BX4,2)=6</formula>
    </cfRule>
    <cfRule type="expression" dxfId="684" priority="1058">
      <formula>WEEKDAY($BX4,2)=7</formula>
    </cfRule>
  </conditionalFormatting>
  <conditionalFormatting sqref="CG4:CG33">
    <cfRule type="cellIs" dxfId="683" priority="1048" operator="equal">
      <formula>TODAY()</formula>
    </cfRule>
  </conditionalFormatting>
  <conditionalFormatting sqref="CF3:CF30">
    <cfRule type="expression" dxfId="682" priority="1052">
      <formula>SUMPRODUCT((CG3&gt;=DVac)*(CG3&lt;=FVac))&gt;0</formula>
    </cfRule>
    <cfRule type="expression" dxfId="681" priority="1053" stopIfTrue="1">
      <formula>SUMPRODUCT((CG3&gt;=DVac)*(CG3&lt;=FVac))&lt;2</formula>
    </cfRule>
  </conditionalFormatting>
  <conditionalFormatting sqref="CG34:CK39 CG31:CG33">
    <cfRule type="expression" dxfId="680" priority="1047">
      <formula>$CG31=""</formula>
    </cfRule>
  </conditionalFormatting>
  <conditionalFormatting sqref="CG34:CK39 CG4:CG33">
    <cfRule type="expression" dxfId="679" priority="1049">
      <formula>COUNTIF(Fériés,$CG4)=1</formula>
    </cfRule>
    <cfRule type="expression" dxfId="678" priority="1050">
      <formula>WEEKDAY($CG4,2)=6</formula>
    </cfRule>
    <cfRule type="expression" dxfId="677" priority="1051">
      <formula>WEEKDAY($CG4,2)=7</formula>
    </cfRule>
  </conditionalFormatting>
  <conditionalFormatting sqref="CP33:CT33 CP4:CP32">
    <cfRule type="cellIs" dxfId="676" priority="1044" operator="equal">
      <formula>TODAY()</formula>
    </cfRule>
  </conditionalFormatting>
  <conditionalFormatting sqref="CO3:CO32">
    <cfRule type="expression" dxfId="675" priority="1045">
      <formula>SUMPRODUCT((CP3&gt;=DVac)*(CP3&lt;=FVac))&gt;0</formula>
    </cfRule>
    <cfRule type="expression" dxfId="674" priority="1046" stopIfTrue="1">
      <formula>SUMPRODUCT((CP3&gt;=DVac)*(CP3&lt;=FVac))&lt;2</formula>
    </cfRule>
  </conditionalFormatting>
  <conditionalFormatting sqref="CP33:CT39 CP31:CP32">
    <cfRule type="expression" dxfId="673" priority="1040">
      <formula>$CP31=""</formula>
    </cfRule>
  </conditionalFormatting>
  <conditionalFormatting sqref="CP33:CT39 CP4:CP32">
    <cfRule type="expression" dxfId="672" priority="1041">
      <formula>WEEKDAY($CP4,2)=6</formula>
    </cfRule>
    <cfRule type="expression" dxfId="671" priority="1042">
      <formula>WEEKDAY($CP4,2)=7</formula>
    </cfRule>
    <cfRule type="expression" dxfId="670" priority="1043">
      <formula>COUNTIF(Fériés,$CP4)=1</formula>
    </cfRule>
  </conditionalFormatting>
  <conditionalFormatting sqref="CY4:CY33">
    <cfRule type="cellIs" dxfId="669" priority="1037" operator="equal">
      <formula>TODAY()</formula>
    </cfRule>
  </conditionalFormatting>
  <conditionalFormatting sqref="CX3:CX32">
    <cfRule type="expression" dxfId="668" priority="1038">
      <formula>SUMPRODUCT((CY3&gt;=DVac)*(CY3&lt;=FVac))&gt;0</formula>
    </cfRule>
    <cfRule type="expression" dxfId="667" priority="1039" stopIfTrue="1">
      <formula>SUMPRODUCT((CY3&gt;=DVac)*(CY3&lt;=FVac))&lt;2</formula>
    </cfRule>
  </conditionalFormatting>
  <conditionalFormatting sqref="CY34:DC39 CY31:CY33">
    <cfRule type="expression" dxfId="666" priority="1033">
      <formula>$CY31=""</formula>
    </cfRule>
  </conditionalFormatting>
  <conditionalFormatting sqref="CY34:DC39 CY4:CY33">
    <cfRule type="expression" dxfId="665" priority="1034">
      <formula>WEEKDAY($CY4,2)=6</formula>
    </cfRule>
    <cfRule type="expression" dxfId="664" priority="1035">
      <formula>WEEKDAY($CY4,2)=7</formula>
    </cfRule>
    <cfRule type="expression" dxfId="663" priority="1036">
      <formula>COUNTIF(Fériés,$CY4)=1</formula>
    </cfRule>
  </conditionalFormatting>
  <conditionalFormatting sqref="DH4:DH33">
    <cfRule type="cellIs" dxfId="662" priority="1030" operator="equal">
      <formula>TODAY()</formula>
    </cfRule>
  </conditionalFormatting>
  <conditionalFormatting sqref="DG3:DG33">
    <cfRule type="expression" dxfId="661" priority="1031">
      <formula>SUMPRODUCT((DH3&gt;=DVac)*(DH3&lt;=FVac))&gt;0</formula>
    </cfRule>
    <cfRule type="expression" dxfId="660" priority="1032" stopIfTrue="1">
      <formula>SUMPRODUCT((DH3&gt;=DVac)*(DH3&lt;=FVac))&lt;2</formula>
    </cfRule>
  </conditionalFormatting>
  <conditionalFormatting sqref="DH34:DL39 DH31:DH33">
    <cfRule type="expression" dxfId="659" priority="1026">
      <formula>$DH31=""</formula>
    </cfRule>
  </conditionalFormatting>
  <conditionalFormatting sqref="BE33">
    <cfRule type="expression" dxfId="658" priority="1024">
      <formula>SUMPRODUCT((BF33&gt;=DVac)*(BF33&lt;=FVac))&gt;0</formula>
    </cfRule>
    <cfRule type="expression" dxfId="657" priority="1025" stopIfTrue="1">
      <formula>SUMPRODUCT((BF33&gt;=DVac)*(BF33&lt;=FVac))&lt;2</formula>
    </cfRule>
  </conditionalFormatting>
  <conditionalFormatting sqref="BE33 BE38:BE39">
    <cfRule type="expression" dxfId="656" priority="1023">
      <formula>$BF33=""</formula>
    </cfRule>
  </conditionalFormatting>
  <conditionalFormatting sqref="BW33">
    <cfRule type="expression" dxfId="655" priority="1021">
      <formula>SUMPRODUCT((BX33&gt;=DVac)*(BX33&lt;=FVac))&gt;0</formula>
    </cfRule>
    <cfRule type="expression" dxfId="654" priority="1022" stopIfTrue="1">
      <formula>SUMPRODUCT((BX33&gt;=DVac)*(BX33&lt;=FVac))&lt;2</formula>
    </cfRule>
  </conditionalFormatting>
  <conditionalFormatting sqref="BW33:BW39">
    <cfRule type="expression" dxfId="653" priority="1020">
      <formula>$BX33=""</formula>
    </cfRule>
  </conditionalFormatting>
  <conditionalFormatting sqref="CO33">
    <cfRule type="expression" dxfId="652" priority="1018">
      <formula>SUMPRODUCT((CP33&gt;=DVac)*(CP33&lt;=FVac))&gt;0</formula>
    </cfRule>
    <cfRule type="expression" dxfId="651" priority="1019" stopIfTrue="1">
      <formula>SUMPRODUCT((CP33&gt;=DVac)*(CP33&lt;=FVac))&lt;2</formula>
    </cfRule>
  </conditionalFormatting>
  <conditionalFormatting sqref="CO33:CO39">
    <cfRule type="expression" dxfId="650" priority="1017">
      <formula>$CP33=""</formula>
    </cfRule>
  </conditionalFormatting>
  <conditionalFormatting sqref="BE31:BE32">
    <cfRule type="expression" dxfId="649" priority="1015">
      <formula>SUMPRODUCT((BF31&gt;=DVac)*(BF31&lt;=FVac))&gt;0</formula>
    </cfRule>
    <cfRule type="expression" dxfId="648" priority="1016" stopIfTrue="1">
      <formula>SUMPRODUCT((BF31&gt;=DVac)*(BF31&lt;=FVac))&lt;2</formula>
    </cfRule>
  </conditionalFormatting>
  <conditionalFormatting sqref="BE31:BE32">
    <cfRule type="expression" dxfId="647" priority="1014">
      <formula>$BF31=""</formula>
    </cfRule>
  </conditionalFormatting>
  <conditionalFormatting sqref="BN32:BN33">
    <cfRule type="expression" dxfId="646" priority="1012">
      <formula>SUMPRODUCT((BO32&gt;=DVac)*(BO32&lt;=FVac))&gt;0</formula>
    </cfRule>
    <cfRule type="expression" dxfId="645" priority="1013" stopIfTrue="1">
      <formula>SUMPRODUCT((BO32&gt;=DVac)*(BO32&lt;=FVac))&lt;2</formula>
    </cfRule>
  </conditionalFormatting>
  <conditionalFormatting sqref="BN31:BN39">
    <cfRule type="expression" dxfId="644" priority="1011">
      <formula>$BO31=""</formula>
    </cfRule>
  </conditionalFormatting>
  <conditionalFormatting sqref="CF31:CF33">
    <cfRule type="expression" dxfId="643" priority="1009">
      <formula>SUMPRODUCT((CG31&gt;=DVac)*(CG31&lt;=FVac))&gt;0</formula>
    </cfRule>
    <cfRule type="expression" dxfId="642" priority="1010" stopIfTrue="1">
      <formula>SUMPRODUCT((CG31&gt;=DVac)*(CG31&lt;=FVac))&lt;2</formula>
    </cfRule>
  </conditionalFormatting>
  <conditionalFormatting sqref="CF31:CF39">
    <cfRule type="expression" dxfId="641" priority="1008">
      <formula>$CG31=""</formula>
    </cfRule>
  </conditionalFormatting>
  <conditionalFormatting sqref="CX33">
    <cfRule type="expression" dxfId="640" priority="1006">
      <formula>SUMPRODUCT((CY33&gt;=DVac)*(CY33&lt;=FVac))&gt;0</formula>
    </cfRule>
    <cfRule type="expression" dxfId="639" priority="1007" stopIfTrue="1">
      <formula>SUMPRODUCT((CY33&gt;=DVac)*(CY33&lt;=FVac))&lt;2</formula>
    </cfRule>
  </conditionalFormatting>
  <conditionalFormatting sqref="CX33:CX39">
    <cfRule type="expression" dxfId="638" priority="1005">
      <formula>$CY33=""</formula>
    </cfRule>
  </conditionalFormatting>
  <conditionalFormatting sqref="AV33">
    <cfRule type="expression" dxfId="637" priority="1003">
      <formula>SUMPRODUCT((AW33&gt;=DVac)*(AW33&lt;=FVac))&gt;0</formula>
    </cfRule>
    <cfRule type="expression" dxfId="636" priority="1004" stopIfTrue="1">
      <formula>SUMPRODUCT((AW33&gt;=DVac)*(AW33&lt;=FVac))&lt;2</formula>
    </cfRule>
  </conditionalFormatting>
  <conditionalFormatting sqref="AV31:AV39">
    <cfRule type="expression" dxfId="635" priority="1002">
      <formula>$AW31=""</formula>
    </cfRule>
  </conditionalFormatting>
  <conditionalFormatting sqref="DH34:DL39 DH4:DH33">
    <cfRule type="expression" dxfId="634" priority="1027">
      <formula>WEEKDAY($DH4,2)=6</formula>
    </cfRule>
    <cfRule type="expression" dxfId="633" priority="1028">
      <formula>WEEKDAY($DH4,2)=7</formula>
    </cfRule>
    <cfRule type="expression" dxfId="632" priority="1029">
      <formula>COUNTIF(Fériés,$DH4)=1</formula>
    </cfRule>
  </conditionalFormatting>
  <conditionalFormatting sqref="B3">
    <cfRule type="expression" dxfId="631" priority="1127">
      <formula>#REF!=""</formula>
    </cfRule>
  </conditionalFormatting>
  <conditionalFormatting sqref="AM33">
    <cfRule type="expression" dxfId="630" priority="1000">
      <formula>SUMPRODUCT((AN33&gt;=DVac)*(AN33&lt;=FVac))&gt;0</formula>
    </cfRule>
    <cfRule type="expression" dxfId="629" priority="1001" stopIfTrue="1">
      <formula>SUMPRODUCT((AN33&gt;=DVac)*(AN33&lt;=FVac))&lt;2</formula>
    </cfRule>
  </conditionalFormatting>
  <conditionalFormatting sqref="AM33">
    <cfRule type="expression" dxfId="628" priority="999">
      <formula>$BF33=""</formula>
    </cfRule>
  </conditionalFormatting>
  <conditionalFormatting sqref="F34">
    <cfRule type="cellIs" dxfId="627" priority="994" operator="equal">
      <formula>TODAY()</formula>
    </cfRule>
  </conditionalFormatting>
  <conditionalFormatting sqref="F34">
    <cfRule type="expression" dxfId="626" priority="991">
      <formula>$M34=""</formula>
    </cfRule>
  </conditionalFormatting>
  <conditionalFormatting sqref="F34">
    <cfRule type="expression" dxfId="625" priority="992">
      <formula>WEEKDAY($M34,2)=6</formula>
    </cfRule>
    <cfRule type="expression" dxfId="624" priority="993">
      <formula>WEEKDAY($M34,2)=7</formula>
    </cfRule>
    <cfRule type="expression" dxfId="623" priority="995">
      <formula>COUNTIF(Fériés,$M34)=1</formula>
    </cfRule>
  </conditionalFormatting>
  <conditionalFormatting sqref="Y34">
    <cfRule type="cellIs" dxfId="622" priority="989" operator="equal">
      <formula>TODAY()</formula>
    </cfRule>
  </conditionalFormatting>
  <conditionalFormatting sqref="Y34">
    <cfRule type="expression" dxfId="621" priority="986">
      <formula>$M34=""</formula>
    </cfRule>
  </conditionalFormatting>
  <conditionalFormatting sqref="Y34">
    <cfRule type="expression" dxfId="620" priority="987">
      <formula>WEEKDAY($M34,2)=6</formula>
    </cfRule>
    <cfRule type="expression" dxfId="619" priority="988">
      <formula>WEEKDAY($M34,2)=7</formula>
    </cfRule>
    <cfRule type="expression" dxfId="618" priority="990">
      <formula>COUNTIF(Fériés,$M34)=1</formula>
    </cfRule>
  </conditionalFormatting>
  <conditionalFormatting sqref="AH34:AI34">
    <cfRule type="cellIs" dxfId="617" priority="984" operator="equal">
      <formula>TODAY()</formula>
    </cfRule>
  </conditionalFormatting>
  <conditionalFormatting sqref="AH34:AI34">
    <cfRule type="expression" dxfId="616" priority="981">
      <formula>$M34=""</formula>
    </cfRule>
  </conditionalFormatting>
  <conditionalFormatting sqref="AH34:AI34">
    <cfRule type="expression" dxfId="615" priority="982">
      <formula>WEEKDAY($M34,2)=6</formula>
    </cfRule>
    <cfRule type="expression" dxfId="614" priority="983">
      <formula>WEEKDAY($M34,2)=7</formula>
    </cfRule>
    <cfRule type="expression" dxfId="613" priority="985">
      <formula>COUNTIF(Fériés,$M34)=1</formula>
    </cfRule>
  </conditionalFormatting>
  <conditionalFormatting sqref="F3:F14 F16:F33">
    <cfRule type="cellIs" dxfId="612" priority="978" operator="equal">
      <formula>TODAY()</formula>
    </cfRule>
  </conditionalFormatting>
  <conditionalFormatting sqref="F3:F14 F16:F33">
    <cfRule type="expression" dxfId="611" priority="430">
      <formula>WEEKDAY($D3,2)=7</formula>
    </cfRule>
    <cfRule type="expression" dxfId="610" priority="977">
      <formula>WEEKDAY($D3,2)&gt;5</formula>
    </cfRule>
    <cfRule type="expression" dxfId="609" priority="979">
      <formula>COUNTIF(Fériés,$D3)=1</formula>
    </cfRule>
  </conditionalFormatting>
  <conditionalFormatting sqref="Y3:Y31">
    <cfRule type="cellIs" dxfId="608" priority="975" operator="equal">
      <formula>TODAY()</formula>
    </cfRule>
  </conditionalFormatting>
  <conditionalFormatting sqref="Y3:Y31">
    <cfRule type="expression" dxfId="607" priority="973">
      <formula>WEEKDAY($M3,2)=6</formula>
    </cfRule>
    <cfRule type="expression" dxfId="606" priority="974">
      <formula>WEEKDAY($M3,2)=7</formula>
    </cfRule>
    <cfRule type="expression" dxfId="605" priority="976">
      <formula>COUNTIF(Fériés,$M3)=1</formula>
    </cfRule>
  </conditionalFormatting>
  <conditionalFormatting sqref="AH3:AH32">
    <cfRule type="expression" dxfId="604" priority="965">
      <formula>WEEKDAY($AE3,2)=6</formula>
    </cfRule>
    <cfRule type="expression" dxfId="603" priority="966">
      <formula>WEEKDAY($AE3,2)=7</formula>
    </cfRule>
    <cfRule type="expression" dxfId="602" priority="967">
      <formula>COUNTIF(Fériés,$AE3)=1</formula>
    </cfRule>
  </conditionalFormatting>
  <conditionalFormatting sqref="AQ3:AQ33">
    <cfRule type="expression" dxfId="601" priority="962">
      <formula>WEEKDAY($AN3,2)=7</formula>
    </cfRule>
    <cfRule type="expression" dxfId="600" priority="963">
      <formula>WEEKDAY($AN3,2)=6</formula>
    </cfRule>
    <cfRule type="expression" dxfId="599" priority="964">
      <formula>COUNTIF(Fériés,$AN3)=1</formula>
    </cfRule>
  </conditionalFormatting>
  <conditionalFormatting sqref="AZ3:AZ32">
    <cfRule type="expression" dxfId="598" priority="959">
      <formula>WEEKDAY($AW3,2)=6</formula>
    </cfRule>
    <cfRule type="expression" dxfId="597" priority="960">
      <formula>WEEKDAY($AW3,2)=7</formula>
    </cfRule>
    <cfRule type="expression" dxfId="596" priority="961">
      <formula>COUNTIF(Fériés,$AW3)=1</formula>
    </cfRule>
  </conditionalFormatting>
  <conditionalFormatting sqref="BI3:BI33">
    <cfRule type="expression" dxfId="595" priority="956">
      <formula>COUNTIF(Fériés,$BF3)=1</formula>
    </cfRule>
    <cfRule type="expression" dxfId="594" priority="957">
      <formula>WEEKDAY($BF3,2)=6</formula>
    </cfRule>
    <cfRule type="expression" dxfId="593" priority="958">
      <formula>WEEKDAY($BF3,2)=7</formula>
    </cfRule>
  </conditionalFormatting>
  <conditionalFormatting sqref="BR3:BR33">
    <cfRule type="expression" dxfId="592" priority="953">
      <formula>COUNTIF(Fériés,$BO3)=1</formula>
    </cfRule>
    <cfRule type="expression" dxfId="591" priority="954">
      <formula>WEEKDAY($BO3,2)=6</formula>
    </cfRule>
    <cfRule type="expression" dxfId="590" priority="955">
      <formula>WEEKDAY($BO3,2)=7</formula>
    </cfRule>
  </conditionalFormatting>
  <conditionalFormatting sqref="CA3:CA32">
    <cfRule type="expression" dxfId="589" priority="950">
      <formula>COUNTIF(Fériés,$BX3)=1</formula>
    </cfRule>
    <cfRule type="expression" dxfId="588" priority="951">
      <formula>WEEKDAY($BX3,2)=6</formula>
    </cfRule>
    <cfRule type="expression" dxfId="587" priority="952">
      <formula>WEEKDAY($BX3,2)=7</formula>
    </cfRule>
  </conditionalFormatting>
  <conditionalFormatting sqref="CJ3:CJ33">
    <cfRule type="expression" dxfId="586" priority="947">
      <formula>COUNTIF(Fériés,$CG3)=1</formula>
    </cfRule>
    <cfRule type="expression" dxfId="585" priority="948">
      <formula>WEEKDAY($CG3,2)=6</formula>
    </cfRule>
    <cfRule type="expression" dxfId="584" priority="949">
      <formula>WEEKDAY($CG3,2)=7</formula>
    </cfRule>
  </conditionalFormatting>
  <conditionalFormatting sqref="CS3:CS32">
    <cfRule type="expression" dxfId="583" priority="944">
      <formula>WEEKDAY($CP3,2)=6</formula>
    </cfRule>
    <cfRule type="expression" dxfId="582" priority="945">
      <formula>WEEKDAY($CP3,2)=7</formula>
    </cfRule>
    <cfRule type="expression" dxfId="581" priority="946">
      <formula>COUNTIF(Fériés,$CP3)=1</formula>
    </cfRule>
  </conditionalFormatting>
  <conditionalFormatting sqref="DB3:DB33">
    <cfRule type="expression" dxfId="580" priority="941">
      <formula>WEEKDAY($CY3,2)=6</formula>
    </cfRule>
    <cfRule type="expression" dxfId="579" priority="942">
      <formula>WEEKDAY($CY3,2)=7</formula>
    </cfRule>
    <cfRule type="expression" dxfId="578" priority="943">
      <formula>COUNTIF(Fériés,$CY3)=1</formula>
    </cfRule>
  </conditionalFormatting>
  <conditionalFormatting sqref="P3:P30">
    <cfRule type="expression" dxfId="577" priority="938">
      <formula>WEEKDAY($M3,2)=6</formula>
    </cfRule>
    <cfRule type="expression" dxfId="576" priority="939">
      <formula>WEEKDAY($M3,2)=7</formula>
    </cfRule>
    <cfRule type="expression" dxfId="575" priority="940">
      <formula>COUNTIF(Fériés,$M3)=1</formula>
    </cfRule>
  </conditionalFormatting>
  <conditionalFormatting sqref="P3:P30 Y3:Y31 AH3:AH32 AQ3:AQ33 AZ3:AZ32 BI3:BI33 BR3:BR33 CA3:CA32 CJ3:CJ33 CS3:CS32 DB3:DB33">
    <cfRule type="notContainsBlanks" dxfId="574" priority="1128">
      <formula>LEN(TRIM(P3))&gt;0</formula>
    </cfRule>
  </conditionalFormatting>
  <conditionalFormatting sqref="AY3:AY32">
    <cfRule type="notContainsBlanks" dxfId="573" priority="914">
      <formula>LEN(TRIM(AY3))&gt;0</formula>
    </cfRule>
  </conditionalFormatting>
  <conditionalFormatting sqref="O3:O30">
    <cfRule type="expression" dxfId="572" priority="934">
      <formula>WEEKDAY($M3,2)=6</formula>
    </cfRule>
    <cfRule type="expression" dxfId="571" priority="935">
      <formula>WEEKDAY($M3,2)=7</formula>
    </cfRule>
    <cfRule type="expression" dxfId="570" priority="936">
      <formula>COUNTIF(Fériés,$M3)=1</formula>
    </cfRule>
  </conditionalFormatting>
  <conditionalFormatting sqref="O3:O30">
    <cfRule type="notContainsBlanks" dxfId="569" priority="937">
      <formula>LEN(TRIM(O3))&gt;0</formula>
    </cfRule>
  </conditionalFormatting>
  <conditionalFormatting sqref="X3:X31">
    <cfRule type="cellIs" dxfId="568" priority="931" operator="equal">
      <formula>TODAY()</formula>
    </cfRule>
  </conditionalFormatting>
  <conditionalFormatting sqref="X3:X31">
    <cfRule type="expression" dxfId="567" priority="929">
      <formula>WEEKDAY($M3,2)=6</formula>
    </cfRule>
    <cfRule type="expression" dxfId="566" priority="930">
      <formula>WEEKDAY($M3,2)=7</formula>
    </cfRule>
    <cfRule type="expression" dxfId="565" priority="932">
      <formula>COUNTIF(Fériés,$M3)=1</formula>
    </cfRule>
  </conditionalFormatting>
  <conditionalFormatting sqref="X3:X31">
    <cfRule type="notContainsBlanks" dxfId="564" priority="933">
      <formula>LEN(TRIM(X3))&gt;0</formula>
    </cfRule>
  </conditionalFormatting>
  <conditionalFormatting sqref="AG3:AG32">
    <cfRule type="expression" dxfId="563" priority="925">
      <formula>WEEKDAY($AE3,2)=6</formula>
    </cfRule>
    <cfRule type="expression" dxfId="562" priority="926">
      <formula>WEEKDAY($AE3,2)=7</formula>
    </cfRule>
    <cfRule type="expression" dxfId="561" priority="927">
      <formula>COUNTIF(Fériés,$AE3)=1</formula>
    </cfRule>
  </conditionalFormatting>
  <conditionalFormatting sqref="AG3:AG32">
    <cfRule type="notContainsBlanks" dxfId="560" priority="928">
      <formula>LEN(TRIM(AG3))&gt;0</formula>
    </cfRule>
  </conditionalFormatting>
  <conditionalFormatting sqref="AP3:AP33">
    <cfRule type="expression" dxfId="559" priority="915">
      <formula>WEEKDAY($AN3,2)=7</formula>
    </cfRule>
    <cfRule type="expression" dxfId="558" priority="916">
      <formula>WEEKDAY($AN3,2)=6</formula>
    </cfRule>
    <cfRule type="expression" dxfId="557" priority="917">
      <formula>COUNTIF(Fériés,$AN3)=1</formula>
    </cfRule>
  </conditionalFormatting>
  <conditionalFormatting sqref="AP3:AP33">
    <cfRule type="notContainsBlanks" dxfId="556" priority="918">
      <formula>LEN(TRIM(AP3))&gt;0</formula>
    </cfRule>
  </conditionalFormatting>
  <conditionalFormatting sqref="AY3:AY32">
    <cfRule type="expression" dxfId="555" priority="911">
      <formula>WEEKDAY($AW3,2)=6</formula>
    </cfRule>
    <cfRule type="expression" dxfId="554" priority="912">
      <formula>WEEKDAY($AW3,2)=7</formula>
    </cfRule>
    <cfRule type="expression" dxfId="553" priority="913">
      <formula>COUNTIF(Fériés,$AW3)=1</formula>
    </cfRule>
  </conditionalFormatting>
  <conditionalFormatting sqref="BH3:BH33">
    <cfRule type="expression" dxfId="552" priority="907">
      <formula>COUNTIF(Fériés,$BF3)=1</formula>
    </cfRule>
    <cfRule type="expression" dxfId="551" priority="908">
      <formula>WEEKDAY($BF3,2)=6</formula>
    </cfRule>
    <cfRule type="expression" dxfId="550" priority="909">
      <formula>WEEKDAY($BF3,2)=7</formula>
    </cfRule>
  </conditionalFormatting>
  <conditionalFormatting sqref="BH3:BH33">
    <cfRule type="notContainsBlanks" dxfId="549" priority="910">
      <formula>LEN(TRIM(BH3))&gt;0</formula>
    </cfRule>
  </conditionalFormatting>
  <conditionalFormatting sqref="BQ3:BQ33">
    <cfRule type="expression" dxfId="548" priority="903">
      <formula>COUNTIF(Fériés,$BO3)=1</formula>
    </cfRule>
    <cfRule type="expression" dxfId="547" priority="904">
      <formula>WEEKDAY($BO3,2)=6</formula>
    </cfRule>
    <cfRule type="expression" dxfId="546" priority="905">
      <formula>WEEKDAY($BO3,2)=7</formula>
    </cfRule>
  </conditionalFormatting>
  <conditionalFormatting sqref="BQ3:BQ33">
    <cfRule type="notContainsBlanks" dxfId="545" priority="906">
      <formula>LEN(TRIM(BQ3))&gt;0</formula>
    </cfRule>
  </conditionalFormatting>
  <conditionalFormatting sqref="BZ3:BZ32">
    <cfRule type="expression" dxfId="544" priority="899">
      <formula>COUNTIF(Fériés,$BX3)=1</formula>
    </cfRule>
    <cfRule type="expression" dxfId="543" priority="900">
      <formula>WEEKDAY($BX3,2)=6</formula>
    </cfRule>
    <cfRule type="expression" dxfId="542" priority="901">
      <formula>WEEKDAY($BX3,2)=7</formula>
    </cfRule>
  </conditionalFormatting>
  <conditionalFormatting sqref="BZ3:BZ32">
    <cfRule type="notContainsBlanks" dxfId="541" priority="902">
      <formula>LEN(TRIM(BZ3))&gt;0</formula>
    </cfRule>
  </conditionalFormatting>
  <conditionalFormatting sqref="CI3:CI33">
    <cfRule type="expression" dxfId="540" priority="895">
      <formula>COUNTIF(Fériés,$CG3)=1</formula>
    </cfRule>
    <cfRule type="expression" dxfId="539" priority="896">
      <formula>WEEKDAY($CG3,2)=6</formula>
    </cfRule>
    <cfRule type="expression" dxfId="538" priority="897">
      <formula>WEEKDAY($CG3,2)=7</formula>
    </cfRule>
  </conditionalFormatting>
  <conditionalFormatting sqref="CI3:CI33">
    <cfRule type="notContainsBlanks" dxfId="537" priority="898">
      <formula>LEN(TRIM(CI3))&gt;0</formula>
    </cfRule>
  </conditionalFormatting>
  <conditionalFormatting sqref="CR3:CR32">
    <cfRule type="expression" dxfId="536" priority="891">
      <formula>WEEKDAY($CP3,2)=6</formula>
    </cfRule>
    <cfRule type="expression" dxfId="535" priority="892">
      <formula>WEEKDAY($CP3,2)=7</formula>
    </cfRule>
    <cfRule type="expression" dxfId="534" priority="893">
      <formula>COUNTIF(Fériés,$CP3)=1</formula>
    </cfRule>
  </conditionalFormatting>
  <conditionalFormatting sqref="CR3:CR32">
    <cfRule type="notContainsBlanks" dxfId="533" priority="894">
      <formula>LEN(TRIM(CR3))&gt;0</formula>
    </cfRule>
  </conditionalFormatting>
  <conditionalFormatting sqref="DA3:DA33">
    <cfRule type="expression" dxfId="532" priority="887">
      <formula>WEEKDAY($CY3,2)=6</formula>
    </cfRule>
    <cfRule type="expression" dxfId="531" priority="888">
      <formula>WEEKDAY($CY3,2)=7</formula>
    </cfRule>
    <cfRule type="expression" dxfId="530" priority="889">
      <formula>COUNTIF(Fériés,$CY3)=1</formula>
    </cfRule>
  </conditionalFormatting>
  <conditionalFormatting sqref="DA3:DA33">
    <cfRule type="notContainsBlanks" dxfId="529" priority="890">
      <formula>LEN(TRIM(DA3))&gt;0</formula>
    </cfRule>
  </conditionalFormatting>
  <conditionalFormatting sqref="DJ3:DJ33">
    <cfRule type="expression" dxfId="528" priority="883">
      <formula>WEEKDAY($DH3,2)=6</formula>
    </cfRule>
    <cfRule type="expression" dxfId="527" priority="884">
      <formula>WEEKDAY($DH3,2)=7</formula>
    </cfRule>
    <cfRule type="expression" dxfId="526" priority="885">
      <formula>COUNTIF(Fériés,$DH3)=1</formula>
    </cfRule>
  </conditionalFormatting>
  <conditionalFormatting sqref="DJ3:DJ33">
    <cfRule type="notContainsBlanks" dxfId="525" priority="886">
      <formula>LEN(TRIM(DJ3))&gt;0</formula>
    </cfRule>
  </conditionalFormatting>
  <conditionalFormatting sqref="F4:F33">
    <cfRule type="cellIs" dxfId="524" priority="881" operator="equal">
      <formula>TODAY()</formula>
    </cfRule>
  </conditionalFormatting>
  <conditionalFormatting sqref="F4:F33">
    <cfRule type="expression" dxfId="523" priority="879">
      <formula>WEEKDAY($D4,2)=7</formula>
    </cfRule>
    <cfRule type="expression" dxfId="522" priority="880">
      <formula>WEEKDAY($D4,2)&gt;5</formula>
    </cfRule>
    <cfRule type="expression" dxfId="521" priority="882">
      <formula>COUNTIF(Fériés,$D4)=1</formula>
    </cfRule>
  </conditionalFormatting>
  <conditionalFormatting sqref="F4:F33">
    <cfRule type="notContainsBlanks" dxfId="520" priority="878">
      <formula>LEN(TRIM(F4))&gt;0</formula>
    </cfRule>
  </conditionalFormatting>
  <conditionalFormatting sqref="DK3:DL33">
    <cfRule type="expression" dxfId="519" priority="371">
      <formula>WEEKDAY($DH3,2)=6</formula>
    </cfRule>
    <cfRule type="expression" dxfId="518" priority="866">
      <formula>WEEKDAY($DH3,2)=7</formula>
    </cfRule>
    <cfRule type="expression" dxfId="517" priority="867">
      <formula>COUNTIF(Fériés,$DH3)=1</formula>
    </cfRule>
  </conditionalFormatting>
  <conditionalFormatting sqref="Z34">
    <cfRule type="expression" dxfId="516" priority="823">
      <formula>$V34=""</formula>
    </cfRule>
  </conditionalFormatting>
  <conditionalFormatting sqref="Z34">
    <cfRule type="expression" dxfId="515" priority="824">
      <formula>WEEKDAY($V34,2)=6</formula>
    </cfRule>
    <cfRule type="expression" dxfId="514" priority="825">
      <formula>WEEKDAY($V34,2)=7</formula>
    </cfRule>
    <cfRule type="expression" dxfId="513" priority="826">
      <formula>COUNTIF(Fériés,$V34)=1</formula>
    </cfRule>
  </conditionalFormatting>
  <conditionalFormatting sqref="W3:W31 V33:Y33">
    <cfRule type="cellIs" dxfId="512" priority="793" operator="equal">
      <formula>TODAY()</formula>
    </cfRule>
  </conditionalFormatting>
  <conditionalFormatting sqref="W3:W31 V33:Y33">
    <cfRule type="expression" dxfId="511" priority="790">
      <formula>$V3=""</formula>
    </cfRule>
  </conditionalFormatting>
  <conditionalFormatting sqref="W3:W31 V33:Y33">
    <cfRule type="expression" dxfId="510" priority="791">
      <formula>WEEKDAY($V3,2)=6</formula>
    </cfRule>
    <cfRule type="expression" dxfId="509" priority="792">
      <formula>WEEKDAY($V3,2)=7</formula>
    </cfRule>
    <cfRule type="expression" dxfId="508" priority="794">
      <formula>COUNTIF(Fériés,$V3)=1</formula>
    </cfRule>
  </conditionalFormatting>
  <conditionalFormatting sqref="AF3:AF32">
    <cfRule type="expression" dxfId="507" priority="781">
      <formula>WEEKDAY($AE3,2)=6</formula>
    </cfRule>
    <cfRule type="expression" dxfId="506" priority="782">
      <formula>WEEKDAY($AE3,2)=7</formula>
    </cfRule>
    <cfRule type="expression" dxfId="505" priority="783">
      <formula>COUNTIF(Fériés,$AE3)=1</formula>
    </cfRule>
  </conditionalFormatting>
  <conditionalFormatting sqref="AO3:AO33">
    <cfRule type="expression" dxfId="504" priority="778">
      <formula>WEEKDAY($AN3,2)=7</formula>
    </cfRule>
    <cfRule type="expression" dxfId="503" priority="779">
      <formula>WEEKDAY($AN3,2)=6</formula>
    </cfRule>
    <cfRule type="expression" dxfId="502" priority="780">
      <formula>COUNTIF(Fériés,$AN3)=1</formula>
    </cfRule>
  </conditionalFormatting>
  <conditionalFormatting sqref="AX3:AX32">
    <cfRule type="expression" dxfId="501" priority="775">
      <formula>WEEKDAY($AW3,2)=6</formula>
    </cfRule>
    <cfRule type="expression" dxfId="500" priority="776">
      <formula>WEEKDAY($AW3,2)=7</formula>
    </cfRule>
    <cfRule type="expression" dxfId="499" priority="777">
      <formula>COUNTIF(Fériés,$AW3)=1</formula>
    </cfRule>
  </conditionalFormatting>
  <conditionalFormatting sqref="BG3:BG33">
    <cfRule type="expression" dxfId="498" priority="772">
      <formula>COUNTIF(Fériés,$BF3)=1</formula>
    </cfRule>
    <cfRule type="expression" dxfId="497" priority="773">
      <formula>WEEKDAY($BF3,2)=6</formula>
    </cfRule>
    <cfRule type="expression" dxfId="496" priority="774">
      <formula>WEEKDAY($BF3,2)=7</formula>
    </cfRule>
  </conditionalFormatting>
  <conditionalFormatting sqref="BP3:BP33">
    <cfRule type="expression" dxfId="495" priority="769">
      <formula>COUNTIF(Fériés,$BO3)=1</formula>
    </cfRule>
    <cfRule type="expression" dxfId="494" priority="770">
      <formula>WEEKDAY($BO3,2)=6</formula>
    </cfRule>
    <cfRule type="expression" dxfId="493" priority="771">
      <formula>WEEKDAY($BO3,2)=7</formula>
    </cfRule>
  </conditionalFormatting>
  <conditionalFormatting sqref="BY3:BY32">
    <cfRule type="expression" dxfId="492" priority="766">
      <formula>COUNTIF(Fériés,$BX3)=1</formula>
    </cfRule>
    <cfRule type="expression" dxfId="491" priority="767">
      <formula>WEEKDAY($BX3,2)=6</formula>
    </cfRule>
    <cfRule type="expression" dxfId="490" priority="768">
      <formula>WEEKDAY($BX3,2)=7</formula>
    </cfRule>
  </conditionalFormatting>
  <conditionalFormatting sqref="CH3:CH33">
    <cfRule type="expression" dxfId="489" priority="763">
      <formula>COUNTIF(Fériés,$CG3)=1</formula>
    </cfRule>
    <cfRule type="expression" dxfId="488" priority="764">
      <formula>WEEKDAY($CG3,2)=6</formula>
    </cfRule>
    <cfRule type="expression" dxfId="487" priority="765">
      <formula>WEEKDAY($CG3,2)=7</formula>
    </cfRule>
  </conditionalFormatting>
  <conditionalFormatting sqref="CQ3:CQ32">
    <cfRule type="expression" dxfId="486" priority="760">
      <formula>WEEKDAY($CP3,2)=6</formula>
    </cfRule>
    <cfRule type="expression" dxfId="485" priority="761">
      <formula>WEEKDAY($CP3,2)=7</formula>
    </cfRule>
    <cfRule type="expression" dxfId="484" priority="762">
      <formula>COUNTIF(Fériés,$CP3)=1</formula>
    </cfRule>
  </conditionalFormatting>
  <conditionalFormatting sqref="CZ3:CZ33">
    <cfRule type="expression" dxfId="483" priority="757">
      <formula>WEEKDAY($CY3,2)=6</formula>
    </cfRule>
    <cfRule type="expression" dxfId="482" priority="758">
      <formula>WEEKDAY($CY3,2)=7</formula>
    </cfRule>
    <cfRule type="expression" dxfId="481" priority="759">
      <formula>COUNTIF(Fériés,$CY3)=1</formula>
    </cfRule>
  </conditionalFormatting>
  <conditionalFormatting sqref="DI3:DI33">
    <cfRule type="expression" dxfId="480" priority="754">
      <formula>WEEKDAY($DH3,2)=6</formula>
    </cfRule>
    <cfRule type="expression" dxfId="479" priority="755">
      <formula>WEEKDAY($DH3,2)=7</formula>
    </cfRule>
    <cfRule type="expression" dxfId="478" priority="756">
      <formula>COUNTIF(Fériés,$DH3)=1</formula>
    </cfRule>
  </conditionalFormatting>
  <conditionalFormatting sqref="G4:G33">
    <cfRule type="notContainsBlanks" dxfId="477" priority="752">
      <formula>LEN(TRIM(G4))&gt;0</formula>
    </cfRule>
  </conditionalFormatting>
  <conditionalFormatting sqref="AG33:AI33 AL33">
    <cfRule type="cellIs" dxfId="476" priority="719" operator="equal">
      <formula>TODAY()</formula>
    </cfRule>
  </conditionalFormatting>
  <conditionalFormatting sqref="AG33:AI33">
    <cfRule type="expression" dxfId="475" priority="716">
      <formula>$AE33=""</formula>
    </cfRule>
  </conditionalFormatting>
  <conditionalFormatting sqref="AG33:AI33">
    <cfRule type="expression" dxfId="474" priority="717">
      <formula>WEEKDAY($AE33,2)=6</formula>
    </cfRule>
    <cfRule type="expression" dxfId="473" priority="718">
      <formula>WEEKDAY($AE33,2)=7</formula>
    </cfRule>
    <cfRule type="expression" dxfId="472" priority="720">
      <formula>COUNTIF(Fériés,$AE33)=1</formula>
    </cfRule>
  </conditionalFormatting>
  <conditionalFormatting sqref="V3">
    <cfRule type="cellIs" dxfId="471" priority="675" operator="equal">
      <formula>TODAY()</formula>
    </cfRule>
  </conditionalFormatting>
  <conditionalFormatting sqref="V3">
    <cfRule type="expression" dxfId="470" priority="673">
      <formula>WEEKDAY($M3,2)=6</formula>
    </cfRule>
    <cfRule type="expression" dxfId="469" priority="674">
      <formula>WEEKDAY($M3,2)=7</formula>
    </cfRule>
    <cfRule type="expression" dxfId="468" priority="676">
      <formula>COUNTIF(Fériés,$M3)=1</formula>
    </cfRule>
  </conditionalFormatting>
  <conditionalFormatting sqref="V4:V31 V33">
    <cfRule type="cellIs" dxfId="467" priority="620" operator="equal">
      <formula>TODAY()</formula>
    </cfRule>
  </conditionalFormatting>
  <conditionalFormatting sqref="V4:V31 V33">
    <cfRule type="expression" dxfId="466" priority="618">
      <formula>WEEKDAY($M4,2)=6</formula>
    </cfRule>
    <cfRule type="expression" dxfId="465" priority="619">
      <formula>WEEKDAY($M4,2)=7</formula>
    </cfRule>
    <cfRule type="expression" dxfId="464" priority="621">
      <formula>COUNTIF(Fériés,$M4)=1</formula>
    </cfRule>
  </conditionalFormatting>
  <conditionalFormatting sqref="AE3">
    <cfRule type="cellIs" dxfId="463" priority="616" operator="equal">
      <formula>TODAY()</formula>
    </cfRule>
  </conditionalFormatting>
  <conditionalFormatting sqref="AE3">
    <cfRule type="expression" dxfId="462" priority="614">
      <formula>WEEKDAY($AE3,2)=6</formula>
    </cfRule>
    <cfRule type="expression" dxfId="461" priority="615">
      <formula>WEEKDAY($AE3,2)=7</formula>
    </cfRule>
    <cfRule type="expression" dxfId="460" priority="617">
      <formula>COUNTIF(Fériés,$AE3)=1</formula>
    </cfRule>
  </conditionalFormatting>
  <conditionalFormatting sqref="AN3">
    <cfRule type="cellIs" dxfId="459" priority="612" operator="equal">
      <formula>TODAY()</formula>
    </cfRule>
  </conditionalFormatting>
  <conditionalFormatting sqref="AN3">
    <cfRule type="expression" dxfId="458" priority="610">
      <formula>WEEKDAY($AN3,2)=7</formula>
    </cfRule>
    <cfRule type="expression" dxfId="457" priority="611">
      <formula>WEEKDAY($AN3,2)=6</formula>
    </cfRule>
    <cfRule type="expression" dxfId="456" priority="613">
      <formula>COUNTIF(Fériés,$AN3)=1</formula>
    </cfRule>
  </conditionalFormatting>
  <conditionalFormatting sqref="AW3">
    <cfRule type="cellIs" dxfId="455" priority="609" operator="equal">
      <formula>TODAY()</formula>
    </cfRule>
  </conditionalFormatting>
  <conditionalFormatting sqref="AW3">
    <cfRule type="expression" dxfId="454" priority="606">
      <formula>WEEKDAY($AW3,2)=6</formula>
    </cfRule>
    <cfRule type="expression" dxfId="453" priority="607">
      <formula>WEEKDAY($AW3,2)=7</formula>
    </cfRule>
    <cfRule type="expression" dxfId="452" priority="608">
      <formula>COUNTIF(Fériés,$AW3)=1</formula>
    </cfRule>
  </conditionalFormatting>
  <conditionalFormatting sqref="BF3">
    <cfRule type="cellIs" dxfId="451" priority="605" operator="equal">
      <formula>TODAY()</formula>
    </cfRule>
  </conditionalFormatting>
  <conditionalFormatting sqref="BF3">
    <cfRule type="expression" dxfId="450" priority="602">
      <formula>COUNTIF(Fériés,$BF3)=1</formula>
    </cfRule>
    <cfRule type="expression" dxfId="449" priority="603">
      <formula>WEEKDAY($BF3,2)=6</formula>
    </cfRule>
    <cfRule type="expression" dxfId="448" priority="604">
      <formula>WEEKDAY($BF3,2)=7</formula>
    </cfRule>
  </conditionalFormatting>
  <conditionalFormatting sqref="BO3">
    <cfRule type="cellIs" dxfId="447" priority="598" operator="equal">
      <formula>TODAY()</formula>
    </cfRule>
  </conditionalFormatting>
  <conditionalFormatting sqref="BO3">
    <cfRule type="expression" dxfId="446" priority="599">
      <formula>COUNTIF(Fériés,$BO3)=1</formula>
    </cfRule>
    <cfRule type="expression" dxfId="445" priority="600">
      <formula>WEEKDAY($BO3,2)=6</formula>
    </cfRule>
    <cfRule type="expression" dxfId="444" priority="601">
      <formula>WEEKDAY($BO3,2)=7</formula>
    </cfRule>
  </conditionalFormatting>
  <conditionalFormatting sqref="BX3">
    <cfRule type="cellIs" dxfId="443" priority="594" operator="equal">
      <formula>TODAY()</formula>
    </cfRule>
  </conditionalFormatting>
  <conditionalFormatting sqref="BX3">
    <cfRule type="expression" dxfId="442" priority="595">
      <formula>COUNTIF(Fériés,$BX3)=1</formula>
    </cfRule>
    <cfRule type="expression" dxfId="441" priority="596">
      <formula>WEEKDAY($BX3,2)=6</formula>
    </cfRule>
    <cfRule type="expression" dxfId="440" priority="597">
      <formula>WEEKDAY($BX3,2)=7</formula>
    </cfRule>
  </conditionalFormatting>
  <conditionalFormatting sqref="CG3">
    <cfRule type="cellIs" dxfId="439" priority="590" operator="equal">
      <formula>TODAY()</formula>
    </cfRule>
  </conditionalFormatting>
  <conditionalFormatting sqref="CG3">
    <cfRule type="expression" dxfId="438" priority="591">
      <formula>COUNTIF(Fériés,$CG3)=1</formula>
    </cfRule>
    <cfRule type="expression" dxfId="437" priority="592">
      <formula>WEEKDAY($CG3,2)=6</formula>
    </cfRule>
    <cfRule type="expression" dxfId="436" priority="593">
      <formula>WEEKDAY($CG3,2)=7</formula>
    </cfRule>
  </conditionalFormatting>
  <conditionalFormatting sqref="CP3">
    <cfRule type="cellIs" dxfId="435" priority="589" operator="equal">
      <formula>TODAY()</formula>
    </cfRule>
  </conditionalFormatting>
  <conditionalFormatting sqref="CP3">
    <cfRule type="expression" dxfId="434" priority="586">
      <formula>WEEKDAY($CP3,2)=6</formula>
    </cfRule>
    <cfRule type="expression" dxfId="433" priority="587">
      <formula>WEEKDAY($CP3,2)=7</formula>
    </cfRule>
    <cfRule type="expression" dxfId="432" priority="588">
      <formula>COUNTIF(Fériés,$CP3)=1</formula>
    </cfRule>
  </conditionalFormatting>
  <conditionalFormatting sqref="CY3">
    <cfRule type="cellIs" dxfId="431" priority="585" operator="equal">
      <formula>TODAY()</formula>
    </cfRule>
  </conditionalFormatting>
  <conditionalFormatting sqref="CY3">
    <cfRule type="expression" dxfId="430" priority="582">
      <formula>WEEKDAY($CY3,2)=6</formula>
    </cfRule>
    <cfRule type="expression" dxfId="429" priority="583">
      <formula>WEEKDAY($CY3,2)=7</formula>
    </cfRule>
    <cfRule type="expression" dxfId="428" priority="584">
      <formula>COUNTIF(Fériés,$CY3)=1</formula>
    </cfRule>
  </conditionalFormatting>
  <conditionalFormatting sqref="DH3">
    <cfRule type="cellIs" dxfId="427" priority="581" operator="equal">
      <formula>TODAY()</formula>
    </cfRule>
  </conditionalFormatting>
  <conditionalFormatting sqref="DH3">
    <cfRule type="expression" dxfId="426" priority="578">
      <formula>WEEKDAY($DH3,2)=6</formula>
    </cfRule>
    <cfRule type="expression" dxfId="425" priority="579">
      <formula>WEEKDAY($DH3,2)=7</formula>
    </cfRule>
    <cfRule type="expression" dxfId="424" priority="580">
      <formula>COUNTIF(Fériés,$DH3)=1</formula>
    </cfRule>
  </conditionalFormatting>
  <conditionalFormatting sqref="DC3:DC33">
    <cfRule type="expression" dxfId="423" priority="508">
      <formula>WEEKDAY($CY3,2)=6</formula>
    </cfRule>
    <cfRule type="expression" dxfId="422" priority="509">
      <formula>WEEKDAY($CY3,2)=7</formula>
    </cfRule>
    <cfRule type="expression" dxfId="421" priority="510">
      <formula>COUNTIF(Fériés,$CY3)=1</formula>
    </cfRule>
  </conditionalFormatting>
  <conditionalFormatting sqref="CT3:CT32">
    <cfRule type="expression" dxfId="420" priority="505">
      <formula>WEEKDAY($CP3,2)=6</formula>
    </cfRule>
    <cfRule type="expression" dxfId="419" priority="506">
      <formula>WEEKDAY($CP3,2)=7</formula>
    </cfRule>
    <cfRule type="expression" dxfId="418" priority="507">
      <formula>COUNTIF(Fériés,$CP3)=1</formula>
    </cfRule>
  </conditionalFormatting>
  <conditionalFormatting sqref="CK3:CK33">
    <cfRule type="expression" dxfId="417" priority="502">
      <formula>COUNTIF(Fériés,$CG3)=1</formula>
    </cfRule>
    <cfRule type="expression" dxfId="416" priority="503">
      <formula>WEEKDAY($CG3,2)=6</formula>
    </cfRule>
    <cfRule type="expression" dxfId="415" priority="504">
      <formula>WEEKDAY($CG3,2)=7</formula>
    </cfRule>
  </conditionalFormatting>
  <conditionalFormatting sqref="CB3:CB32">
    <cfRule type="expression" dxfId="414" priority="499">
      <formula>COUNTIF(Fériés,$BX3)=1</formula>
    </cfRule>
    <cfRule type="expression" dxfId="413" priority="500">
      <formula>WEEKDAY($BX3,2)=6</formula>
    </cfRule>
    <cfRule type="expression" dxfId="412" priority="501">
      <formula>WEEKDAY($BX3,2)=7</formula>
    </cfRule>
  </conditionalFormatting>
  <conditionalFormatting sqref="BS3:BS33">
    <cfRule type="expression" dxfId="411" priority="496">
      <formula>COUNTIF(Fériés,$BO3)=1</formula>
    </cfRule>
    <cfRule type="expression" dxfId="410" priority="497">
      <formula>WEEKDAY($BO3,2)=6</formula>
    </cfRule>
    <cfRule type="expression" dxfId="409" priority="498">
      <formula>WEEKDAY($BO3,2)=7</formula>
    </cfRule>
  </conditionalFormatting>
  <conditionalFormatting sqref="BJ3:BJ33">
    <cfRule type="expression" dxfId="408" priority="493">
      <formula>COUNTIF(Fériés,$BF3)=1</formula>
    </cfRule>
    <cfRule type="expression" dxfId="407" priority="494">
      <formula>WEEKDAY($BF3,2)=6</formula>
    </cfRule>
    <cfRule type="expression" dxfId="406" priority="495">
      <formula>WEEKDAY($BF3,2)=7</formula>
    </cfRule>
  </conditionalFormatting>
  <conditionalFormatting sqref="BA3:BA32">
    <cfRule type="expression" dxfId="405" priority="490">
      <formula>WEEKDAY($AW3,2)=6</formula>
    </cfRule>
    <cfRule type="expression" dxfId="404" priority="491">
      <formula>WEEKDAY($AW3,2)=7</formula>
    </cfRule>
    <cfRule type="expression" dxfId="403" priority="492">
      <formula>COUNTIF(Fériés,$AW3)=1</formula>
    </cfRule>
  </conditionalFormatting>
  <conditionalFormatting sqref="AR3:AR33">
    <cfRule type="expression" dxfId="402" priority="487">
      <formula>WEEKDAY($AN3,2)=7</formula>
    </cfRule>
    <cfRule type="expression" dxfId="401" priority="488">
      <formula>WEEKDAY($AN3,2)=6</formula>
    </cfRule>
    <cfRule type="expression" dxfId="400" priority="489">
      <formula>COUNTIF(Fériés,$AN3)=1</formula>
    </cfRule>
  </conditionalFormatting>
  <conditionalFormatting sqref="AI3:AI32">
    <cfRule type="expression" dxfId="399" priority="484">
      <formula>WEEKDAY($AE3,2)=6</formula>
    </cfRule>
    <cfRule type="expression" dxfId="398" priority="485">
      <formula>WEEKDAY($AE3,2)=7</formula>
    </cfRule>
    <cfRule type="expression" dxfId="397" priority="486">
      <formula>COUNTIF(Fériés,$AE3)=1</formula>
    </cfRule>
  </conditionalFormatting>
  <conditionalFormatting sqref="Z3:Z33">
    <cfRule type="expression" dxfId="396" priority="481">
      <formula>WEEKDAY($V3,2)=6</formula>
    </cfRule>
    <cfRule type="expression" dxfId="395" priority="482">
      <formula>WEEKDAY($V3,2)=7</formula>
    </cfRule>
    <cfRule type="expression" dxfId="394" priority="483">
      <formula>COUNTIF(Fériés,$V3)=1</formula>
    </cfRule>
  </conditionalFormatting>
  <conditionalFormatting sqref="Q3:Q30">
    <cfRule type="expression" dxfId="393" priority="478">
      <formula>WEEKDAY($M3,2)=6</formula>
    </cfRule>
    <cfRule type="expression" dxfId="392" priority="479">
      <formula>WEEKDAY($M3,2)=7</formula>
    </cfRule>
    <cfRule type="expression" dxfId="391" priority="480">
      <formula>COUNTIF(Fériés,$M3)=1</formula>
    </cfRule>
  </conditionalFormatting>
  <conditionalFormatting sqref="N32 Q32:S32">
    <cfRule type="cellIs" dxfId="390" priority="473" operator="equal">
      <formula>TODAY()</formula>
    </cfRule>
  </conditionalFormatting>
  <conditionalFormatting sqref="P32">
    <cfRule type="expression" dxfId="389" priority="471">
      <formula>SUMPRODUCT((Q32&gt;=DVac)*(Q32&lt;=FVac))&gt;0</formula>
    </cfRule>
    <cfRule type="expression" dxfId="388" priority="472" stopIfTrue="1">
      <formula>SUMPRODUCT((Q32&gt;=DVac)*(Q32&lt;=FVac))&lt;2</formula>
    </cfRule>
  </conditionalFormatting>
  <conditionalFormatting sqref="N32 Q32:S32">
    <cfRule type="expression" dxfId="387" priority="468">
      <formula>$G32=""</formula>
    </cfRule>
  </conditionalFormatting>
  <conditionalFormatting sqref="P32">
    <cfRule type="expression" dxfId="386" priority="467">
      <formula>$G32=""</formula>
    </cfRule>
  </conditionalFormatting>
  <conditionalFormatting sqref="N32 Q32:S32">
    <cfRule type="expression" dxfId="385" priority="469">
      <formula>WEEKDAY($G32,2)=6</formula>
    </cfRule>
    <cfRule type="expression" dxfId="384" priority="470">
      <formula>WEEKDAY($G32,2)=7</formula>
    </cfRule>
    <cfRule type="expression" dxfId="383" priority="474">
      <formula>COUNTIF(Fériés,$G32)=1</formula>
    </cfRule>
  </conditionalFormatting>
  <conditionalFormatting sqref="O32 T32">
    <cfRule type="expression" dxfId="382" priority="460">
      <formula>$G32=""</formula>
    </cfRule>
  </conditionalFormatting>
  <conditionalFormatting sqref="O32 T32">
    <cfRule type="expression" dxfId="381" priority="461">
      <formula>WEEKDAY($G32,2)=6</formula>
    </cfRule>
    <cfRule type="expression" dxfId="380" priority="462">
      <formula>WEEKDAY($G32,2)=7</formula>
    </cfRule>
    <cfRule type="expression" dxfId="379" priority="463">
      <formula>COUNTIF(Fériés,$G32)=1</formula>
    </cfRule>
  </conditionalFormatting>
  <conditionalFormatting sqref="O32 T32">
    <cfRule type="expression" dxfId="378" priority="464">
      <formula>WEEKDAY($G32,2)=6</formula>
    </cfRule>
    <cfRule type="expression" dxfId="377" priority="465">
      <formula>WEEKDAY($G32,2)=7</formula>
    </cfRule>
    <cfRule type="expression" dxfId="376" priority="466">
      <formula>COUNTIF(Fériés,$G32)=1</formula>
    </cfRule>
  </conditionalFormatting>
  <conditionalFormatting sqref="M32">
    <cfRule type="cellIs" dxfId="375" priority="455" operator="equal">
      <formula>TODAY()</formula>
    </cfRule>
  </conditionalFormatting>
  <conditionalFormatting sqref="L32">
    <cfRule type="expression" dxfId="374" priority="453">
      <formula>SUMPRODUCT((M32&gt;=DVac)*(M32&lt;=FVac))&gt;0</formula>
    </cfRule>
    <cfRule type="expression" dxfId="373" priority="454" stopIfTrue="1">
      <formula>SUMPRODUCT((M32&gt;=DVac)*(M32&lt;=FVac))&lt;2</formula>
    </cfRule>
  </conditionalFormatting>
  <conditionalFormatting sqref="M32">
    <cfRule type="expression" dxfId="372" priority="450">
      <formula>$G32=""</formula>
    </cfRule>
  </conditionalFormatting>
  <conditionalFormatting sqref="L32">
    <cfRule type="expression" dxfId="371" priority="449">
      <formula>$G32=""</formula>
    </cfRule>
  </conditionalFormatting>
  <conditionalFormatting sqref="M32">
    <cfRule type="expression" dxfId="370" priority="451">
      <formula>WEEKDAY($G32,2)=6</formula>
    </cfRule>
    <cfRule type="expression" dxfId="369" priority="452">
      <formula>WEEKDAY($G32,2)=7</formula>
    </cfRule>
    <cfRule type="expression" dxfId="368" priority="456">
      <formula>COUNTIF(Fériés,$G32)=1</formula>
    </cfRule>
  </conditionalFormatting>
  <conditionalFormatting sqref="AL3:AL32 K3:K33 T3:T30 BD3:BD32 BM3:BM33 CE3:CE32 CW3:CW32 BV3:BV33 CN3:CN33 DF3:DF33 DO3:DO33 AC3:AC33 AS3:AU33">
    <cfRule type="notContainsBlanks" dxfId="367" priority="1123" stopIfTrue="1">
      <formula>LEN(TRIM(K3))&gt;0</formula>
    </cfRule>
  </conditionalFormatting>
  <conditionalFormatting sqref="DK3:DK33">
    <cfRule type="notContainsBlanks" dxfId="366" priority="868">
      <formula>LEN(TRIM(DK3))&gt;0</formula>
    </cfRule>
  </conditionalFormatting>
  <conditionalFormatting sqref="AJ33:AK34">
    <cfRule type="cellIs" dxfId="365" priority="348" operator="equal">
      <formula>TODAY()</formula>
    </cfRule>
  </conditionalFormatting>
  <conditionalFormatting sqref="AJ33:AK34">
    <cfRule type="expression" dxfId="364" priority="345">
      <formula>$AE33=""</formula>
    </cfRule>
  </conditionalFormatting>
  <conditionalFormatting sqref="AJ33:AK34">
    <cfRule type="expression" dxfId="363" priority="346">
      <formula>WEEKDAY($AE33,2)=6</formula>
    </cfRule>
    <cfRule type="expression" dxfId="362" priority="347">
      <formula>WEEKDAY($AE33,2)=7</formula>
    </cfRule>
    <cfRule type="expression" dxfId="361" priority="349">
      <formula>COUNTIF(Fériés,$AE33)=1</formula>
    </cfRule>
  </conditionalFormatting>
  <conditionalFormatting sqref="AJ3:AK32">
    <cfRule type="expression" dxfId="360" priority="334">
      <formula>WEEKDAY($AE3,2)=6</formula>
    </cfRule>
    <cfRule type="expression" dxfId="359" priority="335">
      <formula>WEEKDAY($AE3,2)=7</formula>
    </cfRule>
    <cfRule type="expression" dxfId="358" priority="336">
      <formula>COUNTIF(Fériés,$AE3)=1</formula>
    </cfRule>
  </conditionalFormatting>
  <conditionalFormatting sqref="I34:K34">
    <cfRule type="cellIs" dxfId="357" priority="328" operator="equal">
      <formula>TODAY()</formula>
    </cfRule>
  </conditionalFormatting>
  <conditionalFormatting sqref="I34:K34">
    <cfRule type="expression" dxfId="356" priority="325">
      <formula>$AE34=""</formula>
    </cfRule>
  </conditionalFormatting>
  <conditionalFormatting sqref="I34:K34">
    <cfRule type="expression" dxfId="355" priority="326">
      <formula>WEEKDAY($AE34,2)=6</formula>
    </cfRule>
    <cfRule type="expression" dxfId="354" priority="327">
      <formula>WEEKDAY($AE34,2)=7</formula>
    </cfRule>
    <cfRule type="expression" dxfId="353" priority="329">
      <formula>COUNTIF(Fériés,$AE34)=1</formula>
    </cfRule>
  </conditionalFormatting>
  <conditionalFormatting sqref="I3:K33">
    <cfRule type="expression" dxfId="352" priority="293">
      <formula>WEEKDAY($D3,2)=7</formula>
    </cfRule>
    <cfRule type="expression" dxfId="351" priority="294">
      <formula>WEEKDAY($D3,2)&gt;5</formula>
    </cfRule>
    <cfRule type="expression" dxfId="350" priority="295">
      <formula>COUNTIF(Fériés,$D3)=1</formula>
    </cfRule>
  </conditionalFormatting>
  <conditionalFormatting sqref="I3:K33">
    <cfRule type="notContainsBlanks" dxfId="349" priority="296" stopIfTrue="1">
      <formula>LEN(TRIM(I3))&gt;0</formula>
    </cfRule>
  </conditionalFormatting>
  <conditionalFormatting sqref="R3:T30">
    <cfRule type="expression" dxfId="348" priority="290">
      <formula>WEEKDAY($M3,2)=6</formula>
    </cfRule>
    <cfRule type="expression" dxfId="347" priority="291">
      <formula>WEEKDAY($M3,2)=7</formula>
    </cfRule>
    <cfRule type="expression" dxfId="346" priority="292">
      <formula>COUNTIF(Fériés,$M3)=1</formula>
    </cfRule>
  </conditionalFormatting>
  <conditionalFormatting sqref="AC34:AC39">
    <cfRule type="expression" dxfId="345" priority="280">
      <formula>$AE34=""</formula>
    </cfRule>
  </conditionalFormatting>
  <conditionalFormatting sqref="AC34:AC39">
    <cfRule type="expression" dxfId="344" priority="281">
      <formula>WEEKDAY($AE34,2)=6</formula>
    </cfRule>
    <cfRule type="expression" dxfId="343" priority="282">
      <formula>WEEKDAY($AE34,2)=7</formula>
    </cfRule>
    <cfRule type="expression" dxfId="342" priority="283">
      <formula>COUNTIF(Fériés,$AE34)=1</formula>
    </cfRule>
  </conditionalFormatting>
  <conditionalFormatting sqref="AA34:AB34">
    <cfRule type="cellIs" dxfId="341" priority="277" operator="equal">
      <formula>TODAY()</formula>
    </cfRule>
  </conditionalFormatting>
  <conditionalFormatting sqref="AA34:AB34">
    <cfRule type="expression" dxfId="340" priority="274">
      <formula>$AE34=""</formula>
    </cfRule>
  </conditionalFormatting>
  <conditionalFormatting sqref="AA34:AB34">
    <cfRule type="expression" dxfId="339" priority="275">
      <formula>WEEKDAY($AE34,2)=6</formula>
    </cfRule>
    <cfRule type="expression" dxfId="338" priority="276">
      <formula>WEEKDAY($AE34,2)=7</formula>
    </cfRule>
    <cfRule type="expression" dxfId="337" priority="278">
      <formula>COUNTIF(Fériés,$AE34)=1</formula>
    </cfRule>
  </conditionalFormatting>
  <conditionalFormatting sqref="AA3:AC33">
    <cfRule type="expression" dxfId="336" priority="268">
      <formula>WEEKDAY($V3,2)=6</formula>
    </cfRule>
    <cfRule type="expression" dxfId="335" priority="269">
      <formula>WEEKDAY($V3,2)=7</formula>
    </cfRule>
    <cfRule type="expression" dxfId="334" priority="270">
      <formula>COUNTIF(Fériés,$V3)=1</formula>
    </cfRule>
  </conditionalFormatting>
  <conditionalFormatting sqref="AU34:AU39">
    <cfRule type="expression" dxfId="333" priority="263">
      <formula>$AE34=""</formula>
    </cfRule>
  </conditionalFormatting>
  <conditionalFormatting sqref="AU34:AU39">
    <cfRule type="expression" dxfId="332" priority="264">
      <formula>WEEKDAY($AE34,2)=6</formula>
    </cfRule>
    <cfRule type="expression" dxfId="331" priority="265">
      <formula>WEEKDAY($AE34,2)=7</formula>
    </cfRule>
    <cfRule type="expression" dxfId="330" priority="266">
      <formula>COUNTIF(Fériés,$AE34)=1</formula>
    </cfRule>
  </conditionalFormatting>
  <conditionalFormatting sqref="AS34:AT34">
    <cfRule type="cellIs" dxfId="329" priority="260" operator="equal">
      <formula>TODAY()</formula>
    </cfRule>
  </conditionalFormatting>
  <conditionalFormatting sqref="AS34:AT34">
    <cfRule type="expression" dxfId="328" priority="257">
      <formula>$AE34=""</formula>
    </cfRule>
  </conditionalFormatting>
  <conditionalFormatting sqref="AS34:AT34">
    <cfRule type="expression" dxfId="327" priority="258">
      <formula>WEEKDAY($AE34,2)=6</formula>
    </cfRule>
    <cfRule type="expression" dxfId="326" priority="259">
      <formula>WEEKDAY($AE34,2)=7</formula>
    </cfRule>
    <cfRule type="expression" dxfId="325" priority="261">
      <formula>COUNTIF(Fériés,$AE34)=1</formula>
    </cfRule>
  </conditionalFormatting>
  <conditionalFormatting sqref="BM34:BM39">
    <cfRule type="expression" dxfId="324" priority="233">
      <formula>$AE34=""</formula>
    </cfRule>
  </conditionalFormatting>
  <conditionalFormatting sqref="BM34:BM39">
    <cfRule type="expression" dxfId="323" priority="234">
      <formula>WEEKDAY($AE34,2)=6</formula>
    </cfRule>
    <cfRule type="expression" dxfId="322" priority="235">
      <formula>WEEKDAY($AE34,2)=7</formula>
    </cfRule>
    <cfRule type="expression" dxfId="321" priority="236">
      <formula>COUNTIF(Fériés,$AE34)=1</formula>
    </cfRule>
  </conditionalFormatting>
  <conditionalFormatting sqref="BK34:BL34">
    <cfRule type="cellIs" dxfId="320" priority="231" operator="equal">
      <formula>TODAY()</formula>
    </cfRule>
  </conditionalFormatting>
  <conditionalFormatting sqref="BK34:BL34">
    <cfRule type="expression" dxfId="319" priority="228">
      <formula>$AE34=""</formula>
    </cfRule>
  </conditionalFormatting>
  <conditionalFormatting sqref="BK34:BL34">
    <cfRule type="expression" dxfId="318" priority="229">
      <formula>WEEKDAY($AE34,2)=6</formula>
    </cfRule>
    <cfRule type="expression" dxfId="317" priority="230">
      <formula>WEEKDAY($AE34,2)=7</formula>
    </cfRule>
    <cfRule type="expression" dxfId="316" priority="232">
      <formula>COUNTIF(Fériés,$AE34)=1</formula>
    </cfRule>
  </conditionalFormatting>
  <conditionalFormatting sqref="BV34:BV39">
    <cfRule type="expression" dxfId="315" priority="220">
      <formula>$AE34=""</formula>
    </cfRule>
  </conditionalFormatting>
  <conditionalFormatting sqref="BV34:BV39">
    <cfRule type="expression" dxfId="314" priority="221">
      <formula>WEEKDAY($AE34,2)=6</formula>
    </cfRule>
    <cfRule type="expression" dxfId="313" priority="222">
      <formula>WEEKDAY($AE34,2)=7</formula>
    </cfRule>
    <cfRule type="expression" dxfId="312" priority="223">
      <formula>COUNTIF(Fériés,$AE34)=1</formula>
    </cfRule>
  </conditionalFormatting>
  <conditionalFormatting sqref="BT34:BU34">
    <cfRule type="cellIs" dxfId="311" priority="218" operator="equal">
      <formula>TODAY()</formula>
    </cfRule>
  </conditionalFormatting>
  <conditionalFormatting sqref="BT34:BU34">
    <cfRule type="expression" dxfId="310" priority="215">
      <formula>$AE34=""</formula>
    </cfRule>
  </conditionalFormatting>
  <conditionalFormatting sqref="BT34:BU34">
    <cfRule type="expression" dxfId="309" priority="216">
      <formula>WEEKDAY($AE34,2)=6</formula>
    </cfRule>
    <cfRule type="expression" dxfId="308" priority="217">
      <formula>WEEKDAY($AE34,2)=7</formula>
    </cfRule>
    <cfRule type="expression" dxfId="307" priority="219">
      <formula>COUNTIF(Fériés,$AE34)=1</formula>
    </cfRule>
  </conditionalFormatting>
  <conditionalFormatting sqref="BD34:BD39">
    <cfRule type="expression" dxfId="306" priority="198">
      <formula>$AE34=""</formula>
    </cfRule>
  </conditionalFormatting>
  <conditionalFormatting sqref="BD34:BD39">
    <cfRule type="expression" dxfId="305" priority="199">
      <formula>WEEKDAY($AE34,2)=6</formula>
    </cfRule>
    <cfRule type="expression" dxfId="304" priority="200">
      <formula>WEEKDAY($AE34,2)=7</formula>
    </cfRule>
    <cfRule type="expression" dxfId="303" priority="201">
      <formula>COUNTIF(Fériés,$AE34)=1</formula>
    </cfRule>
  </conditionalFormatting>
  <conditionalFormatting sqref="BB34:BC34">
    <cfRule type="cellIs" dxfId="302" priority="196" operator="equal">
      <formula>TODAY()</formula>
    </cfRule>
  </conditionalFormatting>
  <conditionalFormatting sqref="BB34:BC34">
    <cfRule type="expression" dxfId="301" priority="193">
      <formula>$AE34=""</formula>
    </cfRule>
  </conditionalFormatting>
  <conditionalFormatting sqref="BB34:BC34">
    <cfRule type="expression" dxfId="300" priority="194">
      <formula>WEEKDAY($AE34,2)=6</formula>
    </cfRule>
    <cfRule type="expression" dxfId="299" priority="195">
      <formula>WEEKDAY($AE34,2)=7</formula>
    </cfRule>
    <cfRule type="expression" dxfId="298" priority="197">
      <formula>COUNTIF(Fériés,$AE34)=1</formula>
    </cfRule>
  </conditionalFormatting>
  <conditionalFormatting sqref="BB3:BD32">
    <cfRule type="expression" dxfId="297" priority="186">
      <formula>WEEKDAY($AW3,2)=6</formula>
    </cfRule>
    <cfRule type="expression" dxfId="296" priority="187">
      <formula>WEEKDAY($AW3,2)=7</formula>
    </cfRule>
    <cfRule type="expression" dxfId="295" priority="188">
      <formula>COUNTIF(Fériés,$AW3)=1</formula>
    </cfRule>
  </conditionalFormatting>
  <conditionalFormatting sqref="BB33:BD33">
    <cfRule type="cellIs" dxfId="294" priority="185" operator="equal">
      <formula>TODAY()</formula>
    </cfRule>
  </conditionalFormatting>
  <conditionalFormatting sqref="BB33:BD33">
    <cfRule type="expression" dxfId="293" priority="181">
      <formula>$AW33=""</formula>
    </cfRule>
  </conditionalFormatting>
  <conditionalFormatting sqref="BB33:BD33">
    <cfRule type="expression" dxfId="292" priority="182">
      <formula>WEEKDAY($AW33,2)=6</formula>
    </cfRule>
    <cfRule type="expression" dxfId="291" priority="183">
      <formula>WEEKDAY($AW33,2)=7</formula>
    </cfRule>
    <cfRule type="expression" dxfId="290" priority="184">
      <formula>COUNTIF(Fériés,$AW33)=1</formula>
    </cfRule>
  </conditionalFormatting>
  <conditionalFormatting sqref="BK3:BM33">
    <cfRule type="expression" dxfId="289" priority="170">
      <formula>COUNTIF(Fériés,$BF3)=1</formula>
    </cfRule>
    <cfRule type="expression" dxfId="288" priority="171">
      <formula>WEEKDAY($BF3,2)=6</formula>
    </cfRule>
    <cfRule type="expression" dxfId="287" priority="172">
      <formula>WEEKDAY($BF3,2)=7</formula>
    </cfRule>
  </conditionalFormatting>
  <conditionalFormatting sqref="BK3:BM33">
    <cfRule type="notContainsBlanks" dxfId="286" priority="173" stopIfTrue="1">
      <formula>LEN(TRIM(BK3))&gt;0</formula>
    </cfRule>
  </conditionalFormatting>
  <conditionalFormatting sqref="BT3:BV33">
    <cfRule type="notContainsBlanks" dxfId="285" priority="165" stopIfTrue="1">
      <formula>LEN(TRIM(BT3))&gt;0</formula>
    </cfRule>
  </conditionalFormatting>
  <conditionalFormatting sqref="BT3:BV33">
    <cfRule type="expression" dxfId="284" priority="162">
      <formula>COUNTIF(Fériés,$BO3)=1</formula>
    </cfRule>
    <cfRule type="expression" dxfId="283" priority="163">
      <formula>WEEKDAY($BO3,2)=6</formula>
    </cfRule>
    <cfRule type="expression" dxfId="282" priority="164">
      <formula>WEEKDAY($BO3,2)=7</formula>
    </cfRule>
  </conditionalFormatting>
  <conditionalFormatting sqref="CC34:CD34">
    <cfRule type="cellIs" dxfId="281" priority="160" operator="equal">
      <formula>TODAY()</formula>
    </cfRule>
  </conditionalFormatting>
  <conditionalFormatting sqref="CC34:CD34">
    <cfRule type="expression" dxfId="280" priority="157">
      <formula>$AE34=""</formula>
    </cfRule>
  </conditionalFormatting>
  <conditionalFormatting sqref="CC34:CD34">
    <cfRule type="expression" dxfId="279" priority="158">
      <formula>WEEKDAY($AE34,2)=6</formula>
    </cfRule>
    <cfRule type="expression" dxfId="278" priority="159">
      <formula>WEEKDAY($AE34,2)=7</formula>
    </cfRule>
    <cfRule type="expression" dxfId="277" priority="161">
      <formula>COUNTIF(Fériés,$AE34)=1</formula>
    </cfRule>
  </conditionalFormatting>
  <conditionalFormatting sqref="CE34:CE39">
    <cfRule type="expression" dxfId="276" priority="149">
      <formula>$AE34=""</formula>
    </cfRule>
  </conditionalFormatting>
  <conditionalFormatting sqref="CE34:CE39">
    <cfRule type="expression" dxfId="275" priority="150">
      <formula>WEEKDAY($AE34,2)=6</formula>
    </cfRule>
    <cfRule type="expression" dxfId="274" priority="151">
      <formula>WEEKDAY($AE34,2)=7</formula>
    </cfRule>
    <cfRule type="expression" dxfId="273" priority="152">
      <formula>COUNTIF(Fériés,$AE34)=1</formula>
    </cfRule>
  </conditionalFormatting>
  <conditionalFormatting sqref="CC3:CE32">
    <cfRule type="expression" dxfId="272" priority="142">
      <formula>COUNTIF(Fériés,$BX3)=1</formula>
    </cfRule>
    <cfRule type="expression" dxfId="271" priority="143">
      <formula>WEEKDAY($BX3,2)=6</formula>
    </cfRule>
    <cfRule type="expression" dxfId="270" priority="144">
      <formula>WEEKDAY($BX3,2)=7</formula>
    </cfRule>
  </conditionalFormatting>
  <conditionalFormatting sqref="CC33:CE33">
    <cfRule type="cellIs" dxfId="269" priority="138" operator="equal">
      <formula>TODAY()</formula>
    </cfRule>
  </conditionalFormatting>
  <conditionalFormatting sqref="CC33:CE33">
    <cfRule type="expression" dxfId="268" priority="137">
      <formula>$BX33=""</formula>
    </cfRule>
  </conditionalFormatting>
  <conditionalFormatting sqref="CC33:CE33">
    <cfRule type="expression" dxfId="267" priority="139">
      <formula>COUNTIF(Fériés,$BX33)=1</formula>
    </cfRule>
    <cfRule type="expression" dxfId="266" priority="140">
      <formula>WEEKDAY($BX33,2)=6</formula>
    </cfRule>
    <cfRule type="expression" dxfId="265" priority="141">
      <formula>WEEKDAY($BX33,2)=7</formula>
    </cfRule>
  </conditionalFormatting>
  <conditionalFormatting sqref="CN34:CN39">
    <cfRule type="expression" dxfId="264" priority="133">
      <formula>$AE34=""</formula>
    </cfRule>
  </conditionalFormatting>
  <conditionalFormatting sqref="CN34:CN39">
    <cfRule type="expression" dxfId="263" priority="134">
      <formula>WEEKDAY($AE34,2)=6</formula>
    </cfRule>
    <cfRule type="expression" dxfId="262" priority="135">
      <formula>WEEKDAY($AE34,2)=7</formula>
    </cfRule>
    <cfRule type="expression" dxfId="261" priority="136">
      <formula>COUNTIF(Fériés,$AE34)=1</formula>
    </cfRule>
  </conditionalFormatting>
  <conditionalFormatting sqref="CL34:CM34">
    <cfRule type="cellIs" dxfId="260" priority="131" operator="equal">
      <formula>TODAY()</formula>
    </cfRule>
  </conditionalFormatting>
  <conditionalFormatting sqref="CL34:CM34">
    <cfRule type="expression" dxfId="259" priority="128">
      <formula>$AE34=""</formula>
    </cfRule>
  </conditionalFormatting>
  <conditionalFormatting sqref="CL34:CM34">
    <cfRule type="expression" dxfId="258" priority="129">
      <formula>WEEKDAY($AE34,2)=6</formula>
    </cfRule>
    <cfRule type="expression" dxfId="257" priority="130">
      <formula>WEEKDAY($AE34,2)=7</formula>
    </cfRule>
    <cfRule type="expression" dxfId="256" priority="132">
      <formula>COUNTIF(Fériés,$AE34)=1</formula>
    </cfRule>
  </conditionalFormatting>
  <conditionalFormatting sqref="CL3:CN33">
    <cfRule type="notContainsBlanks" dxfId="255" priority="123" stopIfTrue="1">
      <formula>LEN(TRIM(CL3))&gt;0</formula>
    </cfRule>
  </conditionalFormatting>
  <conditionalFormatting sqref="CL3:CN33">
    <cfRule type="expression" dxfId="254" priority="120">
      <formula>COUNTIF(Fériés,$CG3)=1</formula>
    </cfRule>
    <cfRule type="expression" dxfId="253" priority="121">
      <formula>WEEKDAY($CG3,2)=6</formula>
    </cfRule>
    <cfRule type="expression" dxfId="252" priority="122">
      <formula>WEEKDAY($CG3,2)=7</formula>
    </cfRule>
  </conditionalFormatting>
  <conditionalFormatting sqref="CU34:CV34">
    <cfRule type="cellIs" dxfId="251" priority="118" operator="equal">
      <formula>TODAY()</formula>
    </cfRule>
  </conditionalFormatting>
  <conditionalFormatting sqref="CU34:CV34">
    <cfRule type="expression" dxfId="250" priority="115">
      <formula>$AE34=""</formula>
    </cfRule>
  </conditionalFormatting>
  <conditionalFormatting sqref="CU34:CV34">
    <cfRule type="expression" dxfId="249" priority="116">
      <formula>WEEKDAY($AE34,2)=6</formula>
    </cfRule>
    <cfRule type="expression" dxfId="248" priority="117">
      <formula>WEEKDAY($AE34,2)=7</formula>
    </cfRule>
    <cfRule type="expression" dxfId="247" priority="119">
      <formula>COUNTIF(Fériés,$AE34)=1</formula>
    </cfRule>
  </conditionalFormatting>
  <conditionalFormatting sqref="CW34:CW39">
    <cfRule type="expression" dxfId="246" priority="111">
      <formula>$AE34=""</formula>
    </cfRule>
  </conditionalFormatting>
  <conditionalFormatting sqref="CW34:CW39">
    <cfRule type="expression" dxfId="245" priority="112">
      <formula>WEEKDAY($AE34,2)=6</formula>
    </cfRule>
    <cfRule type="expression" dxfId="244" priority="113">
      <formula>WEEKDAY($AE34,2)=7</formula>
    </cfRule>
    <cfRule type="expression" dxfId="243" priority="114">
      <formula>COUNTIF(Fériés,$AE34)=1</formula>
    </cfRule>
  </conditionalFormatting>
  <conditionalFormatting sqref="CU33:CW33">
    <cfRule type="cellIs" dxfId="242" priority="104" operator="equal">
      <formula>TODAY()</formula>
    </cfRule>
  </conditionalFormatting>
  <conditionalFormatting sqref="CU33:CW33">
    <cfRule type="expression" dxfId="241" priority="103">
      <formula>$BX33=""</formula>
    </cfRule>
  </conditionalFormatting>
  <conditionalFormatting sqref="CU33:CW33">
    <cfRule type="expression" dxfId="240" priority="105">
      <formula>COUNTIF(Fériés,$BX33)=1</formula>
    </cfRule>
    <cfRule type="expression" dxfId="239" priority="106">
      <formula>WEEKDAY($BX33,2)=6</formula>
    </cfRule>
    <cfRule type="expression" dxfId="238" priority="107">
      <formula>WEEKDAY($BX33,2)=7</formula>
    </cfRule>
  </conditionalFormatting>
  <conditionalFormatting sqref="CU3:CW32">
    <cfRule type="expression" dxfId="237" priority="99">
      <formula>WEEKDAY($CP3,2)=6</formula>
    </cfRule>
    <cfRule type="expression" dxfId="236" priority="100">
      <formula>WEEKDAY($CP3,2)=7</formula>
    </cfRule>
    <cfRule type="expression" dxfId="235" priority="101">
      <formula>COUNTIF(Fériés,$CP3)=1</formula>
    </cfRule>
  </conditionalFormatting>
  <conditionalFormatting sqref="CU3:CW32">
    <cfRule type="notContainsBlanks" dxfId="234" priority="102" stopIfTrue="1">
      <formula>LEN(TRIM(CU3))&gt;0</formula>
    </cfRule>
  </conditionalFormatting>
  <conditionalFormatting sqref="DF34:DF39">
    <cfRule type="expression" dxfId="233" priority="95">
      <formula>$AE34=""</formula>
    </cfRule>
  </conditionalFormatting>
  <conditionalFormatting sqref="DF34:DF39">
    <cfRule type="expression" dxfId="232" priority="96">
      <formula>WEEKDAY($AE34,2)=6</formula>
    </cfRule>
    <cfRule type="expression" dxfId="231" priority="97">
      <formula>WEEKDAY($AE34,2)=7</formula>
    </cfRule>
    <cfRule type="expression" dxfId="230" priority="98">
      <formula>COUNTIF(Fériés,$AE34)=1</formula>
    </cfRule>
  </conditionalFormatting>
  <conditionalFormatting sqref="DD34:DE34">
    <cfRule type="cellIs" dxfId="229" priority="93" operator="equal">
      <formula>TODAY()</formula>
    </cfRule>
  </conditionalFormatting>
  <conditionalFormatting sqref="DD34:DE34">
    <cfRule type="expression" dxfId="228" priority="90">
      <formula>$AE34=""</formula>
    </cfRule>
  </conditionalFormatting>
  <conditionalFormatting sqref="DD34:DE34">
    <cfRule type="expression" dxfId="227" priority="91">
      <formula>WEEKDAY($AE34,2)=6</formula>
    </cfRule>
    <cfRule type="expression" dxfId="226" priority="92">
      <formula>WEEKDAY($AE34,2)=7</formula>
    </cfRule>
    <cfRule type="expression" dxfId="225" priority="94">
      <formula>COUNTIF(Fériés,$AE34)=1</formula>
    </cfRule>
  </conditionalFormatting>
  <conditionalFormatting sqref="DD3:DF33">
    <cfRule type="notContainsBlanks" dxfId="224" priority="85" stopIfTrue="1">
      <formula>LEN(TRIM(DD3))&gt;0</formula>
    </cfRule>
  </conditionalFormatting>
  <conditionalFormatting sqref="DD3:DF33">
    <cfRule type="expression" dxfId="223" priority="82">
      <formula>WEEKDAY($CY3,2)=6</formula>
    </cfRule>
    <cfRule type="expression" dxfId="222" priority="83">
      <formula>WEEKDAY($CY3,2)=7</formula>
    </cfRule>
    <cfRule type="expression" dxfId="221" priority="84">
      <formula>COUNTIF(Fériés,$CY3)=1</formula>
    </cfRule>
  </conditionalFormatting>
  <conditionalFormatting sqref="DO34:DO39">
    <cfRule type="expression" dxfId="220" priority="78">
      <formula>$AE34=""</formula>
    </cfRule>
  </conditionalFormatting>
  <conditionalFormatting sqref="DO34:DO39">
    <cfRule type="expression" dxfId="219" priority="79">
      <formula>WEEKDAY($AE34,2)=6</formula>
    </cfRule>
    <cfRule type="expression" dxfId="218" priority="80">
      <formula>WEEKDAY($AE34,2)=7</formula>
    </cfRule>
    <cfRule type="expression" dxfId="217" priority="81">
      <formula>COUNTIF(Fériés,$AE34)=1</formula>
    </cfRule>
  </conditionalFormatting>
  <conditionalFormatting sqref="DM34:DN34">
    <cfRule type="cellIs" dxfId="216" priority="76" operator="equal">
      <formula>TODAY()</formula>
    </cfRule>
  </conditionalFormatting>
  <conditionalFormatting sqref="DM34:DN34">
    <cfRule type="expression" dxfId="215" priority="73">
      <formula>$AE34=""</formula>
    </cfRule>
  </conditionalFormatting>
  <conditionalFormatting sqref="DM34:DN34">
    <cfRule type="expression" dxfId="214" priority="74">
      <formula>WEEKDAY($AE34,2)=6</formula>
    </cfRule>
    <cfRule type="expression" dxfId="213" priority="75">
      <formula>WEEKDAY($AE34,2)=7</formula>
    </cfRule>
    <cfRule type="expression" dxfId="212" priority="77">
      <formula>COUNTIF(Fériés,$AE34)=1</formula>
    </cfRule>
  </conditionalFormatting>
  <conditionalFormatting sqref="DM3:DO33">
    <cfRule type="notContainsBlanks" dxfId="211" priority="68" stopIfTrue="1">
      <formula>LEN(TRIM(DM3))&gt;0</formula>
    </cfRule>
  </conditionalFormatting>
  <conditionalFormatting sqref="DM3:DO33">
    <cfRule type="expression" dxfId="210" priority="65">
      <formula>WEEKDAY($DH3,2)=6</formula>
    </cfRule>
    <cfRule type="expression" dxfId="209" priority="66">
      <formula>WEEKDAY($DH3,2)=7</formula>
    </cfRule>
    <cfRule type="expression" dxfId="208" priority="67">
      <formula>COUNTIF(Fériés,$DH3)=1</formula>
    </cfRule>
  </conditionalFormatting>
  <conditionalFormatting sqref="X33:Y33">
    <cfRule type="cellIs" dxfId="207" priority="62" operator="equal">
      <formula>TODAY()</formula>
    </cfRule>
  </conditionalFormatting>
  <conditionalFormatting sqref="X33:Y33">
    <cfRule type="expression" dxfId="206" priority="60">
      <formula>WEEKDAY($M33,2)=6</formula>
    </cfRule>
    <cfRule type="expression" dxfId="205" priority="61">
      <formula>WEEKDAY($M33,2)=7</formula>
    </cfRule>
    <cfRule type="expression" dxfId="204" priority="63">
      <formula>COUNTIF(Fériés,$M33)=1</formula>
    </cfRule>
  </conditionalFormatting>
  <conditionalFormatting sqref="X33:Y33">
    <cfRule type="notContainsBlanks" dxfId="203" priority="64">
      <formula>LEN(TRIM(X33))&gt;0</formula>
    </cfRule>
  </conditionalFormatting>
  <conditionalFormatting sqref="V32:X32">
    <cfRule type="cellIs" dxfId="202" priority="58" operator="equal">
      <formula>TODAY()</formula>
    </cfRule>
  </conditionalFormatting>
  <conditionalFormatting sqref="V32:X32">
    <cfRule type="expression" dxfId="201" priority="55">
      <formula>$V32=""</formula>
    </cfRule>
  </conditionalFormatting>
  <conditionalFormatting sqref="V32:X32">
    <cfRule type="expression" dxfId="200" priority="56">
      <formula>WEEKDAY($V32,2)=6</formula>
    </cfRule>
    <cfRule type="expression" dxfId="199" priority="57">
      <formula>WEEKDAY($V32,2)=7</formula>
    </cfRule>
    <cfRule type="expression" dxfId="198" priority="59">
      <formula>COUNTIF(Fériés,$V32)=1</formula>
    </cfRule>
  </conditionalFormatting>
  <conditionalFormatting sqref="V32">
    <cfRule type="cellIs" dxfId="197" priority="53" operator="equal">
      <formula>TODAY()</formula>
    </cfRule>
  </conditionalFormatting>
  <conditionalFormatting sqref="V32">
    <cfRule type="expression" dxfId="196" priority="51">
      <formula>WEEKDAY($M32,2)=6</formula>
    </cfRule>
    <cfRule type="expression" dxfId="195" priority="52">
      <formula>WEEKDAY($M32,2)=7</formula>
    </cfRule>
    <cfRule type="expression" dxfId="194" priority="54">
      <formula>COUNTIF(Fériés,$M32)=1</formula>
    </cfRule>
  </conditionalFormatting>
  <conditionalFormatting sqref="X32">
    <cfRule type="cellIs" dxfId="193" priority="48" operator="equal">
      <formula>TODAY()</formula>
    </cfRule>
  </conditionalFormatting>
  <conditionalFormatting sqref="X32">
    <cfRule type="expression" dxfId="192" priority="46">
      <formula>WEEKDAY($M32,2)=6</formula>
    </cfRule>
    <cfRule type="expression" dxfId="191" priority="47">
      <formula>WEEKDAY($M32,2)=7</formula>
    </cfRule>
    <cfRule type="expression" dxfId="190" priority="49">
      <formula>COUNTIF(Fériés,$M32)=1</formula>
    </cfRule>
  </conditionalFormatting>
  <conditionalFormatting sqref="X32">
    <cfRule type="notContainsBlanks" dxfId="189" priority="50">
      <formula>LEN(TRIM(X32))&gt;0</formula>
    </cfRule>
  </conditionalFormatting>
  <conditionalFormatting sqref="N31">
    <cfRule type="cellIs" dxfId="188" priority="42" operator="equal">
      <formula>TODAY()</formula>
    </cfRule>
  </conditionalFormatting>
  <conditionalFormatting sqref="N31">
    <cfRule type="expression" dxfId="187" priority="33">
      <formula>WEEKDAY($M31,2)=6</formula>
    </cfRule>
    <cfRule type="expression" dxfId="186" priority="41">
      <formula>WEEKDAY($M31,2)=7</formula>
    </cfRule>
    <cfRule type="expression" dxfId="185" priority="43">
      <formula>COUNTIF(Fériés,$M31)=1</formula>
    </cfRule>
  </conditionalFormatting>
  <conditionalFormatting sqref="P31">
    <cfRule type="expression" dxfId="184" priority="38">
      <formula>WEEKDAY($M31,2)=6</formula>
    </cfRule>
    <cfRule type="expression" dxfId="183" priority="39">
      <formula>WEEKDAY($M31,2)=7</formula>
    </cfRule>
    <cfRule type="expression" dxfId="182" priority="40">
      <formula>COUNTIF(Fériés,$M31)=1</formula>
    </cfRule>
  </conditionalFormatting>
  <conditionalFormatting sqref="P31">
    <cfRule type="notContainsBlanks" dxfId="181" priority="45">
      <formula>LEN(TRIM(P31))&gt;0</formula>
    </cfRule>
  </conditionalFormatting>
  <conditionalFormatting sqref="O31">
    <cfRule type="expression" dxfId="180" priority="34">
      <formula>WEEKDAY($M31,2)=6</formula>
    </cfRule>
    <cfRule type="expression" dxfId="179" priority="35">
      <formula>WEEKDAY($M31,2)=7</formula>
    </cfRule>
    <cfRule type="expression" dxfId="178" priority="36">
      <formula>COUNTIF(Fériés,$M31)=1</formula>
    </cfRule>
  </conditionalFormatting>
  <conditionalFormatting sqref="O31">
    <cfRule type="notContainsBlanks" dxfId="177" priority="37">
      <formula>LEN(TRIM(O31))&gt;0</formula>
    </cfRule>
  </conditionalFormatting>
  <conditionalFormatting sqref="Q31">
    <cfRule type="expression" dxfId="176" priority="30">
      <formula>WEEKDAY($M31,2)=6</formula>
    </cfRule>
    <cfRule type="expression" dxfId="175" priority="31">
      <formula>WEEKDAY($M31,2)=7</formula>
    </cfRule>
    <cfRule type="expression" dxfId="174" priority="32">
      <formula>COUNTIF(Fériés,$M31)=1</formula>
    </cfRule>
  </conditionalFormatting>
  <conditionalFormatting sqref="T31">
    <cfRule type="notContainsBlanks" dxfId="173" priority="44" stopIfTrue="1">
      <formula>LEN(TRIM(T31))&gt;0</formula>
    </cfRule>
  </conditionalFormatting>
  <conditionalFormatting sqref="R31:T31">
    <cfRule type="expression" dxfId="172" priority="27">
      <formula>WEEKDAY($M31,2)=6</formula>
    </cfRule>
    <cfRule type="expression" dxfId="171" priority="28">
      <formula>WEEKDAY($M31,2)=7</formula>
    </cfRule>
    <cfRule type="expression" dxfId="170" priority="29">
      <formula>COUNTIF(Fériés,$M31)=1</formula>
    </cfRule>
  </conditionalFormatting>
  <conditionalFormatting sqref="L31">
    <cfRule type="expression" dxfId="169" priority="23">
      <formula>SUMPRODUCT((M31&gt;=DVac)*(M31&lt;=FVac))&gt;0</formula>
    </cfRule>
    <cfRule type="expression" dxfId="168" priority="24" stopIfTrue="1">
      <formula>SUMPRODUCT((M31&gt;=DVac)*(M31&lt;=FVac))&lt;2</formula>
    </cfRule>
  </conditionalFormatting>
  <conditionalFormatting sqref="N31:T31">
    <cfRule type="expression" dxfId="167" priority="20">
      <formula>$M$31=""</formula>
    </cfRule>
  </conditionalFormatting>
  <conditionalFormatting sqref="L31">
    <cfRule type="expression" dxfId="166" priority="19">
      <formula>$M$311=""</formula>
    </cfRule>
  </conditionalFormatting>
  <conditionalFormatting sqref="M31">
    <cfRule type="cellIs" dxfId="165" priority="13" operator="equal">
      <formula>TODAY()</formula>
    </cfRule>
  </conditionalFormatting>
  <conditionalFormatting sqref="M31">
    <cfRule type="expression" dxfId="164" priority="11">
      <formula>WEEKDAY($M31,2)=6</formula>
    </cfRule>
    <cfRule type="expression" dxfId="163" priority="12">
      <formula>WEEKDAY($M31,2)=7</formula>
    </cfRule>
    <cfRule type="expression" dxfId="162" priority="14">
      <formula>COUNTIF(Fériés,$M31)=1</formula>
    </cfRule>
  </conditionalFormatting>
  <conditionalFormatting sqref="M31">
    <cfRule type="expression" dxfId="161" priority="10">
      <formula>$M$31=""</formula>
    </cfRule>
  </conditionalFormatting>
  <conditionalFormatting sqref="Y32">
    <cfRule type="cellIs" dxfId="160" priority="3" operator="equal">
      <formula>TODAY()</formula>
    </cfRule>
  </conditionalFormatting>
  <conditionalFormatting sqref="Y32">
    <cfRule type="expression" dxfId="159" priority="1">
      <formula>WEEKDAY($M32,2)=6</formula>
    </cfRule>
    <cfRule type="expression" dxfId="158" priority="2">
      <formula>WEEKDAY($M32,2)=7</formula>
    </cfRule>
    <cfRule type="expression" dxfId="157" priority="4">
      <formula>COUNTIF(Fériés,$M32)=1</formula>
    </cfRule>
  </conditionalFormatting>
  <conditionalFormatting sqref="Y32">
    <cfRule type="notContainsBlanks" dxfId="156" priority="5">
      <formula>LEN(TRIM(Y32))&gt;0</formula>
    </cfRule>
  </conditionalFormatting>
  <dataValidations disablePrompts="1" count="2">
    <dataValidation type="list" allowBlank="1" showInputMessage="1" showErrorMessage="1" sqref="B4">
      <formula1>"1,2,3,4,5,6,7,8,9,10,11,12,13,14,15,16,17,18"</formula1>
    </dataValidation>
    <dataValidation type="list" allowBlank="1" showInputMessage="1" showErrorMessage="1" sqref="D2:H2">
      <formula1>onglets</formula1>
    </dataValidation>
  </dataValidations>
  <printOptions horizontalCentered="1" verticalCentered="1"/>
  <pageMargins left="3.937007874015748E-2" right="3.937007874015748E-2" top="0.74803149606299213" bottom="0.74803149606299213" header="0.11811023622047245" footer="0.31496062992125984"/>
  <pageSetup paperSize="8" scale="93" orientation="landscape" horizontalDpi="4294967293" verticalDpi="4294967293" r:id="rId1"/>
  <headerFooter>
    <oddFooter>&amp;Rédité le 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1</xdr:col>
                    <xdr:colOff>47625</xdr:colOff>
                    <xdr:row>0</xdr:row>
                    <xdr:rowOff>95250</xdr:rowOff>
                  </from>
                  <to>
                    <xdr:col>1</xdr:col>
                    <xdr:colOff>409575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29"/>
  <sheetViews>
    <sheetView view="pageBreakPreview" topLeftCell="A10" zoomScaleNormal="100" zoomScaleSheetLayoutView="100" workbookViewId="0">
      <selection activeCell="B2" sqref="B2"/>
    </sheetView>
  </sheetViews>
  <sheetFormatPr baseColWidth="10" defaultRowHeight="15"/>
  <cols>
    <col min="2" max="8" width="22.140625" customWidth="1"/>
    <col min="9" max="9" width="5.85546875" customWidth="1"/>
    <col min="10" max="10" width="4.42578125" customWidth="1"/>
    <col min="11" max="17" width="19.42578125" customWidth="1"/>
  </cols>
  <sheetData>
    <row r="1" spans="1:20">
      <c r="B1" s="138"/>
      <c r="C1" s="139"/>
    </row>
    <row r="2" spans="1:20">
      <c r="A2" s="140" t="s">
        <v>466</v>
      </c>
      <c r="B2" s="138">
        <v>5</v>
      </c>
      <c r="C2" s="139" t="s">
        <v>595</v>
      </c>
    </row>
    <row r="3" spans="1:20">
      <c r="J3" s="140"/>
    </row>
    <row r="4" spans="1:20" ht="30">
      <c r="B4" s="329">
        <f>DATE(H4,B2,1)</f>
        <v>42856</v>
      </c>
      <c r="C4" s="329"/>
      <c r="D4" s="233"/>
      <c r="E4" s="233"/>
      <c r="F4" s="141"/>
      <c r="G4" s="141"/>
      <c r="H4" s="142">
        <f>calendriers!An</f>
        <v>2017</v>
      </c>
      <c r="T4" s="138"/>
    </row>
    <row r="5" spans="1:20" ht="18">
      <c r="B5" s="143" t="s">
        <v>467</v>
      </c>
      <c r="C5" s="143" t="s">
        <v>468</v>
      </c>
      <c r="D5" s="143" t="s">
        <v>469</v>
      </c>
      <c r="E5" s="143" t="s">
        <v>470</v>
      </c>
      <c r="F5" s="143" t="s">
        <v>471</v>
      </c>
      <c r="G5" s="143" t="s">
        <v>472</v>
      </c>
      <c r="H5" s="143" t="s">
        <v>473</v>
      </c>
      <c r="T5" s="138"/>
    </row>
    <row r="6" spans="1:20" ht="20.25">
      <c r="B6" s="144">
        <f t="shared" ref="B6:G6" si="0">IF(C6="","",IF(MONTH(C6-1)&lt;&gt;MONTH(C6),"",C6-1))</f>
        <v>42856</v>
      </c>
      <c r="C6" s="144">
        <f t="shared" si="0"/>
        <v>42857</v>
      </c>
      <c r="D6" s="144">
        <f t="shared" si="0"/>
        <v>42858</v>
      </c>
      <c r="E6" s="144">
        <f t="shared" si="0"/>
        <v>42859</v>
      </c>
      <c r="F6" s="144">
        <f t="shared" si="0"/>
        <v>42860</v>
      </c>
      <c r="G6" s="144">
        <f t="shared" si="0"/>
        <v>42861</v>
      </c>
      <c r="H6" s="144">
        <f>B4+7-WEEKDAY(B4-1)</f>
        <v>42862</v>
      </c>
      <c r="T6" s="138"/>
    </row>
    <row r="7" spans="1:20" ht="26.25" customHeight="1">
      <c r="B7" s="232" t="str">
        <f t="array" ref="B7:H7">IF(B6:H6="","",IFERROR(VLOOKUP(B6:H6,fête!$B$2:$C$367,2,0),""))</f>
        <v>Fête du travail</v>
      </c>
      <c r="C7" s="232" t="str">
        <v>Boris</v>
      </c>
      <c r="D7" s="232" t="str">
        <v>Philippe, Jacques</v>
      </c>
      <c r="E7" s="232" t="str">
        <v>Sylvain</v>
      </c>
      <c r="F7" s="232" t="str">
        <v>Judith</v>
      </c>
      <c r="G7" s="232" t="str">
        <v>Prudence</v>
      </c>
      <c r="H7" s="232" t="str">
        <v>Gisèle</v>
      </c>
      <c r="T7" s="138"/>
    </row>
    <row r="8" spans="1:20" ht="39.950000000000003" customHeight="1">
      <c r="B8" s="145" t="str">
        <f t="array" aca="1" ref="B8:H8" ca="1">IF(B6:H6="","",IFERROR(VLOOKUP(B6:H6,anniversaire!$X$1:$Y$100,2,0),""))</f>
        <v/>
      </c>
      <c r="C8" s="145" t="str">
        <f ca="1"/>
        <v/>
      </c>
      <c r="D8" s="145" t="str">
        <f ca="1"/>
        <v/>
      </c>
      <c r="E8" s="145" t="str">
        <f ca="1"/>
        <v/>
      </c>
      <c r="F8" s="145" t="str">
        <f ca="1"/>
        <v/>
      </c>
      <c r="G8" s="145" t="str">
        <f ca="1"/>
        <v/>
      </c>
      <c r="H8" s="145" t="str">
        <f ca="1"/>
        <v>chedeville  phillipe    33</v>
      </c>
      <c r="T8" s="138"/>
    </row>
    <row r="9" spans="1:20" ht="39.950000000000003" customHeight="1">
      <c r="B9" s="145" t="str">
        <f>IF($B$6:$H$6="","",IFERROR(VLOOKUP($B$6:$H$6,évènements!$A$3:$C$190,3,0),""))</f>
        <v/>
      </c>
      <c r="C9" s="145" t="str">
        <f>IF($B$6:$H$6="","",IFERROR(VLOOKUP($B$6:$H$6,évènements!$A$3:$C$190,3,0),""))</f>
        <v/>
      </c>
      <c r="D9" s="145" t="str">
        <f>IF($B$6:$H$6="","",IFERROR(VLOOKUP($B$6:$H$6,évènements!$A$3:$C$190,3,0),""))</f>
        <v/>
      </c>
      <c r="E9" s="145" t="str">
        <f>IF($B$6:$H$6="","",IFERROR(VLOOKUP($B$6:$H$6,évènements!$A$3:$C$190,3,0),""))</f>
        <v/>
      </c>
      <c r="F9" s="145" t="str">
        <f>IF($B$6:$H$6="","",IFERROR(VLOOKUP($B$6:$H$6,évènements!$A$3:$C$190,3,0),""))</f>
        <v>rdv essai médical prothése</v>
      </c>
      <c r="G9" s="145" t="str">
        <f>IF($B$6:$H$6="","",IFERROR(VLOOKUP($B$6:$H$6,évènements!$A$3:$C$190,3,0),""))</f>
        <v/>
      </c>
      <c r="H9" s="145" t="str">
        <f>IF($B$6:$H$6="","",IFERROR(VLOOKUP($B$6:$H$6,évènements!$A$3:$C$190,3,0),""))</f>
        <v/>
      </c>
    </row>
    <row r="10" spans="1:20" ht="20.25">
      <c r="B10" s="144">
        <f>H6+1</f>
        <v>42863</v>
      </c>
      <c r="C10" s="144">
        <f t="shared" ref="C10:H10" si="1">B10+1</f>
        <v>42864</v>
      </c>
      <c r="D10" s="144">
        <f t="shared" si="1"/>
        <v>42865</v>
      </c>
      <c r="E10" s="144">
        <f t="shared" si="1"/>
        <v>42866</v>
      </c>
      <c r="F10" s="144">
        <f t="shared" si="1"/>
        <v>42867</v>
      </c>
      <c r="G10" s="144">
        <f t="shared" si="1"/>
        <v>42868</v>
      </c>
      <c r="H10" s="144">
        <f t="shared" si="1"/>
        <v>42869</v>
      </c>
    </row>
    <row r="11" spans="1:20" ht="26.25" customHeight="1">
      <c r="B11" s="232" t="str">
        <f t="array" ref="B11:H11">IF(B10:H10="","",IFERROR(VLOOKUP(B10:H10,fête!$B$2:$C$367,2,0),""))</f>
        <v>Armistice 1945</v>
      </c>
      <c r="C11" s="232" t="str">
        <v>Pacôme</v>
      </c>
      <c r="D11" s="232" t="str">
        <v>Solange</v>
      </c>
      <c r="E11" s="232" t="str">
        <v>Estelle</v>
      </c>
      <c r="F11" s="232" t="str">
        <v>Achille</v>
      </c>
      <c r="G11" s="232" t="str">
        <v>Rolande</v>
      </c>
      <c r="H11" s="232" t="str">
        <v>Matthias</v>
      </c>
    </row>
    <row r="12" spans="1:20" ht="39.950000000000003" customHeight="1">
      <c r="B12" s="145" t="str">
        <f t="array" aca="1" ref="B12:H12" ca="1">IF(B10:H10="","",IFERROR(VLOOKUP(B10:H10,anniversaire!X1:Y100,2,0),""))</f>
        <v/>
      </c>
      <c r="C12" s="145" t="str">
        <f ca="1"/>
        <v xml:space="preserve">Virely  élodie  3  </v>
      </c>
      <c r="D12" s="145" t="str">
        <f ca="1"/>
        <v/>
      </c>
      <c r="E12" s="145" t="str">
        <f ca="1"/>
        <v/>
      </c>
      <c r="F12" s="145" t="str">
        <f ca="1"/>
        <v>Taraud  sebastien    39</v>
      </c>
      <c r="G12" s="145" t="str">
        <f ca="1"/>
        <v/>
      </c>
      <c r="H12" s="145" t="str">
        <f ca="1"/>
        <v/>
      </c>
    </row>
    <row r="13" spans="1:20" ht="39.950000000000003" customHeight="1">
      <c r="B13" s="145" t="str">
        <f>IF($B$10:$H$10="","",IFERROR(VLOOKUP($B$10:$H$10,évènements!$A$3:$C$190,3,0),""))</f>
        <v/>
      </c>
      <c r="C13" s="145" t="str">
        <f>IF($B$10:$H$10="","",IFERROR(VLOOKUP($B$10:$H$10,évènements!$A$3:$C$190,3,0),""))</f>
        <v/>
      </c>
      <c r="D13" s="145" t="str">
        <f>IF($B$10:$H$10="","",IFERROR(VLOOKUP($B$10:$H$10,évènements!$A$3:$C$190,3,0),""))</f>
        <v/>
      </c>
      <c r="E13" s="145" t="str">
        <f>IF($B$10:$H$10="","",IFERROR(VLOOKUP($B$10:$H$10,évènements!$A$3:$C$190,3,0),""))</f>
        <v/>
      </c>
      <c r="F13" s="145" t="str">
        <f>IF($B$10:$H$10="","",IFERROR(VLOOKUP($B$10:$H$10,évènements!$A$3:$C$190,3,0),""))</f>
        <v/>
      </c>
      <c r="G13" s="145" t="str">
        <f>IF($B$10:$H$10="","",IFERROR(VLOOKUP($B$10:$H$10,évènements!$A$3:$C$190,3,0),""))</f>
        <v/>
      </c>
      <c r="H13" s="145" t="str">
        <f>IF($B$10:$H$10="","",IFERROR(VLOOKUP($B$10:$H$10,évènements!$A$3:$C$190,3,0),""))</f>
        <v>Baptêmes maël</v>
      </c>
    </row>
    <row r="14" spans="1:20" ht="20.25">
      <c r="B14" s="144">
        <f>H10+1</f>
        <v>42870</v>
      </c>
      <c r="C14" s="144">
        <f t="shared" ref="C14:H14" si="2">B14+1</f>
        <v>42871</v>
      </c>
      <c r="D14" s="144">
        <f t="shared" si="2"/>
        <v>42872</v>
      </c>
      <c r="E14" s="144">
        <f t="shared" si="2"/>
        <v>42873</v>
      </c>
      <c r="F14" s="144">
        <f t="shared" si="2"/>
        <v>42874</v>
      </c>
      <c r="G14" s="144">
        <f t="shared" si="2"/>
        <v>42875</v>
      </c>
      <c r="H14" s="144">
        <f t="shared" si="2"/>
        <v>42876</v>
      </c>
    </row>
    <row r="15" spans="1:20" ht="26.25" customHeight="1">
      <c r="B15" s="232" t="str">
        <f t="array" ref="B15:H15">IF(B14:H14="","",IFERROR(VLOOKUP(B14:H14,fête!$B$2:$C$367,2,0),""))</f>
        <v>Denise</v>
      </c>
      <c r="C15" s="232" t="str">
        <v>Honoré</v>
      </c>
      <c r="D15" s="232" t="str">
        <v>Pascal</v>
      </c>
      <c r="E15" s="232" t="str">
        <v>Eric</v>
      </c>
      <c r="F15" s="232" t="str">
        <v>Yves</v>
      </c>
      <c r="G15" s="232" t="str">
        <v>Bernardin</v>
      </c>
      <c r="H15" s="232" t="str">
        <v>Constantin</v>
      </c>
    </row>
    <row r="16" spans="1:20" ht="39.950000000000003" customHeight="1">
      <c r="B16" s="145" t="str">
        <f t="array" aca="1" ref="B16:H16" ca="1">IF(B14:H14="","",IFERROR(VLOOKUP(B14:H14,anniversaire!X1:Y100,2,0),""))</f>
        <v>chapellas  fabien    35</v>
      </c>
      <c r="C16" s="145" t="str">
        <f ca="1"/>
        <v/>
      </c>
      <c r="D16" s="145" t="str">
        <f ca="1"/>
        <v/>
      </c>
      <c r="E16" s="145" t="str">
        <f ca="1"/>
        <v/>
      </c>
      <c r="F16" s="145" t="str">
        <f ca="1"/>
        <v/>
      </c>
      <c r="G16" s="145" t="str">
        <f ca="1"/>
        <v/>
      </c>
      <c r="H16" s="145" t="str">
        <f ca="1"/>
        <v/>
      </c>
    </row>
    <row r="17" spans="2:8" ht="39.950000000000003" customHeight="1">
      <c r="B17" s="145" t="str">
        <f>IF($B$14:$H$14="","",IFERROR(VLOOKUP($B$14:$H$14,évènements!$A$3:$C$190,3,0),""))</f>
        <v/>
      </c>
      <c r="C17" s="145" t="str">
        <f>IF($B$14:$H$14="","",IFERROR(VLOOKUP($B$14:$H$14,évènements!$A$3:$C$190,3,0),""))</f>
        <v>visite médicale</v>
      </c>
      <c r="D17" s="145" t="str">
        <f>IF($B$14:$H$14="","",IFERROR(VLOOKUP($B$14:$H$14,évènements!$A$3:$C$190,3,0),""))</f>
        <v/>
      </c>
      <c r="E17" s="145" t="str">
        <f>IF($B$14:$H$14="","",IFERROR(VLOOKUP($B$14:$H$14,évènements!$A$3:$C$190,3,0),""))</f>
        <v/>
      </c>
      <c r="F17" s="145" t="str">
        <f>IF($B$14:$H$14="","",IFERROR(VLOOKUP($B$14:$H$14,évènements!$A$3:$C$190,3,0),""))</f>
        <v/>
      </c>
      <c r="G17" s="145" t="str">
        <f>IF($B$14:$H$14="","",IFERROR(VLOOKUP($B$14:$H$14,évènements!$A$3:$C$190,3,0),""))</f>
        <v>guinguette ??</v>
      </c>
      <c r="H17" s="145" t="str">
        <f>IF($B$14:$H$14="","",IFERROR(VLOOKUP($B$14:$H$14,évènements!$A$3:$C$190,3,0),""))</f>
        <v/>
      </c>
    </row>
    <row r="18" spans="2:8" ht="20.25">
      <c r="B18" s="144">
        <f>H14+1</f>
        <v>42877</v>
      </c>
      <c r="C18" s="144">
        <f t="shared" ref="C18:H18" si="3">B18+1</f>
        <v>42878</v>
      </c>
      <c r="D18" s="144">
        <f t="shared" si="3"/>
        <v>42879</v>
      </c>
      <c r="E18" s="144">
        <f t="shared" si="3"/>
        <v>42880</v>
      </c>
      <c r="F18" s="144">
        <f t="shared" si="3"/>
        <v>42881</v>
      </c>
      <c r="G18" s="144">
        <f t="shared" si="3"/>
        <v>42882</v>
      </c>
      <c r="H18" s="144">
        <f t="shared" si="3"/>
        <v>42883</v>
      </c>
    </row>
    <row r="19" spans="2:8" ht="26.25" customHeight="1">
      <c r="B19" s="232" t="str">
        <f t="array" ref="B19:H19">IF(B18:H18="","",IFERROR(VLOOKUP(B18:H18,fête!$B$2:$C$367,2,0),""))</f>
        <v>Emile</v>
      </c>
      <c r="C19" s="232" t="str">
        <v>Didier</v>
      </c>
      <c r="D19" s="232" t="str">
        <v>Donatien</v>
      </c>
      <c r="E19" s="232" t="str">
        <v>Sophie</v>
      </c>
      <c r="F19" s="232" t="str">
        <v>Bérenger</v>
      </c>
      <c r="G19" s="232" t="str">
        <v>Augustin</v>
      </c>
      <c r="H19" s="232" t="str">
        <v>Germain</v>
      </c>
    </row>
    <row r="20" spans="2:8" ht="39.950000000000003" customHeight="1">
      <c r="B20" s="145" t="str">
        <f t="array" aca="1" ref="B20:H20" ca="1">IF(B18:H18="","",IFERROR(VLOOKUP(B18:H18,anniversaire!X1:Y100,2,0),""))</f>
        <v/>
      </c>
      <c r="C20" s="145" t="str">
        <f ca="1"/>
        <v/>
      </c>
      <c r="D20" s="145" t="str">
        <f ca="1"/>
        <v/>
      </c>
      <c r="E20" s="145" t="str">
        <f ca="1"/>
        <v/>
      </c>
      <c r="F20" s="145" t="str">
        <f ca="1"/>
        <v/>
      </c>
      <c r="G20" s="145" t="str">
        <f ca="1"/>
        <v/>
      </c>
      <c r="H20" s="145" t="str">
        <f ca="1"/>
        <v/>
      </c>
    </row>
    <row r="21" spans="2:8" ht="39.950000000000003" customHeight="1">
      <c r="B21" s="145" t="str">
        <f>IF($B$18:$H$18="","",IFERROR(VLOOKUP($B$18:$H$18,évènements!$A$3:$C$190,3,0),""))</f>
        <v/>
      </c>
      <c r="C21" s="145" t="str">
        <f>IF($B$18:$H$18="","",IFERROR(VLOOKUP($B$18:$H$18,évènements!$A$3:$C$190,3,0),""))</f>
        <v/>
      </c>
      <c r="D21" s="145" t="str">
        <f>IF($B$18:$H$18="","",IFERROR(VLOOKUP($B$18:$H$18,évènements!$A$3:$C$190,3,0),""))</f>
        <v/>
      </c>
      <c r="E21" s="145" t="str">
        <f>IF($B$18:$H$18="","",IFERROR(VLOOKUP($B$18:$H$18,évènements!$A$3:$C$190,3,0),""))</f>
        <v/>
      </c>
      <c r="F21" s="145" t="str">
        <f>IF($B$18:$H$18="","",IFERROR(VLOOKUP($B$18:$H$18,évènements!$A$3:$C$190,3,0),""))</f>
        <v/>
      </c>
      <c r="G21" s="145" t="str">
        <f>IF($B$18:$H$18="","",IFERROR(VLOOKUP($B$18:$H$18,évènements!$A$3:$C$190,3,0),""))</f>
        <v/>
      </c>
      <c r="H21" s="145" t="str">
        <f>IF($B$18:$H$18="","",IFERROR(VLOOKUP($B$18:$H$18,évènements!$A$3:$C$190,3,0),""))</f>
        <v/>
      </c>
    </row>
    <row r="22" spans="2:8" ht="20.25">
      <c r="B22" s="144">
        <f>IF(H18="","",IF(MONTH(H18+1)&lt;&gt;MONTH(H18),"",H18+1))</f>
        <v>42884</v>
      </c>
      <c r="C22" s="144">
        <f t="shared" ref="C22:H22" si="4">IF(B22="","",IF(MONTH(B22+1)&lt;&gt;MONTH(B22),"",B22+1))</f>
        <v>42885</v>
      </c>
      <c r="D22" s="144">
        <f t="shared" si="4"/>
        <v>42886</v>
      </c>
      <c r="E22" s="144" t="str">
        <f t="shared" si="4"/>
        <v/>
      </c>
      <c r="F22" s="144" t="str">
        <f t="shared" si="4"/>
        <v/>
      </c>
      <c r="G22" s="144" t="str">
        <f t="shared" si="4"/>
        <v/>
      </c>
      <c r="H22" s="144" t="str">
        <f t="shared" si="4"/>
        <v/>
      </c>
    </row>
    <row r="23" spans="2:8" ht="26.25" customHeight="1">
      <c r="B23" s="232" t="str">
        <f t="array" ref="B23:H23">IF(B22:H22="","",IFERROR(VLOOKUP(B22:H22,fête!$B$2:$C$367,2,0),""))</f>
        <v>Aymar</v>
      </c>
      <c r="C23" s="232" t="str">
        <v>Ferdinand</v>
      </c>
      <c r="D23" s="232" t="str">
        <v>Visitation de la Sainte Vierge</v>
      </c>
      <c r="E23" s="232" t="str">
        <v/>
      </c>
      <c r="F23" s="232" t="str">
        <v/>
      </c>
      <c r="G23" s="232" t="str">
        <v/>
      </c>
      <c r="H23" s="232" t="str">
        <v/>
      </c>
    </row>
    <row r="24" spans="2:8" ht="39.950000000000003" customHeight="1">
      <c r="B24" s="145" t="s">
        <v>595</v>
      </c>
      <c r="C24" s="145" t="s">
        <v>595</v>
      </c>
      <c r="D24" s="145" t="s">
        <v>595</v>
      </c>
      <c r="E24" s="145" t="s">
        <v>595</v>
      </c>
      <c r="F24" s="145" t="s">
        <v>595</v>
      </c>
      <c r="G24" s="145" t="s">
        <v>595</v>
      </c>
      <c r="H24" s="145" t="s">
        <v>595</v>
      </c>
    </row>
    <row r="25" spans="2:8" ht="39.950000000000003" customHeight="1">
      <c r="B25" s="145" t="str">
        <f>IF($B$22:$H$22="","",IFERROR(VLOOKUP($B$22:$H$22,évènements!$A$3:$C$190,3,0),""))</f>
        <v/>
      </c>
      <c r="C25" s="145" t="str">
        <f>IF($B$22:$H$22="","",IFERROR(VLOOKUP($B$22:$H$22,évènements!$A$3:$C$190,3,0),""))</f>
        <v/>
      </c>
      <c r="D25" s="145" t="str">
        <f>IF($B$22:$H$22="","",IFERROR(VLOOKUP($B$22:$H$22,évènements!$A$3:$C$190,3,0),""))</f>
        <v/>
      </c>
      <c r="E25" s="145" t="str">
        <f>IF($B$22:$H$22="","",IFERROR(VLOOKUP($B$22:$H$22,évènements!$A$3:$C$190,3,0),""))</f>
        <v/>
      </c>
      <c r="F25" s="145" t="str">
        <f>IF($B$22:$H$22="","",IFERROR(VLOOKUP($B$22:$H$22,évènements!$A$3:$C$190,3,0),""))</f>
        <v/>
      </c>
      <c r="G25" s="145" t="str">
        <f>IF($B$22:$H$22="","",IFERROR(VLOOKUP($B$22:$H$22,évènements!$A$3:$C$190,3,0),""))</f>
        <v/>
      </c>
      <c r="H25" s="145" t="str">
        <f>IF($B$22:$H$22="","",IFERROR(VLOOKUP($B$22:$H$22,évènements!$A$3:$C$190,3,0),""))</f>
        <v/>
      </c>
    </row>
    <row r="26" spans="2:8" ht="20.25">
      <c r="B26" s="144" t="str">
        <f>IF(H22="","",IF(MONTH(H22+1)&lt;&gt;MONTH(H22),"",H22+1))</f>
        <v/>
      </c>
      <c r="C26" s="144" t="str">
        <f t="shared" ref="C26:H26" si="5">IF(B26="","",IF(MONTH(B26+1)&lt;&gt;MONTH(B26),"",B26+1))</f>
        <v/>
      </c>
      <c r="D26" s="144" t="str">
        <f t="shared" si="5"/>
        <v/>
      </c>
      <c r="E26" s="144" t="str">
        <f t="shared" si="5"/>
        <v/>
      </c>
      <c r="F26" s="144" t="str">
        <f t="shared" si="5"/>
        <v/>
      </c>
      <c r="G26" s="144" t="str">
        <f t="shared" si="5"/>
        <v/>
      </c>
      <c r="H26" s="144" t="str">
        <f t="shared" si="5"/>
        <v/>
      </c>
    </row>
    <row r="27" spans="2:8" ht="26.25" customHeight="1">
      <c r="B27" s="232" t="str">
        <f t="array" ref="B27:H27">IF(B26:H26="","",IFERROR(VLOOKUP(B26:H26,fête!$B$2:$C$367,2,0),""))</f>
        <v/>
      </c>
      <c r="C27" s="232" t="str">
        <v/>
      </c>
      <c r="D27" s="232" t="str">
        <v/>
      </c>
      <c r="E27" s="232" t="str">
        <v/>
      </c>
      <c r="F27" s="232" t="str">
        <v/>
      </c>
      <c r="G27" s="232" t="str">
        <v/>
      </c>
      <c r="H27" s="232" t="str">
        <v/>
      </c>
    </row>
    <row r="28" spans="2:8" ht="39.950000000000003" customHeight="1">
      <c r="B28" s="145" t="str">
        <f t="array" aca="1" ref="B28:H28" ca="1">IF(B26:H26="","",IFERROR(VLOOKUP(B26:H26,anniversaire!X1:Y100,2,0),""))</f>
        <v/>
      </c>
      <c r="C28" s="145" t="str">
        <f ca="1"/>
        <v/>
      </c>
      <c r="D28" s="145" t="str">
        <f ca="1"/>
        <v/>
      </c>
      <c r="E28" s="145" t="str">
        <f ca="1"/>
        <v/>
      </c>
      <c r="F28" s="145" t="str">
        <f ca="1"/>
        <v/>
      </c>
      <c r="G28" s="145" t="str">
        <f ca="1"/>
        <v/>
      </c>
      <c r="H28" s="145" t="str">
        <f ca="1"/>
        <v/>
      </c>
    </row>
    <row r="29" spans="2:8" ht="39.950000000000003" customHeight="1">
      <c r="B29" s="145" t="str">
        <f>IF($B$26:$H$26="","",IFERROR(VLOOKUP($B$26:$H$26,évènements!$A$3:$C$190,3,0),""))</f>
        <v/>
      </c>
      <c r="C29" s="145" t="str">
        <f>IF($B$26:$H$26="","",IFERROR(VLOOKUP($B$26:$H$26,évènements!$A$3:$C$190,3,0),""))</f>
        <v/>
      </c>
      <c r="D29" s="145" t="str">
        <f>IF($B$26:$H$26="","",IFERROR(VLOOKUP($B$26:$H$26,évènements!$A$3:$C$190,3,0),""))</f>
        <v/>
      </c>
      <c r="E29" s="145" t="str">
        <f>IF($B$26:$H$26="","",IFERROR(VLOOKUP($B$26:$H$26,évènements!$A$3:$C$190,3,0),""))</f>
        <v/>
      </c>
      <c r="F29" s="145" t="str">
        <f>IF($B$26:$H$26="","",IFERROR(VLOOKUP($B$26:$H$26,évènements!$A$3:$C$190,3,0),""))</f>
        <v/>
      </c>
      <c r="G29" s="145" t="str">
        <f>IF($B$26:$H$26="","",IFERROR(VLOOKUP($B$26:$H$26,évènements!$A$3:$C$190,3,0),""))</f>
        <v/>
      </c>
      <c r="H29" s="145" t="str">
        <f>IF($B$26:$H$26="","",IFERROR(VLOOKUP($B$26:$H$26,évènements!$A$3:$C$190,3,0),""))</f>
        <v/>
      </c>
    </row>
  </sheetData>
  <mergeCells count="1">
    <mergeCell ref="B4:C4"/>
  </mergeCells>
  <conditionalFormatting sqref="B7:F7 B11:F11 B15:F15 B19:F19 B23:F23 B27:F27">
    <cfRule type="expression" dxfId="155" priority="422" stopIfTrue="1">
      <formula>IF(AND(OR(WEEKDAY(B6)=1,AND(B7&lt;&gt;"",LEFT(B7,1)&lt;&gt;" ")),B6&lt;&gt;""),TRUE)</formula>
    </cfRule>
  </conditionalFormatting>
  <conditionalFormatting sqref="B12:F12 B8:F8 B16:F16 B20:F20 B24:F24 B28:F28">
    <cfRule type="expression" dxfId="154" priority="423" stopIfTrue="1">
      <formula>IF(AND(OR(WEEKDAY(B6)=1,AND(B7&lt;&gt;"",LEFT(B7,1)&lt;&gt;" ")),B6&lt;&gt;""),TRUE)</formula>
    </cfRule>
  </conditionalFormatting>
  <conditionalFormatting sqref="B7:F7 B11:F11 B15:F15 B19:F19 B23:F23 B27:F27">
    <cfRule type="expression" dxfId="153" priority="419" stopIfTrue="1">
      <formula>IF(AND(OR(WEEKDAY(B6)=1,AND(B7&lt;&gt;"",LEFT(B7,1)&lt;&gt;" ")),B6&lt;&gt;""),TRUE)</formula>
    </cfRule>
  </conditionalFormatting>
  <conditionalFormatting sqref="B12:F12 B8:F8 B16:F16 B20:F20 B24:F24 B28:F28">
    <cfRule type="expression" dxfId="152" priority="420" stopIfTrue="1">
      <formula>IF(AND(OR(WEEKDAY(B6)=1,AND(B7&lt;&gt;"",LEFT(B7,1)&lt;&gt;" ")),B6&lt;&gt;""),TRUE)</formula>
    </cfRule>
  </conditionalFormatting>
  <conditionalFormatting sqref="B7">
    <cfRule type="notContainsBlanks" dxfId="151" priority="417">
      <formula>LEN(TRIM(B7))&gt;0</formula>
    </cfRule>
  </conditionalFormatting>
  <conditionalFormatting sqref="C7:F7">
    <cfRule type="notContainsBlanks" dxfId="150" priority="416">
      <formula>LEN(TRIM(C7))&gt;0</formula>
    </cfRule>
  </conditionalFormatting>
  <conditionalFormatting sqref="B11:F11">
    <cfRule type="notContainsBlanks" dxfId="149" priority="415">
      <formula>LEN(TRIM(B11))&gt;0</formula>
    </cfRule>
  </conditionalFormatting>
  <conditionalFormatting sqref="B15:F15">
    <cfRule type="notContainsBlanks" dxfId="148" priority="414">
      <formula>LEN(TRIM(B15))&gt;0</formula>
    </cfRule>
  </conditionalFormatting>
  <conditionalFormatting sqref="B19:F19">
    <cfRule type="notContainsBlanks" dxfId="147" priority="413">
      <formula>LEN(TRIM(B19))&gt;0</formula>
    </cfRule>
  </conditionalFormatting>
  <conditionalFormatting sqref="B23:F23">
    <cfRule type="notContainsBlanks" dxfId="146" priority="412">
      <formula>LEN(TRIM(B23))&gt;0</formula>
    </cfRule>
  </conditionalFormatting>
  <conditionalFormatting sqref="B27:F27">
    <cfRule type="notContainsBlanks" dxfId="145" priority="411">
      <formula>LEN(TRIM(B27))&gt;0</formula>
    </cfRule>
  </conditionalFormatting>
  <conditionalFormatting sqref="B8">
    <cfRule type="notContainsBlanks" dxfId="144" priority="424">
      <formula>LEN(TRIM(B8))&gt;0</formula>
    </cfRule>
  </conditionalFormatting>
  <conditionalFormatting sqref="C8:F8">
    <cfRule type="notContainsBlanks" dxfId="143" priority="409">
      <formula>LEN(TRIM(C8))&gt;0</formula>
    </cfRule>
  </conditionalFormatting>
  <conditionalFormatting sqref="B12:F12">
    <cfRule type="notContainsBlanks" dxfId="142" priority="408">
      <formula>LEN(TRIM(B12))&gt;0</formula>
    </cfRule>
  </conditionalFormatting>
  <conditionalFormatting sqref="B16:F16">
    <cfRule type="notContainsBlanks" dxfId="141" priority="407">
      <formula>LEN(TRIM(B16))&gt;0</formula>
    </cfRule>
  </conditionalFormatting>
  <conditionalFormatting sqref="B20:F20">
    <cfRule type="notContainsBlanks" dxfId="140" priority="406">
      <formula>LEN(TRIM(B20))&gt;0</formula>
    </cfRule>
  </conditionalFormatting>
  <conditionalFormatting sqref="B24:F24">
    <cfRule type="notContainsBlanks" dxfId="139" priority="405">
      <formula>LEN(TRIM(B24))&gt;0</formula>
    </cfRule>
  </conditionalFormatting>
  <conditionalFormatting sqref="B28:F28">
    <cfRule type="notContainsBlanks" dxfId="138" priority="404">
      <formula>LEN(TRIM(B28))&gt;0</formula>
    </cfRule>
  </conditionalFormatting>
  <conditionalFormatting sqref="G7:H7 G11:H11 G15:H15 G19:H19 G23:H23 G27:H27">
    <cfRule type="expression" dxfId="137" priority="374" stopIfTrue="1">
      <formula>IF(AND(OR(WEEKDAY(G6)=1,AND(G7&lt;&gt;"",LEFT(G7,1)&lt;&gt;" ")),G6&lt;&gt;""),TRUE)</formula>
    </cfRule>
  </conditionalFormatting>
  <conditionalFormatting sqref="G8:H8 G12:H12 G16:H16 G20:H20 G24:H24 G28:H28">
    <cfRule type="expression" dxfId="136" priority="375" stopIfTrue="1">
      <formula>IF(AND(OR(WEEKDAY(G6)=1,AND(G7&lt;&gt;"",LEFT(G7,1)&lt;&gt;" ")),G6&lt;&gt;""),TRUE)</formula>
    </cfRule>
  </conditionalFormatting>
  <conditionalFormatting sqref="G7:H7 G11:H11 G15:H15 G19:H19 G23:H23 G27:H27">
    <cfRule type="expression" dxfId="135" priority="371" stopIfTrue="1">
      <formula>IF(AND(OR(WEEKDAY(G6)=1,AND(G7&lt;&gt;"",LEFT(G7,1)&lt;&gt;" ")),G6&lt;&gt;""),TRUE)</formula>
    </cfRule>
  </conditionalFormatting>
  <conditionalFormatting sqref="G8:H8 G12:H12 G16:H16 G20:H20 G24:H24 G28:H28">
    <cfRule type="expression" dxfId="134" priority="372" stopIfTrue="1">
      <formula>IF(AND(OR(WEEKDAY(G13)=1,AND(G14&lt;&gt;"",LEFT(G14,1)&lt;&gt;" ")),G13&lt;&gt;""),TRUE)</formula>
    </cfRule>
  </conditionalFormatting>
  <conditionalFormatting sqref="G7:H7 G11:H11 G15:H15 G19:H19 G23:H23 G27:H27">
    <cfRule type="notContainsBlanks" dxfId="133" priority="369">
      <formula>LEN(TRIM(G7))&gt;0</formula>
    </cfRule>
  </conditionalFormatting>
  <conditionalFormatting sqref="G8:H8 G12:H12 G16:H16 G20:H20 G24:H24 G28:H28">
    <cfRule type="notContainsBlanks" dxfId="132" priority="368">
      <formula>LEN(TRIM(G8))&gt;0</formula>
    </cfRule>
  </conditionalFormatting>
  <conditionalFormatting sqref="B6:H6">
    <cfRule type="expression" dxfId="131" priority="366" stopIfTrue="1">
      <formula>IF(AND(OR(WEEKDAY(B6)=1,AND(B7&lt;&gt;"",LEFT(B7,1)&lt;&gt;" ")),B6&lt;&gt;""),TRUE)</formula>
    </cfRule>
  </conditionalFormatting>
  <conditionalFormatting sqref="B6">
    <cfRule type="expression" dxfId="130" priority="293">
      <formula>COUNTIF(Fériés,B6)=1</formula>
    </cfRule>
  </conditionalFormatting>
  <conditionalFormatting sqref="D6 D8">
    <cfRule type="expression" dxfId="129" priority="292">
      <formula>COUNTIF(Fériés,$D$6)=1</formula>
    </cfRule>
  </conditionalFormatting>
  <conditionalFormatting sqref="B10:H10">
    <cfRule type="expression" dxfId="128" priority="291" stopIfTrue="1">
      <formula>IF(AND(OR(WEEKDAY(B10)=1,AND(B11&lt;&gt;"",LEFT(B11,1)&lt;&gt;" ")),B10&lt;&gt;""),TRUE)</formula>
    </cfRule>
  </conditionalFormatting>
  <conditionalFormatting sqref="B10">
    <cfRule type="expression" dxfId="127" priority="290">
      <formula>COUNTIF(Fériés,$B$10)=1</formula>
    </cfRule>
  </conditionalFormatting>
  <conditionalFormatting sqref="B10:H10">
    <cfRule type="expression" dxfId="126" priority="289">
      <formula>COUNTIF(Fériés,B10)=1</formula>
    </cfRule>
  </conditionalFormatting>
  <conditionalFormatting sqref="D10">
    <cfRule type="expression" dxfId="125" priority="288">
      <formula>COUNTIF(Fériés,$D$6)=1</formula>
    </cfRule>
  </conditionalFormatting>
  <conditionalFormatting sqref="B14:H14">
    <cfRule type="expression" dxfId="124" priority="287" stopIfTrue="1">
      <formula>IF(AND(OR(WEEKDAY(B14)=1,AND(B15&lt;&gt;"",LEFT(B15,1)&lt;&gt;" ")),B14&lt;&gt;""),TRUE)</formula>
    </cfRule>
  </conditionalFormatting>
  <conditionalFormatting sqref="B14:H14">
    <cfRule type="expression" dxfId="123" priority="285">
      <formula>COUNTIF(Fériés,B14)=1</formula>
    </cfRule>
  </conditionalFormatting>
  <conditionalFormatting sqref="D14">
    <cfRule type="expression" dxfId="122" priority="284">
      <formula>COUNTIF(Fériés,$D$6)=1</formula>
    </cfRule>
  </conditionalFormatting>
  <conditionalFormatting sqref="B18:H18">
    <cfRule type="expression" dxfId="121" priority="283" stopIfTrue="1">
      <formula>IF(AND(OR(WEEKDAY(B18)=1,AND(B19&lt;&gt;"",LEFT(B19,1)&lt;&gt;" ")),B18&lt;&gt;""),TRUE)</formula>
    </cfRule>
  </conditionalFormatting>
  <conditionalFormatting sqref="B18:H18">
    <cfRule type="expression" dxfId="120" priority="281">
      <formula>COUNTIF(Fériés,B18)=1</formula>
    </cfRule>
  </conditionalFormatting>
  <conditionalFormatting sqref="D18">
    <cfRule type="expression" dxfId="119" priority="280">
      <formula>COUNTIF(Fériés,$D$6)=1</formula>
    </cfRule>
  </conditionalFormatting>
  <conditionalFormatting sqref="B22:H22">
    <cfRule type="expression" dxfId="118" priority="279" stopIfTrue="1">
      <formula>IF(AND(OR(WEEKDAY(B22)=1,AND(B23&lt;&gt;"",LEFT(B23,1)&lt;&gt;" ")),B22&lt;&gt;""),TRUE)</formula>
    </cfRule>
  </conditionalFormatting>
  <conditionalFormatting sqref="B22:H22">
    <cfRule type="expression" dxfId="117" priority="277">
      <formula>COUNTIF(Fériés,B22)=1</formula>
    </cfRule>
  </conditionalFormatting>
  <conditionalFormatting sqref="D22">
    <cfRule type="expression" dxfId="116" priority="276">
      <formula>COUNTIF(Fériés,$D$6)=1</formula>
    </cfRule>
  </conditionalFormatting>
  <conditionalFormatting sqref="C26:H26">
    <cfRule type="expression" dxfId="115" priority="275" stopIfTrue="1">
      <formula>IF(AND(OR(WEEKDAY(C26)=1,AND(C27&lt;&gt;"",LEFT(C27,1)&lt;&gt;" ")),C26&lt;&gt;""),TRUE)</formula>
    </cfRule>
  </conditionalFormatting>
  <conditionalFormatting sqref="C26:H26">
    <cfRule type="expression" dxfId="114" priority="273">
      <formula>COUNTIF(Fériés,$B$30=1)</formula>
    </cfRule>
  </conditionalFormatting>
  <conditionalFormatting sqref="D26">
    <cfRule type="expression" dxfId="113" priority="272">
      <formula>COUNTIF(Fériés,$D$6)=1</formula>
    </cfRule>
  </conditionalFormatting>
  <conditionalFormatting sqref="B9:H9">
    <cfRule type="containsText" dxfId="112" priority="260" operator="containsText" text="$H$5">
      <formula>NOT(ISERROR(SEARCH("$H$5",B9)))</formula>
    </cfRule>
  </conditionalFormatting>
  <conditionalFormatting sqref="B9:H9">
    <cfRule type="expression" dxfId="111" priority="262" stopIfTrue="1">
      <formula>IF(AND(OR(WEEKDAY(B6)=1,AND(B7&lt;&gt;"",LEFT(B7,1)&lt;&gt;" ")),B6&lt;&gt;""),TRUE)</formula>
    </cfRule>
  </conditionalFormatting>
  <conditionalFormatting sqref="B9:H9">
    <cfRule type="notContainsBlanks" dxfId="110" priority="261">
      <formula>LEN(TRIM(B9))&gt;0</formula>
    </cfRule>
  </conditionalFormatting>
  <conditionalFormatting sqref="B26">
    <cfRule type="expression" dxfId="109" priority="217" stopIfTrue="1">
      <formula>IF(AND(OR(WEEKDAY(B26)=1,AND(B27&lt;&gt;"",LEFT(B27,1)&lt;&gt;" ")),B26&lt;&gt;""),TRUE)</formula>
    </cfRule>
  </conditionalFormatting>
  <conditionalFormatting sqref="B26">
    <cfRule type="expression" dxfId="108" priority="215">
      <formula>COUNTIF(Fériés,B26)=1</formula>
    </cfRule>
  </conditionalFormatting>
  <conditionalFormatting sqref="H13">
    <cfRule type="containsText" dxfId="107" priority="212" operator="containsText" text="$H$5">
      <formula>NOT(ISERROR(SEARCH("$H$5",H13)))</formula>
    </cfRule>
  </conditionalFormatting>
  <conditionalFormatting sqref="H13">
    <cfRule type="expression" dxfId="106" priority="214" stopIfTrue="1">
      <formula>IF(AND(OR(WEEKDAY(H10)=1,AND(H11&lt;&gt;"",LEFT(H11,1)&lt;&gt;" ")),H10&lt;&gt;""),TRUE)</formula>
    </cfRule>
  </conditionalFormatting>
  <conditionalFormatting sqref="H13">
    <cfRule type="notContainsBlanks" dxfId="105" priority="213">
      <formula>LEN(TRIM(H13))&gt;0</formula>
    </cfRule>
  </conditionalFormatting>
  <conditionalFormatting sqref="B13:G13">
    <cfRule type="containsText" dxfId="104" priority="208" operator="containsText" text="$H$5">
      <formula>NOT(ISERROR(SEARCH("$H$5",B13)))</formula>
    </cfRule>
    <cfRule type="expression" dxfId="103" priority="210" stopIfTrue="1">
      <formula>IF(AND(OR(WEEKDAY(B10)=1,AND(B11&lt;&gt;"",LEFT(B11,1)&lt;&gt;" ")),B10&lt;&gt;""),TRUE)</formula>
    </cfRule>
  </conditionalFormatting>
  <conditionalFormatting sqref="B13:G13">
    <cfRule type="notContainsBlanks" dxfId="102" priority="209">
      <formula>LEN(TRIM(B13))&gt;0</formula>
    </cfRule>
  </conditionalFormatting>
  <conditionalFormatting sqref="D13">
    <cfRule type="expression" dxfId="101" priority="206">
      <formula>COUNTIF(Fériés,$D$6)=1</formula>
    </cfRule>
  </conditionalFormatting>
  <conditionalFormatting sqref="H17">
    <cfRule type="containsText" dxfId="100" priority="203" operator="containsText" text="$H$5">
      <formula>NOT(ISERROR(SEARCH("$H$5",H17)))</formula>
    </cfRule>
  </conditionalFormatting>
  <conditionalFormatting sqref="H17">
    <cfRule type="expression" dxfId="99" priority="205" stopIfTrue="1">
      <formula>IF(AND(OR(WEEKDAY(H14)=1,AND(H15&lt;&gt;"",LEFT(H15,1)&lt;&gt;" ")),H14&lt;&gt;""),TRUE)</formula>
    </cfRule>
  </conditionalFormatting>
  <conditionalFormatting sqref="H17">
    <cfRule type="notContainsBlanks" dxfId="98" priority="204">
      <formula>LEN(TRIM(H17))&gt;0</formula>
    </cfRule>
  </conditionalFormatting>
  <conditionalFormatting sqref="B17:G17">
    <cfRule type="containsText" dxfId="97" priority="199" operator="containsText" text="$H$5">
      <formula>NOT(ISERROR(SEARCH("$H$5",B17)))</formula>
    </cfRule>
    <cfRule type="expression" dxfId="96" priority="201" stopIfTrue="1">
      <formula>IF(AND(OR(WEEKDAY(B14)=1,AND(B15&lt;&gt;"",LEFT(B15,1)&lt;&gt;" ")),B14&lt;&gt;""),TRUE)</formula>
    </cfRule>
  </conditionalFormatting>
  <conditionalFormatting sqref="B17:G17">
    <cfRule type="notContainsBlanks" dxfId="95" priority="200">
      <formula>LEN(TRIM(B17))&gt;0</formula>
    </cfRule>
  </conditionalFormatting>
  <conditionalFormatting sqref="D17">
    <cfRule type="expression" dxfId="94" priority="197">
      <formula>COUNTIF(Fériés,$D$6)=1</formula>
    </cfRule>
  </conditionalFormatting>
  <conditionalFormatting sqref="H21">
    <cfRule type="containsText" dxfId="93" priority="194" operator="containsText" text="$H$5">
      <formula>NOT(ISERROR(SEARCH("$H$5",H21)))</formula>
    </cfRule>
  </conditionalFormatting>
  <conditionalFormatting sqref="H21">
    <cfRule type="expression" dxfId="92" priority="196" stopIfTrue="1">
      <formula>IF(AND(OR(WEEKDAY(H18)=1,AND(H19&lt;&gt;"",LEFT(H19,1)&lt;&gt;" ")),H18&lt;&gt;""),TRUE)</formula>
    </cfRule>
  </conditionalFormatting>
  <conditionalFormatting sqref="H21">
    <cfRule type="notContainsBlanks" dxfId="91" priority="195">
      <formula>LEN(TRIM(H21))&gt;0</formula>
    </cfRule>
  </conditionalFormatting>
  <conditionalFormatting sqref="B21:G21">
    <cfRule type="containsText" dxfId="90" priority="190" operator="containsText" text="$H$5">
      <formula>NOT(ISERROR(SEARCH("$H$5",B21)))</formula>
    </cfRule>
    <cfRule type="expression" dxfId="89" priority="192" stopIfTrue="1">
      <formula>IF(AND(OR(WEEKDAY(B18)=1,AND(B19&lt;&gt;"",LEFT(B19,1)&lt;&gt;" ")),B18&lt;&gt;""),TRUE)</formula>
    </cfRule>
  </conditionalFormatting>
  <conditionalFormatting sqref="B21:G21">
    <cfRule type="notContainsBlanks" dxfId="88" priority="191">
      <formula>LEN(TRIM(B21))&gt;0</formula>
    </cfRule>
  </conditionalFormatting>
  <conditionalFormatting sqref="D21">
    <cfRule type="expression" dxfId="87" priority="188">
      <formula>COUNTIF(Fériés,$D$6)=1</formula>
    </cfRule>
  </conditionalFormatting>
  <conditionalFormatting sqref="B25:H25">
    <cfRule type="containsText" dxfId="86" priority="181" operator="containsText" text="$H$5">
      <formula>NOT(ISERROR(SEARCH("$H$5",B25)))</formula>
    </cfRule>
    <cfRule type="expression" dxfId="85" priority="183" stopIfTrue="1">
      <formula>IF(AND(OR(WEEKDAY(B22)=1,AND(B23&lt;&gt;"",LEFT(B23,1)&lt;&gt;" ")),B22&lt;&gt;""),TRUE)</formula>
    </cfRule>
  </conditionalFormatting>
  <conditionalFormatting sqref="B25:H25">
    <cfRule type="notContainsBlanks" dxfId="84" priority="182">
      <formula>LEN(TRIM(B25))&gt;0</formula>
    </cfRule>
  </conditionalFormatting>
  <conditionalFormatting sqref="B29:H29">
    <cfRule type="containsText" dxfId="83" priority="172" operator="containsText" text="$H$5">
      <formula>NOT(ISERROR(SEARCH("$H$5",B29)))</formula>
    </cfRule>
    <cfRule type="expression" dxfId="82" priority="174" stopIfTrue="1">
      <formula>IF(AND(OR(WEEKDAY(B26)=1,AND(B27&lt;&gt;"",LEFT(B27,1)&lt;&gt;" ")),B26&lt;&gt;""),TRUE)</formula>
    </cfRule>
  </conditionalFormatting>
  <conditionalFormatting sqref="B29:H29">
    <cfRule type="notContainsBlanks" dxfId="81" priority="173">
      <formula>LEN(TRIM(B29))&gt;0</formula>
    </cfRule>
  </conditionalFormatting>
  <conditionalFormatting sqref="B6:H6 B10:H10 B14:H14 B18:H18 B22:H22 B26:H26">
    <cfRule type="cellIs" dxfId="80" priority="1" operator="equal">
      <formula>TODAY()</formula>
    </cfRule>
  </conditionalFormatting>
  <dataValidations count="1">
    <dataValidation type="list" operator="equal" sqref="B1:B2">
      <formula1>"1,2,3,4,5,6,7,8,9,10,11,12"</formula1>
      <formula2>0</formula2>
    </dataValidation>
  </dataValidations>
  <pageMargins left="0.7" right="0.7" top="0.75" bottom="0.75" header="0.3" footer="0.3"/>
  <pageSetup paperSize="9" scale="62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9" operator="containsText" id="{0E740641-454F-4C67-AA7A-88F10A7DADF6}">
            <xm:f>NOT(ISERROR(SEARCH($G$5,B9)))</xm:f>
            <xm:f>$G$5</xm:f>
            <x14:dxf>
              <fill>
                <patternFill>
                  <bgColor theme="0" tint="-0.34998626667073579"/>
                </patternFill>
              </fill>
            </x14:dxf>
          </x14:cfRule>
          <xm:sqref>B9:H9</xm:sqref>
        </x14:conditionalFormatting>
        <x14:conditionalFormatting xmlns:xm="http://schemas.microsoft.com/office/excel/2006/main">
          <x14:cfRule type="containsText" priority="211" operator="containsText" id="{C4D5F2B3-BDA6-496D-96BC-30B2A6965442}">
            <xm:f>NOT(ISERROR(SEARCH($G$5,H13)))</xm:f>
            <xm:f>$G$5</xm:f>
            <x14:dxf>
              <fill>
                <patternFill>
                  <bgColor theme="0" tint="-0.34998626667073579"/>
                </patternFill>
              </fill>
            </x14:dxf>
          </x14:cfRule>
          <xm:sqref>H13</xm:sqref>
        </x14:conditionalFormatting>
        <x14:conditionalFormatting xmlns:xm="http://schemas.microsoft.com/office/excel/2006/main">
          <x14:cfRule type="containsText" priority="207" operator="containsText" id="{7778D436-AE83-489A-A9EF-9571A05E4E53}">
            <xm:f>NOT(ISERROR(SEARCH($G$5,B13)))</xm:f>
            <xm:f>$G$5</xm:f>
            <x14:dxf>
              <fill>
                <patternFill>
                  <bgColor theme="0" tint="-0.34998626667073579"/>
                </patternFill>
              </fill>
            </x14:dxf>
          </x14:cfRule>
          <xm:sqref>B13:G13</xm:sqref>
        </x14:conditionalFormatting>
        <x14:conditionalFormatting xmlns:xm="http://schemas.microsoft.com/office/excel/2006/main">
          <x14:cfRule type="containsText" priority="202" operator="containsText" id="{38EBF4D4-61DC-43EA-93DD-EDCE1F899722}">
            <xm:f>NOT(ISERROR(SEARCH($G$5,H17)))</xm:f>
            <xm:f>$G$5</xm:f>
            <x14:dxf>
              <fill>
                <patternFill>
                  <bgColor theme="0" tint="-0.34998626667073579"/>
                </patternFill>
              </fill>
            </x14:dxf>
          </x14:cfRule>
          <xm:sqref>H17</xm:sqref>
        </x14:conditionalFormatting>
        <x14:conditionalFormatting xmlns:xm="http://schemas.microsoft.com/office/excel/2006/main">
          <x14:cfRule type="containsText" priority="198" operator="containsText" id="{828BE738-4D8E-422B-A245-425B87114D65}">
            <xm:f>NOT(ISERROR(SEARCH($G$5,B17)))</xm:f>
            <xm:f>$G$5</xm:f>
            <x14:dxf>
              <fill>
                <patternFill>
                  <bgColor theme="0" tint="-0.34998626667073579"/>
                </patternFill>
              </fill>
            </x14:dxf>
          </x14:cfRule>
          <xm:sqref>B17:G17</xm:sqref>
        </x14:conditionalFormatting>
        <x14:conditionalFormatting xmlns:xm="http://schemas.microsoft.com/office/excel/2006/main">
          <x14:cfRule type="containsText" priority="193" operator="containsText" id="{AADE22C8-0E5C-4D61-8288-C656FC903DC9}">
            <xm:f>NOT(ISERROR(SEARCH($G$5,H21)))</xm:f>
            <xm:f>$G$5</xm:f>
            <x14:dxf>
              <fill>
                <patternFill>
                  <bgColor theme="0" tint="-0.34998626667073579"/>
                </patternFill>
              </fill>
            </x14:dxf>
          </x14:cfRule>
          <xm:sqref>H21</xm:sqref>
        </x14:conditionalFormatting>
        <x14:conditionalFormatting xmlns:xm="http://schemas.microsoft.com/office/excel/2006/main">
          <x14:cfRule type="containsText" priority="189" operator="containsText" id="{D9A9FBFA-A44D-4F1B-BD3D-52E9B79F9273}">
            <xm:f>NOT(ISERROR(SEARCH($G$5,B21)))</xm:f>
            <xm:f>$G$5</xm:f>
            <x14:dxf>
              <fill>
                <patternFill>
                  <bgColor theme="0" tint="-0.34998626667073579"/>
                </patternFill>
              </fill>
            </x14:dxf>
          </x14:cfRule>
          <xm:sqref>B21:G21</xm:sqref>
        </x14:conditionalFormatting>
        <x14:conditionalFormatting xmlns:xm="http://schemas.microsoft.com/office/excel/2006/main">
          <x14:cfRule type="containsText" priority="180" operator="containsText" id="{7A108DE1-16D5-4C4C-9EE3-35485095E785}">
            <xm:f>NOT(ISERROR(SEARCH($G$5,B25)))</xm:f>
            <xm:f>$G$5</xm:f>
            <x14:dxf>
              <fill>
                <patternFill>
                  <bgColor theme="0" tint="-0.34998626667073579"/>
                </patternFill>
              </fill>
            </x14:dxf>
          </x14:cfRule>
          <xm:sqref>B25:H25</xm:sqref>
        </x14:conditionalFormatting>
        <x14:conditionalFormatting xmlns:xm="http://schemas.microsoft.com/office/excel/2006/main">
          <x14:cfRule type="containsText" priority="171" operator="containsText" id="{36DD696D-0C50-4FAA-9493-E3D34741D20F}">
            <xm:f>NOT(ISERROR(SEARCH($G$5,B29)))</xm:f>
            <xm:f>$G$5</xm:f>
            <x14:dxf>
              <fill>
                <patternFill>
                  <bgColor theme="0" tint="-0.34998626667073579"/>
                </patternFill>
              </fill>
            </x14:dxf>
          </x14:cfRule>
          <xm:sqref>B29:H29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AB128"/>
  <sheetViews>
    <sheetView zoomScale="70" zoomScaleNormal="70" workbookViewId="0">
      <selection activeCell="AE31" sqref="AE31"/>
    </sheetView>
  </sheetViews>
  <sheetFormatPr baseColWidth="10" defaultRowHeight="15"/>
  <cols>
    <col min="3" max="3" width="20.140625" style="74" customWidth="1"/>
    <col min="4" max="4" width="37.7109375" customWidth="1"/>
    <col min="5" max="5" width="27.42578125" style="253" bestFit="1" customWidth="1"/>
    <col min="6" max="6" width="29.42578125" style="254" hidden="1" customWidth="1"/>
    <col min="7" max="7" width="29.42578125" style="74" hidden="1" customWidth="1"/>
    <col min="8" max="8" width="15.5703125" customWidth="1"/>
    <col min="9" max="9" width="12.28515625" hidden="1" customWidth="1"/>
    <col min="10" max="10" width="12" hidden="1" customWidth="1"/>
    <col min="11" max="11" width="12" customWidth="1"/>
    <col min="12" max="13" width="11.5703125" customWidth="1"/>
    <col min="14" max="14" width="20.140625" bestFit="1" customWidth="1"/>
    <col min="15" max="15" width="17.5703125" customWidth="1"/>
    <col min="16" max="16" width="32.7109375" style="70" hidden="1" customWidth="1"/>
    <col min="17" max="17" width="12.7109375" hidden="1" customWidth="1"/>
    <col min="18" max="18" width="15" hidden="1" customWidth="1"/>
    <col min="19" max="20" width="14.5703125" hidden="1" customWidth="1"/>
    <col min="21" max="23" width="11.42578125" hidden="1" customWidth="1"/>
    <col min="24" max="24" width="12" hidden="1" customWidth="1"/>
    <col min="25" max="25" width="21.7109375" hidden="1" customWidth="1"/>
    <col min="26" max="26" width="14.85546875" hidden="1" customWidth="1"/>
    <col min="27" max="27" width="12" hidden="1" customWidth="1"/>
    <col min="28" max="28" width="11.42578125" hidden="1" customWidth="1"/>
    <col min="29" max="29" width="0" hidden="1" customWidth="1"/>
  </cols>
  <sheetData>
    <row r="1" spans="1:28" ht="15.75" customHeight="1" thickBot="1">
      <c r="A1" s="292" t="s">
        <v>35</v>
      </c>
      <c r="B1" s="293" t="s">
        <v>36</v>
      </c>
      <c r="C1" s="293" t="s">
        <v>67</v>
      </c>
      <c r="D1" s="294" t="s">
        <v>627</v>
      </c>
      <c r="E1" s="294" t="s">
        <v>37</v>
      </c>
      <c r="F1" s="295" t="s">
        <v>628</v>
      </c>
      <c r="G1" s="294" t="s">
        <v>629</v>
      </c>
      <c r="H1" s="293" t="s">
        <v>42</v>
      </c>
      <c r="I1" s="293" t="s">
        <v>592</v>
      </c>
      <c r="J1" s="296" t="s">
        <v>630</v>
      </c>
      <c r="K1" s="296" t="s">
        <v>631</v>
      </c>
      <c r="L1" s="296" t="s">
        <v>429</v>
      </c>
      <c r="M1" s="296" t="s">
        <v>632</v>
      </c>
      <c r="N1" s="297" t="s">
        <v>458</v>
      </c>
      <c r="R1" s="106" t="s">
        <v>430</v>
      </c>
      <c r="S1" s="107" t="s">
        <v>431</v>
      </c>
      <c r="T1" s="115"/>
      <c r="U1" s="107" t="s">
        <v>433</v>
      </c>
      <c r="V1" s="106" t="s">
        <v>432</v>
      </c>
      <c r="AB1" s="99">
        <f ca="1">TODAY()</f>
        <v>42874</v>
      </c>
    </row>
    <row r="2" spans="1:28" ht="15.75" customHeight="1" thickBot="1">
      <c r="A2" s="298" t="s">
        <v>38</v>
      </c>
      <c r="B2" s="299" t="s">
        <v>39</v>
      </c>
      <c r="C2" s="299" t="str">
        <f>CONCATENATE(A2,"  ",B2)</f>
        <v>Virely  élodie</v>
      </c>
      <c r="D2" s="300" t="str">
        <f ca="1">CONCATENATE(C2,"  ",K2)</f>
        <v>Virely  élodie    32</v>
      </c>
      <c r="E2" s="300">
        <v>30975</v>
      </c>
      <c r="F2" s="301">
        <f t="shared" ref="F2:F24" si="0">IF(E2&lt;1/1/1900,"",E2)</f>
        <v>30975</v>
      </c>
      <c r="G2" s="302">
        <f t="shared" ref="G2:G24" ca="1" si="1">IF(E2&lt;1/1/2000,"",DATE(YEAR(TODAY()),MONTH(E2),DAY(F2)))</f>
        <v>43028</v>
      </c>
      <c r="H2" s="299" t="s">
        <v>43</v>
      </c>
      <c r="I2" s="303" t="str">
        <f t="shared" ref="I2:I26" ca="1" si="2">IF(E2&gt;$AB$1,"",IF(B2="","",IF(H2&lt;&gt;"naissance",IF(F2&lt;1/1/19000," ",DATEDIF(F2,TODAY(),"y")),"")))</f>
        <v/>
      </c>
      <c r="J2" s="304">
        <f t="shared" ref="J2:J26" ca="1" si="3">IF(H2="naissance",IF(F2&lt;1/1/19000," ",DATEDIF(F2,TODAY(),"y")),"")</f>
        <v>32</v>
      </c>
      <c r="K2" s="304" t="str">
        <f ca="1">CONCATENATE(I2,"  ",J2)</f>
        <v xml:space="preserve">  32</v>
      </c>
      <c r="L2" s="305" t="str">
        <f>IF(H2="naissance",IF(E2="","",INDEX({"Capricorne";"Verseau";"Poisson";"Bélier";"Taureau";"Gémeaux";"Cancer";"Lion";"Vierge";"Balance";"Scorpion";"Sagittaire";"Capricorne";""},MATCH(DATE(,MONTH(E2),DAY(E2)),{0;20;51;81;111;142;173;205;237;267;297;327;357},1))),"")</f>
        <v>Balance</v>
      </c>
      <c r="M2" s="306" t="str">
        <f>IF(H2="naissance",IF(F2="","",INDEX({"g";"h";"i";"^";"_";"z";"a";"b";"c";"d";"e";"f";"g";""},MATCH(DATE(,MONTH(F2),DAY(F2)),{0;20;51;81;111;142;173;205;237;267;297;327;357},1))),"")</f>
        <v>d</v>
      </c>
      <c r="N2" s="307" t="str">
        <f t="shared" ref="N2:N26" ca="1" si="4">IF(H2="naissance",OFFSET($U$3,MATCH(E2,$S$4:$S$123,1)+1,),"")</f>
        <v>猪 cochon</v>
      </c>
      <c r="Q2" s="105"/>
      <c r="R2" s="111"/>
      <c r="S2" s="112"/>
      <c r="T2" s="116"/>
      <c r="U2" s="113"/>
      <c r="V2" s="114"/>
      <c r="X2" s="75">
        <f ca="1">DATE(YEAR(TODAY()),MONTH(Z2),DAY(Z2))</f>
        <v>43028</v>
      </c>
      <c r="Y2" s="234" t="str">
        <f ca="1">D2</f>
        <v>Virely  élodie    32</v>
      </c>
      <c r="Z2" s="76">
        <f>E2</f>
        <v>30975</v>
      </c>
      <c r="AA2" s="77">
        <f ca="1">IF(Z2&lt;1/1/2000,"",DATEDIF(Z2,TODAY(),"y"))</f>
        <v>32</v>
      </c>
      <c r="AB2" s="78"/>
    </row>
    <row r="3" spans="1:28" ht="15.75" customHeight="1" thickBot="1">
      <c r="A3" s="308" t="s">
        <v>38</v>
      </c>
      <c r="B3" s="309" t="s">
        <v>39</v>
      </c>
      <c r="C3" s="309" t="str">
        <f t="shared" ref="C3:C46" si="5">CONCATENATE(A3,"  ",B3)</f>
        <v>Virely  élodie</v>
      </c>
      <c r="D3" s="310" t="str">
        <f t="shared" ref="D3:D66" ca="1" si="6">CONCATENATE(C3,"  ",K3)</f>
        <v xml:space="preserve">Virely  élodie  3  </v>
      </c>
      <c r="E3" s="310">
        <v>41768</v>
      </c>
      <c r="F3" s="311">
        <f t="shared" si="0"/>
        <v>41768</v>
      </c>
      <c r="G3" s="310">
        <f t="shared" ca="1" si="1"/>
        <v>42864</v>
      </c>
      <c r="H3" s="309" t="s">
        <v>594</v>
      </c>
      <c r="I3" s="312">
        <f t="shared" ca="1" si="2"/>
        <v>3</v>
      </c>
      <c r="J3" s="313" t="str">
        <f t="shared" ca="1" si="3"/>
        <v/>
      </c>
      <c r="K3" s="313" t="str">
        <f ca="1">CONCATENATE(I3,"  ",J3)</f>
        <v xml:space="preserve">3  </v>
      </c>
      <c r="L3" s="314" t="str">
        <f>IF(H3="naissance",IF(E3="","",INDEX({"Capricorne";"Verseau";"Poisson";"Bélier";"Taureau";"Gémeaux";"Cancer";"Lion";"Vierge";"Balance";"Scorpion";"Sagittaire";"Capricorne";""},MATCH(DATE(,MONTH(E3),DAY(E3)),{0;20;51;81;111;142;173;205;237;267;297;327;357},1))),"")</f>
        <v/>
      </c>
      <c r="M3" s="315" t="str">
        <f>IF(H3="naissance",IF(F3="","",INDEX({"g";"h";"i";"^";"_";"z";"a";"b";"c";"d";"e";"f";"g";""},MATCH(DATE(,MONTH(F3),DAY(F3)),{0;20;51;81;111;142;173;205;237;267;297;327;357},1))),"")</f>
        <v/>
      </c>
      <c r="N3" s="316" t="str">
        <f t="shared" ca="1" si="4"/>
        <v/>
      </c>
      <c r="Q3" s="105"/>
      <c r="R3" s="111"/>
      <c r="S3" s="112"/>
      <c r="T3" s="116"/>
      <c r="U3" s="113"/>
      <c r="V3" s="114"/>
      <c r="X3" s="75">
        <f ca="1">DATE(YEAR(TODAY()),MONTH(Z3),DAY(Z3))</f>
        <v>42864</v>
      </c>
      <c r="Y3" s="234" t="str">
        <f t="shared" ref="Y3:Y66" ca="1" si="7">D3</f>
        <v xml:space="preserve">Virely  élodie  3  </v>
      </c>
      <c r="Z3" s="76">
        <f t="shared" ref="Z3:Z34" si="8">E3</f>
        <v>41768</v>
      </c>
      <c r="AA3" s="77">
        <f t="shared" ref="AA3:AA23" ca="1" si="9">IF(Z3&lt;1/1/2000,"",DATEDIF(Z3,TODAY(),"y"))</f>
        <v>3</v>
      </c>
    </row>
    <row r="4" spans="1:28" ht="15.75" customHeight="1" thickBot="1">
      <c r="A4" s="298" t="s">
        <v>38</v>
      </c>
      <c r="B4" s="299" t="s">
        <v>39</v>
      </c>
      <c r="C4" s="299" t="str">
        <f t="shared" si="5"/>
        <v>Virely  élodie</v>
      </c>
      <c r="D4" s="300" t="str">
        <f t="shared" ca="1" si="6"/>
        <v xml:space="preserve">Virely  élodie  2  </v>
      </c>
      <c r="E4" s="300">
        <v>41832</v>
      </c>
      <c r="F4" s="301">
        <f t="shared" si="0"/>
        <v>41832</v>
      </c>
      <c r="G4" s="302">
        <f t="shared" ca="1" si="1"/>
        <v>42928</v>
      </c>
      <c r="H4" s="299" t="s">
        <v>44</v>
      </c>
      <c r="I4" s="303">
        <f t="shared" ca="1" si="2"/>
        <v>2</v>
      </c>
      <c r="J4" s="304" t="str">
        <f t="shared" ca="1" si="3"/>
        <v/>
      </c>
      <c r="K4" s="304" t="str">
        <f t="shared" ref="K4:K67" ca="1" si="10">CONCATENATE(I4,"  ",J4)</f>
        <v xml:space="preserve">2  </v>
      </c>
      <c r="L4" s="305" t="str">
        <f>IF(H4="naissance",IF(E4="","",INDEX({"Capricorne";"Verseau";"Poisson";"Bélier";"Taureau";"Gémeaux";"Cancer";"Lion";"Vierge";"Balance";"Scorpion";"Sagittaire";"Capricorne";""},MATCH(DATE(,MONTH(E4),DAY(E4)),{0;20;51;81;111;142;173;205;237;267;297;327;357},1))),"")</f>
        <v/>
      </c>
      <c r="M4" s="306" t="str">
        <f>IF(H4="naissance",IF(F4="","",INDEX({"g";"h";"i";"^";"_";"z";"a";"b";"c";"d";"e";"f";"g";""},MATCH(DATE(,MONTH(F4),DAY(F4)),{0;20;51;81;111;142;173;205;237;267;297;327;357},1))),"")</f>
        <v/>
      </c>
      <c r="N4" s="307" t="str">
        <f t="shared" ca="1" si="4"/>
        <v/>
      </c>
      <c r="Q4" s="105"/>
      <c r="R4" s="108">
        <v>31</v>
      </c>
      <c r="S4" s="108">
        <v>415</v>
      </c>
      <c r="T4" s="117">
        <v>1901</v>
      </c>
      <c r="U4" s="109" t="s">
        <v>434</v>
      </c>
      <c r="V4" s="330" t="s">
        <v>435</v>
      </c>
      <c r="X4" s="75">
        <f t="shared" ref="X4:X23" ca="1" si="11">DATE(YEAR(TODAY()),MONTH(Z4),DAY(Z4))</f>
        <v>42928</v>
      </c>
      <c r="Y4" s="234" t="str">
        <f t="shared" ca="1" si="7"/>
        <v xml:space="preserve">Virely  élodie  2  </v>
      </c>
      <c r="Z4" s="76">
        <f t="shared" si="8"/>
        <v>41832</v>
      </c>
      <c r="AA4" s="77">
        <f t="shared" ca="1" si="9"/>
        <v>2</v>
      </c>
    </row>
    <row r="5" spans="1:28" ht="15.75" customHeight="1" thickBot="1">
      <c r="A5" s="308" t="s">
        <v>40</v>
      </c>
      <c r="B5" s="309" t="s">
        <v>54</v>
      </c>
      <c r="C5" s="309" t="str">
        <f t="shared" si="5"/>
        <v>Taraud  daniel</v>
      </c>
      <c r="D5" s="310" t="str">
        <f t="shared" ca="1" si="6"/>
        <v>Taraud  daniel    66</v>
      </c>
      <c r="E5" s="310">
        <v>18470</v>
      </c>
      <c r="F5" s="311">
        <f t="shared" si="0"/>
        <v>18470</v>
      </c>
      <c r="G5" s="310">
        <f t="shared" ca="1" si="1"/>
        <v>42942</v>
      </c>
      <c r="H5" s="309" t="s">
        <v>43</v>
      </c>
      <c r="I5" s="312" t="str">
        <f t="shared" ca="1" si="2"/>
        <v/>
      </c>
      <c r="J5" s="313">
        <f t="shared" ca="1" si="3"/>
        <v>66</v>
      </c>
      <c r="K5" s="313" t="str">
        <f t="shared" ca="1" si="10"/>
        <v xml:space="preserve">  66</v>
      </c>
      <c r="L5" s="314" t="str">
        <f>IF(H5="naissance",IF(E5="","",INDEX({"Capricorne";"Verseau";"Poisson";"Bélier";"Taureau";"Gémeaux";"Cancer";"Lion";"Vierge";"Balance";"Scorpion";"Sagittaire";"Capricorne";""},MATCH(DATE(,MONTH(E5),DAY(E5)),{0;20;51;81;111;142;173;205;237;267;297;327;357},1))),"")</f>
        <v>Lion</v>
      </c>
      <c r="M5" s="315" t="str">
        <f>IF(H5="naissance",IF(F5="","",INDEX({"g";"h";"i";"^";"_";"z";"a";"b";"c";"d";"e";"f";"g";""},MATCH(DATE(,MONTH(F5),DAY(F5)),{0;20;51;81;111;142;173;205;237;267;297;327;357},1))),"")</f>
        <v>b</v>
      </c>
      <c r="N5" s="316" t="str">
        <f t="shared" ca="1" si="4"/>
        <v>虎 tigre</v>
      </c>
      <c r="Q5" s="105"/>
      <c r="R5" s="108">
        <v>416</v>
      </c>
      <c r="S5" s="108">
        <v>769</v>
      </c>
      <c r="T5" s="117">
        <v>1902</v>
      </c>
      <c r="U5" s="110" t="s">
        <v>436</v>
      </c>
      <c r="V5" s="331"/>
      <c r="X5" s="75">
        <f t="shared" ca="1" si="11"/>
        <v>42942</v>
      </c>
      <c r="Y5" s="234" t="str">
        <f t="shared" ca="1" si="7"/>
        <v>Taraud  daniel    66</v>
      </c>
      <c r="Z5" s="76">
        <f t="shared" si="8"/>
        <v>18470</v>
      </c>
      <c r="AA5" s="77">
        <f t="shared" ca="1" si="9"/>
        <v>66</v>
      </c>
    </row>
    <row r="6" spans="1:28" ht="15.75" customHeight="1" thickBot="1">
      <c r="A6" s="298" t="s">
        <v>40</v>
      </c>
      <c r="B6" s="299" t="s">
        <v>55</v>
      </c>
      <c r="C6" s="299" t="str">
        <f t="shared" si="5"/>
        <v>Taraud  gisèle</v>
      </c>
      <c r="D6" s="300" t="str">
        <f t="shared" ca="1" si="6"/>
        <v>Taraud  gisèle    62</v>
      </c>
      <c r="E6" s="300">
        <v>19913</v>
      </c>
      <c r="F6" s="301">
        <f t="shared" si="0"/>
        <v>19913</v>
      </c>
      <c r="G6" s="302">
        <f t="shared" ca="1" si="1"/>
        <v>42924</v>
      </c>
      <c r="H6" s="299" t="s">
        <v>43</v>
      </c>
      <c r="I6" s="303" t="str">
        <f t="shared" ca="1" si="2"/>
        <v/>
      </c>
      <c r="J6" s="304">
        <f t="shared" ca="1" si="3"/>
        <v>62</v>
      </c>
      <c r="K6" s="304" t="str">
        <f t="shared" ca="1" si="10"/>
        <v xml:space="preserve">  62</v>
      </c>
      <c r="L6" s="305" t="str">
        <f>IF(H6="naissance",IF(E6="","",INDEX({"Capricorne";"Verseau";"Poisson";"Bélier";"Taureau";"Gémeaux";"Cancer";"Lion";"Vierge";"Balance";"Scorpion";"Sagittaire";"Capricorne";""},MATCH(DATE(,MONTH(E6),DAY(E6)),{0;20;51;81;111;142;173;205;237;267;297;327;357},1))),"")</f>
        <v>Cancer</v>
      </c>
      <c r="M6" s="306" t="str">
        <f>IF(H6="naissance",IF(F6="","",INDEX({"g";"h";"i";"^";"_";"z";"a";"b";"c";"d";"e";"f";"g";""},MATCH(DATE(,MONTH(F6),DAY(F6)),{0;20;51;81;111;142;173;205;237;267;297;327;357},1))),"")</f>
        <v>a</v>
      </c>
      <c r="N6" s="307" t="str">
        <f t="shared" ca="1" si="4"/>
        <v>馬 cheval</v>
      </c>
      <c r="Q6" s="105"/>
      <c r="R6" s="108">
        <v>770</v>
      </c>
      <c r="S6" s="108">
        <v>1124</v>
      </c>
      <c r="T6" s="117">
        <v>1903</v>
      </c>
      <c r="U6" s="110" t="s">
        <v>437</v>
      </c>
      <c r="V6" s="330" t="s">
        <v>438</v>
      </c>
      <c r="X6" s="75">
        <f t="shared" ca="1" si="11"/>
        <v>42924</v>
      </c>
      <c r="Y6" s="234" t="str">
        <f t="shared" ca="1" si="7"/>
        <v>Taraud  gisèle    62</v>
      </c>
      <c r="Z6" s="76">
        <f t="shared" si="8"/>
        <v>19913</v>
      </c>
      <c r="AA6" s="77">
        <f t="shared" ca="1" si="9"/>
        <v>62</v>
      </c>
    </row>
    <row r="7" spans="1:28" ht="15.75" customHeight="1" thickBot="1">
      <c r="A7" s="308" t="s">
        <v>40</v>
      </c>
      <c r="B7" s="309" t="s">
        <v>54</v>
      </c>
      <c r="C7" s="309" t="str">
        <f t="shared" si="5"/>
        <v>Taraud  daniel</v>
      </c>
      <c r="D7" s="310" t="str">
        <f t="shared" ca="1" si="6"/>
        <v xml:space="preserve">Taraud  daniel  42  </v>
      </c>
      <c r="E7" s="310">
        <v>27251</v>
      </c>
      <c r="F7" s="311">
        <f t="shared" si="0"/>
        <v>27251</v>
      </c>
      <c r="G7" s="310">
        <f t="shared" ca="1" si="1"/>
        <v>42957</v>
      </c>
      <c r="H7" s="309" t="s">
        <v>56</v>
      </c>
      <c r="I7" s="312">
        <f t="shared" ca="1" si="2"/>
        <v>42</v>
      </c>
      <c r="J7" s="313" t="str">
        <f t="shared" ca="1" si="3"/>
        <v/>
      </c>
      <c r="K7" s="313" t="str">
        <f t="shared" ca="1" si="10"/>
        <v xml:space="preserve">42  </v>
      </c>
      <c r="L7" s="314" t="str">
        <f>IF(H7="naissance",IF(E7="","",INDEX({"Capricorne";"Verseau";"Poisson";"Bélier";"Taureau";"Gémeaux";"Cancer";"Lion";"Vierge";"Balance";"Scorpion";"Sagittaire";"Capricorne";""},MATCH(DATE(,MONTH(E7),DAY(E7)),{0;20;51;81;111;142;173;205;237;267;297;327;357},1))),"")</f>
        <v/>
      </c>
      <c r="M7" s="315" t="str">
        <f>IF(H7="naissance",IF(F7="","",INDEX({"g";"h";"i";"^";"_";"z";"a";"b";"c";"d";"e";"f";"g";""},MATCH(DATE(,MONTH(F7),DAY(F7)),{0;20;51;81;111;142;173;205;237;267;297;327;357},1))),"")</f>
        <v/>
      </c>
      <c r="N7" s="316" t="str">
        <f t="shared" ca="1" si="4"/>
        <v/>
      </c>
      <c r="Q7" s="105"/>
      <c r="R7" s="108">
        <v>1125</v>
      </c>
      <c r="S7" s="108">
        <v>1507</v>
      </c>
      <c r="T7" s="117">
        <v>1904</v>
      </c>
      <c r="U7" s="110" t="s">
        <v>439</v>
      </c>
      <c r="V7" s="331"/>
      <c r="X7" s="75">
        <f t="shared" ca="1" si="11"/>
        <v>42957</v>
      </c>
      <c r="Y7" s="234" t="str">
        <f t="shared" ca="1" si="7"/>
        <v xml:space="preserve">Taraud  daniel  42  </v>
      </c>
      <c r="Z7" s="76">
        <f t="shared" si="8"/>
        <v>27251</v>
      </c>
      <c r="AA7" s="77">
        <f t="shared" ca="1" si="9"/>
        <v>42</v>
      </c>
    </row>
    <row r="8" spans="1:28" ht="15.75" customHeight="1" thickBot="1">
      <c r="A8" s="298" t="s">
        <v>40</v>
      </c>
      <c r="B8" s="299" t="s">
        <v>55</v>
      </c>
      <c r="C8" s="299" t="str">
        <f t="shared" si="5"/>
        <v>Taraud  gisèle</v>
      </c>
      <c r="D8" s="300" t="str">
        <f t="shared" ca="1" si="6"/>
        <v xml:space="preserve">Taraud  gisèle  42  </v>
      </c>
      <c r="E8" s="300">
        <v>27251</v>
      </c>
      <c r="F8" s="301">
        <f t="shared" si="0"/>
        <v>27251</v>
      </c>
      <c r="G8" s="302">
        <f t="shared" ca="1" si="1"/>
        <v>42957</v>
      </c>
      <c r="H8" s="299" t="s">
        <v>56</v>
      </c>
      <c r="I8" s="303">
        <f t="shared" ca="1" si="2"/>
        <v>42</v>
      </c>
      <c r="J8" s="304" t="str">
        <f t="shared" ca="1" si="3"/>
        <v/>
      </c>
      <c r="K8" s="304" t="str">
        <f t="shared" ca="1" si="10"/>
        <v xml:space="preserve">42  </v>
      </c>
      <c r="L8" s="305" t="str">
        <f>IF(H8="naissance",IF(E8="","",INDEX({"Capricorne";"Verseau";"Poisson";"Bélier";"Taureau";"Gémeaux";"Cancer";"Lion";"Vierge";"Balance";"Scorpion";"Sagittaire";"Capricorne";""},MATCH(DATE(,MONTH(E8),DAY(E8)),{0;20;51;81;111;142;173;205;237;267;297;327;357},1))),"")</f>
        <v/>
      </c>
      <c r="M8" s="306" t="str">
        <f>IF(H8="naissance",IF(F8="","",INDEX({"g";"h";"i";"^";"_";"z";"a";"b";"c";"d";"e";"f";"g";""},MATCH(DATE(,MONTH(F8),DAY(F8)),{0;20;51;81;111;142;173;205;237;267;297;327;357},1))),"")</f>
        <v/>
      </c>
      <c r="N8" s="307" t="str">
        <f t="shared" ca="1" si="4"/>
        <v/>
      </c>
      <c r="Q8" s="105"/>
      <c r="R8" s="108">
        <v>1508</v>
      </c>
      <c r="S8" s="108">
        <v>1861</v>
      </c>
      <c r="T8" s="117">
        <v>1905</v>
      </c>
      <c r="U8" s="110" t="s">
        <v>441</v>
      </c>
      <c r="V8" s="330" t="s">
        <v>442</v>
      </c>
      <c r="X8" s="75">
        <f t="shared" ca="1" si="11"/>
        <v>42957</v>
      </c>
      <c r="Y8" s="234" t="str">
        <f t="shared" ca="1" si="7"/>
        <v xml:space="preserve">Taraud  gisèle  42  </v>
      </c>
      <c r="Z8" s="76">
        <f t="shared" si="8"/>
        <v>27251</v>
      </c>
      <c r="AA8" s="77">
        <f t="shared" ca="1" si="9"/>
        <v>42</v>
      </c>
    </row>
    <row r="9" spans="1:28" ht="15.75" customHeight="1" thickBot="1">
      <c r="A9" s="308" t="s">
        <v>40</v>
      </c>
      <c r="B9" s="309" t="s">
        <v>46</v>
      </c>
      <c r="C9" s="309" t="str">
        <f t="shared" si="5"/>
        <v>Taraud  jerôme</v>
      </c>
      <c r="D9" s="310" t="str">
        <f t="shared" ca="1" si="6"/>
        <v>Taraud  jerôme    41</v>
      </c>
      <c r="E9" s="310">
        <v>27827</v>
      </c>
      <c r="F9" s="311">
        <f t="shared" si="0"/>
        <v>27827</v>
      </c>
      <c r="G9" s="310">
        <f t="shared" ca="1" si="1"/>
        <v>42802</v>
      </c>
      <c r="H9" s="309" t="s">
        <v>43</v>
      </c>
      <c r="I9" s="312" t="str">
        <f t="shared" ca="1" si="2"/>
        <v/>
      </c>
      <c r="J9" s="313">
        <f t="shared" ca="1" si="3"/>
        <v>41</v>
      </c>
      <c r="K9" s="313" t="str">
        <f t="shared" ca="1" si="10"/>
        <v xml:space="preserve">  41</v>
      </c>
      <c r="L9" s="314" t="str">
        <f>IF(H9="naissance",IF(E9="","",INDEX({"Capricorne";"Verseau";"Poisson";"Bélier";"Taureau";"Gémeaux";"Cancer";"Lion";"Vierge";"Balance";"Scorpion";"Sagittaire";"Capricorne";""},MATCH(DATE(,MONTH(E9),DAY(E9)),{0;20;51;81;111;142;173;205;237;267;297;327;357},1))),"")</f>
        <v>Poisson</v>
      </c>
      <c r="M9" s="315" t="str">
        <f>IF(H9="naissance",IF(F9="","",INDEX({"g";"h";"i";"^";"_";"z";"a";"b";"c";"d";"e";"f";"g";""},MATCH(DATE(,MONTH(F9),DAY(F9)),{0;20;51;81;111;142;173;205;237;267;297;327;357},1))),"")</f>
        <v>i</v>
      </c>
      <c r="N9" s="316" t="str">
        <f t="shared" ca="1" si="4"/>
        <v>龍 dragon</v>
      </c>
      <c r="Q9" s="105"/>
      <c r="R9" s="108">
        <v>1862</v>
      </c>
      <c r="S9" s="108">
        <v>2216</v>
      </c>
      <c r="T9" s="117">
        <v>1906</v>
      </c>
      <c r="U9" s="110" t="s">
        <v>443</v>
      </c>
      <c r="V9" s="331"/>
      <c r="X9" s="75">
        <f t="shared" ca="1" si="11"/>
        <v>42802</v>
      </c>
      <c r="Y9" s="234" t="str">
        <f t="shared" ca="1" si="7"/>
        <v>Taraud  jerôme    41</v>
      </c>
      <c r="Z9" s="76">
        <f t="shared" si="8"/>
        <v>27827</v>
      </c>
      <c r="AA9" s="77">
        <f t="shared" ca="1" si="9"/>
        <v>41</v>
      </c>
    </row>
    <row r="10" spans="1:28" ht="15.75" customHeight="1" thickBot="1">
      <c r="A10" s="298" t="s">
        <v>40</v>
      </c>
      <c r="B10" s="299" t="s">
        <v>41</v>
      </c>
      <c r="C10" s="299" t="str">
        <f t="shared" si="5"/>
        <v>Taraud  sebastien</v>
      </c>
      <c r="D10" s="300" t="str">
        <f t="shared" ca="1" si="6"/>
        <v>Taraud  sebastien    39</v>
      </c>
      <c r="E10" s="300">
        <v>28622</v>
      </c>
      <c r="F10" s="301">
        <f t="shared" si="0"/>
        <v>28622</v>
      </c>
      <c r="G10" s="302">
        <f t="shared" ca="1" si="1"/>
        <v>42867</v>
      </c>
      <c r="H10" s="299" t="s">
        <v>43</v>
      </c>
      <c r="I10" s="303" t="str">
        <f t="shared" ca="1" si="2"/>
        <v/>
      </c>
      <c r="J10" s="304">
        <f t="shared" ca="1" si="3"/>
        <v>39</v>
      </c>
      <c r="K10" s="304" t="str">
        <f t="shared" ca="1" si="10"/>
        <v xml:space="preserve">  39</v>
      </c>
      <c r="L10" s="305" t="str">
        <f>IF(H10="naissance",IF(E10="","",INDEX({"Capricorne";"Verseau";"Poisson";"Bélier";"Taureau";"Gémeaux";"Cancer";"Lion";"Vierge";"Balance";"Scorpion";"Sagittaire";"Capricorne";""},MATCH(DATE(,MONTH(E10),DAY(E10)),{0;20;51;81;111;142;173;205;237;267;297;327;357},1))),"")</f>
        <v>Taureau</v>
      </c>
      <c r="M10" s="306" t="str">
        <f>IF(H10="naissance",IF(F10="","",INDEX({"g";"h";"i";"^";"_";"z";"a";"b";"c";"d";"e";"f";"g";""},MATCH(DATE(,MONTH(F10),DAY(F10)),{0;20;51;81;111;142;173;205;237;267;297;327;357},1))),"")</f>
        <v>_</v>
      </c>
      <c r="N10" s="307" t="str">
        <f t="shared" ca="1" si="4"/>
        <v>馬 cheval</v>
      </c>
      <c r="Q10" s="105"/>
      <c r="R10" s="108">
        <v>2217</v>
      </c>
      <c r="S10" s="108">
        <v>2600</v>
      </c>
      <c r="T10" s="117">
        <v>1907</v>
      </c>
      <c r="U10" s="110" t="s">
        <v>444</v>
      </c>
      <c r="V10" s="330" t="s">
        <v>445</v>
      </c>
      <c r="X10" s="75">
        <f t="shared" ca="1" si="11"/>
        <v>42867</v>
      </c>
      <c r="Y10" s="234" t="str">
        <f t="shared" ca="1" si="7"/>
        <v>Taraud  sebastien    39</v>
      </c>
      <c r="Z10" s="76">
        <f t="shared" si="8"/>
        <v>28622</v>
      </c>
      <c r="AA10" s="77">
        <f t="shared" ca="1" si="9"/>
        <v>39</v>
      </c>
    </row>
    <row r="11" spans="1:28" ht="15.75" customHeight="1" thickBot="1">
      <c r="A11" s="308" t="s">
        <v>40</v>
      </c>
      <c r="B11" s="309" t="s">
        <v>57</v>
      </c>
      <c r="C11" s="309" t="str">
        <f t="shared" si="5"/>
        <v>Taraud  stéphanie</v>
      </c>
      <c r="D11" s="310" t="str">
        <f t="shared" ca="1" si="6"/>
        <v>Taraud  stéphanie    38</v>
      </c>
      <c r="E11" s="310">
        <v>28917</v>
      </c>
      <c r="F11" s="311">
        <f t="shared" si="0"/>
        <v>28917</v>
      </c>
      <c r="G11" s="310">
        <f t="shared" ca="1" si="1"/>
        <v>42797</v>
      </c>
      <c r="H11" s="309" t="s">
        <v>43</v>
      </c>
      <c r="I11" s="312" t="str">
        <f t="shared" ca="1" si="2"/>
        <v/>
      </c>
      <c r="J11" s="313">
        <f t="shared" ca="1" si="3"/>
        <v>38</v>
      </c>
      <c r="K11" s="313" t="str">
        <f t="shared" ca="1" si="10"/>
        <v xml:space="preserve">  38</v>
      </c>
      <c r="L11" s="314" t="str">
        <f>IF(H11="naissance",IF(E11="","",INDEX({"Capricorne";"Verseau";"Poisson";"Bélier";"Taureau";"Gémeaux";"Cancer";"Lion";"Vierge";"Balance";"Scorpion";"Sagittaire";"Capricorne";""},MATCH(DATE(,MONTH(E11),DAY(E11)),{0;20;51;81;111;142;173;205;237;267;297;327;357},1))),"")</f>
        <v>Poisson</v>
      </c>
      <c r="M11" s="315" t="str">
        <f>IF(H11="naissance",IF(F11="","",INDEX({"g";"h";"i";"^";"_";"z";"a";"b";"c";"d";"e";"f";"g";""},MATCH(DATE(,MONTH(F11),DAY(F11)),{0;20;51;81;111;142;173;205;237;267;297;327;357},1))),"")</f>
        <v>i</v>
      </c>
      <c r="N11" s="316" t="str">
        <f t="shared" ca="1" si="4"/>
        <v>羊 chèvre</v>
      </c>
      <c r="Q11" s="105"/>
      <c r="R11" s="108">
        <v>2601</v>
      </c>
      <c r="S11" s="110" t="s">
        <v>446</v>
      </c>
      <c r="T11" s="117">
        <v>1908</v>
      </c>
      <c r="U11" s="110" t="s">
        <v>447</v>
      </c>
      <c r="V11" s="331"/>
      <c r="X11" s="75">
        <f t="shared" ca="1" si="11"/>
        <v>42797</v>
      </c>
      <c r="Y11" s="234" t="str">
        <f t="shared" ca="1" si="7"/>
        <v>Taraud  stéphanie    38</v>
      </c>
      <c r="Z11" s="76">
        <f t="shared" si="8"/>
        <v>28917</v>
      </c>
      <c r="AA11" s="77">
        <f t="shared" ca="1" si="9"/>
        <v>38</v>
      </c>
    </row>
    <row r="12" spans="1:28" ht="15.75" customHeight="1" thickBot="1">
      <c r="A12" s="298" t="s">
        <v>40</v>
      </c>
      <c r="B12" s="299" t="s">
        <v>45</v>
      </c>
      <c r="C12" s="299" t="str">
        <f t="shared" si="5"/>
        <v>Taraud  audrey</v>
      </c>
      <c r="D12" s="300" t="str">
        <f t="shared" ca="1" si="6"/>
        <v>Taraud  audrey    36</v>
      </c>
      <c r="E12" s="300">
        <v>29528</v>
      </c>
      <c r="F12" s="301">
        <f t="shared" si="0"/>
        <v>29528</v>
      </c>
      <c r="G12" s="302">
        <f t="shared" ca="1" si="1"/>
        <v>43042</v>
      </c>
      <c r="H12" s="299" t="s">
        <v>43</v>
      </c>
      <c r="I12" s="303" t="str">
        <f t="shared" ca="1" si="2"/>
        <v/>
      </c>
      <c r="J12" s="304">
        <f t="shared" ca="1" si="3"/>
        <v>36</v>
      </c>
      <c r="K12" s="304" t="str">
        <f t="shared" ca="1" si="10"/>
        <v xml:space="preserve">  36</v>
      </c>
      <c r="L12" s="305" t="str">
        <f>IF(H12="naissance",IF(E12="","",INDEX({"Capricorne";"Verseau";"Poisson";"Bélier";"Taureau";"Gémeaux";"Cancer";"Lion";"Vierge";"Balance";"Scorpion";"Sagittaire";"Capricorne";""},MATCH(DATE(,MONTH(E12),DAY(E12)),{0;20;51;81;111;142;173;205;237;267;297;327;357},1))),"")</f>
        <v>Scorpion</v>
      </c>
      <c r="M12" s="306" t="str">
        <f>IF(H12="naissance",IF(F12="","",INDEX({"g";"h";"i";"^";"_";"z";"a";"b";"c";"d";"e";"f";"g";""},MATCH(DATE(,MONTH(F12),DAY(F12)),{0;20;51;81;111;142;173;205;237;267;297;327;357},1))),"")</f>
        <v>e</v>
      </c>
      <c r="N12" s="307" t="str">
        <f t="shared" ca="1" si="4"/>
        <v>猴 singe</v>
      </c>
      <c r="Q12" s="105"/>
      <c r="R12" s="108">
        <v>2955</v>
      </c>
      <c r="S12" s="108">
        <v>3309</v>
      </c>
      <c r="T12" s="117">
        <v>1909</v>
      </c>
      <c r="U12" s="110" t="s">
        <v>448</v>
      </c>
      <c r="V12" s="330" t="s">
        <v>449</v>
      </c>
      <c r="X12" s="75">
        <f t="shared" ca="1" si="11"/>
        <v>43042</v>
      </c>
      <c r="Y12" s="234" t="str">
        <f t="shared" ca="1" si="7"/>
        <v>Taraud  audrey    36</v>
      </c>
      <c r="Z12" s="76">
        <f t="shared" si="8"/>
        <v>29528</v>
      </c>
      <c r="AA12" s="77">
        <f t="shared" ca="1" si="9"/>
        <v>36</v>
      </c>
    </row>
    <row r="13" spans="1:28" ht="15.75" customHeight="1" thickBot="1">
      <c r="A13" s="308" t="s">
        <v>40</v>
      </c>
      <c r="B13" s="309" t="s">
        <v>46</v>
      </c>
      <c r="C13" s="309" t="str">
        <f t="shared" si="5"/>
        <v>Taraud  jerôme</v>
      </c>
      <c r="D13" s="310" t="str">
        <f t="shared" ca="1" si="6"/>
        <v xml:space="preserve">Taraud  jerôme  6  </v>
      </c>
      <c r="E13" s="310">
        <v>40403</v>
      </c>
      <c r="F13" s="311">
        <f t="shared" si="0"/>
        <v>40403</v>
      </c>
      <c r="G13" s="310">
        <f t="shared" ca="1" si="1"/>
        <v>42960</v>
      </c>
      <c r="H13" s="309" t="s">
        <v>56</v>
      </c>
      <c r="I13" s="312">
        <f t="shared" ca="1" si="2"/>
        <v>6</v>
      </c>
      <c r="J13" s="313" t="str">
        <f t="shared" ca="1" si="3"/>
        <v/>
      </c>
      <c r="K13" s="313" t="str">
        <f t="shared" ca="1" si="10"/>
        <v xml:space="preserve">6  </v>
      </c>
      <c r="L13" s="314" t="str">
        <f>IF(H13="naissance",IF(E13="","",INDEX({"Capricorne";"Verseau";"Poisson";"Bélier";"Taureau";"Gémeaux";"Cancer";"Lion";"Vierge";"Balance";"Scorpion";"Sagittaire";"Capricorne";""},MATCH(DATE(,MONTH(E13),DAY(E13)),{0;20;51;81;111;142;173;205;237;267;297;327;357},1))),"")</f>
        <v/>
      </c>
      <c r="M13" s="315" t="str">
        <f>IF(H13="naissance",IF(F13="","",INDEX({"g";"h";"i";"^";"_";"z";"a";"b";"c";"d";"e";"f";"g";""},MATCH(DATE(,MONTH(F13),DAY(F13)),{0;20;51;81;111;142;173;205;237;267;297;327;357},1))),"")</f>
        <v/>
      </c>
      <c r="N13" s="316" t="str">
        <f t="shared" ca="1" si="4"/>
        <v/>
      </c>
      <c r="Q13" s="105"/>
      <c r="R13" s="108">
        <v>3310</v>
      </c>
      <c r="S13" s="108">
        <v>3693</v>
      </c>
      <c r="T13" s="117">
        <v>1910</v>
      </c>
      <c r="U13" s="110" t="s">
        <v>450</v>
      </c>
      <c r="V13" s="331"/>
      <c r="X13" s="75">
        <f t="shared" ca="1" si="11"/>
        <v>42960</v>
      </c>
      <c r="Y13" s="234" t="str">
        <f t="shared" ca="1" si="7"/>
        <v xml:space="preserve">Taraud  jerôme  6  </v>
      </c>
      <c r="Z13" s="76">
        <f t="shared" si="8"/>
        <v>40403</v>
      </c>
      <c r="AA13" s="77">
        <f t="shared" ca="1" si="9"/>
        <v>6</v>
      </c>
    </row>
    <row r="14" spans="1:28" ht="15.75" customHeight="1" thickBot="1">
      <c r="A14" s="298" t="s">
        <v>40</v>
      </c>
      <c r="B14" s="299" t="s">
        <v>57</v>
      </c>
      <c r="C14" s="299" t="str">
        <f t="shared" si="5"/>
        <v>Taraud  stéphanie</v>
      </c>
      <c r="D14" s="300" t="str">
        <f t="shared" ca="1" si="6"/>
        <v xml:space="preserve">Taraud  stéphanie  6  </v>
      </c>
      <c r="E14" s="300">
        <v>40403</v>
      </c>
      <c r="F14" s="301">
        <f t="shared" si="0"/>
        <v>40403</v>
      </c>
      <c r="G14" s="302">
        <f t="shared" ca="1" si="1"/>
        <v>42960</v>
      </c>
      <c r="H14" s="299" t="s">
        <v>56</v>
      </c>
      <c r="I14" s="303">
        <f t="shared" ca="1" si="2"/>
        <v>6</v>
      </c>
      <c r="J14" s="304" t="str">
        <f t="shared" ca="1" si="3"/>
        <v/>
      </c>
      <c r="K14" s="304" t="str">
        <f t="shared" ca="1" si="10"/>
        <v xml:space="preserve">6  </v>
      </c>
      <c r="L14" s="305" t="str">
        <f>IF(H14="naissance",IF(E14="","",INDEX({"Capricorne";"Verseau";"Poisson";"Bélier";"Taureau";"Gémeaux";"Cancer";"Lion";"Vierge";"Balance";"Scorpion";"Sagittaire";"Capricorne";""},MATCH(DATE(,MONTH(E14),DAY(E14)),{0;20;51;81;111;142;173;205;237;267;297;327;357},1))),"")</f>
        <v/>
      </c>
      <c r="M14" s="306" t="str">
        <f>IF(H14="naissance",IF(F14="","",INDEX({"g";"h";"i";"^";"_";"z";"a";"b";"c";"d";"e";"f";"g";""},MATCH(DATE(,MONTH(F14),DAY(F14)),{0;20;51;81;111;142;173;205;237;267;297;327;357},1))),"")</f>
        <v/>
      </c>
      <c r="N14" s="307" t="str">
        <f t="shared" ca="1" si="4"/>
        <v/>
      </c>
      <c r="Q14" s="105"/>
      <c r="R14" s="108">
        <v>3694</v>
      </c>
      <c r="S14" s="108">
        <v>4047</v>
      </c>
      <c r="T14" s="117">
        <v>1911</v>
      </c>
      <c r="U14" s="110" t="s">
        <v>451</v>
      </c>
      <c r="V14" s="330" t="s">
        <v>435</v>
      </c>
      <c r="X14" s="75">
        <f t="shared" ca="1" si="11"/>
        <v>42960</v>
      </c>
      <c r="Y14" s="234" t="str">
        <f t="shared" ca="1" si="7"/>
        <v xml:space="preserve">Taraud  stéphanie  6  </v>
      </c>
      <c r="Z14" s="76">
        <f t="shared" si="8"/>
        <v>40403</v>
      </c>
      <c r="AA14" s="77">
        <f t="shared" ca="1" si="9"/>
        <v>6</v>
      </c>
    </row>
    <row r="15" spans="1:28" ht="15.75" customHeight="1" thickBot="1">
      <c r="A15" s="308" t="s">
        <v>65</v>
      </c>
      <c r="B15" s="309" t="s">
        <v>66</v>
      </c>
      <c r="C15" s="309" t="str">
        <f t="shared" si="5"/>
        <v>Lapostalle  Alexandre</v>
      </c>
      <c r="D15" s="310" t="str">
        <f t="shared" ca="1" si="6"/>
        <v>Lapostalle  Alexandre    30</v>
      </c>
      <c r="E15" s="310">
        <v>31863</v>
      </c>
      <c r="F15" s="311">
        <f t="shared" si="0"/>
        <v>31863</v>
      </c>
      <c r="G15" s="310">
        <f t="shared" ca="1" si="1"/>
        <v>42821</v>
      </c>
      <c r="H15" s="309" t="s">
        <v>43</v>
      </c>
      <c r="I15" s="312" t="str">
        <f t="shared" ca="1" si="2"/>
        <v/>
      </c>
      <c r="J15" s="313">
        <f t="shared" ca="1" si="3"/>
        <v>30</v>
      </c>
      <c r="K15" s="313" t="str">
        <f t="shared" ca="1" si="10"/>
        <v xml:space="preserve">  30</v>
      </c>
      <c r="L15" s="314" t="str">
        <f>IF(H15="naissance",IF(E15="","",INDEX({"Capricorne";"Verseau";"Poisson";"Bélier";"Taureau";"Gémeaux";"Cancer";"Lion";"Vierge";"Balance";"Scorpion";"Sagittaire";"Capricorne";""},MATCH(DATE(,MONTH(E15),DAY(E15)),{0;20;51;81;111;142;173;205;237;267;297;327;357},1))),"")</f>
        <v>Bélier</v>
      </c>
      <c r="M15" s="315" t="str">
        <f>IF(H15="naissance",IF(F15="","",INDEX({"g";"h";"i";"^";"_";"z";"a";"b";"c";"d";"e";"f";"g";""},MATCH(DATE(,MONTH(F15),DAY(F15)),{0;20;51;81;111;142;173;205;237;267;297;327;357},1))),"")</f>
        <v>^</v>
      </c>
      <c r="N15" s="316" t="str">
        <f t="shared" ca="1" si="4"/>
        <v>兔 lièvre</v>
      </c>
      <c r="Q15" s="105"/>
      <c r="R15" s="108">
        <v>4048</v>
      </c>
      <c r="S15" s="108">
        <v>4431</v>
      </c>
      <c r="T15" s="117">
        <v>1912</v>
      </c>
      <c r="U15" s="110" t="s">
        <v>452</v>
      </c>
      <c r="V15" s="331"/>
      <c r="X15" s="75">
        <f t="shared" ca="1" si="11"/>
        <v>42821</v>
      </c>
      <c r="Y15" s="234" t="str">
        <f t="shared" ca="1" si="7"/>
        <v>Lapostalle  Alexandre    30</v>
      </c>
      <c r="Z15" s="76">
        <f t="shared" si="8"/>
        <v>31863</v>
      </c>
      <c r="AA15" s="77">
        <f t="shared" ca="1" si="9"/>
        <v>30</v>
      </c>
    </row>
    <row r="16" spans="1:28" ht="15.75" customHeight="1" thickBot="1">
      <c r="A16" s="298" t="s">
        <v>49</v>
      </c>
      <c r="B16" s="299" t="s">
        <v>50</v>
      </c>
      <c r="C16" s="299" t="str">
        <f t="shared" si="5"/>
        <v>Lachaise   Hervé</v>
      </c>
      <c r="D16" s="300" t="str">
        <f t="shared" ca="1" si="6"/>
        <v>Lachaise   Hervé    38</v>
      </c>
      <c r="E16" s="300">
        <v>28664</v>
      </c>
      <c r="F16" s="301">
        <f t="shared" si="0"/>
        <v>28664</v>
      </c>
      <c r="G16" s="302">
        <f t="shared" ca="1" si="1"/>
        <v>42909</v>
      </c>
      <c r="H16" s="299" t="s">
        <v>43</v>
      </c>
      <c r="I16" s="303" t="str">
        <f t="shared" ca="1" si="2"/>
        <v/>
      </c>
      <c r="J16" s="304">
        <f t="shared" ca="1" si="3"/>
        <v>38</v>
      </c>
      <c r="K16" s="304" t="str">
        <f t="shared" ca="1" si="10"/>
        <v xml:space="preserve">  38</v>
      </c>
      <c r="L16" s="305" t="str">
        <f>IF(H16="naissance",IF(E16="","",INDEX({"Capricorne";"Verseau";"Poisson";"Bélier";"Taureau";"Gémeaux";"Cancer";"Lion";"Vierge";"Balance";"Scorpion";"Sagittaire";"Capricorne";""},MATCH(DATE(,MONTH(E16),DAY(E16)),{0;20;51;81;111;142;173;205;237;267;297;327;357},1))),"")</f>
        <v>Cancer</v>
      </c>
      <c r="M16" s="306" t="str">
        <f>IF(H16="naissance",IF(F16="","",INDEX({"g";"h";"i";"^";"_";"z";"a";"b";"c";"d";"e";"f";"g";""},MATCH(DATE(,MONTH(F16),DAY(F16)),{0;20;51;81;111;142;173;205;237;267;297;327;357},1))),"")</f>
        <v>a</v>
      </c>
      <c r="N16" s="307" t="str">
        <f t="shared" ca="1" si="4"/>
        <v>馬 cheval</v>
      </c>
      <c r="Q16" s="105"/>
      <c r="R16" s="108">
        <v>4432</v>
      </c>
      <c r="S16" s="108">
        <v>4785</v>
      </c>
      <c r="T16" s="117">
        <v>1913</v>
      </c>
      <c r="U16" s="109" t="s">
        <v>434</v>
      </c>
      <c r="V16" s="330" t="s">
        <v>438</v>
      </c>
      <c r="X16" s="75">
        <f t="shared" ca="1" si="11"/>
        <v>42909</v>
      </c>
      <c r="Y16" s="234" t="str">
        <f t="shared" ca="1" si="7"/>
        <v>Lachaise   Hervé    38</v>
      </c>
      <c r="Z16" s="76">
        <f t="shared" si="8"/>
        <v>28664</v>
      </c>
      <c r="AA16" s="77">
        <f t="shared" ca="1" si="9"/>
        <v>38</v>
      </c>
    </row>
    <row r="17" spans="1:27" ht="15.75" customHeight="1" thickBot="1">
      <c r="A17" s="308" t="s">
        <v>63</v>
      </c>
      <c r="B17" s="309" t="s">
        <v>64</v>
      </c>
      <c r="C17" s="309" t="str">
        <f t="shared" si="5"/>
        <v>Laborde   Clément</v>
      </c>
      <c r="D17" s="310" t="str">
        <f t="shared" ca="1" si="6"/>
        <v>Laborde   Clément    21</v>
      </c>
      <c r="E17" s="310">
        <v>35077</v>
      </c>
      <c r="F17" s="311">
        <f t="shared" si="0"/>
        <v>35077</v>
      </c>
      <c r="G17" s="310">
        <f t="shared" ca="1" si="1"/>
        <v>42748</v>
      </c>
      <c r="H17" s="309" t="s">
        <v>43</v>
      </c>
      <c r="I17" s="312" t="str">
        <f t="shared" ca="1" si="2"/>
        <v/>
      </c>
      <c r="J17" s="313">
        <f t="shared" ca="1" si="3"/>
        <v>21</v>
      </c>
      <c r="K17" s="313" t="str">
        <f t="shared" ca="1" si="10"/>
        <v xml:space="preserve">  21</v>
      </c>
      <c r="L17" s="314" t="str">
        <f>IF(H17="naissance",IF(E17="","",INDEX({"Capricorne";"Verseau";"Poisson";"Bélier";"Taureau";"Gémeaux";"Cancer";"Lion";"Vierge";"Balance";"Scorpion";"Sagittaire";"Capricorne";""},MATCH(DATE(,MONTH(E17),DAY(E17)),{0;20;51;81;111;142;173;205;237;267;297;327;357},1))),"")</f>
        <v>Capricorne</v>
      </c>
      <c r="M17" s="315" t="str">
        <f>IF(H17="naissance",IF(F17="","",INDEX({"g";"h";"i";"^";"_";"z";"a";"b";"c";"d";"e";"f";"g";""},MATCH(DATE(,MONTH(F17),DAY(F17)),{0;20;51;81;111;142;173;205;237;267;297;327;357},1))),"")</f>
        <v>g</v>
      </c>
      <c r="N17" s="316" t="str">
        <f t="shared" ca="1" si="4"/>
        <v>猪 cochon</v>
      </c>
      <c r="Q17" s="105"/>
      <c r="R17" s="108">
        <v>4786</v>
      </c>
      <c r="S17" s="108">
        <v>5139</v>
      </c>
      <c r="T17" s="117">
        <v>1914</v>
      </c>
      <c r="U17" s="110" t="s">
        <v>436</v>
      </c>
      <c r="V17" s="331"/>
      <c r="X17" s="75">
        <f t="shared" ca="1" si="11"/>
        <v>42748</v>
      </c>
      <c r="Y17" s="234" t="str">
        <f t="shared" ca="1" si="7"/>
        <v>Laborde   Clément    21</v>
      </c>
      <c r="Z17" s="76">
        <f t="shared" si="8"/>
        <v>35077</v>
      </c>
      <c r="AA17" s="77">
        <f t="shared" ca="1" si="9"/>
        <v>21</v>
      </c>
    </row>
    <row r="18" spans="1:27" ht="15.75" customHeight="1" thickBot="1">
      <c r="A18" s="298" t="s">
        <v>61</v>
      </c>
      <c r="B18" s="299" t="s">
        <v>62</v>
      </c>
      <c r="C18" s="299" t="str">
        <f t="shared" si="5"/>
        <v>chedeville  phillipe</v>
      </c>
      <c r="D18" s="300" t="str">
        <f t="shared" ca="1" si="6"/>
        <v>chedeville  phillipe    33</v>
      </c>
      <c r="E18" s="300">
        <v>30809</v>
      </c>
      <c r="F18" s="301">
        <f t="shared" si="0"/>
        <v>30809</v>
      </c>
      <c r="G18" s="302">
        <f t="shared" ca="1" si="1"/>
        <v>42862</v>
      </c>
      <c r="H18" s="299" t="s">
        <v>43</v>
      </c>
      <c r="I18" s="303" t="str">
        <f t="shared" ca="1" si="2"/>
        <v/>
      </c>
      <c r="J18" s="304">
        <f t="shared" ca="1" si="3"/>
        <v>33</v>
      </c>
      <c r="K18" s="304" t="str">
        <f t="shared" ca="1" si="10"/>
        <v xml:space="preserve">  33</v>
      </c>
      <c r="L18" s="305" t="str">
        <f>IF(H18="naissance",IF(E18="","",INDEX({"Capricorne";"Verseau";"Poisson";"Bélier";"Taureau";"Gémeaux";"Cancer";"Lion";"Vierge";"Balance";"Scorpion";"Sagittaire";"Capricorne";""},MATCH(DATE(,MONTH(E18),DAY(E18)),{0;20;51;81;111;142;173;205;237;267;297;327;357},1))),"")</f>
        <v>Taureau</v>
      </c>
      <c r="M18" s="306" t="str">
        <f>IF(H18="naissance",IF(F18="","",INDEX({"g";"h";"i";"^";"_";"z";"a";"b";"c";"d";"e";"f";"g";""},MATCH(DATE(,MONTH(F18),DAY(F18)),{0;20;51;81;111;142;173;205;237;267;297;327;357},1))),"")</f>
        <v>_</v>
      </c>
      <c r="N18" s="307" t="str">
        <f t="shared" ca="1" si="4"/>
        <v>猪 cochon</v>
      </c>
      <c r="Q18" s="105"/>
      <c r="R18" s="108">
        <v>5140</v>
      </c>
      <c r="S18" s="108">
        <v>5523</v>
      </c>
      <c r="T18" s="117">
        <v>1915</v>
      </c>
      <c r="U18" s="110" t="s">
        <v>437</v>
      </c>
      <c r="V18" s="330" t="s">
        <v>442</v>
      </c>
      <c r="X18" s="75">
        <f t="shared" ca="1" si="11"/>
        <v>42862</v>
      </c>
      <c r="Y18" s="234" t="str">
        <f t="shared" ca="1" si="7"/>
        <v>chedeville  phillipe    33</v>
      </c>
      <c r="Z18" s="76">
        <f t="shared" si="8"/>
        <v>30809</v>
      </c>
      <c r="AA18" s="77">
        <f t="shared" ca="1" si="9"/>
        <v>33</v>
      </c>
    </row>
    <row r="19" spans="1:27" ht="15.75" customHeight="1" thickBot="1">
      <c r="A19" s="308" t="s">
        <v>47</v>
      </c>
      <c r="B19" s="309" t="s">
        <v>48</v>
      </c>
      <c r="C19" s="309" t="str">
        <f t="shared" si="5"/>
        <v>chapellas  fabien</v>
      </c>
      <c r="D19" s="310" t="str">
        <f t="shared" ca="1" si="6"/>
        <v>chapellas  fabien    35</v>
      </c>
      <c r="E19" s="310">
        <v>30086</v>
      </c>
      <c r="F19" s="311">
        <f t="shared" si="0"/>
        <v>30086</v>
      </c>
      <c r="G19" s="310">
        <f t="shared" ca="1" si="1"/>
        <v>42870</v>
      </c>
      <c r="H19" s="309" t="s">
        <v>43</v>
      </c>
      <c r="I19" s="312" t="str">
        <f t="shared" ca="1" si="2"/>
        <v/>
      </c>
      <c r="J19" s="313">
        <f t="shared" ca="1" si="3"/>
        <v>35</v>
      </c>
      <c r="K19" s="313" t="str">
        <f t="shared" ca="1" si="10"/>
        <v xml:space="preserve">  35</v>
      </c>
      <c r="L19" s="314" t="str">
        <f>IF(H19="naissance",IF(E19="","",INDEX({"Capricorne";"Verseau";"Poisson";"Bélier";"Taureau";"Gémeaux";"Cancer";"Lion";"Vierge";"Balance";"Scorpion";"Sagittaire";"Capricorne";""},MATCH(DATE(,MONTH(E19),DAY(E19)),{0;20;51;81;111;142;173;205;237;267;297;327;357},1))),"")</f>
        <v>Taureau</v>
      </c>
      <c r="M19" s="315" t="str">
        <f>IF(H19="naissance",IF(F19="","",INDEX({"g";"h";"i";"^";"_";"z";"a";"b";"c";"d";"e";"f";"g";""},MATCH(DATE(,MONTH(F19),DAY(F19)),{0;20;51;81;111;142;173;205;237;267;297;327;357},1))),"")</f>
        <v>_</v>
      </c>
      <c r="N19" s="316" t="str">
        <f t="shared" ca="1" si="4"/>
        <v>狗 chien</v>
      </c>
      <c r="Q19" s="105"/>
      <c r="R19" s="108">
        <v>5524</v>
      </c>
      <c r="S19" s="108">
        <v>5877</v>
      </c>
      <c r="T19" s="117">
        <v>1916</v>
      </c>
      <c r="U19" s="110" t="s">
        <v>439</v>
      </c>
      <c r="V19" s="331"/>
      <c r="X19" s="75">
        <f t="shared" ca="1" si="11"/>
        <v>42870</v>
      </c>
      <c r="Y19" s="234" t="str">
        <f t="shared" ca="1" si="7"/>
        <v>chapellas  fabien    35</v>
      </c>
      <c r="Z19" s="76">
        <f t="shared" si="8"/>
        <v>30086</v>
      </c>
      <c r="AA19" s="77">
        <f t="shared" ca="1" si="9"/>
        <v>35</v>
      </c>
    </row>
    <row r="20" spans="1:27" ht="15.75" customHeight="1" thickBot="1">
      <c r="A20" s="298" t="s">
        <v>58</v>
      </c>
      <c r="B20" s="299" t="s">
        <v>39</v>
      </c>
      <c r="C20" s="299" t="str">
        <f t="shared" si="5"/>
        <v>boireau  élodie</v>
      </c>
      <c r="D20" s="300" t="str">
        <f t="shared" ca="1" si="6"/>
        <v>boireau  élodie    33</v>
      </c>
      <c r="E20" s="300">
        <v>30650</v>
      </c>
      <c r="F20" s="301">
        <f t="shared" si="0"/>
        <v>30650</v>
      </c>
      <c r="G20" s="302">
        <f t="shared" ca="1" si="1"/>
        <v>43069</v>
      </c>
      <c r="H20" s="299" t="s">
        <v>43</v>
      </c>
      <c r="I20" s="303" t="str">
        <f t="shared" ca="1" si="2"/>
        <v/>
      </c>
      <c r="J20" s="304">
        <f t="shared" ca="1" si="3"/>
        <v>33</v>
      </c>
      <c r="K20" s="304" t="str">
        <f t="shared" ca="1" si="10"/>
        <v xml:space="preserve">  33</v>
      </c>
      <c r="L20" s="305" t="str">
        <f>IF(H20="naissance",IF(E20="","",INDEX({"Capricorne";"Verseau";"Poisson";"Bélier";"Taureau";"Gémeaux";"Cancer";"Lion";"Vierge";"Balance";"Scorpion";"Sagittaire";"Capricorne";""},MATCH(DATE(,MONTH(E20),DAY(E20)),{0;20;51;81;111;142;173;205;237;267;297;327;357},1))),"")</f>
        <v>Sagittaire</v>
      </c>
      <c r="M20" s="306" t="str">
        <f>IF(H20="naissance",IF(F20="","",INDEX({"g";"h";"i";"^";"_";"z";"a";"b";"c";"d";"e";"f";"g";""},MATCH(DATE(,MONTH(F20),DAY(F20)),{0;20;51;81;111;142;173;205;237;267;297;327;357},1))),"")</f>
        <v>f</v>
      </c>
      <c r="N20" s="307" t="str">
        <f t="shared" ca="1" si="4"/>
        <v>猪 cochon</v>
      </c>
      <c r="Q20" s="105"/>
      <c r="R20" s="108">
        <v>5878</v>
      </c>
      <c r="S20" s="108">
        <v>6232</v>
      </c>
      <c r="T20" s="117">
        <v>1917</v>
      </c>
      <c r="U20" s="110" t="s">
        <v>441</v>
      </c>
      <c r="V20" s="330" t="s">
        <v>445</v>
      </c>
      <c r="X20" s="75">
        <f t="shared" ca="1" si="11"/>
        <v>43069</v>
      </c>
      <c r="Y20" s="234" t="str">
        <f t="shared" ca="1" si="7"/>
        <v>boireau  élodie    33</v>
      </c>
      <c r="Z20" s="76">
        <f t="shared" si="8"/>
        <v>30650</v>
      </c>
      <c r="AA20" s="77">
        <f t="shared" ca="1" si="9"/>
        <v>33</v>
      </c>
    </row>
    <row r="21" spans="1:27" ht="15.75" customHeight="1" thickBot="1">
      <c r="A21" s="308" t="s">
        <v>51</v>
      </c>
      <c r="B21" s="309" t="s">
        <v>52</v>
      </c>
      <c r="C21" s="309" t="str">
        <f t="shared" si="5"/>
        <v>Boireau  eric</v>
      </c>
      <c r="D21" s="310" t="str">
        <f t="shared" ca="1" si="6"/>
        <v>Boireau  eric    32</v>
      </c>
      <c r="E21" s="310">
        <v>31165</v>
      </c>
      <c r="F21" s="311">
        <f t="shared" si="0"/>
        <v>31165</v>
      </c>
      <c r="G21" s="310">
        <f t="shared" ca="1" si="1"/>
        <v>42853</v>
      </c>
      <c r="H21" s="309" t="s">
        <v>43</v>
      </c>
      <c r="I21" s="312" t="str">
        <f t="shared" ca="1" si="2"/>
        <v/>
      </c>
      <c r="J21" s="313">
        <f t="shared" ca="1" si="3"/>
        <v>32</v>
      </c>
      <c r="K21" s="313" t="str">
        <f t="shared" ca="1" si="10"/>
        <v xml:space="preserve">  32</v>
      </c>
      <c r="L21" s="314" t="str">
        <f>IF(H21="naissance",IF(E21="","",INDEX({"Capricorne";"Verseau";"Poisson";"Bélier";"Taureau";"Gémeaux";"Cancer";"Lion";"Vierge";"Balance";"Scorpion";"Sagittaire";"Capricorne";""},MATCH(DATE(,MONTH(E21),DAY(E21)),{0;20;51;81;111;142;173;205;237;267;297;327;357},1))),"")</f>
        <v>Taureau</v>
      </c>
      <c r="M21" s="315" t="str">
        <f>IF(H21="naissance",IF(F21="","",INDEX({"g";"h";"i";"^";"_";"z";"a";"b";"c";"d";"e";"f";"g";""},MATCH(DATE(,MONTH(F21),DAY(F21)),{0;20;51;81;111;142;173;205;237;267;297;327;357},1))),"")</f>
        <v>_</v>
      </c>
      <c r="N21" s="316" t="str">
        <f t="shared" ca="1" si="4"/>
        <v>牛 buffle</v>
      </c>
      <c r="Q21" s="105"/>
      <c r="R21" s="108">
        <v>6233</v>
      </c>
      <c r="S21" s="108">
        <v>6616</v>
      </c>
      <c r="T21" s="117">
        <v>1918</v>
      </c>
      <c r="U21" s="110" t="s">
        <v>443</v>
      </c>
      <c r="V21" s="331"/>
      <c r="X21" s="75">
        <f t="shared" ca="1" si="11"/>
        <v>42853</v>
      </c>
      <c r="Y21" s="234" t="str">
        <f t="shared" ca="1" si="7"/>
        <v>Boireau  eric    32</v>
      </c>
      <c r="Z21" s="76">
        <f t="shared" si="8"/>
        <v>31165</v>
      </c>
      <c r="AA21" s="77">
        <f t="shared" ca="1" si="9"/>
        <v>32</v>
      </c>
    </row>
    <row r="22" spans="1:27" ht="15.75" customHeight="1" thickBot="1">
      <c r="A22" s="298" t="s">
        <v>51</v>
      </c>
      <c r="B22" s="299" t="s">
        <v>53</v>
      </c>
      <c r="C22" s="299" t="str">
        <f t="shared" si="5"/>
        <v>Boireau  estelle</v>
      </c>
      <c r="D22" s="300" t="str">
        <f t="shared" ca="1" si="6"/>
        <v>Boireau  estelle    28</v>
      </c>
      <c r="E22" s="300">
        <v>32331</v>
      </c>
      <c r="F22" s="301">
        <f t="shared" si="0"/>
        <v>32331</v>
      </c>
      <c r="G22" s="302">
        <f t="shared" ca="1" si="1"/>
        <v>42923</v>
      </c>
      <c r="H22" s="299" t="s">
        <v>43</v>
      </c>
      <c r="I22" s="303" t="str">
        <f t="shared" ca="1" si="2"/>
        <v/>
      </c>
      <c r="J22" s="304">
        <f t="shared" ca="1" si="3"/>
        <v>28</v>
      </c>
      <c r="K22" s="304" t="str">
        <f t="shared" ca="1" si="10"/>
        <v xml:space="preserve">  28</v>
      </c>
      <c r="L22" s="305" t="str">
        <f>IF(H22="naissance",IF(E22="","",INDEX({"Capricorne";"Verseau";"Poisson";"Bélier";"Taureau";"Gémeaux";"Cancer";"Lion";"Vierge";"Balance";"Scorpion";"Sagittaire";"Capricorne";""},MATCH(DATE(,MONTH(E22),DAY(E22)),{0;20;51;81;111;142;173;205;237;267;297;327;357},1))),"")</f>
        <v>Cancer</v>
      </c>
      <c r="M22" s="306" t="str">
        <f>IF(H22="naissance",IF(F22="","",INDEX({"g";"h";"i";"^";"_";"z";"a";"b";"c";"d";"e";"f";"g";""},MATCH(DATE(,MONTH(F22),DAY(F22)),{0;20;51;81;111;142;173;205;237;267;297;327;357},1))),"")</f>
        <v>a</v>
      </c>
      <c r="N22" s="307" t="str">
        <f t="shared" ca="1" si="4"/>
        <v>龍 dragon</v>
      </c>
      <c r="Q22" s="105"/>
      <c r="R22" s="108">
        <v>6617</v>
      </c>
      <c r="S22" s="108">
        <v>6971</v>
      </c>
      <c r="T22" s="117">
        <v>1919</v>
      </c>
      <c r="U22" s="110" t="s">
        <v>444</v>
      </c>
      <c r="V22" s="330" t="s">
        <v>449</v>
      </c>
      <c r="X22" s="75">
        <f t="shared" ca="1" si="11"/>
        <v>42923</v>
      </c>
      <c r="Y22" s="234" t="str">
        <f t="shared" ca="1" si="7"/>
        <v>Boireau  estelle    28</v>
      </c>
      <c r="Z22" s="76">
        <f t="shared" si="8"/>
        <v>32331</v>
      </c>
      <c r="AA22" s="77">
        <f t="shared" ca="1" si="9"/>
        <v>28</v>
      </c>
    </row>
    <row r="23" spans="1:27" ht="15.75" customHeight="1" thickBot="1">
      <c r="A23" s="308" t="s">
        <v>60</v>
      </c>
      <c r="B23" s="309" t="s">
        <v>59</v>
      </c>
      <c r="C23" s="309" t="str">
        <f t="shared" si="5"/>
        <v>Barberan  mélanie</v>
      </c>
      <c r="D23" s="310" t="str">
        <f t="shared" ca="1" si="6"/>
        <v>Barberan  mélanie    27</v>
      </c>
      <c r="E23" s="310">
        <v>32671</v>
      </c>
      <c r="F23" s="311">
        <f t="shared" si="0"/>
        <v>32671</v>
      </c>
      <c r="G23" s="310">
        <f t="shared" ca="1" si="1"/>
        <v>42898</v>
      </c>
      <c r="H23" s="309" t="s">
        <v>43</v>
      </c>
      <c r="I23" s="312" t="str">
        <f t="shared" ca="1" si="2"/>
        <v/>
      </c>
      <c r="J23" s="313">
        <f t="shared" ca="1" si="3"/>
        <v>27</v>
      </c>
      <c r="K23" s="313" t="str">
        <f t="shared" ca="1" si="10"/>
        <v xml:space="preserve">  27</v>
      </c>
      <c r="L23" s="314" t="str">
        <f>IF(H23="naissance",IF(E23="","",INDEX({"Capricorne";"Verseau";"Poisson";"Bélier";"Taureau";"Gémeaux";"Cancer";"Lion";"Vierge";"Balance";"Scorpion";"Sagittaire";"Capricorne";""},MATCH(DATE(,MONTH(E23),DAY(E23)),{0;20;51;81;111;142;173;205;237;267;297;327;357},1))),"")</f>
        <v>Gémeaux</v>
      </c>
      <c r="M23" s="315" t="str">
        <f>IF(H23="naissance",IF(F23="","",INDEX({"g";"h";"i";"^";"_";"z";"a";"b";"c";"d";"e";"f";"g";""},MATCH(DATE(,MONTH(F23),DAY(F23)),{0;20;51;81;111;142;173;205;237;267;297;327;357},1))),"")</f>
        <v>z</v>
      </c>
      <c r="N23" s="316" t="str">
        <f t="shared" ca="1" si="4"/>
        <v>蛇 serpent</v>
      </c>
      <c r="Q23" s="105"/>
      <c r="R23" s="110" t="s">
        <v>453</v>
      </c>
      <c r="S23" s="108">
        <v>7355</v>
      </c>
      <c r="T23" s="117">
        <v>1920</v>
      </c>
      <c r="U23" s="110" t="s">
        <v>447</v>
      </c>
      <c r="V23" s="331"/>
      <c r="X23" s="75">
        <f t="shared" ca="1" si="11"/>
        <v>42898</v>
      </c>
      <c r="Y23" s="234" t="str">
        <f t="shared" ca="1" si="7"/>
        <v>Barberan  mélanie    27</v>
      </c>
      <c r="Z23" s="76">
        <f t="shared" si="8"/>
        <v>32671</v>
      </c>
      <c r="AA23" s="77">
        <f t="shared" ca="1" si="9"/>
        <v>27</v>
      </c>
    </row>
    <row r="24" spans="1:27" ht="15.75" customHeight="1" thickBot="1">
      <c r="A24" s="298" t="s">
        <v>427</v>
      </c>
      <c r="B24" s="299" t="s">
        <v>428</v>
      </c>
      <c r="C24" s="299" t="str">
        <f t="shared" si="5"/>
        <v>boireau   andrée</v>
      </c>
      <c r="D24" s="300" t="str">
        <f t="shared" ca="1" si="6"/>
        <v>boireau   andrée    82</v>
      </c>
      <c r="E24" s="300">
        <v>12847</v>
      </c>
      <c r="F24" s="301">
        <f t="shared" si="0"/>
        <v>12847</v>
      </c>
      <c r="G24" s="302">
        <f t="shared" ca="1" si="1"/>
        <v>42798</v>
      </c>
      <c r="H24" s="299" t="s">
        <v>43</v>
      </c>
      <c r="I24" s="303" t="str">
        <f t="shared" ca="1" si="2"/>
        <v/>
      </c>
      <c r="J24" s="304">
        <f t="shared" ca="1" si="3"/>
        <v>82</v>
      </c>
      <c r="K24" s="304" t="str">
        <f t="shared" ca="1" si="10"/>
        <v xml:space="preserve">  82</v>
      </c>
      <c r="L24" s="305" t="str">
        <f>IF(H24="naissance",IF(E24="","",INDEX({"Capricorne";"Verseau";"Poisson";"Bélier";"Taureau";"Gémeaux";"Cancer";"Lion";"Vierge";"Balance";"Scorpion";"Sagittaire";"Capricorne";""},MATCH(DATE(,MONTH(E24),DAY(E24)),{0;20;51;81;111;142;173;205;237;267;297;327;357},1))),"")</f>
        <v>Poisson</v>
      </c>
      <c r="M24" s="306" t="str">
        <f>IF(H24="naissance",IF(F24="","",INDEX({"g";"h";"i";"^";"_";"z";"a";"b";"c";"d";"e";"f";"g";""},MATCH(DATE(,MONTH(F24),DAY(F24)),{0;20;51;81;111;142;173;205;237;267;297;327;357},1))),"")</f>
        <v>i</v>
      </c>
      <c r="N24" s="307" t="str">
        <f t="shared" ca="1" si="4"/>
        <v>猪 cochon</v>
      </c>
      <c r="Q24" s="105"/>
      <c r="R24" s="108">
        <v>7356</v>
      </c>
      <c r="S24" s="108">
        <v>7709</v>
      </c>
      <c r="T24" s="117">
        <v>1921</v>
      </c>
      <c r="U24" s="110" t="s">
        <v>448</v>
      </c>
      <c r="V24" s="330" t="s">
        <v>435</v>
      </c>
      <c r="X24" s="75">
        <f t="shared" ref="X24:X36" ca="1" si="12">DATE(YEAR(TODAY()),MONTH(Z24),DAY(Z24))</f>
        <v>42798</v>
      </c>
      <c r="Y24" s="234" t="str">
        <f t="shared" ca="1" si="7"/>
        <v>boireau   andrée    82</v>
      </c>
      <c r="Z24" s="76">
        <f t="shared" si="8"/>
        <v>12847</v>
      </c>
      <c r="AA24" s="77">
        <f t="shared" ref="AA24:AA36" ca="1" si="13">IF(Z24&lt;1/1/2000,"",DATEDIF(Z24,TODAY(),"y"))</f>
        <v>82</v>
      </c>
    </row>
    <row r="25" spans="1:27" ht="15.75" customHeight="1" thickBot="1">
      <c r="A25" s="308" t="s">
        <v>38</v>
      </c>
      <c r="B25" s="309" t="s">
        <v>460</v>
      </c>
      <c r="C25" s="309" t="str">
        <f t="shared" si="5"/>
        <v>Virely  Maël</v>
      </c>
      <c r="D25" s="310" t="str">
        <f t="shared" ca="1" si="6"/>
        <v>Virely  Maël    3</v>
      </c>
      <c r="E25" s="310">
        <v>41552</v>
      </c>
      <c r="F25" s="311">
        <f>IF(E25&lt;1/1/1900,"",E25)</f>
        <v>41552</v>
      </c>
      <c r="G25" s="310">
        <f ca="1">IF(E25&lt;1/1/2000,"",DATE(YEAR(TODAY()),MONTH(E25),DAY(F25)))</f>
        <v>43013</v>
      </c>
      <c r="H25" s="309" t="s">
        <v>43</v>
      </c>
      <c r="I25" s="312" t="str">
        <f t="shared" ca="1" si="2"/>
        <v/>
      </c>
      <c r="J25" s="313">
        <f t="shared" ca="1" si="3"/>
        <v>3</v>
      </c>
      <c r="K25" s="313" t="str">
        <f t="shared" ca="1" si="10"/>
        <v xml:space="preserve">  3</v>
      </c>
      <c r="L25" s="314" t="str">
        <f>IF(H25="naissance",IF(E25="","",INDEX({"Capricorne";"Verseau";"Poisson";"Bélier";"Taureau";"Gémeaux";"Cancer";"Lion";"Vierge";"Balance";"Scorpion";"Sagittaire";"Capricorne";""},MATCH(DATE(,MONTH(E25),DAY(E25)),{0;20;51;81;111;142;173;205;237;267;297;327;357},1))),"")</f>
        <v>Balance</v>
      </c>
      <c r="M25" s="315" t="str">
        <f>IF(H25="naissance",IF(F25="","",INDEX({"g";"h";"i";"^";"_";"z";"a";"b";"c";"d";"e";"f";"g";""},MATCH(DATE(,MONTH(F25),DAY(F25)),{0;20;51;81;111;142;173;205;237;267;297;327;357},1))),"")</f>
        <v>d</v>
      </c>
      <c r="N25" s="316" t="str">
        <f t="shared" ca="1" si="4"/>
        <v>蛇 serpent</v>
      </c>
      <c r="Q25" s="105"/>
      <c r="R25" s="108">
        <v>7710</v>
      </c>
      <c r="S25" s="108">
        <v>8063</v>
      </c>
      <c r="T25" s="117">
        <v>1922</v>
      </c>
      <c r="U25" s="110" t="s">
        <v>450</v>
      </c>
      <c r="V25" s="331"/>
      <c r="X25" s="75">
        <f t="shared" ca="1" si="12"/>
        <v>43013</v>
      </c>
      <c r="Y25" s="234" t="str">
        <f t="shared" ca="1" si="7"/>
        <v>Virely  Maël    3</v>
      </c>
      <c r="Z25" s="76">
        <f t="shared" si="8"/>
        <v>41552</v>
      </c>
      <c r="AA25" s="77">
        <f t="shared" ca="1" si="13"/>
        <v>3</v>
      </c>
    </row>
    <row r="26" spans="1:27" ht="15.75" customHeight="1" thickBot="1">
      <c r="A26" s="298" t="s">
        <v>38</v>
      </c>
      <c r="B26" s="299" t="s">
        <v>459</v>
      </c>
      <c r="C26" s="299" t="str">
        <f t="shared" si="5"/>
        <v>Virely  Alexi</v>
      </c>
      <c r="D26" s="300" t="str">
        <f t="shared" ca="1" si="6"/>
        <v>Virely  Alexi    6</v>
      </c>
      <c r="E26" s="300">
        <v>40555</v>
      </c>
      <c r="F26" s="301">
        <f>IF(E26&lt;1/1/1900,"",E26)</f>
        <v>40555</v>
      </c>
      <c r="G26" s="302">
        <f ca="1">IF(E26&lt;1/1/2000,"",DATE(YEAR(TODAY()),MONTH(E26),DAY(F26)))</f>
        <v>42747</v>
      </c>
      <c r="H26" s="299" t="s">
        <v>43</v>
      </c>
      <c r="I26" s="303" t="str">
        <f t="shared" ca="1" si="2"/>
        <v/>
      </c>
      <c r="J26" s="304">
        <f t="shared" ca="1" si="3"/>
        <v>6</v>
      </c>
      <c r="K26" s="304" t="str">
        <f t="shared" ca="1" si="10"/>
        <v xml:space="preserve">  6</v>
      </c>
      <c r="L26" s="305" t="str">
        <f>IF(H26="naissance",IF(E26="","",INDEX({"Capricorne";"Verseau";"Poisson";"Bélier";"Taureau";"Gémeaux";"Cancer";"Lion";"Vierge";"Balance";"Scorpion";"Sagittaire";"Capricorne";""},MATCH(DATE(,MONTH(E26),DAY(E26)),{0;20;51;81;111;142;173;205;237;267;297;327;357},1))),"")</f>
        <v>Capricorne</v>
      </c>
      <c r="M26" s="306" t="str">
        <f>IF(H26="naissance",IF(F26="","",INDEX({"g";"h";"i";"^";"_";"z";"a";"b";"c";"d";"e";"f";"g";""},MATCH(DATE(,MONTH(F26),DAY(F26)),{0;20;51;81;111;142;173;205;237;267;297;327;357},1))),"")</f>
        <v>g</v>
      </c>
      <c r="N26" s="307" t="str">
        <f t="shared" ca="1" si="4"/>
        <v>虎 tigre</v>
      </c>
      <c r="Q26" s="105"/>
      <c r="R26" s="108">
        <v>8064</v>
      </c>
      <c r="S26" s="108">
        <v>8447</v>
      </c>
      <c r="T26" s="117">
        <v>1923</v>
      </c>
      <c r="U26" s="110" t="s">
        <v>451</v>
      </c>
      <c r="V26" s="255" t="s">
        <v>438</v>
      </c>
      <c r="X26" s="75">
        <f t="shared" ca="1" si="12"/>
        <v>42747</v>
      </c>
      <c r="Y26" s="234" t="str">
        <f t="shared" ca="1" si="7"/>
        <v>Virely  Alexi    6</v>
      </c>
      <c r="Z26" s="76">
        <f t="shared" si="8"/>
        <v>40555</v>
      </c>
      <c r="AA26" s="77">
        <f t="shared" ca="1" si="13"/>
        <v>6</v>
      </c>
    </row>
    <row r="27" spans="1:27" ht="15.75" customHeight="1" thickBot="1">
      <c r="A27" s="298" t="s">
        <v>58</v>
      </c>
      <c r="B27" s="299" t="s">
        <v>593</v>
      </c>
      <c r="C27" s="299" t="str">
        <f>CONCATENATE(A27,"  ",B27)</f>
        <v>boireau  emmy</v>
      </c>
      <c r="D27" s="300" t="str">
        <f ca="1">CONCATENATE(C27,"  ",K27)</f>
        <v>boireau  emmy    7</v>
      </c>
      <c r="E27" s="300">
        <v>40310</v>
      </c>
      <c r="F27" s="301">
        <f>IF(E27&lt;1/1/1900,"",E27)</f>
        <v>40310</v>
      </c>
      <c r="G27" s="302">
        <f ca="1">IF(E27&lt;1/1/2000,"",DATE(YEAR(TODAY()),MONTH(E27),DAY(F27)))</f>
        <v>42867</v>
      </c>
      <c r="H27" s="299" t="s">
        <v>43</v>
      </c>
      <c r="I27" s="303" t="str">
        <f ca="1">IF(E27&gt;$AB$1,"",IF(B27="","",IF(H27&lt;&gt;"naissance",IF(F27&lt;1/1/19000," ",DATEDIF(F27,TODAY(),"y")),"")))</f>
        <v/>
      </c>
      <c r="J27" s="304">
        <f ca="1">IF(H27="naissance",IF(F27&lt;1/1/19000," ",DATEDIF(F27,TODAY(),"y")),"")</f>
        <v>7</v>
      </c>
      <c r="K27" s="304" t="str">
        <f ca="1">CONCATENATE(I27,"  ",J27)</f>
        <v xml:space="preserve">  7</v>
      </c>
      <c r="L27" s="305" t="str">
        <f>IF(H27="naissance",IF(E27="","",INDEX({"Capricorne";"Verseau";"Poisson";"Bélier";"Taureau";"Gémeaux";"Cancer";"Lion";"Vierge";"Balance";"Scorpion";"Sagittaire";"Capricorne";""},MATCH(DATE(,MONTH(E27),DAY(E27)),{0;20;51;81;111;142;173;205;237;267;297;327;357},1))),"")</f>
        <v>Taureau</v>
      </c>
      <c r="M27" s="306" t="str">
        <f>IF(H27="naissance",IF(F27="","",INDEX({"g";"h";"i";"^";"_";"z";"a";"b";"c";"d";"e";"f";"g";""},MATCH(DATE(,MONTH(F27),DAY(F27)),{0;20;51;81;111;142;173;205;237;267;297;327;357},1))),"")</f>
        <v>_</v>
      </c>
      <c r="N27" s="307" t="str">
        <f t="shared" ref="N27:N39" ca="1" si="14">IF(H27="naissance",OFFSET($U$3,MATCH(E27,$S$4:$S$123,1)+1,),"")</f>
        <v>虎 tigre</v>
      </c>
      <c r="Q27" s="105"/>
      <c r="R27" s="108"/>
      <c r="S27" s="108"/>
      <c r="T27" s="117"/>
      <c r="U27" s="257"/>
      <c r="V27" s="256"/>
      <c r="X27" s="75"/>
      <c r="Y27" s="234"/>
      <c r="Z27" s="76"/>
      <c r="AA27" s="77"/>
    </row>
    <row r="28" spans="1:27" ht="15.75" customHeight="1" thickBot="1">
      <c r="A28" s="308" t="s">
        <v>58</v>
      </c>
      <c r="B28" s="309" t="s">
        <v>602</v>
      </c>
      <c r="C28" s="309" t="str">
        <f t="shared" ref="C28:C39" si="15">CONCATENATE(A28,"  ",B28)</f>
        <v>boireau  louane</v>
      </c>
      <c r="D28" s="310" t="str">
        <f t="shared" ref="D28:D39" ca="1" si="16">CONCATENATE(C28,"  ",K28)</f>
        <v>boireau  louane    1</v>
      </c>
      <c r="E28" s="310">
        <v>42371</v>
      </c>
      <c r="F28" s="311">
        <f t="shared" ref="F28:F39" si="17">IF(E28&lt;1/1/1900,"",E28)</f>
        <v>42371</v>
      </c>
      <c r="G28" s="310">
        <f t="shared" ref="G28:G39" ca="1" si="18">IF(E28&lt;1/1/2000,"",DATE(YEAR(TODAY()),MONTH(E28),DAY(F28)))</f>
        <v>42737</v>
      </c>
      <c r="H28" s="309" t="s">
        <v>43</v>
      </c>
      <c r="I28" s="312" t="str">
        <f t="shared" ref="I28:I39" ca="1" si="19">IF(E28&gt;$AB$1,"",IF(B28="","",IF(H28&lt;&gt;"naissance",IF(F28&lt;1/1/19000," ",DATEDIF(F28,TODAY(),"y")),"")))</f>
        <v/>
      </c>
      <c r="J28" s="313">
        <f t="shared" ref="J28:J39" ca="1" si="20">IF(H28="naissance",IF(F28&lt;1/1/19000," ",DATEDIF(F28,TODAY(),"y")),"")</f>
        <v>1</v>
      </c>
      <c r="K28" s="313" t="str">
        <f t="shared" ref="K28:K39" ca="1" si="21">CONCATENATE(I28,"  ",J28)</f>
        <v xml:space="preserve">  1</v>
      </c>
      <c r="L28" s="314" t="str">
        <f>IF(H28="naissance",IF(E28="","",INDEX({"Capricorne";"Verseau";"Poisson";"Bélier";"Taureau";"Gémeaux";"Cancer";"Lion";"Vierge";"Balance";"Scorpion";"Sagittaire";"Capricorne";""},MATCH(DATE(,MONTH(E28),DAY(E28)),{0;20;51;81;111;142;173;205;237;267;297;327;357},1))),"")</f>
        <v>Capricorne</v>
      </c>
      <c r="M28" s="315" t="str">
        <f>IF(H28="naissance",IF(F28="","",INDEX({"g";"h";"i";"^";"_";"z";"a";"b";"c";"d";"e";"f";"g";""},MATCH(DATE(,MONTH(F28),DAY(F28)),{0;20;51;81;111;142;173;205;237;267;297;327;357},1))),"")</f>
        <v>g</v>
      </c>
      <c r="N28" s="316" t="str">
        <f t="shared" ca="1" si="14"/>
        <v>羊 chèvre</v>
      </c>
      <c r="Q28" s="105"/>
      <c r="R28" s="108">
        <v>8802</v>
      </c>
      <c r="S28" s="108">
        <v>9156</v>
      </c>
      <c r="T28" s="117">
        <v>1925</v>
      </c>
      <c r="U28" s="109" t="s">
        <v>434</v>
      </c>
      <c r="V28" s="330" t="s">
        <v>442</v>
      </c>
      <c r="X28" s="75">
        <f t="shared" ca="1" si="12"/>
        <v>42737</v>
      </c>
      <c r="Y28" s="234" t="str">
        <f t="shared" ca="1" si="7"/>
        <v>boireau  louane    1</v>
      </c>
      <c r="Z28" s="76">
        <f t="shared" si="8"/>
        <v>42371</v>
      </c>
      <c r="AA28" s="77">
        <f t="shared" ca="1" si="13"/>
        <v>1</v>
      </c>
    </row>
    <row r="29" spans="1:27" ht="15.75" customHeight="1" thickBot="1">
      <c r="A29" s="298" t="s">
        <v>603</v>
      </c>
      <c r="B29" s="299" t="s">
        <v>604</v>
      </c>
      <c r="C29" s="299" t="str">
        <f t="shared" si="15"/>
        <v>decelle  nelly</v>
      </c>
      <c r="D29" s="300" t="str">
        <f t="shared" ca="1" si="16"/>
        <v>decelle  nelly    36</v>
      </c>
      <c r="E29" s="300">
        <v>29481</v>
      </c>
      <c r="F29" s="301">
        <f t="shared" si="17"/>
        <v>29481</v>
      </c>
      <c r="G29" s="302">
        <f t="shared" ca="1" si="18"/>
        <v>42995</v>
      </c>
      <c r="H29" s="299" t="s">
        <v>43</v>
      </c>
      <c r="I29" s="303" t="str">
        <f t="shared" ca="1" si="19"/>
        <v/>
      </c>
      <c r="J29" s="304">
        <f t="shared" ca="1" si="20"/>
        <v>36</v>
      </c>
      <c r="K29" s="304" t="str">
        <f t="shared" ca="1" si="21"/>
        <v xml:space="preserve">  36</v>
      </c>
      <c r="L29" s="305" t="str">
        <f>IF(H29="naissance",IF(E29="","",INDEX({"Capricorne";"Verseau";"Poisson";"Bélier";"Taureau";"Gémeaux";"Cancer";"Lion";"Vierge";"Balance";"Scorpion";"Sagittaire";"Capricorne";""},MATCH(DATE(,MONTH(E29),DAY(E29)),{0;20;51;81;111;142;173;205;237;267;297;327;357},1))),"")</f>
        <v>Vierge</v>
      </c>
      <c r="M29" s="306" t="str">
        <f>IF(H29="naissance",IF(F29="","",INDEX({"g";"h";"i";"^";"_";"z";"a";"b";"c";"d";"e";"f";"g";""},MATCH(DATE(,MONTH(F29),DAY(F29)),{0;20;51;81;111;142;173;205;237;267;297;327;357},1))),"")</f>
        <v>c</v>
      </c>
      <c r="N29" s="307" t="str">
        <f t="shared" ca="1" si="14"/>
        <v>猴 singe</v>
      </c>
      <c r="Q29" s="105"/>
      <c r="R29" s="108">
        <v>9157</v>
      </c>
      <c r="S29" s="108">
        <v>9540</v>
      </c>
      <c r="T29" s="117">
        <v>1926</v>
      </c>
      <c r="U29" s="110" t="s">
        <v>436</v>
      </c>
      <c r="V29" s="331"/>
      <c r="X29" s="75">
        <f t="shared" ca="1" si="12"/>
        <v>42995</v>
      </c>
      <c r="Y29" s="234" t="str">
        <f t="shared" ca="1" si="7"/>
        <v>decelle  nelly    36</v>
      </c>
      <c r="Z29" s="76">
        <f t="shared" si="8"/>
        <v>29481</v>
      </c>
      <c r="AA29" s="77">
        <f t="shared" ca="1" si="13"/>
        <v>36</v>
      </c>
    </row>
    <row r="30" spans="1:27" ht="15.75" customHeight="1" thickBot="1">
      <c r="A30" s="308" t="s">
        <v>58</v>
      </c>
      <c r="B30" s="309" t="s">
        <v>605</v>
      </c>
      <c r="C30" s="309" t="str">
        <f t="shared" si="15"/>
        <v>boireau  kylian</v>
      </c>
      <c r="D30" s="310" t="str">
        <f t="shared" ca="1" si="16"/>
        <v>boireau  kylian    2</v>
      </c>
      <c r="E30" s="310">
        <v>41899</v>
      </c>
      <c r="F30" s="311">
        <f t="shared" si="17"/>
        <v>41899</v>
      </c>
      <c r="G30" s="310">
        <f t="shared" ca="1" si="18"/>
        <v>42995</v>
      </c>
      <c r="H30" s="309" t="s">
        <v>43</v>
      </c>
      <c r="I30" s="312" t="str">
        <f t="shared" ca="1" si="19"/>
        <v/>
      </c>
      <c r="J30" s="313">
        <f t="shared" ca="1" si="20"/>
        <v>2</v>
      </c>
      <c r="K30" s="313" t="str">
        <f t="shared" ca="1" si="21"/>
        <v xml:space="preserve">  2</v>
      </c>
      <c r="L30" s="314" t="str">
        <f>IF(H30="naissance",IF(E30="","",INDEX({"Capricorne";"Verseau";"Poisson";"Bélier";"Taureau";"Gémeaux";"Cancer";"Lion";"Vierge";"Balance";"Scorpion";"Sagittaire";"Capricorne";""},MATCH(DATE(,MONTH(E30),DAY(E30)),{0;20;51;81;111;142;173;205;237;267;297;327;357},1))),"")</f>
        <v>Vierge</v>
      </c>
      <c r="M30" s="315" t="str">
        <f>IF(H30="naissance",IF(F30="","",INDEX({"g";"h";"i";"^";"_";"z";"a";"b";"c";"d";"e";"f";"g";""},MATCH(DATE(,MONTH(F30),DAY(F30)),{0;20;51;81;111;142;173;205;237;267;297;327;357},1))),"")</f>
        <v>c</v>
      </c>
      <c r="N30" s="316" t="str">
        <f t="shared" ca="1" si="14"/>
        <v>馬 cheval</v>
      </c>
      <c r="Q30" s="105"/>
      <c r="R30" s="108">
        <v>9541</v>
      </c>
      <c r="S30" s="110" t="s">
        <v>455</v>
      </c>
      <c r="T30" s="117">
        <v>1927</v>
      </c>
      <c r="U30" s="110" t="s">
        <v>437</v>
      </c>
      <c r="V30" s="330" t="s">
        <v>445</v>
      </c>
      <c r="X30" s="75">
        <f t="shared" ca="1" si="12"/>
        <v>42995</v>
      </c>
      <c r="Y30" s="234" t="str">
        <f t="shared" ca="1" si="7"/>
        <v>boireau  kylian    2</v>
      </c>
      <c r="Z30" s="76">
        <f t="shared" si="8"/>
        <v>41899</v>
      </c>
      <c r="AA30" s="77">
        <f t="shared" ca="1" si="13"/>
        <v>2</v>
      </c>
    </row>
    <row r="31" spans="1:27" ht="15.75" customHeight="1" thickBot="1">
      <c r="A31" s="298" t="s">
        <v>606</v>
      </c>
      <c r="B31" s="299"/>
      <c r="C31" s="299" t="str">
        <f t="shared" si="15"/>
        <v xml:space="preserve">mica  </v>
      </c>
      <c r="D31" s="300" t="str">
        <f t="shared" ca="1" si="16"/>
        <v>mica      35</v>
      </c>
      <c r="E31" s="300">
        <v>30008</v>
      </c>
      <c r="F31" s="301">
        <f t="shared" si="17"/>
        <v>30008</v>
      </c>
      <c r="G31" s="302">
        <f t="shared" ca="1" si="18"/>
        <v>42792</v>
      </c>
      <c r="H31" s="299" t="s">
        <v>43</v>
      </c>
      <c r="I31" s="303" t="str">
        <f t="shared" ca="1" si="19"/>
        <v/>
      </c>
      <c r="J31" s="304">
        <f t="shared" ca="1" si="20"/>
        <v>35</v>
      </c>
      <c r="K31" s="304" t="str">
        <f t="shared" ca="1" si="21"/>
        <v xml:space="preserve">  35</v>
      </c>
      <c r="L31" s="305" t="str">
        <f>IF(H31="naissance",IF(E31="","",INDEX({"Capricorne";"Verseau";"Poisson";"Bélier";"Taureau";"Gémeaux";"Cancer";"Lion";"Vierge";"Balance";"Scorpion";"Sagittaire";"Capricorne";""},MATCH(DATE(,MONTH(E31),DAY(E31)),{0;20;51;81;111;142;173;205;237;267;297;327;357},1))),"")</f>
        <v>Poisson</v>
      </c>
      <c r="M31" s="306" t="str">
        <f>IF(H31="naissance",IF(F31="","",INDEX({"g";"h";"i";"^";"_";"z";"a";"b";"c";"d";"e";"f";"g";""},MATCH(DATE(,MONTH(F31),DAY(F31)),{0;20;51;81;111;142;173;205;237;267;297;327;357},1))),"")</f>
        <v>i</v>
      </c>
      <c r="N31" s="307" t="str">
        <f t="shared" ca="1" si="14"/>
        <v>狗 chien</v>
      </c>
      <c r="Q31" s="105"/>
      <c r="R31" s="108">
        <v>9895</v>
      </c>
      <c r="S31" s="108">
        <v>10249</v>
      </c>
      <c r="T31" s="117">
        <v>1928</v>
      </c>
      <c r="U31" s="110" t="s">
        <v>439</v>
      </c>
      <c r="V31" s="331"/>
      <c r="X31" s="75">
        <f t="shared" ca="1" si="12"/>
        <v>42792</v>
      </c>
      <c r="Y31" s="234" t="str">
        <f t="shared" ca="1" si="7"/>
        <v>mica      35</v>
      </c>
      <c r="Z31" s="76">
        <f t="shared" si="8"/>
        <v>30008</v>
      </c>
      <c r="AA31" s="77">
        <f t="shared" ca="1" si="13"/>
        <v>35</v>
      </c>
    </row>
    <row r="32" spans="1:27" ht="15.75" customHeight="1" thickBot="1">
      <c r="A32" s="308" t="s">
        <v>607</v>
      </c>
      <c r="B32" s="309" t="s">
        <v>608</v>
      </c>
      <c r="C32" s="309" t="str">
        <f t="shared" si="15"/>
        <v>malandin  yoann</v>
      </c>
      <c r="D32" s="310" t="str">
        <f t="shared" ca="1" si="16"/>
        <v>malandin  yoann    37</v>
      </c>
      <c r="E32" s="310">
        <v>29300</v>
      </c>
      <c r="F32" s="311">
        <f t="shared" si="17"/>
        <v>29300</v>
      </c>
      <c r="G32" s="310">
        <f t="shared" ca="1" si="18"/>
        <v>42814</v>
      </c>
      <c r="H32" s="309" t="s">
        <v>43</v>
      </c>
      <c r="I32" s="312" t="str">
        <f t="shared" ca="1" si="19"/>
        <v/>
      </c>
      <c r="J32" s="313">
        <f t="shared" ca="1" si="20"/>
        <v>37</v>
      </c>
      <c r="K32" s="313" t="str">
        <f t="shared" ca="1" si="21"/>
        <v xml:space="preserve">  37</v>
      </c>
      <c r="L32" s="314" t="str">
        <f>IF(H32="naissance",IF(E32="","",INDEX({"Capricorne";"Verseau";"Poisson";"Bélier";"Taureau";"Gémeaux";"Cancer";"Lion";"Vierge";"Balance";"Scorpion";"Sagittaire";"Capricorne";""},MATCH(DATE(,MONTH(E32),DAY(E32)),{0;20;51;81;111;142;173;205;237;267;297;327;357},1))),"")</f>
        <v>Poisson</v>
      </c>
      <c r="M32" s="315" t="str">
        <f>IF(H32="naissance",IF(F32="","",INDEX({"g";"h";"i";"^";"_";"z";"a";"b";"c";"d";"e";"f";"g";""},MATCH(DATE(,MONTH(F32),DAY(F32)),{0;20;51;81;111;142;173;205;237;267;297;327;357},1))),"")</f>
        <v>i</v>
      </c>
      <c r="N32" s="316" t="str">
        <f t="shared" ca="1" si="14"/>
        <v>猴 singe</v>
      </c>
      <c r="Q32" s="105"/>
      <c r="R32" s="108">
        <v>10250</v>
      </c>
      <c r="S32" s="108">
        <v>10633</v>
      </c>
      <c r="T32" s="117">
        <v>1929</v>
      </c>
      <c r="U32" s="110" t="s">
        <v>441</v>
      </c>
      <c r="V32" s="330" t="s">
        <v>449</v>
      </c>
      <c r="X32" s="75">
        <f t="shared" ca="1" si="12"/>
        <v>42814</v>
      </c>
      <c r="Y32" s="234" t="str">
        <f t="shared" ca="1" si="7"/>
        <v>malandin  yoann    37</v>
      </c>
      <c r="Z32" s="76">
        <f t="shared" si="8"/>
        <v>29300</v>
      </c>
      <c r="AA32" s="77">
        <f t="shared" ca="1" si="13"/>
        <v>37</v>
      </c>
    </row>
    <row r="33" spans="1:27" ht="15.75" customHeight="1" thickBot="1">
      <c r="A33" s="298" t="s">
        <v>609</v>
      </c>
      <c r="B33" s="299" t="s">
        <v>610</v>
      </c>
      <c r="C33" s="299" t="str">
        <f t="shared" si="15"/>
        <v>taraud  albane</v>
      </c>
      <c r="D33" s="300" t="str">
        <f t="shared" ca="1" si="16"/>
        <v>taraud  albane    8</v>
      </c>
      <c r="E33" s="300">
        <v>39901</v>
      </c>
      <c r="F33" s="301">
        <f t="shared" si="17"/>
        <v>39901</v>
      </c>
      <c r="G33" s="302">
        <f t="shared" ca="1" si="18"/>
        <v>42823</v>
      </c>
      <c r="H33" s="299" t="s">
        <v>43</v>
      </c>
      <c r="I33" s="303" t="str">
        <f t="shared" ca="1" si="19"/>
        <v/>
      </c>
      <c r="J33" s="304">
        <f t="shared" ca="1" si="20"/>
        <v>8</v>
      </c>
      <c r="K33" s="304" t="str">
        <f t="shared" ca="1" si="21"/>
        <v xml:space="preserve">  8</v>
      </c>
      <c r="L33" s="305" t="str">
        <f>IF(H33="naissance",IF(E33="","",INDEX({"Capricorne";"Verseau";"Poisson";"Bélier";"Taureau";"Gémeaux";"Cancer";"Lion";"Vierge";"Balance";"Scorpion";"Sagittaire";"Capricorne";""},MATCH(DATE(,MONTH(E33),DAY(E33)),{0;20;51;81;111;142;173;205;237;267;297;327;357},1))),"")</f>
        <v>Bélier</v>
      </c>
      <c r="M33" s="306" t="str">
        <f>IF(H33="naissance",IF(F33="","",INDEX({"g";"h";"i";"^";"_";"z";"a";"b";"c";"d";"e";"f";"g";""},MATCH(DATE(,MONTH(F33),DAY(F33)),{0;20;51;81;111;142;173;205;237;267;297;327;357},1))),"")</f>
        <v>^</v>
      </c>
      <c r="N33" s="307" t="str">
        <f t="shared" ca="1" si="14"/>
        <v>牛 buffle</v>
      </c>
      <c r="Q33" s="105"/>
      <c r="R33" s="108">
        <v>10634</v>
      </c>
      <c r="S33" s="108">
        <v>10987</v>
      </c>
      <c r="T33" s="117">
        <v>1930</v>
      </c>
      <c r="U33" s="110" t="s">
        <v>443</v>
      </c>
      <c r="V33" s="331"/>
      <c r="X33" s="75">
        <f t="shared" ca="1" si="12"/>
        <v>42823</v>
      </c>
      <c r="Y33" s="234" t="str">
        <f t="shared" ca="1" si="7"/>
        <v>taraud  albane    8</v>
      </c>
      <c r="Z33" s="76">
        <f t="shared" si="8"/>
        <v>39901</v>
      </c>
      <c r="AA33" s="77">
        <f t="shared" ca="1" si="13"/>
        <v>8</v>
      </c>
    </row>
    <row r="34" spans="1:27" ht="15.75" customHeight="1" thickBot="1">
      <c r="A34" s="308" t="s">
        <v>603</v>
      </c>
      <c r="B34" s="309" t="s">
        <v>54</v>
      </c>
      <c r="C34" s="309" t="str">
        <f t="shared" si="15"/>
        <v>decelle  daniel</v>
      </c>
      <c r="D34" s="310" t="str">
        <f t="shared" ca="1" si="16"/>
        <v>decelle  daniel    38</v>
      </c>
      <c r="E34" s="310">
        <v>28944</v>
      </c>
      <c r="F34" s="311">
        <f t="shared" si="17"/>
        <v>28944</v>
      </c>
      <c r="G34" s="310">
        <f t="shared" ca="1" si="18"/>
        <v>42824</v>
      </c>
      <c r="H34" s="309" t="s">
        <v>43</v>
      </c>
      <c r="I34" s="312" t="str">
        <f t="shared" ca="1" si="19"/>
        <v/>
      </c>
      <c r="J34" s="313">
        <f t="shared" ca="1" si="20"/>
        <v>38</v>
      </c>
      <c r="K34" s="313" t="str">
        <f t="shared" ca="1" si="21"/>
        <v xml:space="preserve">  38</v>
      </c>
      <c r="L34" s="314" t="str">
        <f>IF(H34="naissance",IF(E34="","",INDEX({"Capricorne";"Verseau";"Poisson";"Bélier";"Taureau";"Gémeaux";"Cancer";"Lion";"Vierge";"Balance";"Scorpion";"Sagittaire";"Capricorne";""},MATCH(DATE(,MONTH(E34),DAY(E34)),{0;20;51;81;111;142;173;205;237;267;297;327;357},1))),"")</f>
        <v>Bélier</v>
      </c>
      <c r="M34" s="315" t="str">
        <f>IF(H34="naissance",IF(F34="","",INDEX({"g";"h";"i";"^";"_";"z";"a";"b";"c";"d";"e";"f";"g";""},MATCH(DATE(,MONTH(F34),DAY(F34)),{0;20;51;81;111;142;173;205;237;267;297;327;357},1))),"")</f>
        <v>^</v>
      </c>
      <c r="N34" s="316" t="str">
        <f t="shared" ca="1" si="14"/>
        <v>羊 chèvre</v>
      </c>
      <c r="Q34" s="105"/>
      <c r="R34" s="108">
        <v>10988</v>
      </c>
      <c r="S34" s="108">
        <v>11370</v>
      </c>
      <c r="T34" s="117">
        <v>1931</v>
      </c>
      <c r="U34" s="110" t="s">
        <v>444</v>
      </c>
      <c r="V34" s="330" t="s">
        <v>435</v>
      </c>
      <c r="X34" s="75">
        <f t="shared" ca="1" si="12"/>
        <v>42824</v>
      </c>
      <c r="Y34" s="234" t="str">
        <f t="shared" ca="1" si="7"/>
        <v>decelle  daniel    38</v>
      </c>
      <c r="Z34" s="76">
        <f t="shared" si="8"/>
        <v>28944</v>
      </c>
      <c r="AA34" s="77">
        <f t="shared" ca="1" si="13"/>
        <v>38</v>
      </c>
    </row>
    <row r="35" spans="1:27" ht="15.75" customHeight="1" thickBot="1">
      <c r="A35" s="298" t="s">
        <v>603</v>
      </c>
      <c r="B35" s="299" t="s">
        <v>611</v>
      </c>
      <c r="C35" s="299" t="str">
        <f t="shared" si="15"/>
        <v>decelle  antoine</v>
      </c>
      <c r="D35" s="300" t="str">
        <f t="shared" ca="1" si="16"/>
        <v>decelle  antoine    7</v>
      </c>
      <c r="E35" s="300">
        <v>40259</v>
      </c>
      <c r="F35" s="301">
        <f t="shared" si="17"/>
        <v>40259</v>
      </c>
      <c r="G35" s="302">
        <f t="shared" ca="1" si="18"/>
        <v>42816</v>
      </c>
      <c r="H35" s="299" t="s">
        <v>43</v>
      </c>
      <c r="I35" s="303" t="str">
        <f t="shared" ca="1" si="19"/>
        <v/>
      </c>
      <c r="J35" s="304">
        <f t="shared" ca="1" si="20"/>
        <v>7</v>
      </c>
      <c r="K35" s="304" t="str">
        <f t="shared" ca="1" si="21"/>
        <v xml:space="preserve">  7</v>
      </c>
      <c r="L35" s="305" t="str">
        <f>IF(H35="naissance",IF(E35="","",INDEX({"Capricorne";"Verseau";"Poisson";"Bélier";"Taureau";"Gémeaux";"Cancer";"Lion";"Vierge";"Balance";"Scorpion";"Sagittaire";"Capricorne";""},MATCH(DATE(,MONTH(E35),DAY(E35)),{0;20;51;81;111;142;173;205;237;267;297;327;357},1))),"")</f>
        <v>Bélier</v>
      </c>
      <c r="M35" s="306" t="str">
        <f>IF(H35="naissance",IF(F35="","",INDEX({"g";"h";"i";"^";"_";"z";"a";"b";"c";"d";"e";"f";"g";""},MATCH(DATE(,MONTH(F35),DAY(F35)),{0;20;51;81;111;142;173;205;237;267;297;327;357},1))),"")</f>
        <v>^</v>
      </c>
      <c r="N35" s="307" t="str">
        <f t="shared" ca="1" si="14"/>
        <v>虎 tigre</v>
      </c>
      <c r="Q35" s="105"/>
      <c r="R35" s="108">
        <v>11371</v>
      </c>
      <c r="S35" s="108">
        <v>11724</v>
      </c>
      <c r="T35" s="117">
        <v>1932</v>
      </c>
      <c r="U35" s="110" t="s">
        <v>447</v>
      </c>
      <c r="V35" s="331"/>
      <c r="X35" s="75">
        <f t="shared" ca="1" si="12"/>
        <v>42816</v>
      </c>
      <c r="Y35" s="234" t="str">
        <f t="shared" ca="1" si="7"/>
        <v>decelle  antoine    7</v>
      </c>
      <c r="Z35" s="76">
        <f t="shared" ref="Z35:Z65" si="22">E35</f>
        <v>40259</v>
      </c>
      <c r="AA35" s="77">
        <f t="shared" ca="1" si="13"/>
        <v>7</v>
      </c>
    </row>
    <row r="36" spans="1:27" ht="15.75" customHeight="1" thickBot="1">
      <c r="A36" s="308" t="s">
        <v>603</v>
      </c>
      <c r="B36" s="309" t="s">
        <v>612</v>
      </c>
      <c r="C36" s="309" t="str">
        <f t="shared" si="15"/>
        <v>decelle  emma</v>
      </c>
      <c r="D36" s="310" t="str">
        <f t="shared" ca="1" si="16"/>
        <v>decelle  emma    9</v>
      </c>
      <c r="E36" s="310">
        <v>39537</v>
      </c>
      <c r="F36" s="311">
        <f t="shared" si="17"/>
        <v>39537</v>
      </c>
      <c r="G36" s="310">
        <f t="shared" ca="1" si="18"/>
        <v>42824</v>
      </c>
      <c r="H36" s="309" t="s">
        <v>43</v>
      </c>
      <c r="I36" s="312" t="str">
        <f t="shared" ca="1" si="19"/>
        <v/>
      </c>
      <c r="J36" s="313">
        <f t="shared" ca="1" si="20"/>
        <v>9</v>
      </c>
      <c r="K36" s="313" t="str">
        <f t="shared" ca="1" si="21"/>
        <v xml:space="preserve">  9</v>
      </c>
      <c r="L36" s="314" t="str">
        <f>IF(H36="naissance",IF(E36="","",INDEX({"Capricorne";"Verseau";"Poisson";"Bélier";"Taureau";"Gémeaux";"Cancer";"Lion";"Vierge";"Balance";"Scorpion";"Sagittaire";"Capricorne";""},MATCH(DATE(,MONTH(E36),DAY(E36)),{0;20;51;81;111;142;173;205;237;267;297;327;357},1))),"")</f>
        <v>Bélier</v>
      </c>
      <c r="M36" s="315" t="str">
        <f>IF(H36="naissance",IF(F36="","",INDEX({"g";"h";"i";"^";"_";"z";"a";"b";"c";"d";"e";"f";"g";""},MATCH(DATE(,MONTH(F36),DAY(F36)),{0;20;51;81;111;142;173;205;237;267;297;327;357},1))),"")</f>
        <v>^</v>
      </c>
      <c r="N36" s="316" t="str">
        <f t="shared" ca="1" si="14"/>
        <v>鼠 rat</v>
      </c>
      <c r="Q36" s="105"/>
      <c r="R36" s="108">
        <v>11725</v>
      </c>
      <c r="S36" s="108">
        <v>12079</v>
      </c>
      <c r="T36" s="117">
        <v>1933</v>
      </c>
      <c r="U36" s="110" t="s">
        <v>448</v>
      </c>
      <c r="V36" s="330" t="s">
        <v>438</v>
      </c>
      <c r="X36" s="75">
        <f t="shared" ca="1" si="12"/>
        <v>42824</v>
      </c>
      <c r="Y36" s="234" t="str">
        <f t="shared" ca="1" si="7"/>
        <v>decelle  emma    9</v>
      </c>
      <c r="Z36" s="76">
        <f t="shared" si="22"/>
        <v>39537</v>
      </c>
      <c r="AA36" s="77">
        <f t="shared" ca="1" si="13"/>
        <v>9</v>
      </c>
    </row>
    <row r="37" spans="1:27" ht="15.75" customHeight="1" thickBot="1">
      <c r="A37" s="298" t="s">
        <v>58</v>
      </c>
      <c r="B37" s="299" t="s">
        <v>613</v>
      </c>
      <c r="C37" s="299" t="str">
        <f t="shared" si="15"/>
        <v>boireau  bejamin</v>
      </c>
      <c r="D37" s="300" t="str">
        <f t="shared" ca="1" si="16"/>
        <v>boireau  bejamin    3</v>
      </c>
      <c r="E37" s="300">
        <v>41743</v>
      </c>
      <c r="F37" s="301">
        <f t="shared" si="17"/>
        <v>41743</v>
      </c>
      <c r="G37" s="302">
        <f t="shared" ca="1" si="18"/>
        <v>42839</v>
      </c>
      <c r="H37" s="299" t="s">
        <v>43</v>
      </c>
      <c r="I37" s="303" t="str">
        <f t="shared" ca="1" si="19"/>
        <v/>
      </c>
      <c r="J37" s="304">
        <f t="shared" ca="1" si="20"/>
        <v>3</v>
      </c>
      <c r="K37" s="304" t="str">
        <f t="shared" ca="1" si="21"/>
        <v xml:space="preserve">  3</v>
      </c>
      <c r="L37" s="305" t="str">
        <f>IF(H37="naissance",IF(E37="","",INDEX({"Capricorne";"Verseau";"Poisson";"Bélier";"Taureau";"Gémeaux";"Cancer";"Lion";"Vierge";"Balance";"Scorpion";"Sagittaire";"Capricorne";""},MATCH(DATE(,MONTH(E37),DAY(E37)),{0;20;51;81;111;142;173;205;237;267;297;327;357},1))),"")</f>
        <v>Bélier</v>
      </c>
      <c r="M37" s="306" t="str">
        <f>IF(H37="naissance",IF(F37="","",INDEX({"g";"h";"i";"^";"_";"z";"a";"b";"c";"d";"e";"f";"g";""},MATCH(DATE(,MONTH(F37),DAY(F37)),{0;20;51;81;111;142;173;205;237;267;297;327;357},1))),"")</f>
        <v>^</v>
      </c>
      <c r="N37" s="307" t="str">
        <f t="shared" ca="1" si="14"/>
        <v>馬 cheval</v>
      </c>
      <c r="Q37" s="105"/>
      <c r="R37" s="108">
        <v>12080</v>
      </c>
      <c r="S37" s="108">
        <v>12463</v>
      </c>
      <c r="T37" s="117">
        <v>1934</v>
      </c>
      <c r="U37" s="110" t="s">
        <v>450</v>
      </c>
      <c r="V37" s="331"/>
      <c r="X37" s="75">
        <f t="shared" ref="X37:X46" ca="1" si="23">DATE(YEAR(TODAY()),MONTH(Z37),DAY(Z37))</f>
        <v>42839</v>
      </c>
      <c r="Y37" s="234" t="str">
        <f t="shared" ca="1" si="7"/>
        <v>boireau  bejamin    3</v>
      </c>
      <c r="Z37" s="76">
        <f t="shared" si="22"/>
        <v>41743</v>
      </c>
    </row>
    <row r="38" spans="1:27" ht="15.75" customHeight="1" thickBot="1">
      <c r="A38" s="308" t="s">
        <v>614</v>
      </c>
      <c r="B38" s="309" t="s">
        <v>615</v>
      </c>
      <c r="C38" s="309" t="str">
        <f t="shared" si="15"/>
        <v>laborde  marine</v>
      </c>
      <c r="D38" s="310" t="str">
        <f t="shared" ca="1" si="16"/>
        <v>laborde  marine    23</v>
      </c>
      <c r="E38" s="310">
        <v>34411</v>
      </c>
      <c r="F38" s="311">
        <f t="shared" si="17"/>
        <v>34411</v>
      </c>
      <c r="G38" s="310">
        <f t="shared" ca="1" si="18"/>
        <v>42812</v>
      </c>
      <c r="H38" s="309" t="s">
        <v>43</v>
      </c>
      <c r="I38" s="312" t="str">
        <f t="shared" ca="1" si="19"/>
        <v/>
      </c>
      <c r="J38" s="313">
        <f t="shared" ca="1" si="20"/>
        <v>23</v>
      </c>
      <c r="K38" s="313" t="str">
        <f t="shared" ca="1" si="21"/>
        <v xml:space="preserve">  23</v>
      </c>
      <c r="L38" s="314" t="str">
        <f>IF(H38="naissance",IF(E38="","",INDEX({"Capricorne";"Verseau";"Poisson";"Bélier";"Taureau";"Gémeaux";"Cancer";"Lion";"Vierge";"Balance";"Scorpion";"Sagittaire";"Capricorne";""},MATCH(DATE(,MONTH(E38),DAY(E38)),{0;20;51;81;111;142;173;205;237;267;297;327;357},1))),"")</f>
        <v>Poisson</v>
      </c>
      <c r="M38" s="315" t="str">
        <f>IF(H38="naissance",IF(F38="","",INDEX({"g";"h";"i";"^";"_";"z";"a";"b";"c";"d";"e";"f";"g";""},MATCH(DATE(,MONTH(F38),DAY(F38)),{0;20;51;81;111;142;173;205;237;267;297;327;357},1))),"")</f>
        <v>i</v>
      </c>
      <c r="N38" s="316" t="str">
        <f t="shared" ca="1" si="14"/>
        <v>狗 chien</v>
      </c>
      <c r="R38" s="108">
        <v>12464</v>
      </c>
      <c r="S38" s="108">
        <v>12818</v>
      </c>
      <c r="T38" s="117">
        <v>1935</v>
      </c>
      <c r="U38" s="110" t="s">
        <v>451</v>
      </c>
      <c r="V38" s="330" t="s">
        <v>442</v>
      </c>
      <c r="X38" s="75">
        <f t="shared" ca="1" si="23"/>
        <v>42812</v>
      </c>
      <c r="Y38" s="234" t="str">
        <f t="shared" ca="1" si="7"/>
        <v>laborde  marine    23</v>
      </c>
      <c r="Z38" s="76">
        <f t="shared" si="22"/>
        <v>34411</v>
      </c>
    </row>
    <row r="39" spans="1:27" ht="15.75" customHeight="1" thickBot="1">
      <c r="A39" s="298" t="s">
        <v>58</v>
      </c>
      <c r="B39" s="299" t="s">
        <v>616</v>
      </c>
      <c r="C39" s="299" t="str">
        <f t="shared" si="15"/>
        <v>boireau  léna</v>
      </c>
      <c r="D39" s="300" t="str">
        <f t="shared" ca="1" si="16"/>
        <v>boireau  léna    2</v>
      </c>
      <c r="E39" s="300">
        <v>41878</v>
      </c>
      <c r="F39" s="301">
        <f t="shared" si="17"/>
        <v>41878</v>
      </c>
      <c r="G39" s="302">
        <f t="shared" ca="1" si="18"/>
        <v>42974</v>
      </c>
      <c r="H39" s="299" t="s">
        <v>43</v>
      </c>
      <c r="I39" s="303" t="str">
        <f t="shared" ca="1" si="19"/>
        <v/>
      </c>
      <c r="J39" s="304">
        <f t="shared" ca="1" si="20"/>
        <v>2</v>
      </c>
      <c r="K39" s="304" t="str">
        <f t="shared" ca="1" si="21"/>
        <v xml:space="preserve">  2</v>
      </c>
      <c r="L39" s="305" t="str">
        <f>IF(H39="naissance",IF(E39="","",INDEX({"Capricorne";"Verseau";"Poisson";"Bélier";"Taureau";"Gémeaux";"Cancer";"Lion";"Vierge";"Balance";"Scorpion";"Sagittaire";"Capricorne";""},MATCH(DATE(,MONTH(E39),DAY(E39)),{0;20;51;81;111;142;173;205;237;267;297;327;357},1))),"")</f>
        <v>Vierge</v>
      </c>
      <c r="M39" s="306" t="str">
        <f>IF(H39="naissance",IF(F39="","",INDEX({"g";"h";"i";"^";"_";"z";"a";"b";"c";"d";"e";"f";"g";""},MATCH(DATE(,MONTH(F39),DAY(F39)),{0;20;51;81;111;142;173;205;237;267;297;327;357},1))),"")</f>
        <v>c</v>
      </c>
      <c r="N39" s="307" t="str">
        <f t="shared" ca="1" si="14"/>
        <v>馬 cheval</v>
      </c>
      <c r="R39" s="108">
        <v>12819</v>
      </c>
      <c r="S39" s="108">
        <v>13172</v>
      </c>
      <c r="T39" s="117">
        <v>1936</v>
      </c>
      <c r="U39" s="110" t="s">
        <v>452</v>
      </c>
      <c r="V39" s="331"/>
      <c r="X39" s="75">
        <f t="shared" ca="1" si="23"/>
        <v>42974</v>
      </c>
      <c r="Y39" s="234" t="str">
        <f t="shared" ca="1" si="7"/>
        <v>boireau  léna    2</v>
      </c>
      <c r="Z39" s="76">
        <f t="shared" si="22"/>
        <v>41878</v>
      </c>
    </row>
    <row r="40" spans="1:27" ht="15.75" customHeight="1" thickBot="1">
      <c r="A40" s="298"/>
      <c r="B40" s="299"/>
      <c r="C40" s="299"/>
      <c r="D40" s="300"/>
      <c r="E40" s="300"/>
      <c r="F40" s="301"/>
      <c r="G40" s="302"/>
      <c r="H40" s="299"/>
      <c r="I40" s="303"/>
      <c r="J40" s="304"/>
      <c r="K40" s="304"/>
      <c r="L40" s="305"/>
      <c r="M40" s="306"/>
      <c r="N40" s="307"/>
      <c r="R40" s="108">
        <v>13173</v>
      </c>
      <c r="S40" s="108">
        <v>13556</v>
      </c>
      <c r="T40" s="117">
        <v>1937</v>
      </c>
      <c r="U40" s="109" t="s">
        <v>434</v>
      </c>
      <c r="V40" s="330" t="s">
        <v>445</v>
      </c>
      <c r="X40" s="75">
        <f t="shared" ca="1" si="23"/>
        <v>42735</v>
      </c>
      <c r="Y40" s="234">
        <f t="shared" si="7"/>
        <v>0</v>
      </c>
      <c r="Z40" s="76">
        <f t="shared" si="22"/>
        <v>0</v>
      </c>
    </row>
    <row r="41" spans="1:27" ht="15.75" customHeight="1" thickBot="1">
      <c r="A41" s="292"/>
      <c r="B41" s="293"/>
      <c r="C41" s="293" t="str">
        <f t="shared" si="5"/>
        <v xml:space="preserve">  </v>
      </c>
      <c r="D41" s="294" t="str">
        <f t="shared" ca="1" si="6"/>
        <v xml:space="preserve">      </v>
      </c>
      <c r="E41" s="294"/>
      <c r="F41" s="295" t="str">
        <f t="shared" ref="F41:F90" si="24">IF(E41&lt;1/1/1900,"",E41)</f>
        <v/>
      </c>
      <c r="G41" s="294" t="str">
        <f t="shared" ref="G41:G90" ca="1" si="25">IF(E41&lt;1/1/2000,"",DATE(YEAR(TODAY()),MONTH(E41),DAY(F41)))</f>
        <v/>
      </c>
      <c r="H41" s="293"/>
      <c r="I41" s="293" t="str">
        <f t="shared" ref="I41:I65" ca="1" si="26">IF(E41&gt;$AB$1,"",IF(B41="","",IF(H41&lt;&gt;"naissance",IF(F41&lt;1/1/19000," ",DATEDIF(F41,TODAY(),"y")),"")))</f>
        <v/>
      </c>
      <c r="J41" s="296" t="str">
        <f t="shared" ref="J41:J66" ca="1" si="27">IF(H41="naissance",IF(F41&lt;1/1/19000," ",DATEDIF(F41,TODAY(),"y")),"")</f>
        <v/>
      </c>
      <c r="K41" s="296" t="str">
        <f t="shared" ca="1" si="10"/>
        <v xml:space="preserve">  </v>
      </c>
      <c r="L41" s="296" t="str">
        <f>IF(H41="naissance",IF(E41="","",INDEX({"Capricorne";"Verseau";"Poisson";"Bélier";"Taureau";"Gémeaux";"Cancer";"Lion";"Vierge";"Balance";"Scorpion";"Sagittaire";"Capricorne";""},MATCH(DATE(,MONTH(E41),DAY(E41)),{0;20;51;81;111;142;173;205;237;267;297;327;357},1))),"")</f>
        <v/>
      </c>
      <c r="M41" s="296" t="str">
        <f>IF(H41="naissance",IF(F41="","",INDEX({"g";"h";"i";"^";"_";"z";"a";"b";"c";"d";"e";"f";"g";""},MATCH(DATE(,MONTH(F41),DAY(F41)),{0;20;51;81;111;142;173;205;237;267;297;327;357},1))),"")</f>
        <v/>
      </c>
      <c r="N41" s="297" t="str">
        <f t="shared" ref="N41:N66" ca="1" si="28">IF(H41="naissance",OFFSET($U$3,MATCH(E41,$S$4:$S$123,1)+1,),"")</f>
        <v/>
      </c>
      <c r="R41" s="108">
        <v>13557</v>
      </c>
      <c r="S41" s="108">
        <v>13910</v>
      </c>
      <c r="T41" s="117">
        <v>1938</v>
      </c>
      <c r="U41" s="110" t="s">
        <v>436</v>
      </c>
      <c r="V41" s="331"/>
      <c r="X41" s="75">
        <f t="shared" ca="1" si="23"/>
        <v>42735</v>
      </c>
      <c r="Y41" s="234" t="str">
        <f t="shared" ca="1" si="7"/>
        <v xml:space="preserve">      </v>
      </c>
      <c r="Z41" s="76">
        <f t="shared" si="22"/>
        <v>0</v>
      </c>
    </row>
    <row r="42" spans="1:27" ht="15.75" customHeight="1" thickBot="1">
      <c r="A42" s="298"/>
      <c r="B42" s="299"/>
      <c r="C42" s="299" t="str">
        <f t="shared" si="5"/>
        <v xml:space="preserve">  </v>
      </c>
      <c r="D42" s="300" t="str">
        <f t="shared" ca="1" si="6"/>
        <v xml:space="preserve">      </v>
      </c>
      <c r="E42" s="300"/>
      <c r="F42" s="301" t="str">
        <f t="shared" si="24"/>
        <v/>
      </c>
      <c r="G42" s="302" t="str">
        <f t="shared" ca="1" si="25"/>
        <v/>
      </c>
      <c r="H42" s="299"/>
      <c r="I42" s="303" t="str">
        <f t="shared" ca="1" si="26"/>
        <v/>
      </c>
      <c r="J42" s="304" t="str">
        <f t="shared" ca="1" si="27"/>
        <v/>
      </c>
      <c r="K42" s="304" t="str">
        <f t="shared" ca="1" si="10"/>
        <v xml:space="preserve">  </v>
      </c>
      <c r="L42" s="305" t="str">
        <f>IF(H42="naissance",IF(E42="","",INDEX({"Capricorne";"Verseau";"Poisson";"Bélier";"Taureau";"Gémeaux";"Cancer";"Lion";"Vierge";"Balance";"Scorpion";"Sagittaire";"Capricorne";""},MATCH(DATE(,MONTH(E42),DAY(E42)),{0;20;51;81;111;142;173;205;237;267;297;327;357},1))),"")</f>
        <v/>
      </c>
      <c r="M42" s="306" t="str">
        <f>IF(H42="naissance",IF(F42="","",INDEX({"g";"h";"i";"^";"_";"z";"a";"b";"c";"d";"e";"f";"g";""},MATCH(DATE(,MONTH(F42),DAY(F42)),{0;20;51;81;111;142;173;205;237;267;297;327;357},1))),"")</f>
        <v/>
      </c>
      <c r="N42" s="307" t="str">
        <f t="shared" ca="1" si="28"/>
        <v/>
      </c>
      <c r="R42" s="108">
        <v>13911</v>
      </c>
      <c r="S42" s="108">
        <v>14294</v>
      </c>
      <c r="T42" s="117">
        <v>1939</v>
      </c>
      <c r="U42" s="110" t="s">
        <v>437</v>
      </c>
      <c r="V42" s="330" t="s">
        <v>449</v>
      </c>
      <c r="X42" s="75">
        <f t="shared" ca="1" si="23"/>
        <v>42735</v>
      </c>
      <c r="Y42" s="234" t="str">
        <f t="shared" ca="1" si="7"/>
        <v xml:space="preserve">      </v>
      </c>
      <c r="Z42" s="76">
        <f t="shared" si="22"/>
        <v>0</v>
      </c>
    </row>
    <row r="43" spans="1:27" ht="15.75" customHeight="1" thickBot="1">
      <c r="A43" s="308"/>
      <c r="B43" s="309"/>
      <c r="C43" s="309" t="str">
        <f t="shared" si="5"/>
        <v xml:space="preserve">  </v>
      </c>
      <c r="D43" s="310" t="str">
        <f t="shared" ca="1" si="6"/>
        <v xml:space="preserve">      </v>
      </c>
      <c r="E43" s="310"/>
      <c r="F43" s="311" t="str">
        <f t="shared" si="24"/>
        <v/>
      </c>
      <c r="G43" s="310" t="str">
        <f t="shared" ca="1" si="25"/>
        <v/>
      </c>
      <c r="H43" s="309"/>
      <c r="I43" s="312" t="str">
        <f t="shared" ca="1" si="26"/>
        <v/>
      </c>
      <c r="J43" s="313" t="str">
        <f t="shared" ca="1" si="27"/>
        <v/>
      </c>
      <c r="K43" s="313" t="str">
        <f t="shared" ca="1" si="10"/>
        <v xml:space="preserve">  </v>
      </c>
      <c r="L43" s="314" t="str">
        <f>IF(H43="naissance",IF(E43="","",INDEX({"Capricorne";"Verseau";"Poisson";"Bélier";"Taureau";"Gémeaux";"Cancer";"Lion";"Vierge";"Balance";"Scorpion";"Sagittaire";"Capricorne";""},MATCH(DATE(,MONTH(E43),DAY(E43)),{0;20;51;81;111;142;173;205;237;267;297;327;357},1))),"")</f>
        <v/>
      </c>
      <c r="M43" s="315" t="str">
        <f>IF(H43="naissance",IF(F43="","",INDEX({"g";"h";"i";"^";"_";"z";"a";"b";"c";"d";"e";"f";"g";""},MATCH(DATE(,MONTH(F43),DAY(F43)),{0;20;51;81;111;142;173;205;237;267;297;327;357},1))),"")</f>
        <v/>
      </c>
      <c r="N43" s="316" t="str">
        <f t="shared" ca="1" si="28"/>
        <v/>
      </c>
      <c r="R43" s="108">
        <v>14295</v>
      </c>
      <c r="S43" s="108">
        <v>14648</v>
      </c>
      <c r="T43" s="117">
        <v>1940</v>
      </c>
      <c r="U43" s="110" t="s">
        <v>439</v>
      </c>
      <c r="V43" s="331"/>
      <c r="X43" s="75">
        <f t="shared" ca="1" si="23"/>
        <v>42735</v>
      </c>
      <c r="Y43" s="234" t="str">
        <f t="shared" ca="1" si="7"/>
        <v xml:space="preserve">      </v>
      </c>
      <c r="Z43" s="76">
        <f t="shared" si="22"/>
        <v>0</v>
      </c>
    </row>
    <row r="44" spans="1:27" ht="15.75" customHeight="1" thickBot="1">
      <c r="A44" s="298"/>
      <c r="B44" s="299"/>
      <c r="C44" s="299" t="str">
        <f t="shared" si="5"/>
        <v xml:space="preserve">  </v>
      </c>
      <c r="D44" s="300" t="str">
        <f t="shared" ca="1" si="6"/>
        <v xml:space="preserve">      </v>
      </c>
      <c r="E44" s="300"/>
      <c r="F44" s="301" t="str">
        <f t="shared" si="24"/>
        <v/>
      </c>
      <c r="G44" s="302" t="str">
        <f t="shared" ca="1" si="25"/>
        <v/>
      </c>
      <c r="H44" s="299"/>
      <c r="I44" s="303" t="str">
        <f t="shared" ca="1" si="26"/>
        <v/>
      </c>
      <c r="J44" s="304" t="str">
        <f t="shared" ca="1" si="27"/>
        <v/>
      </c>
      <c r="K44" s="304" t="str">
        <f t="shared" ca="1" si="10"/>
        <v xml:space="preserve">  </v>
      </c>
      <c r="L44" s="305" t="str">
        <f>IF(H44="naissance",IF(E44="","",INDEX({"Capricorne";"Verseau";"Poisson";"Bélier";"Taureau";"Gémeaux";"Cancer";"Lion";"Vierge";"Balance";"Scorpion";"Sagittaire";"Capricorne";""},MATCH(DATE(,MONTH(E44),DAY(E44)),{0;20;51;81;111;142;173;205;237;267;297;327;357},1))),"")</f>
        <v/>
      </c>
      <c r="M44" s="306" t="str">
        <f>IF(H44="naissance",IF(F44="","",INDEX({"g";"h";"i";"^";"_";"z";"a";"b";"c";"d";"e";"f";"g";""},MATCH(DATE(,MONTH(F44),DAY(F44)),{0;20;51;81;111;142;173;205;237;267;297;327;357},1))),"")</f>
        <v/>
      </c>
      <c r="N44" s="307" t="str">
        <f t="shared" ca="1" si="28"/>
        <v/>
      </c>
      <c r="R44" s="108">
        <v>14649</v>
      </c>
      <c r="S44" s="108">
        <v>15002</v>
      </c>
      <c r="T44" s="117">
        <v>1941</v>
      </c>
      <c r="U44" s="110" t="s">
        <v>441</v>
      </c>
      <c r="V44" s="330" t="s">
        <v>435</v>
      </c>
      <c r="X44" s="75">
        <f t="shared" ca="1" si="23"/>
        <v>42735</v>
      </c>
      <c r="Y44" s="234" t="str">
        <f t="shared" ca="1" si="7"/>
        <v xml:space="preserve">      </v>
      </c>
      <c r="Z44" s="76">
        <f t="shared" si="22"/>
        <v>0</v>
      </c>
    </row>
    <row r="45" spans="1:27" ht="15.75" customHeight="1" thickBot="1">
      <c r="A45" s="308"/>
      <c r="B45" s="309"/>
      <c r="C45" s="309" t="str">
        <f t="shared" si="5"/>
        <v xml:space="preserve">  </v>
      </c>
      <c r="D45" s="310" t="str">
        <f t="shared" ca="1" si="6"/>
        <v xml:space="preserve">      </v>
      </c>
      <c r="E45" s="310"/>
      <c r="F45" s="311" t="str">
        <f t="shared" si="24"/>
        <v/>
      </c>
      <c r="G45" s="310" t="str">
        <f t="shared" ca="1" si="25"/>
        <v/>
      </c>
      <c r="H45" s="309"/>
      <c r="I45" s="312" t="str">
        <f t="shared" ca="1" si="26"/>
        <v/>
      </c>
      <c r="J45" s="313" t="str">
        <f t="shared" ca="1" si="27"/>
        <v/>
      </c>
      <c r="K45" s="313" t="str">
        <f t="shared" ca="1" si="10"/>
        <v xml:space="preserve">  </v>
      </c>
      <c r="L45" s="314" t="str">
        <f>IF(H45="naissance",IF(E45="","",INDEX({"Capricorne";"Verseau";"Poisson";"Bélier";"Taureau";"Gémeaux";"Cancer";"Lion";"Vierge";"Balance";"Scorpion";"Sagittaire";"Capricorne";""},MATCH(DATE(,MONTH(E45),DAY(E45)),{0;20;51;81;111;142;173;205;237;267;297;327;357},1))),"")</f>
        <v/>
      </c>
      <c r="M45" s="315" t="str">
        <f>IF(H45="naissance",IF(F45="","",INDEX({"g";"h";"i";"^";"_";"z";"a";"b";"c";"d";"e";"f";"g";""},MATCH(DATE(,MONTH(F45),DAY(F45)),{0;20;51;81;111;142;173;205;237;267;297;327;357},1))),"")</f>
        <v/>
      </c>
      <c r="N45" s="316" t="str">
        <f t="shared" ca="1" si="28"/>
        <v/>
      </c>
      <c r="R45" s="108">
        <v>15003</v>
      </c>
      <c r="S45" s="108">
        <v>15386</v>
      </c>
      <c r="T45" s="117">
        <v>1942</v>
      </c>
      <c r="U45" s="110" t="s">
        <v>443</v>
      </c>
      <c r="V45" s="331"/>
      <c r="X45" s="75">
        <f t="shared" ca="1" si="23"/>
        <v>42735</v>
      </c>
      <c r="Y45" s="234" t="str">
        <f t="shared" ca="1" si="7"/>
        <v xml:space="preserve">      </v>
      </c>
      <c r="Z45" s="76">
        <f t="shared" si="22"/>
        <v>0</v>
      </c>
    </row>
    <row r="46" spans="1:27" ht="15.75" customHeight="1" thickBot="1">
      <c r="A46" s="298"/>
      <c r="B46" s="299"/>
      <c r="C46" s="299" t="str">
        <f t="shared" si="5"/>
        <v xml:space="preserve">  </v>
      </c>
      <c r="D46" s="300" t="str">
        <f t="shared" ca="1" si="6"/>
        <v xml:space="preserve">      </v>
      </c>
      <c r="E46" s="300"/>
      <c r="F46" s="301" t="str">
        <f t="shared" si="24"/>
        <v/>
      </c>
      <c r="G46" s="302" t="str">
        <f t="shared" ca="1" si="25"/>
        <v/>
      </c>
      <c r="H46" s="299"/>
      <c r="I46" s="303" t="str">
        <f t="shared" ca="1" si="26"/>
        <v/>
      </c>
      <c r="J46" s="304" t="str">
        <f t="shared" ca="1" si="27"/>
        <v/>
      </c>
      <c r="K46" s="304" t="str">
        <f t="shared" ca="1" si="10"/>
        <v xml:space="preserve">  </v>
      </c>
      <c r="L46" s="305" t="str">
        <f>IF(H46="naissance",IF(E46="","",INDEX({"Capricorne";"Verseau";"Poisson";"Bélier";"Taureau";"Gémeaux";"Cancer";"Lion";"Vierge";"Balance";"Scorpion";"Sagittaire";"Capricorne";""},MATCH(DATE(,MONTH(E46),DAY(E46)),{0;20;51;81;111;142;173;205;237;267;297;327;357},1))),"")</f>
        <v/>
      </c>
      <c r="M46" s="306" t="str">
        <f>IF(H46="naissance",IF(F46="","",INDEX({"g";"h";"i";"^";"_";"z";"a";"b";"c";"d";"e";"f";"g";""},MATCH(DATE(,MONTH(F46),DAY(F46)),{0;20;51;81;111;142;173;205;237;267;297;327;357},1))),"")</f>
        <v/>
      </c>
      <c r="N46" s="307" t="str">
        <f t="shared" ca="1" si="28"/>
        <v/>
      </c>
      <c r="R46" s="108">
        <v>15387</v>
      </c>
      <c r="S46" s="108">
        <v>15741</v>
      </c>
      <c r="T46" s="117">
        <v>1943</v>
      </c>
      <c r="U46" s="110" t="s">
        <v>444</v>
      </c>
      <c r="V46" s="330" t="s">
        <v>438</v>
      </c>
      <c r="X46" s="75">
        <f t="shared" ca="1" si="23"/>
        <v>42735</v>
      </c>
      <c r="Y46" s="234" t="str">
        <f t="shared" ca="1" si="7"/>
        <v xml:space="preserve">      </v>
      </c>
      <c r="Z46" s="76">
        <f t="shared" si="22"/>
        <v>0</v>
      </c>
    </row>
    <row r="47" spans="1:27" ht="15.75" customHeight="1" thickBot="1">
      <c r="A47" s="308"/>
      <c r="B47" s="309"/>
      <c r="C47" s="309" t="str">
        <f t="shared" ref="C47:C100" si="29">CONCATENATE(A47,"  ",B47)</f>
        <v xml:space="preserve">  </v>
      </c>
      <c r="D47" s="310" t="str">
        <f t="shared" ca="1" si="6"/>
        <v xml:space="preserve">      </v>
      </c>
      <c r="E47" s="310"/>
      <c r="F47" s="311" t="str">
        <f t="shared" si="24"/>
        <v/>
      </c>
      <c r="G47" s="310" t="str">
        <f t="shared" ca="1" si="25"/>
        <v/>
      </c>
      <c r="H47" s="309"/>
      <c r="I47" s="312" t="str">
        <f t="shared" ca="1" si="26"/>
        <v/>
      </c>
      <c r="J47" s="313" t="str">
        <f t="shared" ca="1" si="27"/>
        <v/>
      </c>
      <c r="K47" s="313" t="str">
        <f t="shared" ca="1" si="10"/>
        <v xml:space="preserve">  </v>
      </c>
      <c r="L47" s="314" t="str">
        <f>IF(H47="naissance",IF(E47="","",INDEX({"Capricorne";"Verseau";"Poisson";"Bélier";"Taureau";"Gémeaux";"Cancer";"Lion";"Vierge";"Balance";"Scorpion";"Sagittaire";"Capricorne";""},MATCH(DATE(,MONTH(E47),DAY(E47)),{0;20;51;81;111;142;173;205;237;267;297;327;357},1))),"")</f>
        <v/>
      </c>
      <c r="M47" s="315" t="str">
        <f>IF(H47="naissance",IF(F47="","",INDEX({"g";"h";"i";"^";"_";"z";"a";"b";"c";"d";"e";"f";"g";""},MATCH(DATE(,MONTH(F47),DAY(F47)),{0;20;51;81;111;142;173;205;237;267;297;327;357},1))),"")</f>
        <v/>
      </c>
      <c r="N47" s="316" t="str">
        <f t="shared" ca="1" si="28"/>
        <v/>
      </c>
      <c r="R47" s="108">
        <v>15742</v>
      </c>
      <c r="S47" s="108">
        <v>16095</v>
      </c>
      <c r="T47" s="117">
        <v>1944</v>
      </c>
      <c r="U47" s="110" t="s">
        <v>447</v>
      </c>
      <c r="V47" s="331"/>
      <c r="X47" s="75">
        <f t="shared" ref="X47:X100" ca="1" si="30">DATE(YEAR(TODAY()),MONTH(Z47),DAY(Z47))</f>
        <v>42735</v>
      </c>
      <c r="Y47" s="234" t="str">
        <f t="shared" ca="1" si="7"/>
        <v xml:space="preserve">      </v>
      </c>
      <c r="Z47" s="76">
        <f t="shared" si="22"/>
        <v>0</v>
      </c>
    </row>
    <row r="48" spans="1:27" ht="15.75" customHeight="1" thickBot="1">
      <c r="A48" s="298"/>
      <c r="B48" s="299"/>
      <c r="C48" s="299" t="str">
        <f t="shared" si="29"/>
        <v xml:space="preserve">  </v>
      </c>
      <c r="D48" s="300" t="str">
        <f t="shared" ca="1" si="6"/>
        <v xml:space="preserve">      </v>
      </c>
      <c r="E48" s="300"/>
      <c r="F48" s="301" t="str">
        <f t="shared" si="24"/>
        <v/>
      </c>
      <c r="G48" s="302" t="str">
        <f t="shared" ca="1" si="25"/>
        <v/>
      </c>
      <c r="H48" s="299"/>
      <c r="I48" s="303" t="str">
        <f t="shared" ca="1" si="26"/>
        <v/>
      </c>
      <c r="J48" s="304" t="str">
        <f t="shared" ca="1" si="27"/>
        <v/>
      </c>
      <c r="K48" s="304" t="str">
        <f t="shared" ca="1" si="10"/>
        <v xml:space="preserve">  </v>
      </c>
      <c r="L48" s="305" t="str">
        <f>IF(H48="naissance",IF(E48="","",INDEX({"Capricorne";"Verseau";"Poisson";"Bélier";"Taureau";"Gémeaux";"Cancer";"Lion";"Vierge";"Balance";"Scorpion";"Sagittaire";"Capricorne";""},MATCH(DATE(,MONTH(E48),DAY(E48)),{0;20;51;81;111;142;173;205;237;267;297;327;357},1))),"")</f>
        <v/>
      </c>
      <c r="M48" s="306" t="str">
        <f>IF(H48="naissance",IF(F48="","",INDEX({"g";"h";"i";"^";"_";"z";"a";"b";"c";"d";"e";"f";"g";""},MATCH(DATE(,MONTH(F48),DAY(F48)),{0;20;51;81;111;142;173;205;237;267;297;327;357},1))),"")</f>
        <v/>
      </c>
      <c r="N48" s="307" t="str">
        <f t="shared" ca="1" si="28"/>
        <v/>
      </c>
      <c r="R48" s="108">
        <v>16096</v>
      </c>
      <c r="S48" s="108">
        <v>16480</v>
      </c>
      <c r="T48" s="117">
        <v>1945</v>
      </c>
      <c r="U48" s="110" t="s">
        <v>448</v>
      </c>
      <c r="V48" s="330" t="s">
        <v>442</v>
      </c>
      <c r="X48" s="75">
        <f t="shared" ca="1" si="30"/>
        <v>42735</v>
      </c>
      <c r="Y48" s="234" t="str">
        <f t="shared" ca="1" si="7"/>
        <v xml:space="preserve">      </v>
      </c>
      <c r="Z48" s="76">
        <f t="shared" si="22"/>
        <v>0</v>
      </c>
    </row>
    <row r="49" spans="1:26" ht="15.75" customHeight="1" thickBot="1">
      <c r="A49" s="308"/>
      <c r="B49" s="309"/>
      <c r="C49" s="309" t="str">
        <f t="shared" si="29"/>
        <v xml:space="preserve">  </v>
      </c>
      <c r="D49" s="310" t="str">
        <f t="shared" ca="1" si="6"/>
        <v xml:space="preserve">      </v>
      </c>
      <c r="E49" s="310"/>
      <c r="F49" s="311" t="str">
        <f t="shared" si="24"/>
        <v/>
      </c>
      <c r="G49" s="310" t="str">
        <f t="shared" ca="1" si="25"/>
        <v/>
      </c>
      <c r="H49" s="309"/>
      <c r="I49" s="312" t="str">
        <f t="shared" ca="1" si="26"/>
        <v/>
      </c>
      <c r="J49" s="313" t="str">
        <f t="shared" ca="1" si="27"/>
        <v/>
      </c>
      <c r="K49" s="313" t="str">
        <f t="shared" ca="1" si="10"/>
        <v xml:space="preserve">  </v>
      </c>
      <c r="L49" s="314" t="str">
        <f>IF(H49="naissance",IF(E49="","",INDEX({"Capricorne";"Verseau";"Poisson";"Bélier";"Taureau";"Gémeaux";"Cancer";"Lion";"Vierge";"Balance";"Scorpion";"Sagittaire";"Capricorne";""},MATCH(DATE(,MONTH(E49),DAY(E49)),{0;20;51;81;111;142;173;205;237;267;297;327;357},1))),"")</f>
        <v/>
      </c>
      <c r="M49" s="315" t="str">
        <f>IF(H49="naissance",IF(F49="","",INDEX({"g";"h";"i";"^";"_";"z";"a";"b";"c";"d";"e";"f";"g";""},MATCH(DATE(,MONTH(F49),DAY(F49)),{0;20;51;81;111;142;173;205;237;267;297;327;357},1))),"")</f>
        <v/>
      </c>
      <c r="N49" s="316" t="str">
        <f t="shared" ca="1" si="28"/>
        <v/>
      </c>
      <c r="R49" s="108">
        <v>16481</v>
      </c>
      <c r="S49" s="110" t="s">
        <v>457</v>
      </c>
      <c r="T49" s="117">
        <v>1946</v>
      </c>
      <c r="U49" s="110" t="s">
        <v>450</v>
      </c>
      <c r="V49" s="331"/>
      <c r="X49" s="75">
        <f t="shared" ca="1" si="30"/>
        <v>42735</v>
      </c>
      <c r="Y49" s="234" t="str">
        <f t="shared" ca="1" si="7"/>
        <v xml:space="preserve">      </v>
      </c>
      <c r="Z49" s="76">
        <f t="shared" si="22"/>
        <v>0</v>
      </c>
    </row>
    <row r="50" spans="1:26" ht="15.75" customHeight="1" thickBot="1">
      <c r="A50" s="298"/>
      <c r="B50" s="299"/>
      <c r="C50" s="299" t="str">
        <f t="shared" si="29"/>
        <v xml:space="preserve">  </v>
      </c>
      <c r="D50" s="300" t="str">
        <f t="shared" ca="1" si="6"/>
        <v xml:space="preserve">      </v>
      </c>
      <c r="E50" s="300"/>
      <c r="F50" s="301" t="str">
        <f t="shared" si="24"/>
        <v/>
      </c>
      <c r="G50" s="302" t="str">
        <f t="shared" ca="1" si="25"/>
        <v/>
      </c>
      <c r="H50" s="299"/>
      <c r="I50" s="303" t="str">
        <f t="shared" ca="1" si="26"/>
        <v/>
      </c>
      <c r="J50" s="304" t="str">
        <f t="shared" ca="1" si="27"/>
        <v/>
      </c>
      <c r="K50" s="304" t="str">
        <f t="shared" ca="1" si="10"/>
        <v xml:space="preserve">  </v>
      </c>
      <c r="L50" s="305" t="str">
        <f>IF(H50="naissance",IF(E50="","",INDEX({"Capricorne";"Verseau";"Poisson";"Bélier";"Taureau";"Gémeaux";"Cancer";"Lion";"Vierge";"Balance";"Scorpion";"Sagittaire";"Capricorne";""},MATCH(DATE(,MONTH(E50),DAY(E50)),{0;20;51;81;111;142;173;205;237;267;297;327;357},1))),"")</f>
        <v/>
      </c>
      <c r="M50" s="306" t="str">
        <f>IF(H50="naissance",IF(F50="","",INDEX({"g";"h";"i";"^";"_";"z";"a";"b";"c";"d";"e";"f";"g";""},MATCH(DATE(,MONTH(F50),DAY(F50)),{0;20;51;81;111;142;173;205;237;267;297;327;357},1))),"")</f>
        <v/>
      </c>
      <c r="N50" s="307" t="str">
        <f t="shared" ca="1" si="28"/>
        <v/>
      </c>
      <c r="R50" s="108">
        <v>16835</v>
      </c>
      <c r="S50" s="108">
        <v>17188</v>
      </c>
      <c r="T50" s="117">
        <v>1947</v>
      </c>
      <c r="U50" s="110" t="s">
        <v>451</v>
      </c>
      <c r="V50" s="330" t="s">
        <v>445</v>
      </c>
      <c r="X50" s="75">
        <f t="shared" ca="1" si="30"/>
        <v>42735</v>
      </c>
      <c r="Y50" s="234" t="str">
        <f t="shared" ca="1" si="7"/>
        <v xml:space="preserve">      </v>
      </c>
      <c r="Z50" s="76">
        <f t="shared" si="22"/>
        <v>0</v>
      </c>
    </row>
    <row r="51" spans="1:26" ht="15.75" customHeight="1" thickBot="1">
      <c r="A51" s="308"/>
      <c r="B51" s="309"/>
      <c r="C51" s="309" t="str">
        <f t="shared" si="29"/>
        <v xml:space="preserve">  </v>
      </c>
      <c r="D51" s="310" t="str">
        <f t="shared" ca="1" si="6"/>
        <v xml:space="preserve">      </v>
      </c>
      <c r="E51" s="310"/>
      <c r="F51" s="311" t="str">
        <f t="shared" si="24"/>
        <v/>
      </c>
      <c r="G51" s="310" t="str">
        <f t="shared" ca="1" si="25"/>
        <v/>
      </c>
      <c r="H51" s="309"/>
      <c r="I51" s="312" t="str">
        <f t="shared" ca="1" si="26"/>
        <v/>
      </c>
      <c r="J51" s="313" t="str">
        <f t="shared" ca="1" si="27"/>
        <v/>
      </c>
      <c r="K51" s="313" t="str">
        <f t="shared" ca="1" si="10"/>
        <v xml:space="preserve">  </v>
      </c>
      <c r="L51" s="314" t="str">
        <f>IF(H51="naissance",IF(E51="","",INDEX({"Capricorne";"Verseau";"Poisson";"Bélier";"Taureau";"Gémeaux";"Cancer";"Lion";"Vierge";"Balance";"Scorpion";"Sagittaire";"Capricorne";""},MATCH(DATE(,MONTH(E51),DAY(E51)),{0;20;51;81;111;142;173;205;237;267;297;327;357},1))),"")</f>
        <v/>
      </c>
      <c r="M51" s="315" t="str">
        <f>IF(H51="naissance",IF(F51="","",INDEX({"g";"h";"i";"^";"_";"z";"a";"b";"c";"d";"e";"f";"g";""},MATCH(DATE(,MONTH(F51),DAY(F51)),{0;20;51;81;111;142;173;205;237;267;297;327;357},1))),"")</f>
        <v/>
      </c>
      <c r="N51" s="316" t="str">
        <f t="shared" ca="1" si="28"/>
        <v/>
      </c>
      <c r="R51" s="108">
        <v>17189</v>
      </c>
      <c r="S51" s="108">
        <v>17572</v>
      </c>
      <c r="T51" s="117">
        <v>1948</v>
      </c>
      <c r="U51" s="110" t="s">
        <v>452</v>
      </c>
      <c r="V51" s="331"/>
      <c r="X51" s="75">
        <f t="shared" ca="1" si="30"/>
        <v>42735</v>
      </c>
      <c r="Y51" s="234" t="str">
        <f t="shared" ca="1" si="7"/>
        <v xml:space="preserve">      </v>
      </c>
      <c r="Z51" s="76">
        <f t="shared" si="22"/>
        <v>0</v>
      </c>
    </row>
    <row r="52" spans="1:26" ht="15.75" customHeight="1" thickBot="1">
      <c r="A52" s="298"/>
      <c r="B52" s="299"/>
      <c r="C52" s="299" t="str">
        <f t="shared" si="29"/>
        <v xml:space="preserve">  </v>
      </c>
      <c r="D52" s="300" t="str">
        <f t="shared" ca="1" si="6"/>
        <v xml:space="preserve">      </v>
      </c>
      <c r="E52" s="300"/>
      <c r="F52" s="301" t="str">
        <f t="shared" si="24"/>
        <v/>
      </c>
      <c r="G52" s="302" t="str">
        <f t="shared" ca="1" si="25"/>
        <v/>
      </c>
      <c r="H52" s="299"/>
      <c r="I52" s="303" t="str">
        <f t="shared" ca="1" si="26"/>
        <v/>
      </c>
      <c r="J52" s="304" t="str">
        <f t="shared" ca="1" si="27"/>
        <v/>
      </c>
      <c r="K52" s="304" t="str">
        <f t="shared" ca="1" si="10"/>
        <v xml:space="preserve">  </v>
      </c>
      <c r="L52" s="305" t="str">
        <f>IF(H52="naissance",IF(E52="","",INDEX({"Capricorne";"Verseau";"Poisson";"Bélier";"Taureau";"Gémeaux";"Cancer";"Lion";"Vierge";"Balance";"Scorpion";"Sagittaire";"Capricorne";""},MATCH(DATE(,MONTH(E52),DAY(E52)),{0;20;51;81;111;142;173;205;237;267;297;327;357},1))),"")</f>
        <v/>
      </c>
      <c r="M52" s="306" t="str">
        <f>IF(H52="naissance",IF(F52="","",INDEX({"g";"h";"i";"^";"_";"z";"a";"b";"c";"d";"e";"f";"g";""},MATCH(DATE(,MONTH(F52),DAY(F52)),{0;20;51;81;111;142;173;205;237;267;297;327;357},1))),"")</f>
        <v/>
      </c>
      <c r="N52" s="307" t="str">
        <f t="shared" ca="1" si="28"/>
        <v/>
      </c>
      <c r="R52" s="108">
        <v>17573</v>
      </c>
      <c r="S52" s="108">
        <v>17926</v>
      </c>
      <c r="T52" s="117">
        <v>1949</v>
      </c>
      <c r="U52" s="109" t="s">
        <v>434</v>
      </c>
      <c r="V52" s="330" t="s">
        <v>449</v>
      </c>
      <c r="X52" s="75">
        <f t="shared" ca="1" si="30"/>
        <v>42735</v>
      </c>
      <c r="Y52" s="234" t="str">
        <f t="shared" ca="1" si="7"/>
        <v xml:space="preserve">      </v>
      </c>
      <c r="Z52" s="76">
        <f t="shared" si="22"/>
        <v>0</v>
      </c>
    </row>
    <row r="53" spans="1:26" ht="15.75" customHeight="1" thickBot="1">
      <c r="A53" s="308"/>
      <c r="B53" s="309"/>
      <c r="C53" s="309" t="str">
        <f t="shared" si="29"/>
        <v xml:space="preserve">  </v>
      </c>
      <c r="D53" s="310" t="str">
        <f t="shared" ca="1" si="6"/>
        <v xml:space="preserve">      </v>
      </c>
      <c r="E53" s="310"/>
      <c r="F53" s="311" t="str">
        <f t="shared" si="24"/>
        <v/>
      </c>
      <c r="G53" s="310" t="str">
        <f t="shared" ca="1" si="25"/>
        <v/>
      </c>
      <c r="H53" s="309"/>
      <c r="I53" s="312" t="str">
        <f t="shared" ca="1" si="26"/>
        <v/>
      </c>
      <c r="J53" s="313" t="str">
        <f t="shared" ca="1" si="27"/>
        <v/>
      </c>
      <c r="K53" s="313" t="str">
        <f t="shared" ca="1" si="10"/>
        <v xml:space="preserve">  </v>
      </c>
      <c r="L53" s="314" t="str">
        <f>IF(H53="naissance",IF(E53="","",INDEX({"Capricorne";"Verseau";"Poisson";"Bélier";"Taureau";"Gémeaux";"Cancer";"Lion";"Vierge";"Balance";"Scorpion";"Sagittaire";"Capricorne";""},MATCH(DATE(,MONTH(E53),DAY(E53)),{0;20;51;81;111;142;173;205;237;267;297;327;357},1))),"")</f>
        <v/>
      </c>
      <c r="M53" s="315" t="str">
        <f>IF(H53="naissance",IF(F53="","",INDEX({"g";"h";"i";"^";"_";"z";"a";"b";"c";"d";"e";"f";"g";""},MATCH(DATE(,MONTH(F53),DAY(F53)),{0;20;51;81;111;142;173;205;237;267;297;327;357},1))),"")</f>
        <v/>
      </c>
      <c r="N53" s="316" t="str">
        <f t="shared" ca="1" si="28"/>
        <v/>
      </c>
      <c r="R53" s="108">
        <v>17927</v>
      </c>
      <c r="S53" s="108">
        <v>18310</v>
      </c>
      <c r="T53" s="117">
        <v>1950</v>
      </c>
      <c r="U53" s="110" t="s">
        <v>436</v>
      </c>
      <c r="V53" s="331"/>
      <c r="X53" s="75">
        <f t="shared" ca="1" si="30"/>
        <v>42735</v>
      </c>
      <c r="Y53" s="234" t="str">
        <f t="shared" ca="1" si="7"/>
        <v xml:space="preserve">      </v>
      </c>
      <c r="Z53" s="76">
        <f t="shared" si="22"/>
        <v>0</v>
      </c>
    </row>
    <row r="54" spans="1:26" ht="15.75" customHeight="1" thickBot="1">
      <c r="A54" s="298"/>
      <c r="B54" s="299"/>
      <c r="C54" s="299" t="str">
        <f t="shared" si="29"/>
        <v xml:space="preserve">  </v>
      </c>
      <c r="D54" s="300" t="str">
        <f t="shared" ca="1" si="6"/>
        <v xml:space="preserve">      </v>
      </c>
      <c r="E54" s="300"/>
      <c r="F54" s="301" t="str">
        <f t="shared" si="24"/>
        <v/>
      </c>
      <c r="G54" s="302" t="str">
        <f t="shared" ca="1" si="25"/>
        <v/>
      </c>
      <c r="H54" s="299"/>
      <c r="I54" s="303" t="str">
        <f t="shared" ca="1" si="26"/>
        <v/>
      </c>
      <c r="J54" s="304" t="str">
        <f t="shared" ca="1" si="27"/>
        <v/>
      </c>
      <c r="K54" s="304" t="str">
        <f t="shared" ca="1" si="10"/>
        <v xml:space="preserve">  </v>
      </c>
      <c r="L54" s="305" t="str">
        <f>IF(H54="naissance",IF(E54="","",INDEX({"Capricorne";"Verseau";"Poisson";"Bélier";"Taureau";"Gémeaux";"Cancer";"Lion";"Vierge";"Balance";"Scorpion";"Sagittaire";"Capricorne";""},MATCH(DATE(,MONTH(E54),DAY(E54)),{0;20;51;81;111;142;173;205;237;267;297;327;357},1))),"")</f>
        <v/>
      </c>
      <c r="M54" s="306" t="str">
        <f>IF(H54="naissance",IF(F54="","",INDEX({"g";"h";"i";"^";"_";"z";"a";"b";"c";"d";"e";"f";"g";""},MATCH(DATE(,MONTH(F54),DAY(F54)),{0;20;51;81;111;142;173;205;237;267;297;327;357},1))),"")</f>
        <v/>
      </c>
      <c r="N54" s="307" t="str">
        <f t="shared" ca="1" si="28"/>
        <v/>
      </c>
      <c r="R54" s="108">
        <v>18311</v>
      </c>
      <c r="S54" s="108">
        <v>18664</v>
      </c>
      <c r="T54" s="117">
        <v>1951</v>
      </c>
      <c r="U54" s="110" t="s">
        <v>437</v>
      </c>
      <c r="V54" s="330" t="s">
        <v>435</v>
      </c>
      <c r="X54" s="75">
        <f t="shared" ca="1" si="30"/>
        <v>42735</v>
      </c>
      <c r="Y54" s="234" t="str">
        <f t="shared" ca="1" si="7"/>
        <v xml:space="preserve">      </v>
      </c>
      <c r="Z54" s="76">
        <f t="shared" si="22"/>
        <v>0</v>
      </c>
    </row>
    <row r="55" spans="1:26" ht="15.75" customHeight="1" thickBot="1">
      <c r="A55" s="292"/>
      <c r="B55" s="293"/>
      <c r="C55" s="293" t="str">
        <f t="shared" si="29"/>
        <v xml:space="preserve">  </v>
      </c>
      <c r="D55" s="294" t="str">
        <f t="shared" ca="1" si="6"/>
        <v xml:space="preserve">      </v>
      </c>
      <c r="E55" s="294"/>
      <c r="F55" s="295" t="str">
        <f t="shared" si="24"/>
        <v/>
      </c>
      <c r="G55" s="294" t="str">
        <f t="shared" ca="1" si="25"/>
        <v/>
      </c>
      <c r="H55" s="293"/>
      <c r="I55" s="293" t="str">
        <f t="shared" ca="1" si="26"/>
        <v/>
      </c>
      <c r="J55" s="296" t="str">
        <f t="shared" ca="1" si="27"/>
        <v/>
      </c>
      <c r="K55" s="296" t="str">
        <f t="shared" ca="1" si="10"/>
        <v xml:space="preserve">  </v>
      </c>
      <c r="L55" s="296" t="str">
        <f>IF(H55="naissance",IF(E55="","",INDEX({"Capricorne";"Verseau";"Poisson";"Bélier";"Taureau";"Gémeaux";"Cancer";"Lion";"Vierge";"Balance";"Scorpion";"Sagittaire";"Capricorne";""},MATCH(DATE(,MONTH(E55),DAY(E55)),{0;20;51;81;111;142;173;205;237;267;297;327;357},1))),"")</f>
        <v/>
      </c>
      <c r="M55" s="296" t="str">
        <f>IF(H55="naissance",IF(F55="","",INDEX({"g";"h";"i";"^";"_";"z";"a";"b";"c";"d";"e";"f";"g";""},MATCH(DATE(,MONTH(F55),DAY(F55)),{0;20;51;81;111;142;173;205;237;267;297;327;357},1))),"")</f>
        <v/>
      </c>
      <c r="N55" s="297" t="str">
        <f t="shared" ca="1" si="28"/>
        <v/>
      </c>
      <c r="R55" s="108">
        <v>18665</v>
      </c>
      <c r="S55" s="108">
        <v>19019</v>
      </c>
      <c r="T55" s="117">
        <v>1952</v>
      </c>
      <c r="U55" s="110" t="s">
        <v>439</v>
      </c>
      <c r="V55" s="331"/>
      <c r="X55" s="75">
        <f t="shared" ca="1" si="30"/>
        <v>42735</v>
      </c>
      <c r="Y55" s="234" t="str">
        <f t="shared" ca="1" si="7"/>
        <v xml:space="preserve">      </v>
      </c>
      <c r="Z55" s="76">
        <f t="shared" si="22"/>
        <v>0</v>
      </c>
    </row>
    <row r="56" spans="1:26" ht="15.75" customHeight="1" thickBot="1">
      <c r="A56" s="298"/>
      <c r="B56" s="299"/>
      <c r="C56" s="299" t="str">
        <f t="shared" si="29"/>
        <v xml:space="preserve">  </v>
      </c>
      <c r="D56" s="300" t="str">
        <f t="shared" ca="1" si="6"/>
        <v xml:space="preserve">      </v>
      </c>
      <c r="E56" s="300"/>
      <c r="F56" s="301" t="str">
        <f t="shared" si="24"/>
        <v/>
      </c>
      <c r="G56" s="302" t="str">
        <f t="shared" ca="1" si="25"/>
        <v/>
      </c>
      <c r="H56" s="299"/>
      <c r="I56" s="303" t="str">
        <f t="shared" ca="1" si="26"/>
        <v/>
      </c>
      <c r="J56" s="304" t="str">
        <f t="shared" ca="1" si="27"/>
        <v/>
      </c>
      <c r="K56" s="304" t="str">
        <f t="shared" ca="1" si="10"/>
        <v xml:space="preserve">  </v>
      </c>
      <c r="L56" s="305" t="str">
        <f>IF(H56="naissance",IF(E56="","",INDEX({"Capricorne";"Verseau";"Poisson";"Bélier";"Taureau";"Gémeaux";"Cancer";"Lion";"Vierge";"Balance";"Scorpion";"Sagittaire";"Capricorne";""},MATCH(DATE(,MONTH(E56),DAY(E56)),{0;20;51;81;111;142;173;205;237;267;297;327;357},1))),"")</f>
        <v/>
      </c>
      <c r="M56" s="306" t="str">
        <f>IF(H56="naissance",IF(F56="","",INDEX({"g";"h";"i";"^";"_";"z";"a";"b";"c";"d";"e";"f";"g";""},MATCH(DATE(,MONTH(F56),DAY(F56)),{0;20;51;81;111;142;173;205;237;267;297;327;357},1))),"")</f>
        <v/>
      </c>
      <c r="N56" s="307" t="str">
        <f t="shared" ca="1" si="28"/>
        <v/>
      </c>
      <c r="R56" s="108">
        <v>19020</v>
      </c>
      <c r="S56" s="108">
        <v>19403</v>
      </c>
      <c r="T56" s="117">
        <v>1953</v>
      </c>
      <c r="U56" s="110" t="s">
        <v>441</v>
      </c>
      <c r="V56" s="330" t="s">
        <v>438</v>
      </c>
      <c r="X56" s="75">
        <f t="shared" ca="1" si="30"/>
        <v>42735</v>
      </c>
      <c r="Y56" s="234" t="str">
        <f t="shared" ca="1" si="7"/>
        <v xml:space="preserve">      </v>
      </c>
      <c r="Z56" s="76">
        <f t="shared" si="22"/>
        <v>0</v>
      </c>
    </row>
    <row r="57" spans="1:26" ht="15.75" customHeight="1" thickBot="1">
      <c r="A57" s="308"/>
      <c r="B57" s="309"/>
      <c r="C57" s="309" t="str">
        <f t="shared" si="29"/>
        <v xml:space="preserve">  </v>
      </c>
      <c r="D57" s="310" t="str">
        <f t="shared" ca="1" si="6"/>
        <v xml:space="preserve">      </v>
      </c>
      <c r="E57" s="310"/>
      <c r="F57" s="311" t="str">
        <f t="shared" si="24"/>
        <v/>
      </c>
      <c r="G57" s="310" t="str">
        <f t="shared" ca="1" si="25"/>
        <v/>
      </c>
      <c r="H57" s="309"/>
      <c r="I57" s="312" t="str">
        <f t="shared" ca="1" si="26"/>
        <v/>
      </c>
      <c r="J57" s="313" t="str">
        <f t="shared" ca="1" si="27"/>
        <v/>
      </c>
      <c r="K57" s="313" t="str">
        <f t="shared" ca="1" si="10"/>
        <v xml:space="preserve">  </v>
      </c>
      <c r="L57" s="314" t="str">
        <f>IF(H57="naissance",IF(E57="","",INDEX({"Capricorne";"Verseau";"Poisson";"Bélier";"Taureau";"Gémeaux";"Cancer";"Lion";"Vierge";"Balance";"Scorpion";"Sagittaire";"Capricorne";""},MATCH(DATE(,MONTH(E57),DAY(E57)),{0;20;51;81;111;142;173;205;237;267;297;327;357},1))),"")</f>
        <v/>
      </c>
      <c r="M57" s="315" t="str">
        <f>IF(H57="naissance",IF(F57="","",INDEX({"g";"h";"i";"^";"_";"z";"a";"b";"c";"d";"e";"f";"g";""},MATCH(DATE(,MONTH(F57),DAY(F57)),{0;20;51;81;111;142;173;205;237;267;297;327;357},1))),"")</f>
        <v/>
      </c>
      <c r="N57" s="316" t="str">
        <f t="shared" ca="1" si="28"/>
        <v/>
      </c>
      <c r="R57" s="108">
        <v>19404</v>
      </c>
      <c r="S57" s="108">
        <v>19757</v>
      </c>
      <c r="T57" s="117">
        <v>1954</v>
      </c>
      <c r="U57" s="110" t="s">
        <v>443</v>
      </c>
      <c r="V57" s="331"/>
      <c r="X57" s="75">
        <f t="shared" ca="1" si="30"/>
        <v>42735</v>
      </c>
      <c r="Y57" s="234" t="str">
        <f t="shared" ca="1" si="7"/>
        <v xml:space="preserve">      </v>
      </c>
      <c r="Z57" s="76">
        <f t="shared" si="22"/>
        <v>0</v>
      </c>
    </row>
    <row r="58" spans="1:26" ht="15.75" customHeight="1" thickBot="1">
      <c r="A58" s="298"/>
      <c r="B58" s="299"/>
      <c r="C58" s="299" t="str">
        <f t="shared" si="29"/>
        <v xml:space="preserve">  </v>
      </c>
      <c r="D58" s="300" t="str">
        <f t="shared" ca="1" si="6"/>
        <v xml:space="preserve">      </v>
      </c>
      <c r="E58" s="300"/>
      <c r="F58" s="301" t="str">
        <f t="shared" si="24"/>
        <v/>
      </c>
      <c r="G58" s="302" t="str">
        <f t="shared" ca="1" si="25"/>
        <v/>
      </c>
      <c r="H58" s="299"/>
      <c r="I58" s="303" t="str">
        <f t="shared" ca="1" si="26"/>
        <v/>
      </c>
      <c r="J58" s="304" t="str">
        <f t="shared" ca="1" si="27"/>
        <v/>
      </c>
      <c r="K58" s="304" t="str">
        <f t="shared" ca="1" si="10"/>
        <v xml:space="preserve">  </v>
      </c>
      <c r="L58" s="305" t="str">
        <f>IF(H58="naissance",IF(E58="","",INDEX({"Capricorne";"Verseau";"Poisson";"Bélier";"Taureau";"Gémeaux";"Cancer";"Lion";"Vierge";"Balance";"Scorpion";"Sagittaire";"Capricorne";""},MATCH(DATE(,MONTH(E58),DAY(E58)),{0;20;51;81;111;142;173;205;237;267;297;327;357},1))),"")</f>
        <v/>
      </c>
      <c r="M58" s="306" t="str">
        <f>IF(H58="naissance",IF(F58="","",INDEX({"g";"h";"i";"^";"_";"z";"a";"b";"c";"d";"e";"f";"g";""},MATCH(DATE(,MONTH(F58),DAY(F58)),{0;20;51;81;111;142;173;205;237;267;297;327;357},1))),"")</f>
        <v/>
      </c>
      <c r="N58" s="307" t="str">
        <f t="shared" ca="1" si="28"/>
        <v/>
      </c>
      <c r="R58" s="108">
        <v>19758</v>
      </c>
      <c r="S58" s="108">
        <v>20112</v>
      </c>
      <c r="T58" s="117">
        <v>1955</v>
      </c>
      <c r="U58" s="110" t="s">
        <v>444</v>
      </c>
      <c r="V58" s="330" t="s">
        <v>442</v>
      </c>
      <c r="X58" s="75">
        <f t="shared" ca="1" si="30"/>
        <v>42735</v>
      </c>
      <c r="Y58" s="234" t="str">
        <f t="shared" ca="1" si="7"/>
        <v xml:space="preserve">      </v>
      </c>
      <c r="Z58" s="76">
        <f t="shared" si="22"/>
        <v>0</v>
      </c>
    </row>
    <row r="59" spans="1:26" ht="15.75" customHeight="1" thickBot="1">
      <c r="A59" s="308"/>
      <c r="B59" s="309"/>
      <c r="C59" s="309" t="str">
        <f t="shared" si="29"/>
        <v xml:space="preserve">  </v>
      </c>
      <c r="D59" s="310" t="str">
        <f t="shared" ca="1" si="6"/>
        <v xml:space="preserve">      </v>
      </c>
      <c r="E59" s="310"/>
      <c r="F59" s="311" t="str">
        <f t="shared" si="24"/>
        <v/>
      </c>
      <c r="G59" s="310" t="str">
        <f t="shared" ca="1" si="25"/>
        <v/>
      </c>
      <c r="H59" s="309"/>
      <c r="I59" s="312" t="str">
        <f t="shared" ca="1" si="26"/>
        <v/>
      </c>
      <c r="J59" s="313" t="str">
        <f t="shared" ca="1" si="27"/>
        <v/>
      </c>
      <c r="K59" s="313" t="str">
        <f t="shared" ca="1" si="10"/>
        <v xml:space="preserve">  </v>
      </c>
      <c r="L59" s="314" t="str">
        <f>IF(H59="naissance",IF(E59="","",INDEX({"Capricorne";"Verseau";"Poisson";"Bélier";"Taureau";"Gémeaux";"Cancer";"Lion";"Vierge";"Balance";"Scorpion";"Sagittaire";"Capricorne";""},MATCH(DATE(,MONTH(E59),DAY(E59)),{0;20;51;81;111;142;173;205;237;267;297;327;357},1))),"")</f>
        <v/>
      </c>
      <c r="M59" s="315" t="str">
        <f>IF(H59="naissance",IF(F59="","",INDEX({"g";"h";"i";"^";"_";"z";"a";"b";"c";"d";"e";"f";"g";""},MATCH(DATE(,MONTH(F59),DAY(F59)),{0;20;51;81;111;142;173;205;237;267;297;327;357},1))),"")</f>
        <v/>
      </c>
      <c r="N59" s="316" t="str">
        <f t="shared" ca="1" si="28"/>
        <v/>
      </c>
      <c r="R59" s="108">
        <v>20113</v>
      </c>
      <c r="S59" s="108">
        <v>20496</v>
      </c>
      <c r="T59" s="117">
        <v>1956</v>
      </c>
      <c r="U59" s="110" t="s">
        <v>447</v>
      </c>
      <c r="V59" s="331"/>
      <c r="X59" s="75">
        <f t="shared" ca="1" si="30"/>
        <v>42735</v>
      </c>
      <c r="Y59" s="234" t="str">
        <f t="shared" ca="1" si="7"/>
        <v xml:space="preserve">      </v>
      </c>
      <c r="Z59" s="76">
        <f t="shared" si="22"/>
        <v>0</v>
      </c>
    </row>
    <row r="60" spans="1:26" ht="15.75" customHeight="1" thickBot="1">
      <c r="A60" s="298"/>
      <c r="B60" s="299"/>
      <c r="C60" s="299" t="str">
        <f t="shared" si="29"/>
        <v xml:space="preserve">  </v>
      </c>
      <c r="D60" s="300" t="str">
        <f t="shared" ca="1" si="6"/>
        <v xml:space="preserve">      </v>
      </c>
      <c r="E60" s="300"/>
      <c r="F60" s="301" t="str">
        <f t="shared" si="24"/>
        <v/>
      </c>
      <c r="G60" s="302" t="str">
        <f t="shared" ca="1" si="25"/>
        <v/>
      </c>
      <c r="H60" s="299"/>
      <c r="I60" s="303" t="str">
        <f t="shared" ca="1" si="26"/>
        <v/>
      </c>
      <c r="J60" s="304" t="str">
        <f t="shared" ca="1" si="27"/>
        <v/>
      </c>
      <c r="K60" s="304" t="str">
        <f t="shared" ca="1" si="10"/>
        <v xml:space="preserve">  </v>
      </c>
      <c r="L60" s="305" t="str">
        <f>IF(H60="naissance",IF(E60="","",INDEX({"Capricorne";"Verseau";"Poisson";"Bélier";"Taureau";"Gémeaux";"Cancer";"Lion";"Vierge";"Balance";"Scorpion";"Sagittaire";"Capricorne";""},MATCH(DATE(,MONTH(E60),DAY(E60)),{0;20;51;81;111;142;173;205;237;267;297;327;357},1))),"")</f>
        <v/>
      </c>
      <c r="M60" s="306" t="str">
        <f>IF(H60="naissance",IF(F60="","",INDEX({"g";"h";"i";"^";"_";"z";"a";"b";"c";"d";"e";"f";"g";""},MATCH(DATE(,MONTH(F60),DAY(F60)),{0;20;51;81;111;142;173;205;237;267;297;327;357},1))),"")</f>
        <v/>
      </c>
      <c r="N60" s="307" t="str">
        <f t="shared" ca="1" si="28"/>
        <v/>
      </c>
      <c r="R60" s="108">
        <v>20497</v>
      </c>
      <c r="S60" s="108">
        <v>20850</v>
      </c>
      <c r="T60" s="117">
        <v>1957</v>
      </c>
      <c r="U60" s="110" t="s">
        <v>448</v>
      </c>
      <c r="V60" s="330" t="s">
        <v>445</v>
      </c>
      <c r="X60" s="75">
        <f t="shared" ca="1" si="30"/>
        <v>42735</v>
      </c>
      <c r="Y60" s="234" t="str">
        <f t="shared" ca="1" si="7"/>
        <v xml:space="preserve">      </v>
      </c>
      <c r="Z60" s="76">
        <f t="shared" si="22"/>
        <v>0</v>
      </c>
    </row>
    <row r="61" spans="1:26" ht="15.75" customHeight="1" thickBot="1">
      <c r="A61" s="308"/>
      <c r="B61" s="309"/>
      <c r="C61" s="309" t="str">
        <f t="shared" si="29"/>
        <v xml:space="preserve">  </v>
      </c>
      <c r="D61" s="310" t="str">
        <f t="shared" ca="1" si="6"/>
        <v xml:space="preserve">      </v>
      </c>
      <c r="E61" s="310"/>
      <c r="F61" s="311" t="str">
        <f t="shared" si="24"/>
        <v/>
      </c>
      <c r="G61" s="310" t="str">
        <f t="shared" ca="1" si="25"/>
        <v/>
      </c>
      <c r="H61" s="309"/>
      <c r="I61" s="312" t="str">
        <f t="shared" ca="1" si="26"/>
        <v/>
      </c>
      <c r="J61" s="313" t="str">
        <f t="shared" ca="1" si="27"/>
        <v/>
      </c>
      <c r="K61" s="313" t="str">
        <f t="shared" ca="1" si="10"/>
        <v xml:space="preserve">  </v>
      </c>
      <c r="L61" s="314" t="str">
        <f>IF(H61="naissance",IF(E61="","",INDEX({"Capricorne";"Verseau";"Poisson";"Bélier";"Taureau";"Gémeaux";"Cancer";"Lion";"Vierge";"Balance";"Scorpion";"Sagittaire";"Capricorne";""},MATCH(DATE(,MONTH(E61),DAY(E61)),{0;20;51;81;111;142;173;205;237;267;297;327;357},1))),"")</f>
        <v/>
      </c>
      <c r="M61" s="315" t="str">
        <f>IF(H61="naissance",IF(F61="","",INDEX({"g";"h";"i";"^";"_";"z";"a";"b";"c";"d";"e";"f";"g";""},MATCH(DATE(,MONTH(F61),DAY(F61)),{0;20;51;81;111;142;173;205;237;267;297;327;357},1))),"")</f>
        <v/>
      </c>
      <c r="N61" s="316" t="str">
        <f t="shared" ca="1" si="28"/>
        <v/>
      </c>
      <c r="R61" s="108">
        <v>20851</v>
      </c>
      <c r="S61" s="108">
        <v>21233</v>
      </c>
      <c r="T61" s="117">
        <v>1958</v>
      </c>
      <c r="U61" s="110" t="s">
        <v>450</v>
      </c>
      <c r="V61" s="331"/>
      <c r="X61" s="75">
        <f t="shared" ca="1" si="30"/>
        <v>42735</v>
      </c>
      <c r="Y61" s="234" t="str">
        <f t="shared" ca="1" si="7"/>
        <v xml:space="preserve">      </v>
      </c>
      <c r="Z61" s="76">
        <f t="shared" si="22"/>
        <v>0</v>
      </c>
    </row>
    <row r="62" spans="1:26" ht="15.75" customHeight="1" thickBot="1">
      <c r="A62" s="298"/>
      <c r="B62" s="299"/>
      <c r="C62" s="299" t="str">
        <f t="shared" si="29"/>
        <v xml:space="preserve">  </v>
      </c>
      <c r="D62" s="300" t="str">
        <f t="shared" ca="1" si="6"/>
        <v xml:space="preserve">      </v>
      </c>
      <c r="E62" s="300"/>
      <c r="F62" s="301" t="str">
        <f t="shared" si="24"/>
        <v/>
      </c>
      <c r="G62" s="302" t="str">
        <f t="shared" ca="1" si="25"/>
        <v/>
      </c>
      <c r="H62" s="299"/>
      <c r="I62" s="303" t="str">
        <f t="shared" ca="1" si="26"/>
        <v/>
      </c>
      <c r="J62" s="304" t="str">
        <f t="shared" ca="1" si="27"/>
        <v/>
      </c>
      <c r="K62" s="304" t="str">
        <f t="shared" ca="1" si="10"/>
        <v xml:space="preserve">  </v>
      </c>
      <c r="L62" s="305" t="str">
        <f>IF(H62="naissance",IF(E62="","",INDEX({"Capricorne";"Verseau";"Poisson";"Bélier";"Taureau";"Gémeaux";"Cancer";"Lion";"Vierge";"Balance";"Scorpion";"Sagittaire";"Capricorne";""},MATCH(DATE(,MONTH(E62),DAY(E62)),{0;20;51;81;111;142;173;205;237;267;297;327;357},1))),"")</f>
        <v/>
      </c>
      <c r="M62" s="306" t="str">
        <f>IF(H62="naissance",IF(F62="","",INDEX({"g";"h";"i";"^";"_";"z";"a";"b";"c";"d";"e";"f";"g";""},MATCH(DATE(,MONTH(F62),DAY(F62)),{0;20;51;81;111;142;173;205;237;267;297;327;357},1))),"")</f>
        <v/>
      </c>
      <c r="N62" s="307" t="str">
        <f t="shared" ca="1" si="28"/>
        <v/>
      </c>
      <c r="R62" s="108">
        <v>21234</v>
      </c>
      <c r="S62" s="108">
        <v>21588</v>
      </c>
      <c r="T62" s="117">
        <v>1959</v>
      </c>
      <c r="U62" s="110" t="s">
        <v>451</v>
      </c>
      <c r="V62" s="330" t="s">
        <v>449</v>
      </c>
      <c r="X62" s="75">
        <f t="shared" ca="1" si="30"/>
        <v>42735</v>
      </c>
      <c r="Y62" s="234" t="str">
        <f t="shared" ca="1" si="7"/>
        <v xml:space="preserve">      </v>
      </c>
      <c r="Z62" s="76">
        <f t="shared" si="22"/>
        <v>0</v>
      </c>
    </row>
    <row r="63" spans="1:26" ht="15.75" customHeight="1" thickBot="1">
      <c r="A63" s="308"/>
      <c r="B63" s="309"/>
      <c r="C63" s="309" t="str">
        <f t="shared" si="29"/>
        <v xml:space="preserve">  </v>
      </c>
      <c r="D63" s="310" t="str">
        <f t="shared" ca="1" si="6"/>
        <v xml:space="preserve">      </v>
      </c>
      <c r="E63" s="310"/>
      <c r="F63" s="311" t="str">
        <f t="shared" si="24"/>
        <v/>
      </c>
      <c r="G63" s="310" t="str">
        <f t="shared" ca="1" si="25"/>
        <v/>
      </c>
      <c r="H63" s="309"/>
      <c r="I63" s="312" t="str">
        <f t="shared" ca="1" si="26"/>
        <v/>
      </c>
      <c r="J63" s="313" t="str">
        <f t="shared" ca="1" si="27"/>
        <v/>
      </c>
      <c r="K63" s="313" t="str">
        <f t="shared" ca="1" si="10"/>
        <v xml:space="preserve">  </v>
      </c>
      <c r="L63" s="314" t="str">
        <f>IF(H63="naissance",IF(E63="","",INDEX({"Capricorne";"Verseau";"Poisson";"Bélier";"Taureau";"Gémeaux";"Cancer";"Lion";"Vierge";"Balance";"Scorpion";"Sagittaire";"Capricorne";""},MATCH(DATE(,MONTH(E63),DAY(E63)),{0;20;51;81;111;142;173;205;237;267;297;327;357},1))),"")</f>
        <v/>
      </c>
      <c r="M63" s="315" t="str">
        <f>IF(H63="naissance",IF(F63="","",INDEX({"g";"h";"i";"^";"_";"z";"a";"b";"c";"d";"e";"f";"g";""},MATCH(DATE(,MONTH(F63),DAY(F63)),{0;20;51;81;111;142;173;205;237;267;297;327;357},1))),"")</f>
        <v/>
      </c>
      <c r="N63" s="316" t="str">
        <f t="shared" ca="1" si="28"/>
        <v/>
      </c>
      <c r="R63" s="108">
        <v>21589</v>
      </c>
      <c r="S63" s="108">
        <v>21942</v>
      </c>
      <c r="T63" s="117">
        <v>1960</v>
      </c>
      <c r="U63" s="110" t="s">
        <v>452</v>
      </c>
      <c r="V63" s="331"/>
      <c r="X63" s="75">
        <f t="shared" ca="1" si="30"/>
        <v>42735</v>
      </c>
      <c r="Y63" s="234" t="str">
        <f t="shared" ca="1" si="7"/>
        <v xml:space="preserve">      </v>
      </c>
      <c r="Z63" s="76">
        <f t="shared" si="22"/>
        <v>0</v>
      </c>
    </row>
    <row r="64" spans="1:26" ht="15.75" customHeight="1" thickBot="1">
      <c r="A64" s="298"/>
      <c r="B64" s="299"/>
      <c r="C64" s="299" t="str">
        <f t="shared" si="29"/>
        <v xml:space="preserve">  </v>
      </c>
      <c r="D64" s="300" t="str">
        <f t="shared" ca="1" si="6"/>
        <v xml:space="preserve">      </v>
      </c>
      <c r="E64" s="300"/>
      <c r="F64" s="301" t="str">
        <f t="shared" si="24"/>
        <v/>
      </c>
      <c r="G64" s="302" t="str">
        <f t="shared" ca="1" si="25"/>
        <v/>
      </c>
      <c r="H64" s="299"/>
      <c r="I64" s="303" t="str">
        <f t="shared" ca="1" si="26"/>
        <v/>
      </c>
      <c r="J64" s="304" t="str">
        <f t="shared" ca="1" si="27"/>
        <v/>
      </c>
      <c r="K64" s="304" t="str">
        <f t="shared" ca="1" si="10"/>
        <v xml:space="preserve">  </v>
      </c>
      <c r="L64" s="305" t="str">
        <f>IF(H64="naissance",IF(E64="","",INDEX({"Capricorne";"Verseau";"Poisson";"Bélier";"Taureau";"Gémeaux";"Cancer";"Lion";"Vierge";"Balance";"Scorpion";"Sagittaire";"Capricorne";""},MATCH(DATE(,MONTH(E64),DAY(E64)),{0;20;51;81;111;142;173;205;237;267;297;327;357},1))),"")</f>
        <v/>
      </c>
      <c r="M64" s="306" t="str">
        <f>IF(H64="naissance",IF(F64="","",INDEX({"g";"h";"i";"^";"_";"z";"a";"b";"c";"d";"e";"f";"g";""},MATCH(DATE(,MONTH(F64),DAY(F64)),{0;20;51;81;111;142;173;205;237;267;297;327;357},1))),"")</f>
        <v/>
      </c>
      <c r="N64" s="307" t="str">
        <f t="shared" ca="1" si="28"/>
        <v/>
      </c>
      <c r="R64" s="108">
        <v>21943</v>
      </c>
      <c r="S64" s="108">
        <v>22326</v>
      </c>
      <c r="T64" s="117">
        <v>1961</v>
      </c>
      <c r="U64" s="109" t="s">
        <v>434</v>
      </c>
      <c r="V64" s="330" t="s">
        <v>435</v>
      </c>
      <c r="X64" s="75">
        <f t="shared" ca="1" si="30"/>
        <v>42735</v>
      </c>
      <c r="Y64" s="234" t="str">
        <f t="shared" ca="1" si="7"/>
        <v xml:space="preserve">      </v>
      </c>
      <c r="Z64" s="76">
        <f t="shared" si="22"/>
        <v>0</v>
      </c>
    </row>
    <row r="65" spans="1:26" ht="15.75" customHeight="1" thickBot="1">
      <c r="A65" s="308"/>
      <c r="B65" s="309"/>
      <c r="C65" s="309" t="str">
        <f t="shared" si="29"/>
        <v xml:space="preserve">  </v>
      </c>
      <c r="D65" s="310" t="str">
        <f t="shared" ca="1" si="6"/>
        <v xml:space="preserve">      </v>
      </c>
      <c r="E65" s="310"/>
      <c r="F65" s="311" t="str">
        <f t="shared" si="24"/>
        <v/>
      </c>
      <c r="G65" s="310" t="str">
        <f t="shared" ca="1" si="25"/>
        <v/>
      </c>
      <c r="H65" s="309"/>
      <c r="I65" s="312" t="str">
        <f t="shared" ca="1" si="26"/>
        <v/>
      </c>
      <c r="J65" s="313" t="str">
        <f t="shared" ca="1" si="27"/>
        <v/>
      </c>
      <c r="K65" s="313" t="str">
        <f t="shared" ca="1" si="10"/>
        <v xml:space="preserve">  </v>
      </c>
      <c r="L65" s="314" t="str">
        <f>IF(H65="naissance",IF(E65="","",INDEX({"Capricorne";"Verseau";"Poisson";"Bélier";"Taureau";"Gémeaux";"Cancer";"Lion";"Vierge";"Balance";"Scorpion";"Sagittaire";"Capricorne";""},MATCH(DATE(,MONTH(E65),DAY(E65)),{0;20;51;81;111;142;173;205;237;267;297;327;357},1))),"")</f>
        <v/>
      </c>
      <c r="M65" s="315" t="str">
        <f>IF(H65="naissance",IF(F65="","",INDEX({"g";"h";"i";"^";"_";"z";"a";"b";"c";"d";"e";"f";"g";""},MATCH(DATE(,MONTH(F65),DAY(F65)),{0;20;51;81;111;142;173;205;237;267;297;327;357},1))),"")</f>
        <v/>
      </c>
      <c r="N65" s="316" t="str">
        <f t="shared" ca="1" si="28"/>
        <v/>
      </c>
      <c r="R65" s="108">
        <v>22327</v>
      </c>
      <c r="S65" s="108">
        <v>22681</v>
      </c>
      <c r="T65" s="117">
        <v>1962</v>
      </c>
      <c r="U65" s="110" t="s">
        <v>436</v>
      </c>
      <c r="V65" s="331"/>
      <c r="X65" s="75">
        <f t="shared" ca="1" si="30"/>
        <v>42735</v>
      </c>
      <c r="Y65" s="234" t="str">
        <f t="shared" ca="1" si="7"/>
        <v xml:space="preserve">      </v>
      </c>
      <c r="Z65" s="76">
        <f t="shared" si="22"/>
        <v>0</v>
      </c>
    </row>
    <row r="66" spans="1:26" ht="15.75" customHeight="1" thickBot="1">
      <c r="A66" s="298"/>
      <c r="B66" s="299"/>
      <c r="C66" s="299" t="str">
        <f t="shared" si="29"/>
        <v xml:space="preserve">  </v>
      </c>
      <c r="D66" s="300" t="str">
        <f t="shared" ca="1" si="6"/>
        <v xml:space="preserve">      </v>
      </c>
      <c r="E66" s="300"/>
      <c r="F66" s="301" t="str">
        <f t="shared" si="24"/>
        <v/>
      </c>
      <c r="G66" s="302" t="str">
        <f t="shared" ca="1" si="25"/>
        <v/>
      </c>
      <c r="H66" s="299"/>
      <c r="I66" s="303" t="str">
        <f t="shared" ref="I66:I75" ca="1" si="31">IF(E66&gt;$AB$1,"",IF(B66="","",IF(H66&lt;&gt;"naissance",IF(F66&lt;1/1/19000," ",DATEDIF(F66,TODAY(),"y")),"")))</f>
        <v/>
      </c>
      <c r="J66" s="304" t="str">
        <f t="shared" ca="1" si="27"/>
        <v/>
      </c>
      <c r="K66" s="304" t="str">
        <f t="shared" ca="1" si="10"/>
        <v xml:space="preserve">  </v>
      </c>
      <c r="L66" s="305" t="str">
        <f>IF(H66="naissance",IF(E66="","",INDEX({"Capricorne";"Verseau";"Poisson";"Bélier";"Taureau";"Gémeaux";"Cancer";"Lion";"Vierge";"Balance";"Scorpion";"Sagittaire";"Capricorne";""},MATCH(DATE(,MONTH(E66),DAY(E66)),{0;20;51;81;111;142;173;205;237;267;297;327;357},1))),"")</f>
        <v/>
      </c>
      <c r="M66" s="306" t="str">
        <f>IF(H66="naissance",IF(F66="","",INDEX({"g";"h";"i";"^";"_";"z";"a";"b";"c";"d";"e";"f";"g";""},MATCH(DATE(,MONTH(F66),DAY(F66)),{0;20;51;81;111;142;173;205;237;267;297;327;357},1))),"")</f>
        <v/>
      </c>
      <c r="N66" s="307" t="str">
        <f t="shared" ca="1" si="28"/>
        <v/>
      </c>
      <c r="R66" s="108">
        <v>22682</v>
      </c>
      <c r="S66" s="108">
        <v>23035</v>
      </c>
      <c r="T66" s="117">
        <v>1963</v>
      </c>
      <c r="U66" s="110" t="s">
        <v>437</v>
      </c>
      <c r="V66" s="330" t="s">
        <v>438</v>
      </c>
      <c r="X66" s="75">
        <f t="shared" ca="1" si="30"/>
        <v>42735</v>
      </c>
      <c r="Y66" s="234" t="str">
        <f t="shared" ca="1" si="7"/>
        <v xml:space="preserve">      </v>
      </c>
      <c r="Z66" s="76">
        <f t="shared" ref="Z66:Z100" si="32">E66</f>
        <v>0</v>
      </c>
    </row>
    <row r="67" spans="1:26" ht="15.75" customHeight="1" thickBot="1">
      <c r="A67" s="308"/>
      <c r="B67" s="309"/>
      <c r="C67" s="309" t="str">
        <f t="shared" si="29"/>
        <v xml:space="preserve">  </v>
      </c>
      <c r="D67" s="310" t="str">
        <f t="shared" ref="D67:D100" ca="1" si="33">CONCATENATE(C67,"  ",K67)</f>
        <v xml:space="preserve">      </v>
      </c>
      <c r="E67" s="310"/>
      <c r="F67" s="311" t="str">
        <f t="shared" si="24"/>
        <v/>
      </c>
      <c r="G67" s="310" t="str">
        <f t="shared" ca="1" si="25"/>
        <v/>
      </c>
      <c r="H67" s="309"/>
      <c r="I67" s="312" t="str">
        <f t="shared" ca="1" si="31"/>
        <v/>
      </c>
      <c r="J67" s="313" t="str">
        <f t="shared" ref="J67:J100" ca="1" si="34">IF(H67="naissance",IF(F67&lt;1/1/19000," ",DATEDIF(F67,TODAY(),"y")),"")</f>
        <v/>
      </c>
      <c r="K67" s="313" t="str">
        <f t="shared" ca="1" si="10"/>
        <v xml:space="preserve">  </v>
      </c>
      <c r="L67" s="314" t="str">
        <f>IF(H67="naissance",IF(E67="","",INDEX({"Capricorne";"Verseau";"Poisson";"Bélier";"Taureau";"Gémeaux";"Cancer";"Lion";"Vierge";"Balance";"Scorpion";"Sagittaire";"Capricorne";""},MATCH(DATE(,MONTH(E67),DAY(E67)),{0;20;51;81;111;142;173;205;237;267;297;327;357},1))),"")</f>
        <v/>
      </c>
      <c r="M67" s="315" t="str">
        <f>IF(H67="naissance",IF(F67="","",INDEX({"g";"h";"i";"^";"_";"z";"a";"b";"c";"d";"e";"f";"g";""},MATCH(DATE(,MONTH(F67),DAY(F67)),{0;20;51;81;111;142;173;205;237;267;297;327;357},1))),"")</f>
        <v/>
      </c>
      <c r="N67" s="316" t="str">
        <f t="shared" ref="N67:N100" ca="1" si="35">IF(H67="naissance",OFFSET($U$3,MATCH(E67,$S$4:$S$123,1)+1,),"")</f>
        <v/>
      </c>
      <c r="R67" s="108">
        <v>23036</v>
      </c>
      <c r="S67" s="108">
        <v>23419</v>
      </c>
      <c r="T67" s="117">
        <v>1964</v>
      </c>
      <c r="U67" s="110" t="s">
        <v>439</v>
      </c>
      <c r="V67" s="331"/>
      <c r="X67" s="75">
        <f t="shared" ca="1" si="30"/>
        <v>42735</v>
      </c>
      <c r="Y67" s="234" t="str">
        <f t="shared" ref="Y67:Y100" ca="1" si="36">D67</f>
        <v xml:space="preserve">      </v>
      </c>
      <c r="Z67" s="76">
        <f t="shared" si="32"/>
        <v>0</v>
      </c>
    </row>
    <row r="68" spans="1:26" ht="15.75" customHeight="1" thickBot="1">
      <c r="A68" s="298"/>
      <c r="B68" s="299"/>
      <c r="C68" s="299" t="str">
        <f t="shared" si="29"/>
        <v xml:space="preserve">  </v>
      </c>
      <c r="D68" s="300" t="str">
        <f t="shared" ca="1" si="33"/>
        <v xml:space="preserve">      </v>
      </c>
      <c r="E68" s="300"/>
      <c r="F68" s="301" t="str">
        <f t="shared" si="24"/>
        <v/>
      </c>
      <c r="G68" s="302" t="str">
        <f t="shared" ca="1" si="25"/>
        <v/>
      </c>
      <c r="H68" s="299"/>
      <c r="I68" s="303" t="str">
        <f t="shared" ca="1" si="31"/>
        <v/>
      </c>
      <c r="J68" s="304" t="str">
        <f t="shared" ca="1" si="34"/>
        <v/>
      </c>
      <c r="K68" s="304" t="str">
        <f t="shared" ref="K68:K100" ca="1" si="37">CONCATENATE(I68,"  ",J68)</f>
        <v xml:space="preserve">  </v>
      </c>
      <c r="L68" s="305" t="str">
        <f>IF(H68="naissance",IF(E68="","",INDEX({"Capricorne";"Verseau";"Poisson";"Bélier";"Taureau";"Gémeaux";"Cancer";"Lion";"Vierge";"Balance";"Scorpion";"Sagittaire";"Capricorne";""},MATCH(DATE(,MONTH(E68),DAY(E68)),{0;20;51;81;111;142;173;205;237;267;297;327;357},1))),"")</f>
        <v/>
      </c>
      <c r="M68" s="306" t="str">
        <f>IF(H68="naissance",IF(F68="","",INDEX({"g";"h";"i";"^";"_";"z";"a";"b";"c";"d";"e";"f";"g";""},MATCH(DATE(,MONTH(F68),DAY(F68)),{0;20;51;81;111;142;173;205;237;267;297;327;357},1))),"")</f>
        <v/>
      </c>
      <c r="N68" s="307" t="str">
        <f t="shared" ca="1" si="35"/>
        <v/>
      </c>
      <c r="R68" s="108">
        <v>23420</v>
      </c>
      <c r="S68" s="110" t="s">
        <v>440</v>
      </c>
      <c r="T68" s="117">
        <v>1965</v>
      </c>
      <c r="U68" s="110" t="s">
        <v>441</v>
      </c>
      <c r="V68" s="330" t="s">
        <v>442</v>
      </c>
      <c r="X68" s="75">
        <f t="shared" ca="1" si="30"/>
        <v>42735</v>
      </c>
      <c r="Y68" s="234" t="str">
        <f t="shared" ca="1" si="36"/>
        <v xml:space="preserve">      </v>
      </c>
      <c r="Z68" s="76">
        <f t="shared" si="32"/>
        <v>0</v>
      </c>
    </row>
    <row r="69" spans="1:26" ht="15.75" customHeight="1" thickBot="1">
      <c r="A69" s="292"/>
      <c r="B69" s="293"/>
      <c r="C69" s="293" t="str">
        <f t="shared" si="29"/>
        <v xml:space="preserve">  </v>
      </c>
      <c r="D69" s="294" t="str">
        <f t="shared" ca="1" si="33"/>
        <v xml:space="preserve">      </v>
      </c>
      <c r="E69" s="294"/>
      <c r="F69" s="295" t="str">
        <f t="shared" si="24"/>
        <v/>
      </c>
      <c r="G69" s="294" t="str">
        <f t="shared" ca="1" si="25"/>
        <v/>
      </c>
      <c r="H69" s="293"/>
      <c r="I69" s="293" t="str">
        <f t="shared" ca="1" si="31"/>
        <v/>
      </c>
      <c r="J69" s="296" t="str">
        <f t="shared" ca="1" si="34"/>
        <v/>
      </c>
      <c r="K69" s="296" t="str">
        <f t="shared" ca="1" si="37"/>
        <v xml:space="preserve">  </v>
      </c>
      <c r="L69" s="296" t="str">
        <f>IF(H69="naissance",IF(E69="","",INDEX({"Capricorne";"Verseau";"Poisson";"Bélier";"Taureau";"Gémeaux";"Cancer";"Lion";"Vierge";"Balance";"Scorpion";"Sagittaire";"Capricorne";""},MATCH(DATE(,MONTH(E69),DAY(E69)),{0;20;51;81;111;142;173;205;237;267;297;327;357},1))),"")</f>
        <v/>
      </c>
      <c r="M69" s="296" t="str">
        <f>IF(H69="naissance",IF(F69="","",INDEX({"g";"h";"i";"^";"_";"z";"a";"b";"c";"d";"e";"f";"g";""},MATCH(DATE(,MONTH(F69),DAY(F69)),{0;20;51;81;111;142;173;205;237;267;297;327;357},1))),"")</f>
        <v/>
      </c>
      <c r="N69" s="297" t="str">
        <f t="shared" ca="1" si="35"/>
        <v/>
      </c>
      <c r="R69" s="108">
        <v>23775</v>
      </c>
      <c r="S69" s="108">
        <v>24127</v>
      </c>
      <c r="T69" s="117">
        <v>1966</v>
      </c>
      <c r="U69" s="110" t="s">
        <v>443</v>
      </c>
      <c r="V69" s="331"/>
      <c r="X69" s="75">
        <f t="shared" ca="1" si="30"/>
        <v>42735</v>
      </c>
      <c r="Y69" s="234" t="str">
        <f t="shared" ca="1" si="36"/>
        <v xml:space="preserve">      </v>
      </c>
      <c r="Z69" s="76">
        <f t="shared" si="32"/>
        <v>0</v>
      </c>
    </row>
    <row r="70" spans="1:26" ht="15.75" customHeight="1" thickBot="1">
      <c r="A70" s="298"/>
      <c r="B70" s="299"/>
      <c r="C70" s="299" t="str">
        <f t="shared" si="29"/>
        <v xml:space="preserve">  </v>
      </c>
      <c r="D70" s="300" t="str">
        <f t="shared" ca="1" si="33"/>
        <v xml:space="preserve">      </v>
      </c>
      <c r="E70" s="300"/>
      <c r="F70" s="301" t="str">
        <f t="shared" si="24"/>
        <v/>
      </c>
      <c r="G70" s="302" t="str">
        <f t="shared" ca="1" si="25"/>
        <v/>
      </c>
      <c r="H70" s="299"/>
      <c r="I70" s="303" t="str">
        <f t="shared" ca="1" si="31"/>
        <v/>
      </c>
      <c r="J70" s="304" t="str">
        <f t="shared" ca="1" si="34"/>
        <v/>
      </c>
      <c r="K70" s="304" t="str">
        <f t="shared" ca="1" si="37"/>
        <v xml:space="preserve">  </v>
      </c>
      <c r="L70" s="305" t="str">
        <f>IF(H70="naissance",IF(E70="","",INDEX({"Capricorne";"Verseau";"Poisson";"Bélier";"Taureau";"Gémeaux";"Cancer";"Lion";"Vierge";"Balance";"Scorpion";"Sagittaire";"Capricorne";""},MATCH(DATE(,MONTH(E70),DAY(E70)),{0;20;51;81;111;142;173;205;237;267;297;327;357},1))),"")</f>
        <v/>
      </c>
      <c r="M70" s="306" t="str">
        <f>IF(H70="naissance",IF(F70="","",INDEX({"g";"h";"i";"^";"_";"z";"a";"b";"c";"d";"e";"f";"g";""},MATCH(DATE(,MONTH(F70),DAY(F70)),{0;20;51;81;111;142;173;205;237;267;297;327;357},1))),"")</f>
        <v/>
      </c>
      <c r="N70" s="307" t="str">
        <f t="shared" ca="1" si="35"/>
        <v/>
      </c>
      <c r="R70" s="108">
        <v>24128</v>
      </c>
      <c r="S70" s="108">
        <v>24511</v>
      </c>
      <c r="T70" s="117">
        <v>1967</v>
      </c>
      <c r="U70" s="110" t="s">
        <v>444</v>
      </c>
      <c r="V70" s="330" t="s">
        <v>445</v>
      </c>
      <c r="X70" s="75">
        <f t="shared" ca="1" si="30"/>
        <v>42735</v>
      </c>
      <c r="Y70" s="234" t="str">
        <f t="shared" ca="1" si="36"/>
        <v xml:space="preserve">      </v>
      </c>
      <c r="Z70" s="76">
        <f t="shared" si="32"/>
        <v>0</v>
      </c>
    </row>
    <row r="71" spans="1:26" ht="15.75" customHeight="1" thickBot="1">
      <c r="A71" s="308"/>
      <c r="B71" s="309"/>
      <c r="C71" s="309" t="str">
        <f t="shared" si="29"/>
        <v xml:space="preserve">  </v>
      </c>
      <c r="D71" s="310" t="str">
        <f t="shared" ca="1" si="33"/>
        <v xml:space="preserve">      </v>
      </c>
      <c r="E71" s="310"/>
      <c r="F71" s="311" t="str">
        <f t="shared" si="24"/>
        <v/>
      </c>
      <c r="G71" s="310" t="str">
        <f t="shared" ca="1" si="25"/>
        <v/>
      </c>
      <c r="H71" s="309"/>
      <c r="I71" s="312" t="str">
        <f t="shared" ca="1" si="31"/>
        <v/>
      </c>
      <c r="J71" s="313" t="str">
        <f t="shared" ca="1" si="34"/>
        <v/>
      </c>
      <c r="K71" s="313" t="str">
        <f t="shared" ca="1" si="37"/>
        <v xml:space="preserve">  </v>
      </c>
      <c r="L71" s="314" t="str">
        <f>IF(H71="naissance",IF(E71="","",INDEX({"Capricorne";"Verseau";"Poisson";"Bélier";"Taureau";"Gémeaux";"Cancer";"Lion";"Vierge";"Balance";"Scorpion";"Sagittaire";"Capricorne";""},MATCH(DATE(,MONTH(E71),DAY(E71)),{0;20;51;81;111;142;173;205;237;267;297;327;357},1))),"")</f>
        <v/>
      </c>
      <c r="M71" s="315" t="str">
        <f>IF(H71="naissance",IF(F71="","",INDEX({"g";"h";"i";"^";"_";"z";"a";"b";"c";"d";"e";"f";"g";""},MATCH(DATE(,MONTH(F71),DAY(F71)),{0;20;51;81;111;142;173;205;237;267;297;327;357},1))),"")</f>
        <v/>
      </c>
      <c r="N71" s="316" t="str">
        <f t="shared" ca="1" si="35"/>
        <v/>
      </c>
      <c r="R71" s="108">
        <v>24512</v>
      </c>
      <c r="S71" s="108">
        <v>24866</v>
      </c>
      <c r="T71" s="117">
        <v>1968</v>
      </c>
      <c r="U71" s="110" t="s">
        <v>447</v>
      </c>
      <c r="V71" s="331"/>
      <c r="X71" s="75">
        <f t="shared" ca="1" si="30"/>
        <v>42735</v>
      </c>
      <c r="Y71" s="234" t="str">
        <f t="shared" ca="1" si="36"/>
        <v xml:space="preserve">      </v>
      </c>
      <c r="Z71" s="76">
        <f t="shared" si="32"/>
        <v>0</v>
      </c>
    </row>
    <row r="72" spans="1:26" ht="15.75" customHeight="1" thickBot="1">
      <c r="A72" s="298"/>
      <c r="B72" s="299"/>
      <c r="C72" s="299" t="str">
        <f t="shared" si="29"/>
        <v xml:space="preserve">  </v>
      </c>
      <c r="D72" s="300" t="str">
        <f t="shared" ca="1" si="33"/>
        <v xml:space="preserve">      </v>
      </c>
      <c r="E72" s="300"/>
      <c r="F72" s="301" t="str">
        <f t="shared" si="24"/>
        <v/>
      </c>
      <c r="G72" s="302" t="str">
        <f t="shared" ca="1" si="25"/>
        <v/>
      </c>
      <c r="H72" s="299"/>
      <c r="I72" s="303" t="str">
        <f t="shared" ca="1" si="31"/>
        <v/>
      </c>
      <c r="J72" s="304" t="str">
        <f t="shared" ca="1" si="34"/>
        <v/>
      </c>
      <c r="K72" s="304" t="str">
        <f t="shared" ca="1" si="37"/>
        <v xml:space="preserve">  </v>
      </c>
      <c r="L72" s="305" t="str">
        <f>IF(H72="naissance",IF(E72="","",INDEX({"Capricorne";"Verseau";"Poisson";"Bélier";"Taureau";"Gémeaux";"Cancer";"Lion";"Vierge";"Balance";"Scorpion";"Sagittaire";"Capricorne";""},MATCH(DATE(,MONTH(E72),DAY(E72)),{0;20;51;81;111;142;173;205;237;267;297;327;357},1))),"")</f>
        <v/>
      </c>
      <c r="M72" s="306" t="str">
        <f>IF(H72="naissance",IF(F72="","",INDEX({"g";"h";"i";"^";"_";"z";"a";"b";"c";"d";"e";"f";"g";""},MATCH(DATE(,MONTH(F72),DAY(F72)),{0;20;51;81;111;142;173;205;237;267;297;327;357},1))),"")</f>
        <v/>
      </c>
      <c r="N72" s="307" t="str">
        <f t="shared" ca="1" si="35"/>
        <v/>
      </c>
      <c r="R72" s="108">
        <v>24867</v>
      </c>
      <c r="S72" s="108">
        <v>25250</v>
      </c>
      <c r="T72" s="117">
        <v>1969</v>
      </c>
      <c r="U72" s="110" t="s">
        <v>448</v>
      </c>
      <c r="V72" s="330" t="s">
        <v>449</v>
      </c>
      <c r="X72" s="75">
        <f t="shared" ca="1" si="30"/>
        <v>42735</v>
      </c>
      <c r="Y72" s="234" t="str">
        <f t="shared" ca="1" si="36"/>
        <v xml:space="preserve">      </v>
      </c>
      <c r="Z72" s="76">
        <f t="shared" si="32"/>
        <v>0</v>
      </c>
    </row>
    <row r="73" spans="1:26" ht="15.75" customHeight="1" thickBot="1">
      <c r="A73" s="308"/>
      <c r="B73" s="309"/>
      <c r="C73" s="309" t="str">
        <f t="shared" si="29"/>
        <v xml:space="preserve">  </v>
      </c>
      <c r="D73" s="310" t="str">
        <f t="shared" ca="1" si="33"/>
        <v xml:space="preserve">      </v>
      </c>
      <c r="E73" s="310"/>
      <c r="F73" s="311" t="str">
        <f t="shared" si="24"/>
        <v/>
      </c>
      <c r="G73" s="310" t="str">
        <f t="shared" ca="1" si="25"/>
        <v/>
      </c>
      <c r="H73" s="309"/>
      <c r="I73" s="312" t="str">
        <f t="shared" ca="1" si="31"/>
        <v/>
      </c>
      <c r="J73" s="313" t="str">
        <f t="shared" ca="1" si="34"/>
        <v/>
      </c>
      <c r="K73" s="313" t="str">
        <f t="shared" ca="1" si="37"/>
        <v xml:space="preserve">  </v>
      </c>
      <c r="L73" s="314" t="str">
        <f>IF(H73="naissance",IF(E73="","",INDEX({"Capricorne";"Verseau";"Poisson";"Bélier";"Taureau";"Gémeaux";"Cancer";"Lion";"Vierge";"Balance";"Scorpion";"Sagittaire";"Capricorne";""},MATCH(DATE(,MONTH(E73),DAY(E73)),{0;20;51;81;111;142;173;205;237;267;297;327;357},1))),"")</f>
        <v/>
      </c>
      <c r="M73" s="315" t="str">
        <f>IF(H73="naissance",IF(F73="","",INDEX({"g";"h";"i";"^";"_";"z";"a";"b";"c";"d";"e";"f";"g";""},MATCH(DATE(,MONTH(F73),DAY(F73)),{0;20;51;81;111;142;173;205;237;267;297;327;357},1))),"")</f>
        <v/>
      </c>
      <c r="N73" s="316" t="str">
        <f t="shared" ca="1" si="35"/>
        <v/>
      </c>
      <c r="R73" s="108">
        <v>25251</v>
      </c>
      <c r="S73" s="108">
        <v>25604</v>
      </c>
      <c r="T73" s="117">
        <v>1970</v>
      </c>
      <c r="U73" s="110" t="s">
        <v>450</v>
      </c>
      <c r="V73" s="331"/>
      <c r="X73" s="75">
        <f t="shared" ca="1" si="30"/>
        <v>42735</v>
      </c>
      <c r="Y73" s="234" t="str">
        <f t="shared" ca="1" si="36"/>
        <v xml:space="preserve">      </v>
      </c>
      <c r="Z73" s="76">
        <f t="shared" si="32"/>
        <v>0</v>
      </c>
    </row>
    <row r="74" spans="1:26" ht="15.75" customHeight="1" thickBot="1">
      <c r="A74" s="298"/>
      <c r="B74" s="299"/>
      <c r="C74" s="299" t="str">
        <f t="shared" si="29"/>
        <v xml:space="preserve">  </v>
      </c>
      <c r="D74" s="300" t="str">
        <f t="shared" ca="1" si="33"/>
        <v xml:space="preserve">      </v>
      </c>
      <c r="E74" s="300"/>
      <c r="F74" s="301" t="str">
        <f t="shared" si="24"/>
        <v/>
      </c>
      <c r="G74" s="302" t="str">
        <f t="shared" ca="1" si="25"/>
        <v/>
      </c>
      <c r="H74" s="299"/>
      <c r="I74" s="303" t="str">
        <f t="shared" ca="1" si="31"/>
        <v/>
      </c>
      <c r="J74" s="304" t="str">
        <f t="shared" ca="1" si="34"/>
        <v/>
      </c>
      <c r="K74" s="304" t="str">
        <f t="shared" ca="1" si="37"/>
        <v xml:space="preserve">  </v>
      </c>
      <c r="L74" s="305" t="str">
        <f>IF(H74="naissance",IF(E74="","",INDEX({"Capricorne";"Verseau";"Poisson";"Bélier";"Taureau";"Gémeaux";"Cancer";"Lion";"Vierge";"Balance";"Scorpion";"Sagittaire";"Capricorne";""},MATCH(DATE(,MONTH(E74),DAY(E74)),{0;20;51;81;111;142;173;205;237;267;297;327;357},1))),"")</f>
        <v/>
      </c>
      <c r="M74" s="306" t="str">
        <f>IF(H74="naissance",IF(F74="","",INDEX({"g";"h";"i";"^";"_";"z";"a";"b";"c";"d";"e";"f";"g";""},MATCH(DATE(,MONTH(F74),DAY(F74)),{0;20;51;81;111;142;173;205;237;267;297;327;357},1))),"")</f>
        <v/>
      </c>
      <c r="N74" s="307" t="str">
        <f t="shared" ca="1" si="35"/>
        <v/>
      </c>
      <c r="R74" s="108">
        <v>25605</v>
      </c>
      <c r="S74" s="108">
        <v>25959</v>
      </c>
      <c r="T74" s="117">
        <v>1971</v>
      </c>
      <c r="U74" s="110" t="s">
        <v>451</v>
      </c>
      <c r="V74" s="330" t="s">
        <v>435</v>
      </c>
      <c r="X74" s="75">
        <f t="shared" ca="1" si="30"/>
        <v>42735</v>
      </c>
      <c r="Y74" s="234" t="str">
        <f t="shared" ca="1" si="36"/>
        <v xml:space="preserve">      </v>
      </c>
      <c r="Z74" s="76">
        <f t="shared" si="32"/>
        <v>0</v>
      </c>
    </row>
    <row r="75" spans="1:26" ht="15.75" customHeight="1" thickBot="1">
      <c r="A75" s="308"/>
      <c r="B75" s="309"/>
      <c r="C75" s="309" t="str">
        <f t="shared" si="29"/>
        <v xml:space="preserve">  </v>
      </c>
      <c r="D75" s="310" t="str">
        <f t="shared" ca="1" si="33"/>
        <v xml:space="preserve">      </v>
      </c>
      <c r="E75" s="310"/>
      <c r="F75" s="311" t="str">
        <f t="shared" si="24"/>
        <v/>
      </c>
      <c r="G75" s="310" t="str">
        <f t="shared" ca="1" si="25"/>
        <v/>
      </c>
      <c r="H75" s="309"/>
      <c r="I75" s="312" t="str">
        <f t="shared" ca="1" si="31"/>
        <v/>
      </c>
      <c r="J75" s="313" t="str">
        <f t="shared" ca="1" si="34"/>
        <v/>
      </c>
      <c r="K75" s="313" t="str">
        <f t="shared" ca="1" si="37"/>
        <v xml:space="preserve">  </v>
      </c>
      <c r="L75" s="314" t="str">
        <f>IF(H75="naissance",IF(E75="","",INDEX({"Capricorne";"Verseau";"Poisson";"Bélier";"Taureau";"Gémeaux";"Cancer";"Lion";"Vierge";"Balance";"Scorpion";"Sagittaire";"Capricorne";""},MATCH(DATE(,MONTH(E75),DAY(E75)),{0;20;51;81;111;142;173;205;237;267;297;327;357},1))),"")</f>
        <v/>
      </c>
      <c r="M75" s="315" t="str">
        <f>IF(H75="naissance",IF(F75="","",INDEX({"g";"h";"i";"^";"_";"z";"a";"b";"c";"d";"e";"f";"g";""},MATCH(DATE(,MONTH(F75),DAY(F75)),{0;20;51;81;111;142;173;205;237;267;297;327;357},1))),"")</f>
        <v/>
      </c>
      <c r="N75" s="316" t="str">
        <f t="shared" ca="1" si="35"/>
        <v/>
      </c>
      <c r="R75" s="108">
        <v>25960</v>
      </c>
      <c r="S75" s="108">
        <v>26343</v>
      </c>
      <c r="T75" s="117">
        <v>1972</v>
      </c>
      <c r="U75" s="110" t="s">
        <v>452</v>
      </c>
      <c r="V75" s="331"/>
      <c r="X75" s="75">
        <f t="shared" ca="1" si="30"/>
        <v>42735</v>
      </c>
      <c r="Y75" s="234" t="str">
        <f t="shared" ca="1" si="36"/>
        <v xml:space="preserve">      </v>
      </c>
      <c r="Z75" s="76">
        <f t="shared" si="32"/>
        <v>0</v>
      </c>
    </row>
    <row r="76" spans="1:26" ht="15.75" customHeight="1" thickBot="1">
      <c r="A76" s="298"/>
      <c r="B76" s="299"/>
      <c r="C76" s="299" t="str">
        <f t="shared" si="29"/>
        <v xml:space="preserve">  </v>
      </c>
      <c r="D76" s="300" t="str">
        <f t="shared" ca="1" si="33"/>
        <v xml:space="preserve">      </v>
      </c>
      <c r="E76" s="300"/>
      <c r="F76" s="301" t="str">
        <f t="shared" si="24"/>
        <v/>
      </c>
      <c r="G76" s="302" t="str">
        <f t="shared" ca="1" si="25"/>
        <v/>
      </c>
      <c r="H76" s="299"/>
      <c r="I76" s="303" t="str">
        <f t="shared" ref="I76:I100" ca="1" si="38">IF(E76&gt;$AB$1,"",IF(B76="","",IF(H76&lt;&gt;"naissance",IF(F76&lt;1/1/19000," ",DATEDIF(F76,TODAY(),"y")),"")))</f>
        <v/>
      </c>
      <c r="J76" s="304" t="str">
        <f t="shared" ca="1" si="34"/>
        <v/>
      </c>
      <c r="K76" s="304" t="str">
        <f t="shared" ca="1" si="37"/>
        <v xml:space="preserve">  </v>
      </c>
      <c r="L76" s="305" t="str">
        <f>IF(H76="naissance",IF(E76="","",INDEX({"Capricorne";"Verseau";"Poisson";"Bélier";"Taureau";"Gémeaux";"Cancer";"Lion";"Vierge";"Balance";"Scorpion";"Sagittaire";"Capricorne";""},MATCH(DATE(,MONTH(E76),DAY(E76)),{0;20;51;81;111;142;173;205;237;267;297;327;357},1))),"")</f>
        <v/>
      </c>
      <c r="M76" s="306" t="str">
        <f>IF(H76="naissance",IF(F76="","",INDEX({"g";"h";"i";"^";"_";"z";"a";"b";"c";"d";"e";"f";"g";""},MATCH(DATE(,MONTH(F76),DAY(F76)),{0;20;51;81;111;142;173;205;237;267;297;327;357},1))),"")</f>
        <v/>
      </c>
      <c r="N76" s="307" t="str">
        <f t="shared" ca="1" si="35"/>
        <v/>
      </c>
      <c r="R76" s="108">
        <v>26344</v>
      </c>
      <c r="S76" s="108">
        <v>26697</v>
      </c>
      <c r="T76" s="117">
        <v>1973</v>
      </c>
      <c r="U76" s="109" t="s">
        <v>434</v>
      </c>
      <c r="V76" s="330" t="s">
        <v>438</v>
      </c>
      <c r="X76" s="75">
        <f t="shared" ca="1" si="30"/>
        <v>42735</v>
      </c>
      <c r="Y76" s="234" t="str">
        <f t="shared" ca="1" si="36"/>
        <v xml:space="preserve">      </v>
      </c>
      <c r="Z76" s="76">
        <f t="shared" si="32"/>
        <v>0</v>
      </c>
    </row>
    <row r="77" spans="1:26" ht="15.75" customHeight="1" thickBot="1">
      <c r="A77" s="308"/>
      <c r="B77" s="309"/>
      <c r="C77" s="309" t="str">
        <f t="shared" si="29"/>
        <v xml:space="preserve">  </v>
      </c>
      <c r="D77" s="310" t="str">
        <f t="shared" ca="1" si="33"/>
        <v xml:space="preserve">      </v>
      </c>
      <c r="E77" s="310"/>
      <c r="F77" s="311" t="str">
        <f t="shared" si="24"/>
        <v/>
      </c>
      <c r="G77" s="310" t="str">
        <f t="shared" ca="1" si="25"/>
        <v/>
      </c>
      <c r="H77" s="309"/>
      <c r="I77" s="312" t="str">
        <f t="shared" ca="1" si="38"/>
        <v/>
      </c>
      <c r="J77" s="313" t="str">
        <f t="shared" ca="1" si="34"/>
        <v/>
      </c>
      <c r="K77" s="313" t="str">
        <f t="shared" ca="1" si="37"/>
        <v xml:space="preserve">  </v>
      </c>
      <c r="L77" s="314" t="str">
        <f>IF(H77="naissance",IF(E77="","",INDEX({"Capricorne";"Verseau";"Poisson";"Bélier";"Taureau";"Gémeaux";"Cancer";"Lion";"Vierge";"Balance";"Scorpion";"Sagittaire";"Capricorne";""},MATCH(DATE(,MONTH(E77),DAY(E77)),{0;20;51;81;111;142;173;205;237;267;297;327;357},1))),"")</f>
        <v/>
      </c>
      <c r="M77" s="315" t="str">
        <f>IF(H77="naissance",IF(F77="","",INDEX({"g";"h";"i";"^";"_";"z";"a";"b";"c";"d";"e";"f";"g";""},MATCH(DATE(,MONTH(F77),DAY(F77)),{0;20;51;81;111;142;173;205;237;267;297;327;357},1))),"")</f>
        <v/>
      </c>
      <c r="N77" s="316" t="str">
        <f t="shared" ca="1" si="35"/>
        <v/>
      </c>
      <c r="R77" s="108">
        <v>26698</v>
      </c>
      <c r="S77" s="108">
        <v>27051</v>
      </c>
      <c r="T77" s="117">
        <v>1974</v>
      </c>
      <c r="U77" s="110" t="s">
        <v>436</v>
      </c>
      <c r="V77" s="331"/>
      <c r="X77" s="75">
        <f t="shared" ca="1" si="30"/>
        <v>42735</v>
      </c>
      <c r="Y77" s="234" t="str">
        <f t="shared" ca="1" si="36"/>
        <v xml:space="preserve">      </v>
      </c>
      <c r="Z77" s="76">
        <f t="shared" si="32"/>
        <v>0</v>
      </c>
    </row>
    <row r="78" spans="1:26" ht="15.75" customHeight="1" thickBot="1">
      <c r="A78" s="298"/>
      <c r="B78" s="299"/>
      <c r="C78" s="299" t="str">
        <f t="shared" si="29"/>
        <v xml:space="preserve">  </v>
      </c>
      <c r="D78" s="300" t="str">
        <f t="shared" ca="1" si="33"/>
        <v xml:space="preserve">      </v>
      </c>
      <c r="E78" s="300"/>
      <c r="F78" s="301" t="str">
        <f t="shared" si="24"/>
        <v/>
      </c>
      <c r="G78" s="302" t="str">
        <f t="shared" ca="1" si="25"/>
        <v/>
      </c>
      <c r="H78" s="299"/>
      <c r="I78" s="303" t="str">
        <f t="shared" ca="1" si="38"/>
        <v/>
      </c>
      <c r="J78" s="304" t="str">
        <f t="shared" ca="1" si="34"/>
        <v/>
      </c>
      <c r="K78" s="304" t="str">
        <f t="shared" ca="1" si="37"/>
        <v xml:space="preserve">  </v>
      </c>
      <c r="L78" s="305" t="str">
        <f>IF(H78="naissance",IF(E78="","",INDEX({"Capricorne";"Verseau";"Poisson";"Bélier";"Taureau";"Gémeaux";"Cancer";"Lion";"Vierge";"Balance";"Scorpion";"Sagittaire";"Capricorne";""},MATCH(DATE(,MONTH(E78),DAY(E78)),{0;20;51;81;111;142;173;205;237;267;297;327;357},1))),"")</f>
        <v/>
      </c>
      <c r="M78" s="306" t="str">
        <f>IF(H78="naissance",IF(F78="","",INDEX({"g";"h";"i";"^";"_";"z";"a";"b";"c";"d";"e";"f";"g";""},MATCH(DATE(,MONTH(F78),DAY(F78)),{0;20;51;81;111;142;173;205;237;267;297;327;357},1))),"")</f>
        <v/>
      </c>
      <c r="N78" s="307" t="str">
        <f t="shared" ca="1" si="35"/>
        <v/>
      </c>
      <c r="R78" s="108">
        <v>27052</v>
      </c>
      <c r="S78" s="108">
        <v>27435</v>
      </c>
      <c r="T78" s="117">
        <v>1975</v>
      </c>
      <c r="U78" s="110" t="s">
        <v>437</v>
      </c>
      <c r="V78" s="330" t="s">
        <v>442</v>
      </c>
      <c r="X78" s="75">
        <f t="shared" ca="1" si="30"/>
        <v>42735</v>
      </c>
      <c r="Y78" s="234" t="str">
        <f t="shared" ca="1" si="36"/>
        <v xml:space="preserve">      </v>
      </c>
      <c r="Z78" s="76">
        <f t="shared" si="32"/>
        <v>0</v>
      </c>
    </row>
    <row r="79" spans="1:26" ht="15.75" customHeight="1" thickBot="1">
      <c r="A79" s="308"/>
      <c r="B79" s="309"/>
      <c r="C79" s="309" t="str">
        <f t="shared" si="29"/>
        <v xml:space="preserve">  </v>
      </c>
      <c r="D79" s="310" t="str">
        <f t="shared" ca="1" si="33"/>
        <v xml:space="preserve">      </v>
      </c>
      <c r="E79" s="310"/>
      <c r="F79" s="311" t="str">
        <f t="shared" si="24"/>
        <v/>
      </c>
      <c r="G79" s="310" t="str">
        <f t="shared" ca="1" si="25"/>
        <v/>
      </c>
      <c r="H79" s="309"/>
      <c r="I79" s="312" t="str">
        <f t="shared" ca="1" si="38"/>
        <v/>
      </c>
      <c r="J79" s="313" t="str">
        <f t="shared" ca="1" si="34"/>
        <v/>
      </c>
      <c r="K79" s="313" t="str">
        <f t="shared" ca="1" si="37"/>
        <v xml:space="preserve">  </v>
      </c>
      <c r="L79" s="314" t="str">
        <f>IF(H79="naissance",IF(E79="","",INDEX({"Capricorne";"Verseau";"Poisson";"Bélier";"Taureau";"Gémeaux";"Cancer";"Lion";"Vierge";"Balance";"Scorpion";"Sagittaire";"Capricorne";""},MATCH(DATE(,MONTH(E79),DAY(E79)),{0;20;51;81;111;142;173;205;237;267;297;327;357},1))),"")</f>
        <v/>
      </c>
      <c r="M79" s="315" t="str">
        <f>IF(H79="naissance",IF(F79="","",INDEX({"g";"h";"i";"^";"_";"z";"a";"b";"c";"d";"e";"f";"g";""},MATCH(DATE(,MONTH(F79),DAY(F79)),{0;20;51;81;111;142;173;205;237;267;297;327;357},1))),"")</f>
        <v/>
      </c>
      <c r="N79" s="316" t="str">
        <f t="shared" ca="1" si="35"/>
        <v/>
      </c>
      <c r="R79" s="108">
        <v>27436</v>
      </c>
      <c r="S79" s="108">
        <v>27789</v>
      </c>
      <c r="T79" s="117">
        <v>1976</v>
      </c>
      <c r="U79" s="110" t="s">
        <v>439</v>
      </c>
      <c r="V79" s="331"/>
      <c r="X79" s="75">
        <f t="shared" ca="1" si="30"/>
        <v>42735</v>
      </c>
      <c r="Y79" s="234" t="str">
        <f t="shared" ca="1" si="36"/>
        <v xml:space="preserve">      </v>
      </c>
      <c r="Z79" s="76">
        <f t="shared" si="32"/>
        <v>0</v>
      </c>
    </row>
    <row r="80" spans="1:26" ht="15.75" customHeight="1" thickBot="1">
      <c r="A80" s="298"/>
      <c r="B80" s="299"/>
      <c r="C80" s="299" t="str">
        <f t="shared" si="29"/>
        <v xml:space="preserve">  </v>
      </c>
      <c r="D80" s="300" t="str">
        <f t="shared" ca="1" si="33"/>
        <v xml:space="preserve">      </v>
      </c>
      <c r="E80" s="300"/>
      <c r="F80" s="301" t="str">
        <f t="shared" si="24"/>
        <v/>
      </c>
      <c r="G80" s="302" t="str">
        <f t="shared" ca="1" si="25"/>
        <v/>
      </c>
      <c r="H80" s="299"/>
      <c r="I80" s="303" t="str">
        <f t="shared" ca="1" si="38"/>
        <v/>
      </c>
      <c r="J80" s="304" t="str">
        <f t="shared" ca="1" si="34"/>
        <v/>
      </c>
      <c r="K80" s="304" t="str">
        <f t="shared" ca="1" si="37"/>
        <v xml:space="preserve">  </v>
      </c>
      <c r="L80" s="305" t="str">
        <f>IF(H80="naissance",IF(E80="","",INDEX({"Capricorne";"Verseau";"Poisson";"Bélier";"Taureau";"Gémeaux";"Cancer";"Lion";"Vierge";"Balance";"Scorpion";"Sagittaire";"Capricorne";""},MATCH(DATE(,MONTH(E80),DAY(E80)),{0;20;51;81;111;142;173;205;237;267;297;327;357},1))),"")</f>
        <v/>
      </c>
      <c r="M80" s="306" t="str">
        <f>IF(H80="naissance",IF(F80="","",INDEX({"g";"h";"i";"^";"_";"z";"a";"b";"c";"d";"e";"f";"g";""},MATCH(DATE(,MONTH(F80),DAY(F80)),{0;20;51;81;111;142;173;205;237;267;297;327;357},1))),"")</f>
        <v/>
      </c>
      <c r="N80" s="307" t="str">
        <f t="shared" ca="1" si="35"/>
        <v/>
      </c>
      <c r="R80" s="108">
        <v>27790</v>
      </c>
      <c r="S80" s="108">
        <v>28173</v>
      </c>
      <c r="T80" s="117">
        <v>1977</v>
      </c>
      <c r="U80" s="110" t="s">
        <v>441</v>
      </c>
      <c r="V80" s="330" t="s">
        <v>445</v>
      </c>
      <c r="X80" s="75">
        <f t="shared" ca="1" si="30"/>
        <v>42735</v>
      </c>
      <c r="Y80" s="234" t="str">
        <f t="shared" ca="1" si="36"/>
        <v xml:space="preserve">      </v>
      </c>
      <c r="Z80" s="76">
        <f t="shared" si="32"/>
        <v>0</v>
      </c>
    </row>
    <row r="81" spans="1:26" ht="15.75" customHeight="1" thickBot="1">
      <c r="A81" s="308"/>
      <c r="B81" s="309"/>
      <c r="C81" s="309" t="str">
        <f t="shared" si="29"/>
        <v xml:space="preserve">  </v>
      </c>
      <c r="D81" s="310" t="str">
        <f t="shared" ca="1" si="33"/>
        <v xml:space="preserve">      </v>
      </c>
      <c r="E81" s="310"/>
      <c r="F81" s="311" t="str">
        <f t="shared" si="24"/>
        <v/>
      </c>
      <c r="G81" s="310" t="str">
        <f t="shared" ca="1" si="25"/>
        <v/>
      </c>
      <c r="H81" s="309"/>
      <c r="I81" s="312" t="str">
        <f t="shared" ca="1" si="38"/>
        <v/>
      </c>
      <c r="J81" s="313" t="str">
        <f t="shared" ca="1" si="34"/>
        <v/>
      </c>
      <c r="K81" s="313" t="str">
        <f t="shared" ca="1" si="37"/>
        <v xml:space="preserve">  </v>
      </c>
      <c r="L81" s="314" t="str">
        <f>IF(H81="naissance",IF(E81="","",INDEX({"Capricorne";"Verseau";"Poisson";"Bélier";"Taureau";"Gémeaux";"Cancer";"Lion";"Vierge";"Balance";"Scorpion";"Sagittaire";"Capricorne";""},MATCH(DATE(,MONTH(E81),DAY(E81)),{0;20;51;81;111;142;173;205;237;267;297;327;357},1))),"")</f>
        <v/>
      </c>
      <c r="M81" s="315" t="str">
        <f>IF(H81="naissance",IF(F81="","",INDEX({"g";"h";"i";"^";"_";"z";"a";"b";"c";"d";"e";"f";"g";""},MATCH(DATE(,MONTH(F81),DAY(F81)),{0;20;51;81;111;142;173;205;237;267;297;327;357},1))),"")</f>
        <v/>
      </c>
      <c r="N81" s="316" t="str">
        <f t="shared" ca="1" si="35"/>
        <v/>
      </c>
      <c r="R81" s="108">
        <v>28174</v>
      </c>
      <c r="S81" s="108">
        <v>28527</v>
      </c>
      <c r="T81" s="117">
        <v>1978</v>
      </c>
      <c r="U81" s="110" t="s">
        <v>443</v>
      </c>
      <c r="V81" s="331"/>
      <c r="X81" s="75">
        <f t="shared" ca="1" si="30"/>
        <v>42735</v>
      </c>
      <c r="Y81" s="234" t="str">
        <f t="shared" ca="1" si="36"/>
        <v xml:space="preserve">      </v>
      </c>
      <c r="Z81" s="76">
        <f t="shared" si="32"/>
        <v>0</v>
      </c>
    </row>
    <row r="82" spans="1:26" ht="15.75" customHeight="1" thickBot="1">
      <c r="A82" s="298"/>
      <c r="B82" s="299"/>
      <c r="C82" s="299" t="str">
        <f t="shared" si="29"/>
        <v xml:space="preserve">  </v>
      </c>
      <c r="D82" s="300" t="str">
        <f t="shared" ca="1" si="33"/>
        <v xml:space="preserve">      </v>
      </c>
      <c r="E82" s="300"/>
      <c r="F82" s="301" t="str">
        <f t="shared" si="24"/>
        <v/>
      </c>
      <c r="G82" s="302" t="str">
        <f t="shared" ca="1" si="25"/>
        <v/>
      </c>
      <c r="H82" s="299"/>
      <c r="I82" s="303" t="str">
        <f t="shared" ca="1" si="38"/>
        <v/>
      </c>
      <c r="J82" s="304" t="str">
        <f t="shared" ca="1" si="34"/>
        <v/>
      </c>
      <c r="K82" s="304" t="str">
        <f t="shared" ca="1" si="37"/>
        <v xml:space="preserve">  </v>
      </c>
      <c r="L82" s="305" t="str">
        <f>IF(H82="naissance",IF(E82="","",INDEX({"Capricorne";"Verseau";"Poisson";"Bélier";"Taureau";"Gémeaux";"Cancer";"Lion";"Vierge";"Balance";"Scorpion";"Sagittaire";"Capricorne";""},MATCH(DATE(,MONTH(E82),DAY(E82)),{0;20;51;81;111;142;173;205;237;267;297;327;357},1))),"")</f>
        <v/>
      </c>
      <c r="M82" s="306" t="str">
        <f>IF(H82="naissance",IF(F82="","",INDEX({"g";"h";"i";"^";"_";"z";"a";"b";"c";"d";"e";"f";"g";""},MATCH(DATE(,MONTH(F82),DAY(F82)),{0;20;51;81;111;142;173;205;237;267;297;327;357},1))),"")</f>
        <v/>
      </c>
      <c r="N82" s="307" t="str">
        <f t="shared" ca="1" si="35"/>
        <v/>
      </c>
      <c r="R82" s="108">
        <v>28528</v>
      </c>
      <c r="S82" s="108">
        <v>28882</v>
      </c>
      <c r="T82" s="117">
        <v>1979</v>
      </c>
      <c r="U82" s="110" t="s">
        <v>444</v>
      </c>
      <c r="V82" s="330" t="s">
        <v>449</v>
      </c>
      <c r="X82" s="75">
        <f t="shared" ca="1" si="30"/>
        <v>42735</v>
      </c>
      <c r="Y82" s="234" t="str">
        <f t="shared" ca="1" si="36"/>
        <v xml:space="preserve">      </v>
      </c>
      <c r="Z82" s="76">
        <f t="shared" si="32"/>
        <v>0</v>
      </c>
    </row>
    <row r="83" spans="1:26" ht="15.75" customHeight="1" thickBot="1">
      <c r="A83" s="292"/>
      <c r="B83" s="293"/>
      <c r="C83" s="293" t="str">
        <f t="shared" si="29"/>
        <v xml:space="preserve">  </v>
      </c>
      <c r="D83" s="294" t="str">
        <f t="shared" ca="1" si="33"/>
        <v xml:space="preserve">      </v>
      </c>
      <c r="E83" s="294"/>
      <c r="F83" s="295" t="str">
        <f t="shared" si="24"/>
        <v/>
      </c>
      <c r="G83" s="294" t="str">
        <f t="shared" ca="1" si="25"/>
        <v/>
      </c>
      <c r="H83" s="293"/>
      <c r="I83" s="293" t="str">
        <f t="shared" ca="1" si="38"/>
        <v/>
      </c>
      <c r="J83" s="296" t="str">
        <f t="shared" ca="1" si="34"/>
        <v/>
      </c>
      <c r="K83" s="296" t="str">
        <f t="shared" ca="1" si="37"/>
        <v xml:space="preserve">  </v>
      </c>
      <c r="L83" s="296" t="str">
        <f>IF(H83="naissance",IF(E83="","",INDEX({"Capricorne";"Verseau";"Poisson";"Bélier";"Taureau";"Gémeaux";"Cancer";"Lion";"Vierge";"Balance";"Scorpion";"Sagittaire";"Capricorne";""},MATCH(DATE(,MONTH(E83),DAY(E83)),{0;20;51;81;111;142;173;205;237;267;297;327;357},1))),"")</f>
        <v/>
      </c>
      <c r="M83" s="296" t="str">
        <f>IF(H83="naissance",IF(F83="","",INDEX({"g";"h";"i";"^";"_";"z";"a";"b";"c";"d";"e";"f";"g";""},MATCH(DATE(,MONTH(F83),DAY(F83)),{0;20;51;81;111;142;173;205;237;267;297;327;357},1))),"")</f>
        <v/>
      </c>
      <c r="N83" s="297" t="str">
        <f t="shared" ca="1" si="35"/>
        <v/>
      </c>
      <c r="R83" s="108">
        <v>28883</v>
      </c>
      <c r="S83" s="108">
        <v>29266</v>
      </c>
      <c r="T83" s="117">
        <v>1980</v>
      </c>
      <c r="U83" s="110" t="s">
        <v>447</v>
      </c>
      <c r="V83" s="331"/>
      <c r="X83" s="75">
        <f t="shared" ca="1" si="30"/>
        <v>42735</v>
      </c>
      <c r="Y83" s="234" t="str">
        <f t="shared" ca="1" si="36"/>
        <v xml:space="preserve">      </v>
      </c>
      <c r="Z83" s="76">
        <f t="shared" si="32"/>
        <v>0</v>
      </c>
    </row>
    <row r="84" spans="1:26" ht="15.75" customHeight="1" thickBot="1">
      <c r="A84" s="298"/>
      <c r="B84" s="299"/>
      <c r="C84" s="299" t="str">
        <f t="shared" si="29"/>
        <v xml:space="preserve">  </v>
      </c>
      <c r="D84" s="300" t="str">
        <f t="shared" ca="1" si="33"/>
        <v xml:space="preserve">      </v>
      </c>
      <c r="E84" s="300"/>
      <c r="F84" s="301" t="str">
        <f t="shared" si="24"/>
        <v/>
      </c>
      <c r="G84" s="302" t="str">
        <f t="shared" ca="1" si="25"/>
        <v/>
      </c>
      <c r="H84" s="299"/>
      <c r="I84" s="303" t="str">
        <f t="shared" ca="1" si="38"/>
        <v/>
      </c>
      <c r="J84" s="304" t="str">
        <f t="shared" ca="1" si="34"/>
        <v/>
      </c>
      <c r="K84" s="304" t="str">
        <f t="shared" ca="1" si="37"/>
        <v xml:space="preserve">  </v>
      </c>
      <c r="L84" s="305" t="str">
        <f>IF(H84="naissance",IF(E84="","",INDEX({"Capricorne";"Verseau";"Poisson";"Bélier";"Taureau";"Gémeaux";"Cancer";"Lion";"Vierge";"Balance";"Scorpion";"Sagittaire";"Capricorne";""},MATCH(DATE(,MONTH(E84),DAY(E84)),{0;20;51;81;111;142;173;205;237;267;297;327;357},1))),"")</f>
        <v/>
      </c>
      <c r="M84" s="306" t="str">
        <f>IF(H84="naissance",IF(F84="","",INDEX({"g";"h";"i";"^";"_";"z";"a";"b";"c";"d";"e";"f";"g";""},MATCH(DATE(,MONTH(F84),DAY(F84)),{0;20;51;81;111;142;173;205;237;267;297;327;357},1))),"")</f>
        <v/>
      </c>
      <c r="N84" s="307" t="str">
        <f t="shared" ca="1" si="35"/>
        <v/>
      </c>
      <c r="R84" s="108">
        <v>29267</v>
      </c>
      <c r="S84" s="108">
        <v>29621</v>
      </c>
      <c r="T84" s="117">
        <v>1981</v>
      </c>
      <c r="U84" s="110" t="s">
        <v>448</v>
      </c>
      <c r="V84" s="330" t="s">
        <v>435</v>
      </c>
      <c r="X84" s="75">
        <f t="shared" ca="1" si="30"/>
        <v>42735</v>
      </c>
      <c r="Y84" s="234" t="str">
        <f t="shared" ca="1" si="36"/>
        <v xml:space="preserve">      </v>
      </c>
      <c r="Z84" s="76">
        <f t="shared" si="32"/>
        <v>0</v>
      </c>
    </row>
    <row r="85" spans="1:26" ht="15.75" customHeight="1" thickBot="1">
      <c r="A85" s="308"/>
      <c r="B85" s="309"/>
      <c r="C85" s="309" t="str">
        <f t="shared" si="29"/>
        <v xml:space="preserve">  </v>
      </c>
      <c r="D85" s="310" t="str">
        <f t="shared" ca="1" si="33"/>
        <v xml:space="preserve">      </v>
      </c>
      <c r="E85" s="310"/>
      <c r="F85" s="311" t="str">
        <f t="shared" si="24"/>
        <v/>
      </c>
      <c r="G85" s="310" t="str">
        <f t="shared" ca="1" si="25"/>
        <v/>
      </c>
      <c r="H85" s="309"/>
      <c r="I85" s="312" t="str">
        <f t="shared" ca="1" si="38"/>
        <v/>
      </c>
      <c r="J85" s="313" t="str">
        <f t="shared" ca="1" si="34"/>
        <v/>
      </c>
      <c r="K85" s="313" t="str">
        <f t="shared" ca="1" si="37"/>
        <v xml:space="preserve">  </v>
      </c>
      <c r="L85" s="314" t="str">
        <f>IF(H85="naissance",IF(E85="","",INDEX({"Capricorne";"Verseau";"Poisson";"Bélier";"Taureau";"Gémeaux";"Cancer";"Lion";"Vierge";"Balance";"Scorpion";"Sagittaire";"Capricorne";""},MATCH(DATE(,MONTH(E85),DAY(E85)),{0;20;51;81;111;142;173;205;237;267;297;327;357},1))),"")</f>
        <v/>
      </c>
      <c r="M85" s="315" t="str">
        <f>IF(H85="naissance",IF(F85="","",INDEX({"g";"h";"i";"^";"_";"z";"a";"b";"c";"d";"e";"f";"g";""},MATCH(DATE(,MONTH(F85),DAY(F85)),{0;20;51;81;111;142;173;205;237;267;297;327;357},1))),"")</f>
        <v/>
      </c>
      <c r="N85" s="316" t="str">
        <f t="shared" ca="1" si="35"/>
        <v/>
      </c>
      <c r="R85" s="108">
        <v>29622</v>
      </c>
      <c r="S85" s="108">
        <v>29975</v>
      </c>
      <c r="T85" s="117">
        <v>1982</v>
      </c>
      <c r="U85" s="110" t="s">
        <v>450</v>
      </c>
      <c r="V85" s="331"/>
      <c r="X85" s="75">
        <f t="shared" ca="1" si="30"/>
        <v>42735</v>
      </c>
      <c r="Y85" s="234" t="str">
        <f t="shared" ca="1" si="36"/>
        <v xml:space="preserve">      </v>
      </c>
      <c r="Z85" s="76">
        <f t="shared" si="32"/>
        <v>0</v>
      </c>
    </row>
    <row r="86" spans="1:26" ht="15.75" customHeight="1" thickBot="1">
      <c r="A86" s="298"/>
      <c r="B86" s="299"/>
      <c r="C86" s="299" t="str">
        <f t="shared" si="29"/>
        <v xml:space="preserve">  </v>
      </c>
      <c r="D86" s="300" t="str">
        <f t="shared" ca="1" si="33"/>
        <v xml:space="preserve">      </v>
      </c>
      <c r="E86" s="300"/>
      <c r="F86" s="301" t="str">
        <f t="shared" si="24"/>
        <v/>
      </c>
      <c r="G86" s="302" t="str">
        <f t="shared" ca="1" si="25"/>
        <v/>
      </c>
      <c r="H86" s="299"/>
      <c r="I86" s="303" t="str">
        <f t="shared" ca="1" si="38"/>
        <v/>
      </c>
      <c r="J86" s="304" t="str">
        <f t="shared" ca="1" si="34"/>
        <v/>
      </c>
      <c r="K86" s="304" t="str">
        <f t="shared" ca="1" si="37"/>
        <v xml:space="preserve">  </v>
      </c>
      <c r="L86" s="305" t="str">
        <f>IF(H86="naissance",IF(E86="","",INDEX({"Capricorne";"Verseau";"Poisson";"Bélier";"Taureau";"Gémeaux";"Cancer";"Lion";"Vierge";"Balance";"Scorpion";"Sagittaire";"Capricorne";""},MATCH(DATE(,MONTH(E86),DAY(E86)),{0;20;51;81;111;142;173;205;237;267;297;327;357},1))),"")</f>
        <v/>
      </c>
      <c r="M86" s="306" t="str">
        <f>IF(H86="naissance",IF(F86="","",INDEX({"g";"h";"i";"^";"_";"z";"a";"b";"c";"d";"e";"f";"g";""},MATCH(DATE(,MONTH(F86),DAY(F86)),{0;20;51;81;111;142;173;205;237;267;297;327;357},1))),"")</f>
        <v/>
      </c>
      <c r="N86" s="307" t="str">
        <f t="shared" ca="1" si="35"/>
        <v/>
      </c>
      <c r="R86" s="108">
        <v>29976</v>
      </c>
      <c r="S86" s="108">
        <v>30359</v>
      </c>
      <c r="T86" s="117">
        <v>1983</v>
      </c>
      <c r="U86" s="110" t="s">
        <v>451</v>
      </c>
      <c r="V86" s="330" t="s">
        <v>438</v>
      </c>
      <c r="X86" s="75">
        <f t="shared" ca="1" si="30"/>
        <v>42735</v>
      </c>
      <c r="Y86" s="234" t="str">
        <f t="shared" ca="1" si="36"/>
        <v xml:space="preserve">      </v>
      </c>
      <c r="Z86" s="76">
        <f t="shared" si="32"/>
        <v>0</v>
      </c>
    </row>
    <row r="87" spans="1:26" ht="15.75" customHeight="1" thickBot="1">
      <c r="A87" s="308"/>
      <c r="B87" s="309"/>
      <c r="C87" s="309" t="str">
        <f t="shared" si="29"/>
        <v xml:space="preserve">  </v>
      </c>
      <c r="D87" s="310" t="str">
        <f t="shared" ca="1" si="33"/>
        <v xml:space="preserve">      </v>
      </c>
      <c r="E87" s="310"/>
      <c r="F87" s="311" t="str">
        <f t="shared" si="24"/>
        <v/>
      </c>
      <c r="G87" s="310" t="str">
        <f t="shared" ca="1" si="25"/>
        <v/>
      </c>
      <c r="H87" s="309"/>
      <c r="I87" s="312" t="str">
        <f t="shared" ca="1" si="38"/>
        <v/>
      </c>
      <c r="J87" s="313" t="str">
        <f t="shared" ca="1" si="34"/>
        <v/>
      </c>
      <c r="K87" s="313" t="str">
        <f t="shared" ca="1" si="37"/>
        <v xml:space="preserve">  </v>
      </c>
      <c r="L87" s="314" t="str">
        <f>IF(H87="naissance",IF(E87="","",INDEX({"Capricorne";"Verseau";"Poisson";"Bélier";"Taureau";"Gémeaux";"Cancer";"Lion";"Vierge";"Balance";"Scorpion";"Sagittaire";"Capricorne";""},MATCH(DATE(,MONTH(E87),DAY(E87)),{0;20;51;81;111;142;173;205;237;267;297;327;357},1))),"")</f>
        <v/>
      </c>
      <c r="M87" s="315" t="str">
        <f>IF(H87="naissance",IF(F87="","",INDEX({"g";"h";"i";"^";"_";"z";"a";"b";"c";"d";"e";"f";"g";""},MATCH(DATE(,MONTH(F87),DAY(F87)),{0;20;51;81;111;142;173;205;237;267;297;327;357},1))),"")</f>
        <v/>
      </c>
      <c r="N87" s="316" t="str">
        <f t="shared" ca="1" si="35"/>
        <v/>
      </c>
      <c r="R87" s="108">
        <v>30360</v>
      </c>
      <c r="S87" s="110" t="s">
        <v>454</v>
      </c>
      <c r="T87" s="117">
        <v>1984</v>
      </c>
      <c r="U87" s="110" t="s">
        <v>452</v>
      </c>
      <c r="V87" s="331"/>
      <c r="X87" s="75">
        <f t="shared" ca="1" si="30"/>
        <v>42735</v>
      </c>
      <c r="Y87" s="234" t="str">
        <f t="shared" ca="1" si="36"/>
        <v xml:space="preserve">      </v>
      </c>
      <c r="Z87" s="76">
        <f t="shared" si="32"/>
        <v>0</v>
      </c>
    </row>
    <row r="88" spans="1:26" ht="15.75" customHeight="1" thickBot="1">
      <c r="A88" s="298"/>
      <c r="B88" s="299"/>
      <c r="C88" s="299" t="str">
        <f t="shared" si="29"/>
        <v xml:space="preserve">  </v>
      </c>
      <c r="D88" s="300" t="str">
        <f t="shared" ca="1" si="33"/>
        <v xml:space="preserve">      </v>
      </c>
      <c r="E88" s="300"/>
      <c r="F88" s="301" t="str">
        <f t="shared" si="24"/>
        <v/>
      </c>
      <c r="G88" s="302" t="str">
        <f t="shared" ca="1" si="25"/>
        <v/>
      </c>
      <c r="H88" s="299"/>
      <c r="I88" s="303" t="str">
        <f t="shared" ca="1" si="38"/>
        <v/>
      </c>
      <c r="J88" s="304" t="str">
        <f t="shared" ca="1" si="34"/>
        <v/>
      </c>
      <c r="K88" s="304" t="str">
        <f t="shared" ca="1" si="37"/>
        <v xml:space="preserve">  </v>
      </c>
      <c r="L88" s="305" t="str">
        <f>IF(H88="naissance",IF(E88="","",INDEX({"Capricorne";"Verseau";"Poisson";"Bélier";"Taureau";"Gémeaux";"Cancer";"Lion";"Vierge";"Balance";"Scorpion";"Sagittaire";"Capricorne";""},MATCH(DATE(,MONTH(E88),DAY(E88)),{0;20;51;81;111;142;173;205;237;267;297;327;357},1))),"")</f>
        <v/>
      </c>
      <c r="M88" s="306" t="str">
        <f>IF(H88="naissance",IF(F88="","",INDEX({"g";"h";"i";"^";"_";"z";"a";"b";"c";"d";"e";"f";"g";""},MATCH(DATE(,MONTH(F88),DAY(F88)),{0;20;51;81;111;142;173;205;237;267;297;327;357},1))),"")</f>
        <v/>
      </c>
      <c r="N88" s="307" t="str">
        <f t="shared" ca="1" si="35"/>
        <v/>
      </c>
      <c r="R88" s="108">
        <v>30714</v>
      </c>
      <c r="S88" s="108">
        <v>31097</v>
      </c>
      <c r="T88" s="117">
        <v>1985</v>
      </c>
      <c r="U88" s="109" t="s">
        <v>434</v>
      </c>
      <c r="V88" s="330" t="s">
        <v>442</v>
      </c>
      <c r="X88" s="75">
        <f t="shared" ca="1" si="30"/>
        <v>42735</v>
      </c>
      <c r="Y88" s="234" t="str">
        <f t="shared" ca="1" si="36"/>
        <v xml:space="preserve">      </v>
      </c>
      <c r="Z88" s="76">
        <f t="shared" si="32"/>
        <v>0</v>
      </c>
    </row>
    <row r="89" spans="1:26" ht="15.75" customHeight="1" thickBot="1">
      <c r="A89" s="308"/>
      <c r="B89" s="309"/>
      <c r="C89" s="309" t="str">
        <f t="shared" si="29"/>
        <v xml:space="preserve">  </v>
      </c>
      <c r="D89" s="310" t="str">
        <f t="shared" ca="1" si="33"/>
        <v xml:space="preserve">      </v>
      </c>
      <c r="E89" s="310"/>
      <c r="F89" s="311" t="str">
        <f t="shared" si="24"/>
        <v/>
      </c>
      <c r="G89" s="310" t="str">
        <f t="shared" ca="1" si="25"/>
        <v/>
      </c>
      <c r="H89" s="309"/>
      <c r="I89" s="312" t="str">
        <f t="shared" ca="1" si="38"/>
        <v/>
      </c>
      <c r="J89" s="313" t="str">
        <f t="shared" ca="1" si="34"/>
        <v/>
      </c>
      <c r="K89" s="313" t="str">
        <f t="shared" ca="1" si="37"/>
        <v xml:space="preserve">  </v>
      </c>
      <c r="L89" s="314" t="str">
        <f>IF(H89="naissance",IF(E89="","",INDEX({"Capricorne";"Verseau";"Poisson";"Bélier";"Taureau";"Gémeaux";"Cancer";"Lion";"Vierge";"Balance";"Scorpion";"Sagittaire";"Capricorne";""},MATCH(DATE(,MONTH(E89),DAY(E89)),{0;20;51;81;111;142;173;205;237;267;297;327;357},1))),"")</f>
        <v/>
      </c>
      <c r="M89" s="315" t="str">
        <f>IF(H89="naissance",IF(F89="","",INDEX({"g";"h";"i";"^";"_";"z";"a";"b";"c";"d";"e";"f";"g";""},MATCH(DATE(,MONTH(F89),DAY(F89)),{0;20;51;81;111;142;173;205;237;267;297;327;357},1))),"")</f>
        <v/>
      </c>
      <c r="N89" s="316" t="str">
        <f t="shared" ca="1" si="35"/>
        <v/>
      </c>
      <c r="R89" s="108">
        <v>31098</v>
      </c>
      <c r="S89" s="108">
        <v>31451</v>
      </c>
      <c r="T89" s="117">
        <v>1986</v>
      </c>
      <c r="U89" s="110" t="s">
        <v>436</v>
      </c>
      <c r="V89" s="331"/>
      <c r="X89" s="75">
        <f t="shared" ca="1" si="30"/>
        <v>42735</v>
      </c>
      <c r="Y89" s="234" t="str">
        <f t="shared" ca="1" si="36"/>
        <v xml:space="preserve">      </v>
      </c>
      <c r="Z89" s="76">
        <f t="shared" si="32"/>
        <v>0</v>
      </c>
    </row>
    <row r="90" spans="1:26" ht="15.75" customHeight="1" thickBot="1">
      <c r="A90" s="298"/>
      <c r="B90" s="299"/>
      <c r="C90" s="299" t="str">
        <f t="shared" si="29"/>
        <v xml:space="preserve">  </v>
      </c>
      <c r="D90" s="300" t="str">
        <f t="shared" ca="1" si="33"/>
        <v xml:space="preserve">      </v>
      </c>
      <c r="E90" s="300"/>
      <c r="F90" s="301" t="str">
        <f t="shared" si="24"/>
        <v/>
      </c>
      <c r="G90" s="302" t="str">
        <f t="shared" ca="1" si="25"/>
        <v/>
      </c>
      <c r="H90" s="299"/>
      <c r="I90" s="303" t="str">
        <f t="shared" ca="1" si="38"/>
        <v/>
      </c>
      <c r="J90" s="304" t="str">
        <f t="shared" ca="1" si="34"/>
        <v/>
      </c>
      <c r="K90" s="304" t="str">
        <f t="shared" ca="1" si="37"/>
        <v xml:space="preserve">  </v>
      </c>
      <c r="L90" s="305" t="str">
        <f>IF(H90="naissance",IF(E90="","",INDEX({"Capricorne";"Verseau";"Poisson";"Bélier";"Taureau";"Gémeaux";"Cancer";"Lion";"Vierge";"Balance";"Scorpion";"Sagittaire";"Capricorne";""},MATCH(DATE(,MONTH(E90),DAY(E90)),{0;20;51;81;111;142;173;205;237;267;297;327;357},1))),"")</f>
        <v/>
      </c>
      <c r="M90" s="306" t="str">
        <f>IF(H90="naissance",IF(F90="","",INDEX({"g";"h";"i";"^";"_";"z";"a";"b";"c";"d";"e";"f";"g";""},MATCH(DATE(,MONTH(F90),DAY(F90)),{0;20;51;81;111;142;173;205;237;267;297;327;357},1))),"")</f>
        <v/>
      </c>
      <c r="N90" s="307" t="str">
        <f t="shared" ca="1" si="35"/>
        <v/>
      </c>
      <c r="R90" s="108">
        <v>31452</v>
      </c>
      <c r="S90" s="108">
        <v>31805</v>
      </c>
      <c r="T90" s="117">
        <v>1987</v>
      </c>
      <c r="U90" s="110" t="s">
        <v>437</v>
      </c>
      <c r="V90" s="330" t="s">
        <v>445</v>
      </c>
      <c r="X90" s="75">
        <f t="shared" ca="1" si="30"/>
        <v>42735</v>
      </c>
      <c r="Y90" s="234" t="str">
        <f t="shared" ca="1" si="36"/>
        <v xml:space="preserve">      </v>
      </c>
      <c r="Z90" s="76">
        <f t="shared" si="32"/>
        <v>0</v>
      </c>
    </row>
    <row r="91" spans="1:26" ht="15.75" customHeight="1" thickBot="1">
      <c r="A91" s="308"/>
      <c r="B91" s="309"/>
      <c r="C91" s="309" t="str">
        <f t="shared" si="29"/>
        <v xml:space="preserve">  </v>
      </c>
      <c r="D91" s="310" t="str">
        <f t="shared" ca="1" si="33"/>
        <v xml:space="preserve">      </v>
      </c>
      <c r="E91" s="310"/>
      <c r="F91" s="311" t="str">
        <f t="shared" ref="F91:F100" si="39">IF(E91&lt;1/1/1900,"",E91)</f>
        <v/>
      </c>
      <c r="G91" s="310" t="str">
        <f t="shared" ref="G91:G100" ca="1" si="40">IF(E91&lt;1/1/2000,"",DATE(YEAR(TODAY()),MONTH(E91),DAY(F91)))</f>
        <v/>
      </c>
      <c r="H91" s="309"/>
      <c r="I91" s="312" t="str">
        <f t="shared" ca="1" si="38"/>
        <v/>
      </c>
      <c r="J91" s="313" t="str">
        <f t="shared" ca="1" si="34"/>
        <v/>
      </c>
      <c r="K91" s="313" t="str">
        <f t="shared" ca="1" si="37"/>
        <v xml:space="preserve">  </v>
      </c>
      <c r="L91" s="314" t="str">
        <f>IF(H91="naissance",IF(E91="","",INDEX({"Capricorne";"Verseau";"Poisson";"Bélier";"Taureau";"Gémeaux";"Cancer";"Lion";"Vierge";"Balance";"Scorpion";"Sagittaire";"Capricorne";""},MATCH(DATE(,MONTH(E91),DAY(E91)),{0;20;51;81;111;142;173;205;237;267;297;327;357},1))),"")</f>
        <v/>
      </c>
      <c r="M91" s="315" t="str">
        <f>IF(H91="naissance",IF(F91="","",INDEX({"g";"h";"i";"^";"_";"z";"a";"b";"c";"d";"e";"f";"g";""},MATCH(DATE(,MONTH(F91),DAY(F91)),{0;20;51;81;111;142;173;205;237;267;297;327;357},1))),"")</f>
        <v/>
      </c>
      <c r="N91" s="316" t="str">
        <f t="shared" ca="1" si="35"/>
        <v/>
      </c>
      <c r="R91" s="108">
        <v>31806</v>
      </c>
      <c r="S91" s="108">
        <v>32177</v>
      </c>
      <c r="T91" s="117">
        <v>1988</v>
      </c>
      <c r="U91" s="110" t="s">
        <v>439</v>
      </c>
      <c r="V91" s="331"/>
      <c r="X91" s="75">
        <f t="shared" ca="1" si="30"/>
        <v>42735</v>
      </c>
      <c r="Y91" s="234" t="str">
        <f t="shared" ca="1" si="36"/>
        <v xml:space="preserve">      </v>
      </c>
      <c r="Z91" s="76">
        <f t="shared" si="32"/>
        <v>0</v>
      </c>
    </row>
    <row r="92" spans="1:26" ht="15.75" customHeight="1" thickBot="1">
      <c r="A92" s="298"/>
      <c r="B92" s="299"/>
      <c r="C92" s="299" t="str">
        <f t="shared" si="29"/>
        <v xml:space="preserve">  </v>
      </c>
      <c r="D92" s="300" t="str">
        <f t="shared" ca="1" si="33"/>
        <v xml:space="preserve">      </v>
      </c>
      <c r="E92" s="300"/>
      <c r="F92" s="301" t="str">
        <f t="shared" si="39"/>
        <v/>
      </c>
      <c r="G92" s="302" t="str">
        <f t="shared" ca="1" si="40"/>
        <v/>
      </c>
      <c r="H92" s="299"/>
      <c r="I92" s="303" t="str">
        <f t="shared" ca="1" si="38"/>
        <v/>
      </c>
      <c r="J92" s="304" t="str">
        <f t="shared" ca="1" si="34"/>
        <v/>
      </c>
      <c r="K92" s="304" t="str">
        <f t="shared" ca="1" si="37"/>
        <v xml:space="preserve">  </v>
      </c>
      <c r="L92" s="305" t="str">
        <f>IF(H92="naissance",IF(E92="","",INDEX({"Capricorne";"Verseau";"Poisson";"Bélier";"Taureau";"Gémeaux";"Cancer";"Lion";"Vierge";"Balance";"Scorpion";"Sagittaire";"Capricorne";""},MATCH(DATE(,MONTH(E92),DAY(E92)),{0;20;51;81;111;142;173;205;237;267;297;327;357},1))),"")</f>
        <v/>
      </c>
      <c r="M92" s="306" t="str">
        <f>IF(H92="naissance",IF(F92="","",INDEX({"g";"h";"i";"^";"_";"z";"a";"b";"c";"d";"e";"f";"g";""},MATCH(DATE(,MONTH(F92),DAY(F92)),{0;20;51;81;111;142;173;205;237;267;297;327;357},1))),"")</f>
        <v/>
      </c>
      <c r="N92" s="307" t="str">
        <f t="shared" ca="1" si="35"/>
        <v/>
      </c>
      <c r="R92" s="108">
        <v>32177</v>
      </c>
      <c r="S92" s="108">
        <v>32544</v>
      </c>
      <c r="T92" s="117">
        <v>1989</v>
      </c>
      <c r="U92" s="110" t="s">
        <v>441</v>
      </c>
      <c r="V92" s="330" t="s">
        <v>449</v>
      </c>
      <c r="X92" s="75">
        <f t="shared" ca="1" si="30"/>
        <v>42735</v>
      </c>
      <c r="Y92" s="234" t="str">
        <f t="shared" ca="1" si="36"/>
        <v xml:space="preserve">      </v>
      </c>
      <c r="Z92" s="76">
        <f t="shared" si="32"/>
        <v>0</v>
      </c>
    </row>
    <row r="93" spans="1:26" ht="15.75" customHeight="1" thickBot="1">
      <c r="A93" s="308"/>
      <c r="B93" s="309"/>
      <c r="C93" s="309" t="str">
        <f t="shared" si="29"/>
        <v xml:space="preserve">  </v>
      </c>
      <c r="D93" s="310" t="str">
        <f t="shared" ca="1" si="33"/>
        <v xml:space="preserve">      </v>
      </c>
      <c r="E93" s="310"/>
      <c r="F93" s="311" t="str">
        <f t="shared" si="39"/>
        <v/>
      </c>
      <c r="G93" s="310" t="str">
        <f t="shared" ca="1" si="40"/>
        <v/>
      </c>
      <c r="H93" s="309"/>
      <c r="I93" s="312" t="str">
        <f t="shared" ca="1" si="38"/>
        <v/>
      </c>
      <c r="J93" s="313" t="str">
        <f t="shared" ca="1" si="34"/>
        <v/>
      </c>
      <c r="K93" s="313" t="str">
        <f t="shared" ca="1" si="37"/>
        <v xml:space="preserve">  </v>
      </c>
      <c r="L93" s="314" t="str">
        <f>IF(H93="naissance",IF(E93="","",INDEX({"Capricorne";"Verseau";"Poisson";"Bélier";"Taureau";"Gémeaux";"Cancer";"Lion";"Vierge";"Balance";"Scorpion";"Sagittaire";"Capricorne";""},MATCH(DATE(,MONTH(E93),DAY(E93)),{0;20;51;81;111;142;173;205;237;267;297;327;357},1))),"")</f>
        <v/>
      </c>
      <c r="M93" s="315" t="str">
        <f>IF(H93="naissance",IF(F93="","",INDEX({"g";"h";"i";"^";"_";"z";"a";"b";"c";"d";"e";"f";"g";""},MATCH(DATE(,MONTH(F93),DAY(F93)),{0;20;51;81;111;142;173;205;237;267;297;327;357},1))),"")</f>
        <v/>
      </c>
      <c r="N93" s="316" t="str">
        <f t="shared" ca="1" si="35"/>
        <v/>
      </c>
      <c r="R93" s="108">
        <v>32545</v>
      </c>
      <c r="S93" s="108">
        <v>32899</v>
      </c>
      <c r="T93" s="117">
        <v>1990</v>
      </c>
      <c r="U93" s="110" t="s">
        <v>443</v>
      </c>
      <c r="V93" s="331"/>
      <c r="X93" s="75">
        <f t="shared" ca="1" si="30"/>
        <v>42735</v>
      </c>
      <c r="Y93" s="234" t="str">
        <f t="shared" ca="1" si="36"/>
        <v xml:space="preserve">      </v>
      </c>
      <c r="Z93" s="76">
        <f t="shared" si="32"/>
        <v>0</v>
      </c>
    </row>
    <row r="94" spans="1:26" ht="15.75" customHeight="1" thickBot="1">
      <c r="A94" s="298"/>
      <c r="B94" s="299"/>
      <c r="C94" s="299" t="str">
        <f t="shared" si="29"/>
        <v xml:space="preserve">  </v>
      </c>
      <c r="D94" s="300" t="str">
        <f t="shared" ca="1" si="33"/>
        <v xml:space="preserve">      </v>
      </c>
      <c r="E94" s="300"/>
      <c r="F94" s="301" t="str">
        <f t="shared" si="39"/>
        <v/>
      </c>
      <c r="G94" s="302" t="str">
        <f t="shared" ca="1" si="40"/>
        <v/>
      </c>
      <c r="H94" s="299"/>
      <c r="I94" s="303" t="str">
        <f t="shared" ca="1" si="38"/>
        <v/>
      </c>
      <c r="J94" s="304" t="str">
        <f t="shared" ca="1" si="34"/>
        <v/>
      </c>
      <c r="K94" s="304" t="str">
        <f t="shared" ca="1" si="37"/>
        <v xml:space="preserve">  </v>
      </c>
      <c r="L94" s="305" t="str">
        <f>IF(H94="naissance",IF(E94="","",INDEX({"Capricorne";"Verseau";"Poisson";"Bélier";"Taureau";"Gémeaux";"Cancer";"Lion";"Vierge";"Balance";"Scorpion";"Sagittaire";"Capricorne";""},MATCH(DATE(,MONTH(E94),DAY(E94)),{0;20;51;81;111;142;173;205;237;267;297;327;357},1))),"")</f>
        <v/>
      </c>
      <c r="M94" s="306" t="str">
        <f>IF(H94="naissance",IF(F94="","",INDEX({"g";"h";"i";"^";"_";"z";"a";"b";"c";"d";"e";"f";"g";""},MATCH(DATE(,MONTH(F94),DAY(F94)),{0;20;51;81;111;142;173;205;237;267;297;327;357},1))),"")</f>
        <v/>
      </c>
      <c r="N94" s="307" t="str">
        <f t="shared" ca="1" si="35"/>
        <v/>
      </c>
      <c r="R94" s="108">
        <v>32900</v>
      </c>
      <c r="S94" s="108">
        <v>33283</v>
      </c>
      <c r="T94" s="117">
        <v>1991</v>
      </c>
      <c r="U94" s="110" t="s">
        <v>444</v>
      </c>
      <c r="V94" s="330" t="s">
        <v>435</v>
      </c>
      <c r="X94" s="75">
        <f t="shared" ca="1" si="30"/>
        <v>42735</v>
      </c>
      <c r="Y94" s="234" t="str">
        <f t="shared" ca="1" si="36"/>
        <v xml:space="preserve">      </v>
      </c>
      <c r="Z94" s="76">
        <f t="shared" si="32"/>
        <v>0</v>
      </c>
    </row>
    <row r="95" spans="1:26" ht="15.75" customHeight="1" thickBot="1">
      <c r="A95" s="308"/>
      <c r="B95" s="309"/>
      <c r="C95" s="309" t="str">
        <f t="shared" si="29"/>
        <v xml:space="preserve">  </v>
      </c>
      <c r="D95" s="310" t="str">
        <f t="shared" ca="1" si="33"/>
        <v xml:space="preserve">      </v>
      </c>
      <c r="E95" s="310"/>
      <c r="F95" s="311" t="str">
        <f t="shared" si="39"/>
        <v/>
      </c>
      <c r="G95" s="310" t="str">
        <f t="shared" ca="1" si="40"/>
        <v/>
      </c>
      <c r="H95" s="309"/>
      <c r="I95" s="312" t="str">
        <f t="shared" ca="1" si="38"/>
        <v/>
      </c>
      <c r="J95" s="313" t="str">
        <f t="shared" ca="1" si="34"/>
        <v/>
      </c>
      <c r="K95" s="313" t="str">
        <f t="shared" ca="1" si="37"/>
        <v xml:space="preserve">  </v>
      </c>
      <c r="L95" s="314" t="str">
        <f>IF(H95="naissance",IF(E95="","",INDEX({"Capricorne";"Verseau";"Poisson";"Bélier";"Taureau";"Gémeaux";"Cancer";"Lion";"Vierge";"Balance";"Scorpion";"Sagittaire";"Capricorne";""},MATCH(DATE(,MONTH(E95),DAY(E95)),{0;20;51;81;111;142;173;205;237;267;297;327;357},1))),"")</f>
        <v/>
      </c>
      <c r="M95" s="315" t="str">
        <f>IF(H95="naissance",IF(F95="","",INDEX({"g";"h";"i";"^";"_";"z";"a";"b";"c";"d";"e";"f";"g";""},MATCH(DATE(,MONTH(F95),DAY(F95)),{0;20;51;81;111;142;173;205;237;267;297;327;357},1))),"")</f>
        <v/>
      </c>
      <c r="N95" s="316" t="str">
        <f t="shared" ca="1" si="35"/>
        <v/>
      </c>
      <c r="R95" s="108">
        <v>33284</v>
      </c>
      <c r="S95" s="108">
        <v>33637</v>
      </c>
      <c r="T95" s="117">
        <v>1992</v>
      </c>
      <c r="U95" s="110" t="s">
        <v>447</v>
      </c>
      <c r="V95" s="331"/>
      <c r="X95" s="75">
        <f t="shared" ca="1" si="30"/>
        <v>42735</v>
      </c>
      <c r="Y95" s="234" t="str">
        <f t="shared" ca="1" si="36"/>
        <v xml:space="preserve">      </v>
      </c>
      <c r="Z95" s="76">
        <f t="shared" si="32"/>
        <v>0</v>
      </c>
    </row>
    <row r="96" spans="1:26" ht="15.75" customHeight="1" thickBot="1">
      <c r="A96" s="298"/>
      <c r="B96" s="299"/>
      <c r="C96" s="299" t="str">
        <f t="shared" si="29"/>
        <v xml:space="preserve">  </v>
      </c>
      <c r="D96" s="300" t="str">
        <f t="shared" ca="1" si="33"/>
        <v xml:space="preserve">      </v>
      </c>
      <c r="E96" s="300"/>
      <c r="F96" s="301" t="str">
        <f t="shared" si="39"/>
        <v/>
      </c>
      <c r="G96" s="302" t="str">
        <f t="shared" ca="1" si="40"/>
        <v/>
      </c>
      <c r="H96" s="299"/>
      <c r="I96" s="303" t="str">
        <f t="shared" ca="1" si="38"/>
        <v/>
      </c>
      <c r="J96" s="304" t="str">
        <f t="shared" ca="1" si="34"/>
        <v/>
      </c>
      <c r="K96" s="304" t="str">
        <f t="shared" ca="1" si="37"/>
        <v xml:space="preserve">  </v>
      </c>
      <c r="L96" s="305" t="str">
        <f>IF(H96="naissance",IF(E96="","",INDEX({"Capricorne";"Verseau";"Poisson";"Bélier";"Taureau";"Gémeaux";"Cancer";"Lion";"Vierge";"Balance";"Scorpion";"Sagittaire";"Capricorne";""},MATCH(DATE(,MONTH(E96),DAY(E96)),{0;20;51;81;111;142;173;205;237;267;297;327;357},1))),"")</f>
        <v/>
      </c>
      <c r="M96" s="306" t="str">
        <f>IF(H96="naissance",IF(F96="","",INDEX({"g";"h";"i";"^";"_";"z";"a";"b";"c";"d";"e";"f";"g";""},MATCH(DATE(,MONTH(F96),DAY(F96)),{0;20;51;81;111;142;173;205;237;267;297;327;357},1))),"")</f>
        <v/>
      </c>
      <c r="N96" s="307" t="str">
        <f t="shared" ca="1" si="35"/>
        <v/>
      </c>
      <c r="R96" s="108">
        <v>33638</v>
      </c>
      <c r="S96" s="108">
        <v>33991</v>
      </c>
      <c r="T96" s="117">
        <v>1993</v>
      </c>
      <c r="U96" s="110" t="s">
        <v>448</v>
      </c>
      <c r="V96" s="330" t="s">
        <v>438</v>
      </c>
      <c r="X96" s="75">
        <f t="shared" ca="1" si="30"/>
        <v>42735</v>
      </c>
      <c r="Y96" s="234" t="str">
        <f t="shared" ca="1" si="36"/>
        <v xml:space="preserve">      </v>
      </c>
      <c r="Z96" s="76">
        <f t="shared" si="32"/>
        <v>0</v>
      </c>
    </row>
    <row r="97" spans="1:26" ht="15.75" customHeight="1" thickBot="1">
      <c r="A97" s="292"/>
      <c r="B97" s="293"/>
      <c r="C97" s="293" t="str">
        <f t="shared" si="29"/>
        <v xml:space="preserve">  </v>
      </c>
      <c r="D97" s="294" t="str">
        <f t="shared" ca="1" si="33"/>
        <v xml:space="preserve">      </v>
      </c>
      <c r="E97" s="294"/>
      <c r="F97" s="295" t="str">
        <f t="shared" si="39"/>
        <v/>
      </c>
      <c r="G97" s="294" t="str">
        <f t="shared" ca="1" si="40"/>
        <v/>
      </c>
      <c r="H97" s="293"/>
      <c r="I97" s="293" t="str">
        <f t="shared" ca="1" si="38"/>
        <v/>
      </c>
      <c r="J97" s="296" t="str">
        <f t="shared" ca="1" si="34"/>
        <v/>
      </c>
      <c r="K97" s="296" t="str">
        <f t="shared" ca="1" si="37"/>
        <v xml:space="preserve">  </v>
      </c>
      <c r="L97" s="296" t="str">
        <f>IF(H97="naissance",IF(E97="","",INDEX({"Capricorne";"Verseau";"Poisson";"Bélier";"Taureau";"Gémeaux";"Cancer";"Lion";"Vierge";"Balance";"Scorpion";"Sagittaire";"Capricorne";""},MATCH(DATE(,MONTH(E97),DAY(E97)),{0;20;51;81;111;142;173;205;237;267;297;327;357},1))),"")</f>
        <v/>
      </c>
      <c r="M97" s="296" t="str">
        <f>IF(H97="naissance",IF(F97="","",INDEX({"g";"h";"i";"^";"_";"z";"a";"b";"c";"d";"e";"f";"g";""},MATCH(DATE(,MONTH(F97),DAY(F97)),{0;20;51;81;111;142;173;205;237;267;297;327;357},1))),"")</f>
        <v/>
      </c>
      <c r="N97" s="297" t="str">
        <f t="shared" ca="1" si="35"/>
        <v/>
      </c>
      <c r="R97" s="108">
        <v>33992</v>
      </c>
      <c r="S97" s="108">
        <v>34374</v>
      </c>
      <c r="T97" s="117">
        <v>1994</v>
      </c>
      <c r="U97" s="110" t="s">
        <v>450</v>
      </c>
      <c r="V97" s="331"/>
      <c r="X97" s="75">
        <f t="shared" ca="1" si="30"/>
        <v>42735</v>
      </c>
      <c r="Y97" s="234" t="str">
        <f t="shared" ca="1" si="36"/>
        <v xml:space="preserve">      </v>
      </c>
      <c r="Z97" s="76">
        <f t="shared" si="32"/>
        <v>0</v>
      </c>
    </row>
    <row r="98" spans="1:26" ht="15.75" customHeight="1" thickBot="1">
      <c r="A98" s="298"/>
      <c r="B98" s="299"/>
      <c r="C98" s="299" t="str">
        <f t="shared" si="29"/>
        <v xml:space="preserve">  </v>
      </c>
      <c r="D98" s="300" t="str">
        <f t="shared" ca="1" si="33"/>
        <v xml:space="preserve">      </v>
      </c>
      <c r="E98" s="300"/>
      <c r="F98" s="301" t="str">
        <f t="shared" si="39"/>
        <v/>
      </c>
      <c r="G98" s="302" t="str">
        <f t="shared" ca="1" si="40"/>
        <v/>
      </c>
      <c r="H98" s="299"/>
      <c r="I98" s="303" t="str">
        <f t="shared" ca="1" si="38"/>
        <v/>
      </c>
      <c r="J98" s="304" t="str">
        <f t="shared" ca="1" si="34"/>
        <v/>
      </c>
      <c r="K98" s="304" t="str">
        <f t="shared" ca="1" si="37"/>
        <v xml:space="preserve">  </v>
      </c>
      <c r="L98" s="305" t="str">
        <f>IF(H98="naissance",IF(E98="","",INDEX({"Capricorne";"Verseau";"Poisson";"Bélier";"Taureau";"Gémeaux";"Cancer";"Lion";"Vierge";"Balance";"Scorpion";"Sagittaire";"Capricorne";""},MATCH(DATE(,MONTH(E98),DAY(E98)),{0;20;51;81;111;142;173;205;237;267;297;327;357},1))),"")</f>
        <v/>
      </c>
      <c r="M98" s="306" t="str">
        <f>IF(H98="naissance",IF(F98="","",INDEX({"g";"h";"i";"^";"_";"z";"a";"b";"c";"d";"e";"f";"g";""},MATCH(DATE(,MONTH(F98),DAY(F98)),{0;20;51;81;111;142;173;205;237;267;297;327;357},1))),"")</f>
        <v/>
      </c>
      <c r="N98" s="307" t="str">
        <f t="shared" ca="1" si="35"/>
        <v/>
      </c>
      <c r="R98" s="108">
        <v>34375</v>
      </c>
      <c r="S98" s="108">
        <v>34729</v>
      </c>
      <c r="T98" s="117">
        <v>1995</v>
      </c>
      <c r="U98" s="110" t="s">
        <v>451</v>
      </c>
      <c r="V98" s="330" t="s">
        <v>442</v>
      </c>
      <c r="X98" s="75">
        <f t="shared" ca="1" si="30"/>
        <v>42735</v>
      </c>
      <c r="Y98" s="234" t="str">
        <f t="shared" ca="1" si="36"/>
        <v xml:space="preserve">      </v>
      </c>
      <c r="Z98" s="76">
        <f t="shared" si="32"/>
        <v>0</v>
      </c>
    </row>
    <row r="99" spans="1:26" ht="15.75" customHeight="1" thickBot="1">
      <c r="A99" s="308"/>
      <c r="B99" s="309"/>
      <c r="C99" s="309" t="str">
        <f t="shared" si="29"/>
        <v xml:space="preserve">  </v>
      </c>
      <c r="D99" s="310" t="str">
        <f t="shared" ca="1" si="33"/>
        <v xml:space="preserve">      </v>
      </c>
      <c r="E99" s="310"/>
      <c r="F99" s="311" t="str">
        <f t="shared" si="39"/>
        <v/>
      </c>
      <c r="G99" s="310" t="str">
        <f t="shared" ca="1" si="40"/>
        <v/>
      </c>
      <c r="H99" s="309"/>
      <c r="I99" s="312" t="str">
        <f t="shared" ca="1" si="38"/>
        <v/>
      </c>
      <c r="J99" s="313" t="str">
        <f t="shared" ca="1" si="34"/>
        <v/>
      </c>
      <c r="K99" s="313" t="str">
        <f t="shared" ca="1" si="37"/>
        <v xml:space="preserve">  </v>
      </c>
      <c r="L99" s="314" t="str">
        <f>IF(H99="naissance",IF(E99="","",INDEX({"Capricorne";"Verseau";"Poisson";"Bélier";"Taureau";"Gémeaux";"Cancer";"Lion";"Vierge";"Balance";"Scorpion";"Sagittaire";"Capricorne";""},MATCH(DATE(,MONTH(E99),DAY(E99)),{0;20;51;81;111;142;173;205;237;267;297;327;357},1))),"")</f>
        <v/>
      </c>
      <c r="M99" s="315" t="str">
        <f>IF(H99="naissance",IF(F99="","",INDEX({"g";"h";"i";"^";"_";"z";"a";"b";"c";"d";"e";"f";"g";""},MATCH(DATE(,MONTH(F99),DAY(F99)),{0;20;51;81;111;142;173;205;237;267;297;327;357},1))),"")</f>
        <v/>
      </c>
      <c r="N99" s="316" t="str">
        <f t="shared" ca="1" si="35"/>
        <v/>
      </c>
      <c r="R99" s="108">
        <v>34730</v>
      </c>
      <c r="S99" s="108">
        <v>35113</v>
      </c>
      <c r="T99" s="117">
        <v>1996</v>
      </c>
      <c r="U99" s="110" t="s">
        <v>452</v>
      </c>
      <c r="V99" s="331"/>
      <c r="X99" s="75">
        <f t="shared" ca="1" si="30"/>
        <v>42735</v>
      </c>
      <c r="Y99" s="234" t="str">
        <f t="shared" ca="1" si="36"/>
        <v xml:space="preserve">      </v>
      </c>
      <c r="Z99" s="76">
        <f t="shared" si="32"/>
        <v>0</v>
      </c>
    </row>
    <row r="100" spans="1:26" ht="15.75" customHeight="1" thickBot="1">
      <c r="A100" s="298"/>
      <c r="B100" s="299"/>
      <c r="C100" s="299" t="str">
        <f t="shared" si="29"/>
        <v xml:space="preserve">  </v>
      </c>
      <c r="D100" s="300" t="str">
        <f t="shared" ca="1" si="33"/>
        <v xml:space="preserve">      </v>
      </c>
      <c r="E100" s="300"/>
      <c r="F100" s="301" t="str">
        <f t="shared" si="39"/>
        <v/>
      </c>
      <c r="G100" s="302" t="str">
        <f t="shared" ca="1" si="40"/>
        <v/>
      </c>
      <c r="H100" s="299"/>
      <c r="I100" s="303" t="str">
        <f t="shared" ca="1" si="38"/>
        <v/>
      </c>
      <c r="J100" s="304" t="str">
        <f t="shared" ca="1" si="34"/>
        <v/>
      </c>
      <c r="K100" s="304" t="str">
        <f t="shared" ca="1" si="37"/>
        <v xml:space="preserve">  </v>
      </c>
      <c r="L100" s="305" t="str">
        <f>IF(H100="naissance",IF(E100="","",INDEX({"Capricorne";"Verseau";"Poisson";"Bélier";"Taureau";"Gémeaux";"Cancer";"Lion";"Vierge";"Balance";"Scorpion";"Sagittaire";"Capricorne";""},MATCH(DATE(,MONTH(E100),DAY(E100)),{0;20;51;81;111;142;173;205;237;267;297;327;357},1))),"")</f>
        <v/>
      </c>
      <c r="M100" s="306" t="str">
        <f>IF(H100="naissance",IF(F100="","",INDEX({"g";"h";"i";"^";"_";"z";"a";"b";"c";"d";"e";"f";"g";""},MATCH(DATE(,MONTH(F100),DAY(F100)),{0;20;51;81;111;142;173;205;237;267;297;327;357},1))),"")</f>
        <v/>
      </c>
      <c r="N100" s="307" t="str">
        <f t="shared" ca="1" si="35"/>
        <v/>
      </c>
      <c r="R100" s="108">
        <v>35114</v>
      </c>
      <c r="S100" s="108">
        <v>35467</v>
      </c>
      <c r="T100" s="117">
        <v>1997</v>
      </c>
      <c r="U100" s="109" t="s">
        <v>434</v>
      </c>
      <c r="V100" s="330" t="s">
        <v>445</v>
      </c>
      <c r="X100" s="75">
        <f t="shared" ca="1" si="30"/>
        <v>42735</v>
      </c>
      <c r="Y100" s="234" t="str">
        <f t="shared" ca="1" si="36"/>
        <v xml:space="preserve">      </v>
      </c>
      <c r="Z100" s="76">
        <f t="shared" si="32"/>
        <v>0</v>
      </c>
    </row>
    <row r="101" spans="1:26" ht="15.75" customHeight="1" thickBot="1">
      <c r="R101" s="108">
        <v>35468</v>
      </c>
      <c r="S101" s="108">
        <v>35822</v>
      </c>
      <c r="T101" s="117">
        <v>1998</v>
      </c>
      <c r="U101" s="110" t="s">
        <v>436</v>
      </c>
      <c r="V101" s="331"/>
    </row>
    <row r="102" spans="1:26" ht="15.75" customHeight="1" thickBot="1">
      <c r="R102" s="108">
        <v>35823</v>
      </c>
      <c r="S102" s="108">
        <v>36206</v>
      </c>
      <c r="T102" s="117">
        <v>1999</v>
      </c>
      <c r="U102" s="110" t="s">
        <v>437</v>
      </c>
      <c r="V102" s="330" t="s">
        <v>449</v>
      </c>
    </row>
    <row r="103" spans="1:26" ht="15.75" customHeight="1" thickBot="1">
      <c r="R103" s="108">
        <v>36207</v>
      </c>
      <c r="S103" s="108">
        <v>36560</v>
      </c>
      <c r="T103" s="117">
        <v>2000</v>
      </c>
      <c r="U103" s="110" t="s">
        <v>439</v>
      </c>
      <c r="V103" s="331"/>
    </row>
    <row r="104" spans="1:26" ht="15.75" customHeight="1" thickBot="1">
      <c r="R104" s="108">
        <v>36561</v>
      </c>
      <c r="S104" s="108">
        <v>36914</v>
      </c>
      <c r="T104" s="117">
        <v>2001</v>
      </c>
      <c r="U104" s="110" t="s">
        <v>441</v>
      </c>
      <c r="V104" s="330" t="s">
        <v>435</v>
      </c>
    </row>
    <row r="105" spans="1:26" ht="15.75" customHeight="1" thickBot="1">
      <c r="R105" s="108">
        <v>36915</v>
      </c>
      <c r="S105" s="108">
        <v>37298</v>
      </c>
      <c r="T105" s="117">
        <v>2002</v>
      </c>
      <c r="U105" s="110" t="s">
        <v>443</v>
      </c>
      <c r="V105" s="331"/>
    </row>
    <row r="106" spans="1:26" ht="15.75" customHeight="1" thickBot="1">
      <c r="R106" s="108">
        <v>37299</v>
      </c>
      <c r="S106" s="108">
        <v>37652</v>
      </c>
      <c r="T106" s="117">
        <v>2003</v>
      </c>
      <c r="U106" s="110" t="s">
        <v>444</v>
      </c>
      <c r="V106" s="330" t="s">
        <v>438</v>
      </c>
    </row>
    <row r="107" spans="1:26" ht="15.75" customHeight="1" thickBot="1">
      <c r="R107" s="108" t="s">
        <v>456</v>
      </c>
      <c r="S107" s="108">
        <v>38007</v>
      </c>
      <c r="T107" s="117">
        <v>2004</v>
      </c>
      <c r="U107" s="110" t="s">
        <v>447</v>
      </c>
      <c r="V107" s="331"/>
    </row>
    <row r="108" spans="1:26" ht="15.75" customHeight="1" thickBot="1">
      <c r="R108" s="108">
        <v>38008</v>
      </c>
      <c r="S108" s="108">
        <v>38391</v>
      </c>
      <c r="T108" s="117">
        <v>2005</v>
      </c>
      <c r="U108" s="110" t="s">
        <v>448</v>
      </c>
      <c r="V108" s="330" t="s">
        <v>442</v>
      </c>
    </row>
    <row r="109" spans="1:26" ht="15.75" customHeight="1" thickBot="1">
      <c r="R109" s="108">
        <v>38392</v>
      </c>
      <c r="S109" s="108">
        <v>38745</v>
      </c>
      <c r="T109" s="117">
        <v>2006</v>
      </c>
      <c r="U109" s="110" t="s">
        <v>450</v>
      </c>
      <c r="V109" s="331"/>
    </row>
    <row r="110" spans="1:26" ht="15.75" customHeight="1" thickBot="1">
      <c r="R110" s="108">
        <v>38746</v>
      </c>
      <c r="S110" s="108">
        <v>39130</v>
      </c>
      <c r="T110" s="117">
        <v>2007</v>
      </c>
      <c r="U110" s="110" t="s">
        <v>451</v>
      </c>
      <c r="V110" s="330" t="s">
        <v>445</v>
      </c>
    </row>
    <row r="111" spans="1:26" ht="15.75" customHeight="1" thickBot="1">
      <c r="R111" s="108">
        <v>39131</v>
      </c>
      <c r="S111" s="108">
        <v>39484</v>
      </c>
      <c r="T111" s="117">
        <v>2008</v>
      </c>
      <c r="U111" s="110" t="s">
        <v>452</v>
      </c>
      <c r="V111" s="331"/>
    </row>
    <row r="112" spans="1:26" ht="15.75" customHeight="1" thickBot="1">
      <c r="R112" s="108">
        <v>39485</v>
      </c>
      <c r="S112" s="108">
        <v>39838</v>
      </c>
      <c r="T112" s="117">
        <v>2009</v>
      </c>
      <c r="U112" s="109" t="s">
        <v>434</v>
      </c>
      <c r="V112" s="330" t="s">
        <v>449</v>
      </c>
    </row>
    <row r="113" spans="18:22" ht="15.75" customHeight="1" thickBot="1">
      <c r="R113" s="108">
        <v>39839</v>
      </c>
      <c r="S113" s="108">
        <v>40222</v>
      </c>
      <c r="T113" s="117">
        <v>2010</v>
      </c>
      <c r="U113" s="110" t="s">
        <v>436</v>
      </c>
      <c r="V113" s="331"/>
    </row>
    <row r="114" spans="18:22" ht="15.75" customHeight="1" thickBot="1">
      <c r="R114" s="108">
        <v>40223</v>
      </c>
      <c r="S114" s="108">
        <v>40576</v>
      </c>
      <c r="T114" s="117">
        <v>2011</v>
      </c>
      <c r="U114" s="110" t="s">
        <v>437</v>
      </c>
      <c r="V114" s="330" t="s">
        <v>435</v>
      </c>
    </row>
    <row r="115" spans="18:22" ht="15.75" customHeight="1" thickBot="1">
      <c r="R115" s="108">
        <v>40577</v>
      </c>
      <c r="S115" s="108">
        <v>40930</v>
      </c>
      <c r="T115" s="117">
        <v>2012</v>
      </c>
      <c r="U115" s="110" t="s">
        <v>439</v>
      </c>
      <c r="V115" s="331"/>
    </row>
    <row r="116" spans="18:22" ht="15.75" customHeight="1" thickBot="1">
      <c r="R116" s="108">
        <v>40931</v>
      </c>
      <c r="S116" s="108">
        <v>41314</v>
      </c>
      <c r="T116" s="117">
        <v>2013</v>
      </c>
      <c r="U116" s="110" t="s">
        <v>441</v>
      </c>
      <c r="V116" s="330" t="s">
        <v>438</v>
      </c>
    </row>
    <row r="117" spans="18:22" ht="15.75" customHeight="1" thickBot="1">
      <c r="R117" s="108">
        <v>41315</v>
      </c>
      <c r="S117" s="108">
        <v>41669</v>
      </c>
      <c r="T117" s="117">
        <v>2014</v>
      </c>
      <c r="U117" s="110" t="s">
        <v>443</v>
      </c>
      <c r="V117" s="331"/>
    </row>
    <row r="118" spans="18:22" ht="15.75" customHeight="1" thickBot="1">
      <c r="R118" s="108">
        <v>41670</v>
      </c>
      <c r="S118" s="108">
        <v>42053</v>
      </c>
      <c r="T118" s="117">
        <v>2015</v>
      </c>
      <c r="U118" s="110" t="s">
        <v>444</v>
      </c>
      <c r="V118" s="330" t="s">
        <v>442</v>
      </c>
    </row>
    <row r="119" spans="18:22" ht="15.75" customHeight="1" thickBot="1">
      <c r="R119" s="108">
        <v>42054</v>
      </c>
      <c r="S119" s="108">
        <v>42407</v>
      </c>
      <c r="T119" s="117">
        <v>2016</v>
      </c>
      <c r="U119" s="110" t="s">
        <v>447</v>
      </c>
      <c r="V119" s="331"/>
    </row>
    <row r="120" spans="18:22" ht="15.75" customHeight="1" thickBot="1">
      <c r="R120" s="108">
        <v>42408</v>
      </c>
      <c r="S120" s="108">
        <v>42762</v>
      </c>
      <c r="T120" s="117">
        <v>2017</v>
      </c>
      <c r="U120" s="110" t="s">
        <v>448</v>
      </c>
      <c r="V120" s="330" t="s">
        <v>445</v>
      </c>
    </row>
    <row r="121" spans="18:22" ht="15.75" customHeight="1" thickBot="1">
      <c r="R121" s="108">
        <v>42763</v>
      </c>
      <c r="S121" s="108">
        <v>43146</v>
      </c>
      <c r="T121" s="117">
        <v>2018</v>
      </c>
      <c r="U121" s="110" t="s">
        <v>450</v>
      </c>
      <c r="V121" s="331"/>
    </row>
    <row r="122" spans="18:22" ht="15.75" customHeight="1" thickBot="1">
      <c r="R122" s="108">
        <v>43147</v>
      </c>
      <c r="S122" s="108">
        <v>43500</v>
      </c>
      <c r="T122" s="117">
        <v>2019</v>
      </c>
      <c r="U122" s="110" t="s">
        <v>451</v>
      </c>
      <c r="V122" s="330" t="s">
        <v>449</v>
      </c>
    </row>
    <row r="123" spans="18:22" ht="15.75" customHeight="1" thickBot="1">
      <c r="R123" s="108">
        <v>43501</v>
      </c>
      <c r="S123" s="108">
        <v>43854</v>
      </c>
      <c r="T123" s="117">
        <v>2020</v>
      </c>
      <c r="U123" s="110" t="s">
        <v>452</v>
      </c>
      <c r="V123" s="331"/>
    </row>
    <row r="124" spans="18:22" ht="15.75" customHeight="1"/>
    <row r="125" spans="18:22" ht="15.75" customHeight="1"/>
    <row r="126" spans="18:22" ht="15.75" customHeight="1"/>
    <row r="127" spans="18:22" ht="15.75" customHeight="1"/>
    <row r="128" spans="18:22" ht="15.75" customHeight="1"/>
  </sheetData>
  <mergeCells count="59">
    <mergeCell ref="V4:V5"/>
    <mergeCell ref="V6:V7"/>
    <mergeCell ref="V8:V9"/>
    <mergeCell ref="V10:V11"/>
    <mergeCell ref="V12:V13"/>
    <mergeCell ref="V14:V15"/>
    <mergeCell ref="V16:V17"/>
    <mergeCell ref="V18:V19"/>
    <mergeCell ref="V20:V21"/>
    <mergeCell ref="V22:V23"/>
    <mergeCell ref="V24:V25"/>
    <mergeCell ref="V50:V51"/>
    <mergeCell ref="V28:V29"/>
    <mergeCell ref="V30:V31"/>
    <mergeCell ref="V32:V33"/>
    <mergeCell ref="V34:V35"/>
    <mergeCell ref="V36:V37"/>
    <mergeCell ref="V38:V39"/>
    <mergeCell ref="V40:V41"/>
    <mergeCell ref="V42:V43"/>
    <mergeCell ref="V44:V45"/>
    <mergeCell ref="V48:V49"/>
    <mergeCell ref="V46:V47"/>
    <mergeCell ref="V62:V63"/>
    <mergeCell ref="V64:V65"/>
    <mergeCell ref="V66:V67"/>
    <mergeCell ref="V68:V69"/>
    <mergeCell ref="V70:V71"/>
    <mergeCell ref="V72:V73"/>
    <mergeCell ref="V90:V91"/>
    <mergeCell ref="V92:V93"/>
    <mergeCell ref="V94:V95"/>
    <mergeCell ref="V96:V97"/>
    <mergeCell ref="V74:V75"/>
    <mergeCell ref="V52:V53"/>
    <mergeCell ref="V54:V55"/>
    <mergeCell ref="V56:V57"/>
    <mergeCell ref="V58:V59"/>
    <mergeCell ref="V60:V61"/>
    <mergeCell ref="V98:V99"/>
    <mergeCell ref="V76:V77"/>
    <mergeCell ref="V78:V79"/>
    <mergeCell ref="V80:V81"/>
    <mergeCell ref="V82:V83"/>
    <mergeCell ref="V84:V85"/>
    <mergeCell ref="V86:V87"/>
    <mergeCell ref="V88:V89"/>
    <mergeCell ref="V122:V123"/>
    <mergeCell ref="V100:V101"/>
    <mergeCell ref="V102:V103"/>
    <mergeCell ref="V104:V105"/>
    <mergeCell ref="V106:V107"/>
    <mergeCell ref="V108:V109"/>
    <mergeCell ref="V110:V111"/>
    <mergeCell ref="V112:V113"/>
    <mergeCell ref="V114:V115"/>
    <mergeCell ref="V116:V117"/>
    <mergeCell ref="V118:V119"/>
    <mergeCell ref="V120:V12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Q190"/>
  <sheetViews>
    <sheetView topLeftCell="C1" zoomScale="85" zoomScaleNormal="85" workbookViewId="0">
      <selection activeCell="N16" sqref="N16"/>
    </sheetView>
  </sheetViews>
  <sheetFormatPr baseColWidth="10" defaultRowHeight="15"/>
  <cols>
    <col min="1" max="1" width="27.42578125" style="74" bestFit="1" customWidth="1"/>
    <col min="2" max="2" width="25.5703125" style="74" bestFit="1" customWidth="1"/>
    <col min="3" max="3" width="31.42578125" customWidth="1"/>
    <col min="4" max="4" width="19.7109375" customWidth="1"/>
    <col min="5" max="6" width="11.5703125" style="74" hidden="1" customWidth="1"/>
    <col min="7" max="8" width="11.5703125" style="319" customWidth="1"/>
    <col min="9" max="9" width="21.85546875" style="99" customWidth="1"/>
    <col min="10" max="12" width="11.42578125" customWidth="1"/>
    <col min="13" max="13" width="15.140625" customWidth="1"/>
    <col min="14" max="14" width="27.5703125" customWidth="1"/>
    <col min="15" max="17" width="11.42578125" customWidth="1"/>
  </cols>
  <sheetData>
    <row r="2" spans="1:17" ht="21.75" customHeight="1" thickBot="1">
      <c r="A2" s="249" t="s">
        <v>618</v>
      </c>
      <c r="B2" s="258" t="s">
        <v>619</v>
      </c>
      <c r="C2" s="250" t="s">
        <v>596</v>
      </c>
      <c r="D2" s="258" t="s">
        <v>622</v>
      </c>
      <c r="E2" s="261" t="s">
        <v>636</v>
      </c>
      <c r="F2" s="261" t="s">
        <v>635</v>
      </c>
      <c r="G2" s="261" t="s">
        <v>28</v>
      </c>
      <c r="H2" s="261" t="s">
        <v>639</v>
      </c>
      <c r="I2" s="317" t="s">
        <v>627</v>
      </c>
      <c r="J2" s="277"/>
    </row>
    <row r="3" spans="1:17">
      <c r="A3" s="278">
        <v>42786</v>
      </c>
      <c r="B3" s="279">
        <v>42839</v>
      </c>
      <c r="C3" s="248" t="s">
        <v>617</v>
      </c>
      <c r="D3" s="259" t="s">
        <v>623</v>
      </c>
      <c r="E3" s="70">
        <f ca="1">IF(Tableau1[[#This Row],[date debut]]=0,"",IF(Tableau1[[#This Row],[date fin]]=0,"",Tableau1[[#This Row],[Colonne1]]-Tableau1[[#This Row],[date debut]]+1))</f>
        <v>54</v>
      </c>
      <c r="F3" s="70" t="str">
        <f>IF(Tableau1[[#This Row],[date debut]]=0,"",IF(Tableau1[[#This Row],[date fin]]=0,IF(Tableau1[[#This Row],[type]]="travail",Tableau1[[#This Row],[Colonne1]]-Tableau1[[#This Row],[date debut]]+1,""),""))</f>
        <v/>
      </c>
      <c r="G3" s="318" t="str">
        <f ca="1">CONCATENATE(Tableau1[[#This Row],[Jours1]],"",Tableau1[[#This Row],[jours2]])</f>
        <v>54</v>
      </c>
      <c r="H3" s="97">
        <f t="shared" ref="H3:H34" ca="1" si="0">IF(I3="","",NETWORKDAYS(A3,I3))</f>
        <v>40</v>
      </c>
      <c r="I3" s="99">
        <f ca="1">IF(Tableau1[[#This Row],[date fin]]&lt;&gt;0,Tableau1[[#This Row],[date fin]],IF(Tableau1[[#This Row],[type]]="travail",TODAY(),""))</f>
        <v>42839</v>
      </c>
      <c r="J3">
        <f>IF(ISERROR(VLOOKUP(D3,$M$3:$N$25,2,0)),"",VLOOKUP(D3,$M$3:$N$25,2,0))</f>
        <v>7</v>
      </c>
      <c r="M3" s="285" t="s">
        <v>624</v>
      </c>
      <c r="N3" s="285">
        <v>1</v>
      </c>
    </row>
    <row r="4" spans="1:17">
      <c r="A4" s="278">
        <v>42811</v>
      </c>
      <c r="B4" s="279"/>
      <c r="C4" s="248" t="s">
        <v>600</v>
      </c>
      <c r="D4" s="259" t="s">
        <v>625</v>
      </c>
      <c r="E4" s="70" t="str">
        <f>IF(Tableau1[[#This Row],[date debut]]=0,"",IF(Tableau1[[#This Row],[date fin]]=0,"",Tableau1[[#This Row],[Colonne1]]-Tableau1[[#This Row],[date debut]]+1))</f>
        <v/>
      </c>
      <c r="F4" s="70" t="str">
        <f>IF(Tableau1[[#This Row],[date debut]]=0,"",IF(Tableau1[[#This Row],[date fin]]=0,IF(Tableau1[[#This Row],[type]]="travail",Tableau1[[#This Row],[Colonne1]]-Tableau1[[#This Row],[date debut]]+1,""),""))</f>
        <v/>
      </c>
      <c r="G4" s="318" t="str">
        <f>CONCATENATE(Tableau1[[#This Row],[Jours1]],"",Tableau1[[#This Row],[jours2]])</f>
        <v/>
      </c>
      <c r="H4" s="318" t="str">
        <f t="shared" ca="1" si="0"/>
        <v/>
      </c>
      <c r="I4" s="99" t="str">
        <f ca="1">IF(Tableau1[[#This Row],[date fin]]&lt;&gt;0,Tableau1[[#This Row],[date fin]],IF(Tableau1[[#This Row],[type]]="travail",TODAY(),""))</f>
        <v/>
      </c>
      <c r="J4">
        <f t="shared" ref="J4:J67" si="1">IF(ISERROR(VLOOKUP(D4,$M$3:$N$25,2,0)),"",VLOOKUP(D4,$M$3:$N$25,2,0))</f>
        <v>3</v>
      </c>
      <c r="M4" s="290" t="s">
        <v>637</v>
      </c>
      <c r="N4" s="290">
        <v>2</v>
      </c>
    </row>
    <row r="5" spans="1:17">
      <c r="A5" s="280">
        <v>42825</v>
      </c>
      <c r="B5" s="281"/>
      <c r="C5" s="248" t="s">
        <v>599</v>
      </c>
      <c r="D5" s="259" t="s">
        <v>624</v>
      </c>
      <c r="E5" s="70" t="str">
        <f>IF(Tableau1[[#This Row],[date debut]]=0,"",IF(Tableau1[[#This Row],[date fin]]=0,"",Tableau1[[#This Row],[Colonne1]]-Tableau1[[#This Row],[date debut]]+1))</f>
        <v/>
      </c>
      <c r="F5" s="70" t="str">
        <f>IF(Tableau1[[#This Row],[date debut]]=0,"",IF(Tableau1[[#This Row],[date fin]]=0,IF(Tableau1[[#This Row],[type]]="travail",Tableau1[[#This Row],[Colonne1]]-Tableau1[[#This Row],[date debut]]+1,""),""))</f>
        <v/>
      </c>
      <c r="G5" s="318" t="str">
        <f>CONCATENATE(Tableau1[[#This Row],[Jours1]],"",Tableau1[[#This Row],[jours2]])</f>
        <v/>
      </c>
      <c r="H5" s="318" t="str">
        <f t="shared" ca="1" si="0"/>
        <v/>
      </c>
      <c r="I5" s="99" t="str">
        <f ca="1">IF(Tableau1[[#This Row],[date fin]]&lt;&gt;0,Tableau1[[#This Row],[date fin]],IF(Tableau1[[#This Row],[type]]="travail",TODAY(),""))</f>
        <v/>
      </c>
      <c r="J5">
        <f t="shared" si="1"/>
        <v>1</v>
      </c>
      <c r="M5" s="284" t="s">
        <v>625</v>
      </c>
      <c r="N5" s="284">
        <v>3</v>
      </c>
    </row>
    <row r="6" spans="1:17">
      <c r="A6" s="280">
        <v>42849</v>
      </c>
      <c r="B6" s="281"/>
      <c r="C6" s="248" t="s">
        <v>620</v>
      </c>
      <c r="D6" s="259" t="s">
        <v>623</v>
      </c>
      <c r="E6" s="70" t="str">
        <f>IF(Tableau1[[#This Row],[date debut]]=0,"",IF(Tableau1[[#This Row],[date fin]]=0,"",Tableau1[[#This Row],[Colonne1]]-Tableau1[[#This Row],[date debut]]+1))</f>
        <v/>
      </c>
      <c r="F6" s="70">
        <f ca="1">IF(Tableau1[[#This Row],[date debut]]=0,"",IF(Tableau1[[#This Row],[date fin]]=0,IF(Tableau1[[#This Row],[type]]="travail",Tableau1[[#This Row],[Colonne1]]-Tableau1[[#This Row],[date debut]]+1,""),""))</f>
        <v>26</v>
      </c>
      <c r="G6" s="318" t="str">
        <f ca="1">CONCATENATE(Tableau1[[#This Row],[Jours1]],"",Tableau1[[#This Row],[jours2]])</f>
        <v>26</v>
      </c>
      <c r="H6" s="318">
        <f t="shared" ca="1" si="0"/>
        <v>20</v>
      </c>
      <c r="I6" s="99">
        <f ca="1">IF(Tableau1[[#This Row],[date fin]]&lt;&gt;0,Tableau1[[#This Row],[date fin]],IF(Tableau1[[#This Row],[type]]="travail",TODAY(),""))</f>
        <v>42874</v>
      </c>
      <c r="J6">
        <f t="shared" si="1"/>
        <v>7</v>
      </c>
      <c r="M6" s="287" t="s">
        <v>634</v>
      </c>
      <c r="N6" s="287">
        <v>4</v>
      </c>
    </row>
    <row r="7" spans="1:17">
      <c r="A7" s="280">
        <v>42860</v>
      </c>
      <c r="B7" s="281">
        <v>42895</v>
      </c>
      <c r="C7" s="248" t="s">
        <v>621</v>
      </c>
      <c r="D7" s="259" t="s">
        <v>634</v>
      </c>
      <c r="E7" s="70">
        <f ca="1">IF(Tableau1[[#This Row],[date debut]]=0,"",IF(Tableau1[[#This Row],[date fin]]=0,"",Tableau1[[#This Row],[Colonne1]]-Tableau1[[#This Row],[date debut]]+1))</f>
        <v>36</v>
      </c>
      <c r="F7" s="70" t="str">
        <f>IF(Tableau1[[#This Row],[date debut]]=0,"",IF(Tableau1[[#This Row],[date fin]]=0,IF(Tableau1[[#This Row],[type]]="travail",Tableau1[[#This Row],[Colonne1]]-Tableau1[[#This Row],[date debut]]+1,""),""))</f>
        <v/>
      </c>
      <c r="G7" s="318" t="str">
        <f ca="1">CONCATENATE(Tableau1[[#This Row],[Jours1]],"",Tableau1[[#This Row],[jours2]])</f>
        <v>36</v>
      </c>
      <c r="H7" s="318">
        <f t="shared" ca="1" si="0"/>
        <v>26</v>
      </c>
      <c r="I7" s="99">
        <f ca="1">IF(Tableau1[[#This Row],[date fin]]&lt;&gt;0,Tableau1[[#This Row],[date fin]],IF(Tableau1[[#This Row],[type]]="travail",TODAY(),""))</f>
        <v>42895</v>
      </c>
      <c r="J7">
        <f t="shared" si="1"/>
        <v>4</v>
      </c>
      <c r="M7" s="291" t="s">
        <v>638</v>
      </c>
      <c r="N7" s="291">
        <v>5</v>
      </c>
    </row>
    <row r="8" spans="1:17">
      <c r="A8" s="280">
        <v>42869</v>
      </c>
      <c r="B8" s="281"/>
      <c r="C8" s="248" t="s">
        <v>598</v>
      </c>
      <c r="D8" s="259" t="s">
        <v>624</v>
      </c>
      <c r="E8" s="70" t="str">
        <f>IF(Tableau1[[#This Row],[date debut]]=0,"",IF(Tableau1[[#This Row],[date fin]]=0,"",Tableau1[[#This Row],[Colonne1]]-Tableau1[[#This Row],[date debut]]+1))</f>
        <v/>
      </c>
      <c r="F8" s="70" t="str">
        <f>IF(Tableau1[[#This Row],[date debut]]=0,"",IF(Tableau1[[#This Row],[date fin]]=0,IF(Tableau1[[#This Row],[type]]="travail",Tableau1[[#This Row],[Colonne1]]-Tableau1[[#This Row],[date debut]]+1,""),""))</f>
        <v/>
      </c>
      <c r="G8" s="318" t="str">
        <f>CONCATENATE(Tableau1[[#This Row],[Jours1]],"",Tableau1[[#This Row],[jours2]])</f>
        <v/>
      </c>
      <c r="H8" s="318" t="str">
        <f t="shared" ca="1" si="0"/>
        <v/>
      </c>
      <c r="I8" s="99" t="str">
        <f ca="1">IF(Tableau1[[#This Row],[date fin]]&lt;&gt;0,Tableau1[[#This Row],[date fin]],IF(Tableau1[[#This Row],[type]]="travail",TODAY(),""))</f>
        <v/>
      </c>
      <c r="J8">
        <f t="shared" si="1"/>
        <v>1</v>
      </c>
      <c r="M8" s="286" t="s">
        <v>626</v>
      </c>
      <c r="N8" s="286">
        <v>6</v>
      </c>
    </row>
    <row r="9" spans="1:17">
      <c r="A9" s="280">
        <v>42871</v>
      </c>
      <c r="B9" s="281"/>
      <c r="C9" s="248" t="s">
        <v>597</v>
      </c>
      <c r="D9" s="259" t="s">
        <v>624</v>
      </c>
      <c r="E9" s="70" t="str">
        <f>IF(Tableau1[[#This Row],[date debut]]=0,"",IF(Tableau1[[#This Row],[date fin]]=0,"",Tableau1[[#This Row],[Colonne1]]-Tableau1[[#This Row],[date debut]]+1))</f>
        <v/>
      </c>
      <c r="F9" s="70" t="str">
        <f>IF(Tableau1[[#This Row],[date debut]]=0,"",IF(Tableau1[[#This Row],[date fin]]=0,IF(Tableau1[[#This Row],[type]]="travail",Tableau1[[#This Row],[Colonne1]]-Tableau1[[#This Row],[date debut]]+1,""),""))</f>
        <v/>
      </c>
      <c r="G9" s="318" t="str">
        <f>CONCATENATE(Tableau1[[#This Row],[Jours1]],"",Tableau1[[#This Row],[jours2]])</f>
        <v/>
      </c>
      <c r="H9" s="318" t="str">
        <f t="shared" ca="1" si="0"/>
        <v/>
      </c>
      <c r="I9" s="99" t="str">
        <f ca="1">IF(Tableau1[[#This Row],[date fin]]&lt;&gt;0,Tableau1[[#This Row],[date fin]],IF(Tableau1[[#This Row],[type]]="travail",TODAY(),""))</f>
        <v/>
      </c>
      <c r="J9">
        <f t="shared" si="1"/>
        <v>1</v>
      </c>
      <c r="M9" s="288" t="s">
        <v>623</v>
      </c>
      <c r="N9" s="288">
        <v>7</v>
      </c>
    </row>
    <row r="10" spans="1:17">
      <c r="A10" s="280">
        <v>42875</v>
      </c>
      <c r="B10" s="281"/>
      <c r="C10" s="248" t="s">
        <v>601</v>
      </c>
      <c r="D10" s="259" t="s">
        <v>626</v>
      </c>
      <c r="E10" s="70" t="str">
        <f>IF(Tableau1[[#This Row],[date debut]]=0,"",IF(Tableau1[[#This Row],[date fin]]=0,"",Tableau1[[#This Row],[Colonne1]]-Tableau1[[#This Row],[date debut]]+1))</f>
        <v/>
      </c>
      <c r="F10" s="70" t="str">
        <f>IF(Tableau1[[#This Row],[date debut]]=0,"",IF(Tableau1[[#This Row],[date fin]]=0,IF(Tableau1[[#This Row],[type]]="travail",Tableau1[[#This Row],[Colonne1]]-Tableau1[[#This Row],[date debut]]+1,""),""))</f>
        <v/>
      </c>
      <c r="G10" s="318" t="str">
        <f>CONCATENATE(Tableau1[[#This Row],[Jours1]],"",Tableau1[[#This Row],[jours2]])</f>
        <v/>
      </c>
      <c r="H10" s="318" t="str">
        <f t="shared" ca="1" si="0"/>
        <v/>
      </c>
      <c r="I10" s="99" t="str">
        <f ca="1">IF(Tableau1[[#This Row],[date fin]]&lt;&gt;0,Tableau1[[#This Row],[date fin]],IF(Tableau1[[#This Row],[type]]="travail",TODAY(),""))</f>
        <v/>
      </c>
      <c r="J10">
        <f t="shared" si="1"/>
        <v>6</v>
      </c>
      <c r="M10" s="289" t="s">
        <v>633</v>
      </c>
      <c r="N10" s="289">
        <v>8</v>
      </c>
      <c r="O10" s="159"/>
      <c r="P10" s="159"/>
      <c r="Q10" s="159"/>
    </row>
    <row r="11" spans="1:17">
      <c r="A11" s="280"/>
      <c r="B11" s="281"/>
      <c r="C11" s="248"/>
      <c r="D11" s="259"/>
      <c r="E11" s="70" t="str">
        <f>IF(Tableau1[[#This Row],[date debut]]=0,"",IF(Tableau1[[#This Row],[date fin]]=0,"",Tableau1[[#This Row],[Colonne1]]-Tableau1[[#This Row],[date debut]]+1))</f>
        <v/>
      </c>
      <c r="F11" s="70" t="str">
        <f>IF(Tableau1[[#This Row],[date debut]]=0,"",IF(Tableau1[[#This Row],[date fin]]=0,IF(Tableau1[[#This Row],[type]]="travail",Tableau1[[#This Row],[Colonne1]]-Tableau1[[#This Row],[date debut]]+1,""),""))</f>
        <v/>
      </c>
      <c r="G11" s="318" t="str">
        <f>CONCATENATE(Tableau1[[#This Row],[Jours1]],"",Tableau1[[#This Row],[jours2]])</f>
        <v/>
      </c>
      <c r="H11" s="318" t="str">
        <f t="shared" ca="1" si="0"/>
        <v/>
      </c>
      <c r="I11" s="99" t="str">
        <f ca="1">IF(Tableau1[[#This Row],[date fin]]&lt;&gt;0,Tableau1[[#This Row],[date fin]],IF(Tableau1[[#This Row],[type]]="travail",TODAY(),""))</f>
        <v/>
      </c>
      <c r="J11" t="str">
        <f t="shared" si="1"/>
        <v/>
      </c>
      <c r="M11" s="265"/>
      <c r="N11" s="265">
        <v>9</v>
      </c>
      <c r="O11" s="159"/>
      <c r="P11" s="159"/>
      <c r="Q11" s="159"/>
    </row>
    <row r="12" spans="1:17">
      <c r="A12" s="280"/>
      <c r="B12" s="281"/>
      <c r="C12" s="248"/>
      <c r="D12" s="259"/>
      <c r="E12" s="70" t="str">
        <f>IF(Tableau1[[#This Row],[date debut]]=0,"",IF(Tableau1[[#This Row],[date fin]]=0,"",Tableau1[[#This Row],[Colonne1]]-Tableau1[[#This Row],[date debut]]+1))</f>
        <v/>
      </c>
      <c r="F12" s="70" t="str">
        <f>IF(Tableau1[[#This Row],[date debut]]=0,"",IF(Tableau1[[#This Row],[date fin]]=0,IF(Tableau1[[#This Row],[type]]="travail",Tableau1[[#This Row],[Colonne1]]-Tableau1[[#This Row],[date debut]]+1,""),""))</f>
        <v/>
      </c>
      <c r="G12" s="318" t="str">
        <f>CONCATENATE(Tableau1[[#This Row],[Jours1]],"",Tableau1[[#This Row],[jours2]])</f>
        <v/>
      </c>
      <c r="H12" s="318" t="str">
        <f t="shared" ca="1" si="0"/>
        <v/>
      </c>
      <c r="I12" s="99" t="str">
        <f ca="1">IF(Tableau1[[#This Row],[date fin]]&lt;&gt;0,Tableau1[[#This Row],[date fin]],IF(Tableau1[[#This Row],[type]]="travail",TODAY(),""))</f>
        <v/>
      </c>
      <c r="J12" t="str">
        <f t="shared" si="1"/>
        <v/>
      </c>
      <c r="M12" s="264"/>
      <c r="N12" s="264">
        <v>10</v>
      </c>
      <c r="O12" s="159"/>
      <c r="P12" s="159"/>
      <c r="Q12" s="159"/>
    </row>
    <row r="13" spans="1:17">
      <c r="A13" s="280"/>
      <c r="B13" s="281"/>
      <c r="C13" s="248"/>
      <c r="D13" s="259"/>
      <c r="E13" s="70" t="str">
        <f>IF(Tableau1[[#This Row],[date debut]]=0,"",IF(Tableau1[[#This Row],[date fin]]=0,"",Tableau1[[#This Row],[Colonne1]]-Tableau1[[#This Row],[date debut]]+1))</f>
        <v/>
      </c>
      <c r="F13" s="70" t="str">
        <f>IF(Tableau1[[#This Row],[date debut]]=0,"",IF(Tableau1[[#This Row],[date fin]]=0,IF(Tableau1[[#This Row],[type]]="travail",Tableau1[[#This Row],[Colonne1]]-Tableau1[[#This Row],[date debut]]+1,""),""))</f>
        <v/>
      </c>
      <c r="G13" s="318" t="str">
        <f>CONCATENATE(Tableau1[[#This Row],[Jours1]],"",Tableau1[[#This Row],[jours2]])</f>
        <v/>
      </c>
      <c r="H13" s="318" t="str">
        <f t="shared" ca="1" si="0"/>
        <v/>
      </c>
      <c r="I13" s="99" t="str">
        <f ca="1">IF(Tableau1[[#This Row],[date fin]]&lt;&gt;0,Tableau1[[#This Row],[date fin]],IF(Tableau1[[#This Row],[type]]="travail",TODAY(),""))</f>
        <v/>
      </c>
      <c r="J13" t="str">
        <f t="shared" si="1"/>
        <v/>
      </c>
      <c r="K13" t="str">
        <f t="shared" ref="K13:K31" si="2">IF(ISERROR(VLOOKUP(D13,$M$3:$N$25,2,0)),"",VLOOKUP(D13,$M$3:$N$25,2,0))</f>
        <v/>
      </c>
      <c r="M13" s="266"/>
      <c r="N13" s="266">
        <v>11</v>
      </c>
      <c r="O13" s="159"/>
      <c r="P13" s="159"/>
      <c r="Q13" s="159"/>
    </row>
    <row r="14" spans="1:17">
      <c r="A14" s="280"/>
      <c r="B14" s="281"/>
      <c r="C14" s="248"/>
      <c r="D14" s="259"/>
      <c r="E14" s="70" t="str">
        <f>IF(Tableau1[[#This Row],[date debut]]=0,"",IF(Tableau1[[#This Row],[date fin]]=0,"",Tableau1[[#This Row],[Colonne1]]-Tableau1[[#This Row],[date debut]]+1))</f>
        <v/>
      </c>
      <c r="F14" s="70" t="str">
        <f>IF(Tableau1[[#This Row],[date debut]]=0,"",IF(Tableau1[[#This Row],[date fin]]=0,IF(Tableau1[[#This Row],[type]]="travail",Tableau1[[#This Row],[Colonne1]]-Tableau1[[#This Row],[date debut]]+1,""),""))</f>
        <v/>
      </c>
      <c r="G14" s="318" t="str">
        <f>CONCATENATE(Tableau1[[#This Row],[Jours1]],"",Tableau1[[#This Row],[jours2]])</f>
        <v/>
      </c>
      <c r="H14" s="318" t="str">
        <f t="shared" ca="1" si="0"/>
        <v/>
      </c>
      <c r="I14" s="99" t="str">
        <f ca="1">IF(Tableau1[[#This Row],[date fin]]&lt;&gt;0,Tableau1[[#This Row],[date fin]],IF(Tableau1[[#This Row],[type]]="travail",TODAY(),""))</f>
        <v/>
      </c>
      <c r="J14" t="str">
        <f t="shared" si="1"/>
        <v/>
      </c>
      <c r="K14" t="str">
        <f t="shared" si="2"/>
        <v/>
      </c>
      <c r="M14" s="271"/>
      <c r="N14" s="271">
        <v>12</v>
      </c>
      <c r="O14" s="159"/>
      <c r="P14" s="159"/>
      <c r="Q14" s="159"/>
    </row>
    <row r="15" spans="1:17">
      <c r="A15" s="280"/>
      <c r="B15" s="281"/>
      <c r="C15" s="248"/>
      <c r="D15" s="259"/>
      <c r="E15" s="70" t="str">
        <f>IF(Tableau1[[#This Row],[date debut]]=0,"",IF(Tableau1[[#This Row],[date fin]]=0,"",Tableau1[[#This Row],[Colonne1]]-Tableau1[[#This Row],[date debut]]+1))</f>
        <v/>
      </c>
      <c r="F15" s="70" t="str">
        <f>IF(Tableau1[[#This Row],[date debut]]=0,"",IF(Tableau1[[#This Row],[date fin]]=0,IF(Tableau1[[#This Row],[type]]="travail",Tableau1[[#This Row],[Colonne1]]-Tableau1[[#This Row],[date debut]]+1,""),""))</f>
        <v/>
      </c>
      <c r="G15" s="318" t="str">
        <f>CONCATENATE(Tableau1[[#This Row],[Jours1]],"",Tableau1[[#This Row],[jours2]])</f>
        <v/>
      </c>
      <c r="H15" s="318" t="str">
        <f t="shared" ca="1" si="0"/>
        <v/>
      </c>
      <c r="I15" s="99" t="str">
        <f ca="1">IF(Tableau1[[#This Row],[date fin]]&lt;&gt;0,Tableau1[[#This Row],[date fin]],IF(Tableau1[[#This Row],[type]]="travail",TODAY(),""))</f>
        <v/>
      </c>
      <c r="J15" t="str">
        <f t="shared" si="1"/>
        <v/>
      </c>
      <c r="K15" t="str">
        <f t="shared" si="2"/>
        <v/>
      </c>
      <c r="M15" s="273"/>
      <c r="N15" s="273">
        <v>13</v>
      </c>
      <c r="O15" s="159"/>
      <c r="P15" s="159"/>
      <c r="Q15" s="159"/>
    </row>
    <row r="16" spans="1:17">
      <c r="A16" s="280"/>
      <c r="B16" s="281"/>
      <c r="C16" s="248"/>
      <c r="D16" s="259"/>
      <c r="E16" s="70" t="str">
        <f>IF(Tableau1[[#This Row],[date debut]]=0,"",IF(Tableau1[[#This Row],[date fin]]=0,"",Tableau1[[#This Row],[Colonne1]]-Tableau1[[#This Row],[date debut]]+1))</f>
        <v/>
      </c>
      <c r="F16" s="70" t="str">
        <f>IF(Tableau1[[#This Row],[date debut]]=0,"",IF(Tableau1[[#This Row],[date fin]]=0,IF(Tableau1[[#This Row],[type]]="travail",Tableau1[[#This Row],[Colonne1]]-Tableau1[[#This Row],[date debut]]+1,""),""))</f>
        <v/>
      </c>
      <c r="G16" s="318" t="str">
        <f>CONCATENATE(Tableau1[[#This Row],[Jours1]],"",Tableau1[[#This Row],[jours2]])</f>
        <v/>
      </c>
      <c r="H16" s="318" t="str">
        <f t="shared" ca="1" si="0"/>
        <v/>
      </c>
      <c r="I16" s="99" t="str">
        <f ca="1">IF(Tableau1[[#This Row],[date fin]]&lt;&gt;0,Tableau1[[#This Row],[date fin]],IF(Tableau1[[#This Row],[type]]="travail",TODAY(),""))</f>
        <v/>
      </c>
      <c r="J16" t="str">
        <f t="shared" si="1"/>
        <v/>
      </c>
      <c r="K16" t="str">
        <f t="shared" si="2"/>
        <v/>
      </c>
      <c r="M16" s="263"/>
      <c r="N16" s="263">
        <v>14</v>
      </c>
      <c r="O16" s="159"/>
      <c r="P16" s="159"/>
      <c r="Q16" s="159"/>
    </row>
    <row r="17" spans="1:17">
      <c r="A17" s="280"/>
      <c r="B17" s="281"/>
      <c r="C17" s="248"/>
      <c r="D17" s="259"/>
      <c r="E17" s="70" t="str">
        <f>IF(Tableau1[[#This Row],[date debut]]=0,"",IF(Tableau1[[#This Row],[date fin]]=0,"",Tableau1[[#This Row],[Colonne1]]-Tableau1[[#This Row],[date debut]]+1))</f>
        <v/>
      </c>
      <c r="F17" s="70" t="str">
        <f>IF(Tableau1[[#This Row],[date debut]]=0,"",IF(Tableau1[[#This Row],[date fin]]=0,IF(Tableau1[[#This Row],[type]]="travail",Tableau1[[#This Row],[Colonne1]]-Tableau1[[#This Row],[date debut]]+1,""),""))</f>
        <v/>
      </c>
      <c r="G17" s="318" t="str">
        <f>CONCATENATE(Tableau1[[#This Row],[Jours1]],"",Tableau1[[#This Row],[jours2]])</f>
        <v/>
      </c>
      <c r="H17" s="318" t="str">
        <f t="shared" ca="1" si="0"/>
        <v/>
      </c>
      <c r="I17" s="99" t="str">
        <f ca="1">IF(Tableau1[[#This Row],[date fin]]&lt;&gt;0,Tableau1[[#This Row],[date fin]],IF(Tableau1[[#This Row],[type]]="travail",TODAY(),""))</f>
        <v/>
      </c>
      <c r="J17" t="str">
        <f t="shared" si="1"/>
        <v/>
      </c>
      <c r="K17" t="str">
        <f t="shared" si="2"/>
        <v/>
      </c>
      <c r="M17" s="274"/>
      <c r="N17" s="274">
        <v>15</v>
      </c>
      <c r="O17" s="159"/>
      <c r="P17" s="159"/>
      <c r="Q17" s="159"/>
    </row>
    <row r="18" spans="1:17">
      <c r="A18" s="280"/>
      <c r="B18" s="281"/>
      <c r="C18" s="248"/>
      <c r="D18" s="259"/>
      <c r="E18" s="70" t="str">
        <f>IF(Tableau1[[#This Row],[date debut]]=0,"",IF(Tableau1[[#This Row],[date fin]]=0,"",Tableau1[[#This Row],[Colonne1]]-Tableau1[[#This Row],[date debut]]+1))</f>
        <v/>
      </c>
      <c r="F18" s="70" t="str">
        <f>IF(Tableau1[[#This Row],[date debut]]=0,"",IF(Tableau1[[#This Row],[date fin]]=0,IF(Tableau1[[#This Row],[type]]="travail",Tableau1[[#This Row],[Colonne1]]-Tableau1[[#This Row],[date debut]]+1,""),""))</f>
        <v/>
      </c>
      <c r="G18" s="318" t="str">
        <f>CONCATENATE(Tableau1[[#This Row],[Jours1]],"",Tableau1[[#This Row],[jours2]])</f>
        <v/>
      </c>
      <c r="H18" s="318" t="str">
        <f t="shared" ca="1" si="0"/>
        <v/>
      </c>
      <c r="I18" s="99" t="str">
        <f ca="1">IF(Tableau1[[#This Row],[date fin]]&lt;&gt;0,Tableau1[[#This Row],[date fin]],IF(Tableau1[[#This Row],[type]]="travail",TODAY(),""))</f>
        <v/>
      </c>
      <c r="J18" t="str">
        <f t="shared" si="1"/>
        <v/>
      </c>
      <c r="K18" t="str">
        <f t="shared" si="2"/>
        <v/>
      </c>
      <c r="M18" s="276"/>
      <c r="N18" s="276">
        <v>16</v>
      </c>
      <c r="O18" s="159"/>
      <c r="P18" s="159"/>
      <c r="Q18" s="159"/>
    </row>
    <row r="19" spans="1:17">
      <c r="A19" s="280"/>
      <c r="B19" s="281"/>
      <c r="C19" s="248"/>
      <c r="D19" s="259"/>
      <c r="E19" s="70" t="str">
        <f>IF(Tableau1[[#This Row],[date debut]]=0,"",IF(Tableau1[[#This Row],[date fin]]=0,"",Tableau1[[#This Row],[Colonne1]]-Tableau1[[#This Row],[date debut]]+1))</f>
        <v/>
      </c>
      <c r="F19" s="70" t="str">
        <f>IF(Tableau1[[#This Row],[date debut]]=0,"",IF(Tableau1[[#This Row],[date fin]]=0,IF(Tableau1[[#This Row],[type]]="travail",Tableau1[[#This Row],[Colonne1]]-Tableau1[[#This Row],[date debut]]+1,""),""))</f>
        <v/>
      </c>
      <c r="G19" s="318" t="str">
        <f>CONCATENATE(Tableau1[[#This Row],[Jours1]],"",Tableau1[[#This Row],[jours2]])</f>
        <v/>
      </c>
      <c r="H19" s="318" t="str">
        <f t="shared" ca="1" si="0"/>
        <v/>
      </c>
      <c r="I19" s="99" t="str">
        <f ca="1">IF(Tableau1[[#This Row],[date fin]]&lt;&gt;0,Tableau1[[#This Row],[date fin]],IF(Tableau1[[#This Row],[type]]="travail",TODAY(),""))</f>
        <v/>
      </c>
      <c r="J19" t="str">
        <f t="shared" si="1"/>
        <v/>
      </c>
      <c r="K19" t="str">
        <f t="shared" si="2"/>
        <v/>
      </c>
      <c r="M19" s="262"/>
      <c r="N19" s="262">
        <v>17</v>
      </c>
      <c r="O19" s="159"/>
      <c r="P19" s="159"/>
      <c r="Q19" s="159"/>
    </row>
    <row r="20" spans="1:17">
      <c r="A20" s="280"/>
      <c r="B20" s="281"/>
      <c r="C20" s="248"/>
      <c r="D20" s="259"/>
      <c r="E20" s="70" t="str">
        <f>IF(Tableau1[[#This Row],[date debut]]=0,"",IF(Tableau1[[#This Row],[date fin]]=0,"",Tableau1[[#This Row],[Colonne1]]-Tableau1[[#This Row],[date debut]]+1))</f>
        <v/>
      </c>
      <c r="F20" s="70" t="str">
        <f>IF(Tableau1[[#This Row],[date debut]]=0,"",IF(Tableau1[[#This Row],[date fin]]=0,IF(Tableau1[[#This Row],[type]]="travail",Tableau1[[#This Row],[Colonne1]]-Tableau1[[#This Row],[date debut]]+1,""),""))</f>
        <v/>
      </c>
      <c r="G20" s="318" t="str">
        <f>CONCATENATE(Tableau1[[#This Row],[Jours1]],"",Tableau1[[#This Row],[jours2]])</f>
        <v/>
      </c>
      <c r="H20" s="318" t="str">
        <f t="shared" ca="1" si="0"/>
        <v/>
      </c>
      <c r="I20" s="99" t="str">
        <f ca="1">IF(Tableau1[[#This Row],[date fin]]&lt;&gt;0,Tableau1[[#This Row],[date fin]],IF(Tableau1[[#This Row],[type]]="travail",TODAY(),""))</f>
        <v/>
      </c>
      <c r="J20" t="str">
        <f t="shared" si="1"/>
        <v/>
      </c>
      <c r="K20" t="str">
        <f t="shared" si="2"/>
        <v/>
      </c>
      <c r="M20" s="275"/>
      <c r="N20" s="275">
        <v>18</v>
      </c>
      <c r="O20" s="159"/>
      <c r="P20" s="159"/>
      <c r="Q20" s="159"/>
    </row>
    <row r="21" spans="1:17">
      <c r="A21" s="280"/>
      <c r="B21" s="281"/>
      <c r="C21" s="248"/>
      <c r="D21" s="259"/>
      <c r="E21" s="70" t="str">
        <f>IF(Tableau1[[#This Row],[date debut]]=0,"",IF(Tableau1[[#This Row],[date fin]]=0,"",Tableau1[[#This Row],[Colonne1]]-Tableau1[[#This Row],[date debut]]+1))</f>
        <v/>
      </c>
      <c r="F21" s="70" t="str">
        <f>IF(Tableau1[[#This Row],[date debut]]=0,"",IF(Tableau1[[#This Row],[date fin]]=0,IF(Tableau1[[#This Row],[type]]="travail",Tableau1[[#This Row],[Colonne1]]-Tableau1[[#This Row],[date debut]]+1,""),""))</f>
        <v/>
      </c>
      <c r="G21" s="318" t="str">
        <f>CONCATENATE(Tableau1[[#This Row],[Jours1]],"",Tableau1[[#This Row],[jours2]])</f>
        <v/>
      </c>
      <c r="H21" s="318" t="str">
        <f t="shared" ca="1" si="0"/>
        <v/>
      </c>
      <c r="I21" s="99" t="str">
        <f ca="1">IF(Tableau1[[#This Row],[date fin]]&lt;&gt;0,Tableau1[[#This Row],[date fin]],IF(Tableau1[[#This Row],[type]]="travail",TODAY(),""))</f>
        <v/>
      </c>
      <c r="J21" t="str">
        <f t="shared" si="1"/>
        <v/>
      </c>
      <c r="K21" t="str">
        <f t="shared" si="2"/>
        <v/>
      </c>
      <c r="M21" s="267"/>
      <c r="N21" s="267">
        <v>19</v>
      </c>
      <c r="O21" s="159"/>
      <c r="P21" s="159"/>
      <c r="Q21" s="159"/>
    </row>
    <row r="22" spans="1:17">
      <c r="A22" s="280"/>
      <c r="B22" s="281"/>
      <c r="C22" s="248"/>
      <c r="D22" s="259"/>
      <c r="E22" s="70" t="str">
        <f>IF(Tableau1[[#This Row],[date debut]]=0,"",IF(Tableau1[[#This Row],[date fin]]=0,"",Tableau1[[#This Row],[Colonne1]]-Tableau1[[#This Row],[date debut]]+1))</f>
        <v/>
      </c>
      <c r="F22" s="70" t="str">
        <f>IF(Tableau1[[#This Row],[date debut]]=0,"",IF(Tableau1[[#This Row],[date fin]]=0,IF(Tableau1[[#This Row],[type]]="travail",Tableau1[[#This Row],[Colonne1]]-Tableau1[[#This Row],[date debut]]+1,""),""))</f>
        <v/>
      </c>
      <c r="G22" s="318" t="str">
        <f>CONCATENATE(Tableau1[[#This Row],[Jours1]],"",Tableau1[[#This Row],[jours2]])</f>
        <v/>
      </c>
      <c r="H22" s="318" t="str">
        <f t="shared" ca="1" si="0"/>
        <v/>
      </c>
      <c r="I22" s="99" t="str">
        <f ca="1">IF(Tableau1[[#This Row],[date fin]]&lt;&gt;0,Tableau1[[#This Row],[date fin]],IF(Tableau1[[#This Row],[type]]="travail",TODAY(),""))</f>
        <v/>
      </c>
      <c r="J22" t="str">
        <f t="shared" si="1"/>
        <v/>
      </c>
      <c r="K22" t="str">
        <f t="shared" si="2"/>
        <v/>
      </c>
      <c r="M22" s="268"/>
      <c r="N22" s="268">
        <v>20</v>
      </c>
      <c r="O22" s="159"/>
      <c r="P22" s="159"/>
      <c r="Q22" s="159"/>
    </row>
    <row r="23" spans="1:17">
      <c r="A23" s="280"/>
      <c r="B23" s="281"/>
      <c r="C23" s="248"/>
      <c r="D23" s="259"/>
      <c r="E23" s="70" t="str">
        <f>IF(Tableau1[[#This Row],[date debut]]=0,"",IF(Tableau1[[#This Row],[date fin]]=0,"",Tableau1[[#This Row],[Colonne1]]-Tableau1[[#This Row],[date debut]]+1))</f>
        <v/>
      </c>
      <c r="F23" s="70" t="str">
        <f>IF(Tableau1[[#This Row],[date debut]]=0,"",IF(Tableau1[[#This Row],[date fin]]=0,IF(Tableau1[[#This Row],[type]]="travail",Tableau1[[#This Row],[Colonne1]]-Tableau1[[#This Row],[date debut]]+1,""),""))</f>
        <v/>
      </c>
      <c r="G23" s="318" t="str">
        <f>CONCATENATE(Tableau1[[#This Row],[Jours1]],"",Tableau1[[#This Row],[jours2]])</f>
        <v/>
      </c>
      <c r="H23" s="318" t="str">
        <f t="shared" ca="1" si="0"/>
        <v/>
      </c>
      <c r="I23" s="99" t="str">
        <f ca="1">IF(Tableau1[[#This Row],[date fin]]&lt;&gt;0,Tableau1[[#This Row],[date fin]],IF(Tableau1[[#This Row],[type]]="travail",TODAY(),""))</f>
        <v/>
      </c>
      <c r="J23" t="str">
        <f t="shared" si="1"/>
        <v/>
      </c>
      <c r="K23" t="str">
        <f t="shared" si="2"/>
        <v/>
      </c>
      <c r="M23" s="269"/>
      <c r="N23" s="269">
        <v>21</v>
      </c>
      <c r="O23" s="159"/>
      <c r="P23" s="159"/>
      <c r="Q23" s="159"/>
    </row>
    <row r="24" spans="1:17">
      <c r="A24" s="280"/>
      <c r="B24" s="281"/>
      <c r="C24" s="248"/>
      <c r="D24" s="259"/>
      <c r="E24" s="70" t="str">
        <f>IF(Tableau1[[#This Row],[date debut]]=0,"",IF(Tableau1[[#This Row],[date fin]]=0,"",Tableau1[[#This Row],[Colonne1]]-Tableau1[[#This Row],[date debut]]+1))</f>
        <v/>
      </c>
      <c r="F24" s="70" t="str">
        <f>IF(Tableau1[[#This Row],[date debut]]=0,"",IF(Tableau1[[#This Row],[date fin]]=0,IF(Tableau1[[#This Row],[type]]="travail",Tableau1[[#This Row],[Colonne1]]-Tableau1[[#This Row],[date debut]]+1,""),""))</f>
        <v/>
      </c>
      <c r="G24" s="318" t="str">
        <f>CONCATENATE(Tableau1[[#This Row],[Jours1]],"",Tableau1[[#This Row],[jours2]])</f>
        <v/>
      </c>
      <c r="H24" s="318" t="str">
        <f t="shared" ca="1" si="0"/>
        <v/>
      </c>
      <c r="I24" s="99" t="str">
        <f ca="1">IF(Tableau1[[#This Row],[date fin]]&lt;&gt;0,Tableau1[[#This Row],[date fin]],IF(Tableau1[[#This Row],[type]]="travail",TODAY(),""))</f>
        <v/>
      </c>
      <c r="J24" t="str">
        <f t="shared" si="1"/>
        <v/>
      </c>
      <c r="K24" t="str">
        <f t="shared" si="2"/>
        <v/>
      </c>
      <c r="M24" s="270"/>
      <c r="N24" s="270">
        <v>22</v>
      </c>
      <c r="O24" s="159"/>
      <c r="P24" s="159"/>
      <c r="Q24" s="159"/>
    </row>
    <row r="25" spans="1:17">
      <c r="A25" s="280"/>
      <c r="B25" s="281"/>
      <c r="C25" s="248"/>
      <c r="D25" s="259"/>
      <c r="E25" s="70" t="str">
        <f>IF(Tableau1[[#This Row],[date debut]]=0,"",IF(Tableau1[[#This Row],[date fin]]=0,"",Tableau1[[#This Row],[Colonne1]]-Tableau1[[#This Row],[date debut]]+1))</f>
        <v/>
      </c>
      <c r="F25" s="70" t="str">
        <f>IF(Tableau1[[#This Row],[date debut]]=0,"",IF(Tableau1[[#This Row],[date fin]]=0,IF(Tableau1[[#This Row],[type]]="travail",Tableau1[[#This Row],[Colonne1]]-Tableau1[[#This Row],[date debut]]+1,""),""))</f>
        <v/>
      </c>
      <c r="G25" s="318" t="str">
        <f>CONCATENATE(Tableau1[[#This Row],[Jours1]],"",Tableau1[[#This Row],[jours2]])</f>
        <v/>
      </c>
      <c r="H25" s="318" t="str">
        <f t="shared" ca="1" si="0"/>
        <v/>
      </c>
      <c r="I25" s="99" t="str">
        <f ca="1">IF(Tableau1[[#This Row],[date fin]]&lt;&gt;0,Tableau1[[#This Row],[date fin]],IF(Tableau1[[#This Row],[type]]="travail",TODAY(),""))</f>
        <v/>
      </c>
      <c r="J25" t="str">
        <f t="shared" si="1"/>
        <v/>
      </c>
      <c r="K25" t="str">
        <f t="shared" si="2"/>
        <v/>
      </c>
      <c r="M25" s="272"/>
      <c r="N25" s="272">
        <v>23</v>
      </c>
      <c r="O25" s="159"/>
      <c r="P25" s="159"/>
      <c r="Q25" s="159"/>
    </row>
    <row r="26" spans="1:17">
      <c r="A26" s="280"/>
      <c r="B26" s="281"/>
      <c r="C26" s="248"/>
      <c r="D26" s="259"/>
      <c r="E26" s="70" t="str">
        <f>IF(Tableau1[[#This Row],[date debut]]=0,"",IF(Tableau1[[#This Row],[date fin]]=0,"",Tableau1[[#This Row],[Colonne1]]-Tableau1[[#This Row],[date debut]]+1))</f>
        <v/>
      </c>
      <c r="F26" s="70" t="str">
        <f>IF(Tableau1[[#This Row],[date debut]]=0,"",IF(Tableau1[[#This Row],[date fin]]=0,IF(Tableau1[[#This Row],[type]]="travail",Tableau1[[#This Row],[Colonne1]]-Tableau1[[#This Row],[date debut]]+1,""),""))</f>
        <v/>
      </c>
      <c r="G26" s="318" t="str">
        <f>CONCATENATE(Tableau1[[#This Row],[Jours1]],"",Tableau1[[#This Row],[jours2]])</f>
        <v/>
      </c>
      <c r="H26" s="318" t="str">
        <f t="shared" ca="1" si="0"/>
        <v/>
      </c>
      <c r="I26" s="99" t="str">
        <f ca="1">IF(Tableau1[[#This Row],[date fin]]&lt;&gt;0,Tableau1[[#This Row],[date fin]],IF(Tableau1[[#This Row],[type]]="travail",TODAY(),""))</f>
        <v/>
      </c>
      <c r="J26" t="str">
        <f t="shared" si="1"/>
        <v/>
      </c>
      <c r="K26" t="str">
        <f t="shared" si="2"/>
        <v/>
      </c>
      <c r="M26" s="159"/>
      <c r="N26" s="159"/>
      <c r="O26" s="159"/>
      <c r="P26" s="159"/>
      <c r="Q26" s="159"/>
    </row>
    <row r="27" spans="1:17">
      <c r="A27" s="280"/>
      <c r="B27" s="281"/>
      <c r="C27" s="248"/>
      <c r="D27" s="259"/>
      <c r="E27" s="70" t="str">
        <f>IF(Tableau1[[#This Row],[date debut]]=0,"",IF(Tableau1[[#This Row],[date fin]]=0,"",Tableau1[[#This Row],[Colonne1]]-Tableau1[[#This Row],[date debut]]+1))</f>
        <v/>
      </c>
      <c r="F27" s="70" t="str">
        <f>IF(Tableau1[[#This Row],[date debut]]=0,"",IF(Tableau1[[#This Row],[date fin]]=0,IF(Tableau1[[#This Row],[type]]="travail",Tableau1[[#This Row],[Colonne1]]-Tableau1[[#This Row],[date debut]]+1,""),""))</f>
        <v/>
      </c>
      <c r="G27" s="318" t="str">
        <f>CONCATENATE(Tableau1[[#This Row],[Jours1]],"",Tableau1[[#This Row],[jours2]])</f>
        <v/>
      </c>
      <c r="H27" s="318" t="str">
        <f t="shared" ca="1" si="0"/>
        <v/>
      </c>
      <c r="I27" s="99" t="str">
        <f ca="1">IF(Tableau1[[#This Row],[date fin]]&lt;&gt;0,Tableau1[[#This Row],[date fin]],IF(Tableau1[[#This Row],[type]]="travail",TODAY(),""))</f>
        <v/>
      </c>
      <c r="J27" t="str">
        <f t="shared" si="1"/>
        <v/>
      </c>
      <c r="K27" t="str">
        <f t="shared" si="2"/>
        <v/>
      </c>
      <c r="M27" s="159"/>
      <c r="N27" s="159"/>
      <c r="O27" s="159"/>
      <c r="P27" s="159"/>
      <c r="Q27" s="159"/>
    </row>
    <row r="28" spans="1:17">
      <c r="A28" s="280"/>
      <c r="B28" s="281"/>
      <c r="C28" s="248"/>
      <c r="D28" s="259"/>
      <c r="E28" s="70" t="str">
        <f>IF(Tableau1[[#This Row],[date debut]]=0,"",IF(Tableau1[[#This Row],[date fin]]=0,"",Tableau1[[#This Row],[Colonne1]]-Tableau1[[#This Row],[date debut]]+1))</f>
        <v/>
      </c>
      <c r="F28" s="70" t="str">
        <f>IF(Tableau1[[#This Row],[date debut]]=0,"",IF(Tableau1[[#This Row],[date fin]]=0,IF(Tableau1[[#This Row],[type]]="travail",Tableau1[[#This Row],[Colonne1]]-Tableau1[[#This Row],[date debut]]+1,""),""))</f>
        <v/>
      </c>
      <c r="G28" s="318" t="str">
        <f>CONCATENATE(Tableau1[[#This Row],[Jours1]],"",Tableau1[[#This Row],[jours2]])</f>
        <v/>
      </c>
      <c r="H28" s="318" t="str">
        <f t="shared" ca="1" si="0"/>
        <v/>
      </c>
      <c r="I28" s="99" t="str">
        <f ca="1">IF(Tableau1[[#This Row],[date fin]]&lt;&gt;0,Tableau1[[#This Row],[date fin]],IF(Tableau1[[#This Row],[type]]="travail",TODAY(),""))</f>
        <v/>
      </c>
      <c r="J28" t="str">
        <f t="shared" si="1"/>
        <v/>
      </c>
      <c r="K28" t="str">
        <f t="shared" si="2"/>
        <v/>
      </c>
      <c r="M28" s="159"/>
      <c r="N28" s="159"/>
    </row>
    <row r="29" spans="1:17">
      <c r="A29" s="280"/>
      <c r="B29" s="281"/>
      <c r="C29" s="248"/>
      <c r="D29" s="259"/>
      <c r="E29" s="70" t="str">
        <f>IF(Tableau1[[#This Row],[date debut]]=0,"",IF(Tableau1[[#This Row],[date fin]]=0,"",Tableau1[[#This Row],[Colonne1]]-Tableau1[[#This Row],[date debut]]+1))</f>
        <v/>
      </c>
      <c r="F29" s="70" t="str">
        <f>IF(Tableau1[[#This Row],[date debut]]=0,"",IF(Tableau1[[#This Row],[date fin]]=0,IF(Tableau1[[#This Row],[type]]="travail",Tableau1[[#This Row],[Colonne1]]-Tableau1[[#This Row],[date debut]]+1,""),""))</f>
        <v/>
      </c>
      <c r="G29" s="318" t="str">
        <f>CONCATENATE(Tableau1[[#This Row],[Jours1]],"",Tableau1[[#This Row],[jours2]])</f>
        <v/>
      </c>
      <c r="H29" s="318" t="str">
        <f t="shared" ca="1" si="0"/>
        <v/>
      </c>
      <c r="I29" s="99" t="str">
        <f ca="1">IF(Tableau1[[#This Row],[date fin]]&lt;&gt;0,Tableau1[[#This Row],[date fin]],IF(Tableau1[[#This Row],[type]]="travail",TODAY(),""))</f>
        <v/>
      </c>
      <c r="J29" t="str">
        <f t="shared" si="1"/>
        <v/>
      </c>
      <c r="K29" t="str">
        <f t="shared" si="2"/>
        <v/>
      </c>
      <c r="M29" s="159"/>
      <c r="N29" s="159"/>
    </row>
    <row r="30" spans="1:17">
      <c r="A30" s="280"/>
      <c r="B30" s="281"/>
      <c r="C30" s="248"/>
      <c r="D30" s="259"/>
      <c r="E30" s="70" t="str">
        <f>IF(Tableau1[[#This Row],[date debut]]=0,"",IF(Tableau1[[#This Row],[date fin]]=0,"",Tableau1[[#This Row],[Colonne1]]-Tableau1[[#This Row],[date debut]]+1))</f>
        <v/>
      </c>
      <c r="F30" s="70" t="str">
        <f>IF(Tableau1[[#This Row],[date debut]]=0,"",IF(Tableau1[[#This Row],[date fin]]=0,IF(Tableau1[[#This Row],[type]]="travail",Tableau1[[#This Row],[Colonne1]]-Tableau1[[#This Row],[date debut]]+1,""),""))</f>
        <v/>
      </c>
      <c r="G30" s="318" t="str">
        <f>CONCATENATE(Tableau1[[#This Row],[Jours1]],"",Tableau1[[#This Row],[jours2]])</f>
        <v/>
      </c>
      <c r="H30" s="318" t="str">
        <f t="shared" ca="1" si="0"/>
        <v/>
      </c>
      <c r="I30" s="99" t="str">
        <f ca="1">IF(Tableau1[[#This Row],[date fin]]&lt;&gt;0,Tableau1[[#This Row],[date fin]],IF(Tableau1[[#This Row],[type]]="travail",TODAY(),""))</f>
        <v/>
      </c>
      <c r="J30" t="str">
        <f t="shared" si="1"/>
        <v/>
      </c>
      <c r="K30" t="str">
        <f t="shared" si="2"/>
        <v/>
      </c>
      <c r="M30" s="159"/>
      <c r="N30" s="159"/>
    </row>
    <row r="31" spans="1:17">
      <c r="A31" s="280"/>
      <c r="B31" s="281"/>
      <c r="C31" s="248"/>
      <c r="D31" s="259"/>
      <c r="E31" s="70" t="str">
        <f>IF(Tableau1[[#This Row],[date debut]]=0,"",IF(Tableau1[[#This Row],[date fin]]=0,"",Tableau1[[#This Row],[Colonne1]]-Tableau1[[#This Row],[date debut]]+1))</f>
        <v/>
      </c>
      <c r="F31" s="70" t="str">
        <f>IF(Tableau1[[#This Row],[date debut]]=0,"",IF(Tableau1[[#This Row],[date fin]]=0,IF(Tableau1[[#This Row],[type]]="travail",Tableau1[[#This Row],[Colonne1]]-Tableau1[[#This Row],[date debut]]+1,""),""))</f>
        <v/>
      </c>
      <c r="G31" s="318" t="str">
        <f>CONCATENATE(Tableau1[[#This Row],[Jours1]],"",Tableau1[[#This Row],[jours2]])</f>
        <v/>
      </c>
      <c r="H31" s="318" t="str">
        <f t="shared" ca="1" si="0"/>
        <v/>
      </c>
      <c r="I31" s="99" t="str">
        <f ca="1">IF(Tableau1[[#This Row],[date fin]]&lt;&gt;0,Tableau1[[#This Row],[date fin]],IF(Tableau1[[#This Row],[type]]="travail",TODAY(),""))</f>
        <v/>
      </c>
      <c r="J31" t="str">
        <f t="shared" si="1"/>
        <v/>
      </c>
      <c r="K31" t="str">
        <f t="shared" si="2"/>
        <v/>
      </c>
      <c r="M31" s="159"/>
      <c r="N31" s="159"/>
    </row>
    <row r="32" spans="1:17">
      <c r="A32" s="280"/>
      <c r="B32" s="281"/>
      <c r="C32" s="248"/>
      <c r="D32" s="259"/>
      <c r="E32" s="70" t="str">
        <f>IF(Tableau1[[#This Row],[date debut]]=0,"",IF(Tableau1[[#This Row],[date fin]]=0,"",Tableau1[[#This Row],[Colonne1]]-Tableau1[[#This Row],[date debut]]+1))</f>
        <v/>
      </c>
      <c r="F32" s="70" t="str">
        <f>IF(Tableau1[[#This Row],[date debut]]=0,"",IF(Tableau1[[#This Row],[date fin]]=0,IF(Tableau1[[#This Row],[type]]="travail",Tableau1[[#This Row],[Colonne1]]-Tableau1[[#This Row],[date debut]]+1,""),""))</f>
        <v/>
      </c>
      <c r="G32" s="318" t="str">
        <f>CONCATENATE(Tableau1[[#This Row],[Jours1]],"",Tableau1[[#This Row],[jours2]])</f>
        <v/>
      </c>
      <c r="H32" s="318" t="str">
        <f t="shared" ca="1" si="0"/>
        <v/>
      </c>
      <c r="I32" s="99" t="str">
        <f ca="1">IF(Tableau1[[#This Row],[date fin]]&lt;&gt;0,Tableau1[[#This Row],[date fin]],IF(Tableau1[[#This Row],[type]]="travail",TODAY(),""))</f>
        <v/>
      </c>
      <c r="J32" t="str">
        <f t="shared" si="1"/>
        <v/>
      </c>
      <c r="M32" s="159"/>
      <c r="N32" s="159"/>
    </row>
    <row r="33" spans="1:14">
      <c r="A33" s="280"/>
      <c r="B33" s="281"/>
      <c r="C33" s="248"/>
      <c r="D33" s="259"/>
      <c r="E33" s="70" t="str">
        <f>IF(Tableau1[[#This Row],[date debut]]=0,"",IF(Tableau1[[#This Row],[date fin]]=0,"",Tableau1[[#This Row],[Colonne1]]-Tableau1[[#This Row],[date debut]]+1))</f>
        <v/>
      </c>
      <c r="F33" s="70" t="str">
        <f>IF(Tableau1[[#This Row],[date debut]]=0,"",IF(Tableau1[[#This Row],[date fin]]=0,IF(Tableau1[[#This Row],[type]]="travail",Tableau1[[#This Row],[Colonne1]]-Tableau1[[#This Row],[date debut]]+1,""),""))</f>
        <v/>
      </c>
      <c r="G33" s="318" t="str">
        <f>CONCATENATE(Tableau1[[#This Row],[Jours1]],"",Tableau1[[#This Row],[jours2]])</f>
        <v/>
      </c>
      <c r="H33" s="318" t="str">
        <f t="shared" ca="1" si="0"/>
        <v/>
      </c>
      <c r="I33" s="99" t="str">
        <f ca="1">IF(Tableau1[[#This Row],[date fin]]&lt;&gt;0,Tableau1[[#This Row],[date fin]],IF(Tableau1[[#This Row],[type]]="travail",TODAY(),""))</f>
        <v/>
      </c>
      <c r="J33" t="str">
        <f t="shared" si="1"/>
        <v/>
      </c>
      <c r="M33" s="159"/>
      <c r="N33" s="159"/>
    </row>
    <row r="34" spans="1:14">
      <c r="A34" s="280"/>
      <c r="B34" s="281"/>
      <c r="C34" s="248"/>
      <c r="D34" s="259"/>
      <c r="E34" s="70" t="str">
        <f>IF(Tableau1[[#This Row],[date debut]]=0,"",IF(Tableau1[[#This Row],[date fin]]=0,"",Tableau1[[#This Row],[Colonne1]]-Tableau1[[#This Row],[date debut]]+1))</f>
        <v/>
      </c>
      <c r="F34" s="70" t="str">
        <f>IF(Tableau1[[#This Row],[date debut]]=0,"",IF(Tableau1[[#This Row],[date fin]]=0,IF(Tableau1[[#This Row],[type]]="travail",Tableau1[[#This Row],[Colonne1]]-Tableau1[[#This Row],[date debut]]+1,""),""))</f>
        <v/>
      </c>
      <c r="G34" s="318" t="str">
        <f>CONCATENATE(Tableau1[[#This Row],[Jours1]],"",Tableau1[[#This Row],[jours2]])</f>
        <v/>
      </c>
      <c r="H34" s="318" t="str">
        <f t="shared" ca="1" si="0"/>
        <v/>
      </c>
      <c r="I34" s="99" t="str">
        <f ca="1">IF(Tableau1[[#This Row],[date fin]]&lt;&gt;0,Tableau1[[#This Row],[date fin]],IF(Tableau1[[#This Row],[type]]="travail",TODAY(),""))</f>
        <v/>
      </c>
      <c r="J34" t="str">
        <f t="shared" si="1"/>
        <v/>
      </c>
      <c r="M34" s="159"/>
      <c r="N34" s="159"/>
    </row>
    <row r="35" spans="1:14">
      <c r="A35" s="280"/>
      <c r="B35" s="281"/>
      <c r="C35" s="248"/>
      <c r="D35" s="259"/>
      <c r="E35" s="70" t="str">
        <f>IF(Tableau1[[#This Row],[date debut]]=0,"",IF(Tableau1[[#This Row],[date fin]]=0,"",Tableau1[[#This Row],[Colonne1]]-Tableau1[[#This Row],[date debut]]+1))</f>
        <v/>
      </c>
      <c r="F35" s="70" t="str">
        <f>IF(Tableau1[[#This Row],[date debut]]=0,"",IF(Tableau1[[#This Row],[date fin]]=0,IF(Tableau1[[#This Row],[type]]="travail",Tableau1[[#This Row],[Colonne1]]-Tableau1[[#This Row],[date debut]]+1,""),""))</f>
        <v/>
      </c>
      <c r="G35" s="318" t="str">
        <f>CONCATENATE(Tableau1[[#This Row],[Jours1]],"",Tableau1[[#This Row],[jours2]])</f>
        <v/>
      </c>
      <c r="H35" s="318" t="str">
        <f t="shared" ref="H35:H66" ca="1" si="3">IF(I35="","",NETWORKDAYS(A35,I35))</f>
        <v/>
      </c>
      <c r="I35" s="99" t="str">
        <f ca="1">IF(Tableau1[[#This Row],[date fin]]&lt;&gt;0,Tableau1[[#This Row],[date fin]],IF(Tableau1[[#This Row],[type]]="travail",TODAY(),""))</f>
        <v/>
      </c>
      <c r="J35" t="str">
        <f t="shared" si="1"/>
        <v/>
      </c>
      <c r="M35" s="159"/>
      <c r="N35" s="159"/>
    </row>
    <row r="36" spans="1:14">
      <c r="A36" s="280"/>
      <c r="B36" s="281"/>
      <c r="C36" s="248"/>
      <c r="D36" s="259"/>
      <c r="E36" s="70" t="str">
        <f>IF(Tableau1[[#This Row],[date debut]]=0,"",IF(Tableau1[[#This Row],[date fin]]=0,"",Tableau1[[#This Row],[Colonne1]]-Tableau1[[#This Row],[date debut]]+1))</f>
        <v/>
      </c>
      <c r="F36" s="70" t="str">
        <f>IF(Tableau1[[#This Row],[date debut]]=0,"",IF(Tableau1[[#This Row],[date fin]]=0,IF(Tableau1[[#This Row],[type]]="travail",Tableau1[[#This Row],[Colonne1]]-Tableau1[[#This Row],[date debut]]+1,""),""))</f>
        <v/>
      </c>
      <c r="G36" s="318" t="str">
        <f>CONCATENATE(Tableau1[[#This Row],[Jours1]],"",Tableau1[[#This Row],[jours2]])</f>
        <v/>
      </c>
      <c r="H36" s="318" t="str">
        <f t="shared" ca="1" si="3"/>
        <v/>
      </c>
      <c r="I36" s="99" t="str">
        <f ca="1">IF(Tableau1[[#This Row],[date fin]]&lt;&gt;0,Tableau1[[#This Row],[date fin]],IF(Tableau1[[#This Row],[type]]="travail",TODAY(),""))</f>
        <v/>
      </c>
      <c r="J36" t="str">
        <f t="shared" si="1"/>
        <v/>
      </c>
      <c r="M36" s="159"/>
      <c r="N36" s="159"/>
    </row>
    <row r="37" spans="1:14">
      <c r="A37" s="280"/>
      <c r="B37" s="281"/>
      <c r="C37" s="248"/>
      <c r="D37" s="259"/>
      <c r="E37" s="70" t="str">
        <f>IF(Tableau1[[#This Row],[date debut]]=0,"",IF(Tableau1[[#This Row],[date fin]]=0,"",Tableau1[[#This Row],[Colonne1]]-Tableau1[[#This Row],[date debut]]+1))</f>
        <v/>
      </c>
      <c r="F37" s="70" t="str">
        <f>IF(Tableau1[[#This Row],[date debut]]=0,"",IF(Tableau1[[#This Row],[date fin]]=0,IF(Tableau1[[#This Row],[type]]="travail",Tableau1[[#This Row],[Colonne1]]-Tableau1[[#This Row],[date debut]]+1,""),""))</f>
        <v/>
      </c>
      <c r="G37" s="318" t="str">
        <f>CONCATENATE(Tableau1[[#This Row],[Jours1]],"",Tableau1[[#This Row],[jours2]])</f>
        <v/>
      </c>
      <c r="H37" s="318" t="str">
        <f t="shared" ca="1" si="3"/>
        <v/>
      </c>
      <c r="I37" s="99" t="str">
        <f ca="1">IF(Tableau1[[#This Row],[date fin]]&lt;&gt;0,Tableau1[[#This Row],[date fin]],IF(Tableau1[[#This Row],[type]]="travail",TODAY(),""))</f>
        <v/>
      </c>
      <c r="J37" t="str">
        <f t="shared" si="1"/>
        <v/>
      </c>
      <c r="M37" s="159"/>
      <c r="N37" s="159"/>
    </row>
    <row r="38" spans="1:14">
      <c r="A38" s="280"/>
      <c r="B38" s="281"/>
      <c r="C38" s="248"/>
      <c r="D38" s="259"/>
      <c r="E38" s="70" t="str">
        <f>IF(Tableau1[[#This Row],[date debut]]=0,"",IF(Tableau1[[#This Row],[date fin]]=0,"",Tableau1[[#This Row],[Colonne1]]-Tableau1[[#This Row],[date debut]]+1))</f>
        <v/>
      </c>
      <c r="F38" s="70" t="str">
        <f>IF(Tableau1[[#This Row],[date debut]]=0,"",IF(Tableau1[[#This Row],[date fin]]=0,IF(Tableau1[[#This Row],[type]]="travail",Tableau1[[#This Row],[Colonne1]]-Tableau1[[#This Row],[date debut]]+1,""),""))</f>
        <v/>
      </c>
      <c r="G38" s="318" t="str">
        <f>CONCATENATE(Tableau1[[#This Row],[Jours1]],"",Tableau1[[#This Row],[jours2]])</f>
        <v/>
      </c>
      <c r="H38" s="318" t="str">
        <f t="shared" ca="1" si="3"/>
        <v/>
      </c>
      <c r="I38" s="99" t="str">
        <f ca="1">IF(Tableau1[[#This Row],[date fin]]&lt;&gt;0,Tableau1[[#This Row],[date fin]],IF(Tableau1[[#This Row],[type]]="travail",TODAY(),""))</f>
        <v/>
      </c>
      <c r="J38" t="str">
        <f t="shared" si="1"/>
        <v/>
      </c>
      <c r="M38" s="159"/>
      <c r="N38" s="159"/>
    </row>
    <row r="39" spans="1:14">
      <c r="A39" s="280"/>
      <c r="B39" s="281"/>
      <c r="C39" s="248"/>
      <c r="D39" s="259"/>
      <c r="E39" s="70" t="str">
        <f>IF(Tableau1[[#This Row],[date debut]]=0,"",IF(Tableau1[[#This Row],[date fin]]=0,"",Tableau1[[#This Row],[Colonne1]]-Tableau1[[#This Row],[date debut]]+1))</f>
        <v/>
      </c>
      <c r="F39" s="70" t="str">
        <f>IF(Tableau1[[#This Row],[date debut]]=0,"",IF(Tableau1[[#This Row],[date fin]]=0,IF(Tableau1[[#This Row],[type]]="travail",Tableau1[[#This Row],[Colonne1]]-Tableau1[[#This Row],[date debut]]+1,""),""))</f>
        <v/>
      </c>
      <c r="G39" s="318" t="str">
        <f>CONCATENATE(Tableau1[[#This Row],[Jours1]],"",Tableau1[[#This Row],[jours2]])</f>
        <v/>
      </c>
      <c r="H39" s="318" t="str">
        <f t="shared" ca="1" si="3"/>
        <v/>
      </c>
      <c r="I39" s="99" t="str">
        <f ca="1">IF(Tableau1[[#This Row],[date fin]]&lt;&gt;0,Tableau1[[#This Row],[date fin]],IF(Tableau1[[#This Row],[type]]="travail",TODAY(),""))</f>
        <v/>
      </c>
      <c r="J39" t="str">
        <f t="shared" si="1"/>
        <v/>
      </c>
      <c r="M39" s="159"/>
      <c r="N39" s="159"/>
    </row>
    <row r="40" spans="1:14">
      <c r="A40" s="280"/>
      <c r="B40" s="281"/>
      <c r="C40" s="248"/>
      <c r="D40" s="259"/>
      <c r="E40" s="70" t="str">
        <f>IF(Tableau1[[#This Row],[date debut]]=0,"",IF(Tableau1[[#This Row],[date fin]]=0,"",Tableau1[[#This Row],[Colonne1]]-Tableau1[[#This Row],[date debut]]+1))</f>
        <v/>
      </c>
      <c r="F40" s="70" t="str">
        <f>IF(Tableau1[[#This Row],[date debut]]=0,"",IF(Tableau1[[#This Row],[date fin]]=0,IF(Tableau1[[#This Row],[type]]="travail",Tableau1[[#This Row],[Colonne1]]-Tableau1[[#This Row],[date debut]]+1,""),""))</f>
        <v/>
      </c>
      <c r="G40" s="318" t="str">
        <f>CONCATENATE(Tableau1[[#This Row],[Jours1]],"",Tableau1[[#This Row],[jours2]])</f>
        <v/>
      </c>
      <c r="H40" s="318" t="str">
        <f t="shared" ca="1" si="3"/>
        <v/>
      </c>
      <c r="I40" s="99" t="str">
        <f ca="1">IF(Tableau1[[#This Row],[date fin]]&lt;&gt;0,Tableau1[[#This Row],[date fin]],IF(Tableau1[[#This Row],[type]]="travail",TODAY(),""))</f>
        <v/>
      </c>
      <c r="J40" t="str">
        <f t="shared" si="1"/>
        <v/>
      </c>
      <c r="M40" s="159"/>
      <c r="N40" s="159"/>
    </row>
    <row r="41" spans="1:14">
      <c r="A41" s="280"/>
      <c r="B41" s="281"/>
      <c r="C41" s="248"/>
      <c r="D41" s="259"/>
      <c r="E41" s="70" t="str">
        <f>IF(Tableau1[[#This Row],[date debut]]=0,"",IF(Tableau1[[#This Row],[date fin]]=0,"",Tableau1[[#This Row],[Colonne1]]-Tableau1[[#This Row],[date debut]]+1))</f>
        <v/>
      </c>
      <c r="F41" s="70" t="str">
        <f>IF(Tableau1[[#This Row],[date debut]]=0,"",IF(Tableau1[[#This Row],[date fin]]=0,IF(Tableau1[[#This Row],[type]]="travail",Tableau1[[#This Row],[Colonne1]]-Tableau1[[#This Row],[date debut]]+1,""),""))</f>
        <v/>
      </c>
      <c r="G41" s="318" t="str">
        <f>CONCATENATE(Tableau1[[#This Row],[Jours1]],"",Tableau1[[#This Row],[jours2]])</f>
        <v/>
      </c>
      <c r="H41" s="318" t="str">
        <f t="shared" ca="1" si="3"/>
        <v/>
      </c>
      <c r="I41" s="99" t="str">
        <f ca="1">IF(Tableau1[[#This Row],[date fin]]&lt;&gt;0,Tableau1[[#This Row],[date fin]],IF(Tableau1[[#This Row],[type]]="travail",TODAY(),""))</f>
        <v/>
      </c>
      <c r="J41" t="str">
        <f t="shared" si="1"/>
        <v/>
      </c>
    </row>
    <row r="42" spans="1:14">
      <c r="A42" s="280"/>
      <c r="B42" s="281"/>
      <c r="C42" s="248"/>
      <c r="D42" s="259"/>
      <c r="E42" s="70" t="str">
        <f>IF(Tableau1[[#This Row],[date debut]]=0,"",IF(Tableau1[[#This Row],[date fin]]=0,"",Tableau1[[#This Row],[Colonne1]]-Tableau1[[#This Row],[date debut]]+1))</f>
        <v/>
      </c>
      <c r="F42" s="70" t="str">
        <f>IF(Tableau1[[#This Row],[date debut]]=0,"",IF(Tableau1[[#This Row],[date fin]]=0,IF(Tableau1[[#This Row],[type]]="travail",Tableau1[[#This Row],[Colonne1]]-Tableau1[[#This Row],[date debut]]+1,""),""))</f>
        <v/>
      </c>
      <c r="G42" s="318" t="str">
        <f>CONCATENATE(Tableau1[[#This Row],[Jours1]],"",Tableau1[[#This Row],[jours2]])</f>
        <v/>
      </c>
      <c r="H42" s="318" t="str">
        <f t="shared" ca="1" si="3"/>
        <v/>
      </c>
      <c r="I42" s="99" t="str">
        <f ca="1">IF(Tableau1[[#This Row],[date fin]]&lt;&gt;0,Tableau1[[#This Row],[date fin]],IF(Tableau1[[#This Row],[type]]="travail",TODAY(),""))</f>
        <v/>
      </c>
      <c r="J42" t="str">
        <f t="shared" si="1"/>
        <v/>
      </c>
    </row>
    <row r="43" spans="1:14">
      <c r="A43" s="280"/>
      <c r="B43" s="281"/>
      <c r="C43" s="248"/>
      <c r="D43" s="259"/>
      <c r="E43" s="70" t="str">
        <f>IF(Tableau1[[#This Row],[date debut]]=0,"",IF(Tableau1[[#This Row],[date fin]]=0,"",Tableau1[[#This Row],[Colonne1]]-Tableau1[[#This Row],[date debut]]+1))</f>
        <v/>
      </c>
      <c r="F43" s="70" t="str">
        <f>IF(Tableau1[[#This Row],[date debut]]=0,"",IF(Tableau1[[#This Row],[date fin]]=0,IF(Tableau1[[#This Row],[type]]="travail",Tableau1[[#This Row],[Colonne1]]-Tableau1[[#This Row],[date debut]]+1,""),""))</f>
        <v/>
      </c>
      <c r="G43" s="318" t="str">
        <f>CONCATENATE(Tableau1[[#This Row],[Jours1]],"",Tableau1[[#This Row],[jours2]])</f>
        <v/>
      </c>
      <c r="H43" s="318" t="str">
        <f t="shared" ca="1" si="3"/>
        <v/>
      </c>
      <c r="I43" s="99" t="str">
        <f ca="1">IF(Tableau1[[#This Row],[date fin]]&lt;&gt;0,Tableau1[[#This Row],[date fin]],IF(Tableau1[[#This Row],[type]]="travail",TODAY(),""))</f>
        <v/>
      </c>
      <c r="J43" t="str">
        <f t="shared" si="1"/>
        <v/>
      </c>
    </row>
    <row r="44" spans="1:14">
      <c r="A44" s="280"/>
      <c r="B44" s="281"/>
      <c r="C44" s="248"/>
      <c r="D44" s="259"/>
      <c r="E44" s="70" t="str">
        <f>IF(Tableau1[[#This Row],[date debut]]=0,"",IF(Tableau1[[#This Row],[date fin]]=0,"",Tableau1[[#This Row],[Colonne1]]-Tableau1[[#This Row],[date debut]]+1))</f>
        <v/>
      </c>
      <c r="F44" s="70" t="str">
        <f>IF(Tableau1[[#This Row],[date debut]]=0,"",IF(Tableau1[[#This Row],[date fin]]=0,IF(Tableau1[[#This Row],[type]]="travail",Tableau1[[#This Row],[Colonne1]]-Tableau1[[#This Row],[date debut]]+1,""),""))</f>
        <v/>
      </c>
      <c r="G44" s="318" t="str">
        <f>CONCATENATE(Tableau1[[#This Row],[Jours1]],"",Tableau1[[#This Row],[jours2]])</f>
        <v/>
      </c>
      <c r="H44" s="318" t="str">
        <f t="shared" ca="1" si="3"/>
        <v/>
      </c>
      <c r="I44" s="99" t="str">
        <f ca="1">IF(Tableau1[[#This Row],[date fin]]&lt;&gt;0,Tableau1[[#This Row],[date fin]],IF(Tableau1[[#This Row],[type]]="travail",TODAY(),""))</f>
        <v/>
      </c>
      <c r="J44" t="str">
        <f t="shared" si="1"/>
        <v/>
      </c>
    </row>
    <row r="45" spans="1:14">
      <c r="A45" s="280"/>
      <c r="B45" s="281"/>
      <c r="C45" s="248"/>
      <c r="D45" s="259"/>
      <c r="E45" s="70" t="str">
        <f>IF(Tableau1[[#This Row],[date debut]]=0,"",IF(Tableau1[[#This Row],[date fin]]=0,"",Tableau1[[#This Row],[Colonne1]]-Tableau1[[#This Row],[date debut]]+1))</f>
        <v/>
      </c>
      <c r="F45" s="70" t="str">
        <f>IF(Tableau1[[#This Row],[date debut]]=0,"",IF(Tableau1[[#This Row],[date fin]]=0,IF(Tableau1[[#This Row],[type]]="travail",Tableau1[[#This Row],[Colonne1]]-Tableau1[[#This Row],[date debut]]+1,""),""))</f>
        <v/>
      </c>
      <c r="G45" s="318" t="str">
        <f>CONCATENATE(Tableau1[[#This Row],[Jours1]],"",Tableau1[[#This Row],[jours2]])</f>
        <v/>
      </c>
      <c r="H45" s="318" t="str">
        <f t="shared" ca="1" si="3"/>
        <v/>
      </c>
      <c r="I45" s="99" t="str">
        <f ca="1">IF(Tableau1[[#This Row],[date fin]]&lt;&gt;0,Tableau1[[#This Row],[date fin]],IF(Tableau1[[#This Row],[type]]="travail",TODAY(),""))</f>
        <v/>
      </c>
      <c r="J45" t="str">
        <f t="shared" si="1"/>
        <v/>
      </c>
    </row>
    <row r="46" spans="1:14">
      <c r="A46" s="280"/>
      <c r="B46" s="281"/>
      <c r="C46" s="248"/>
      <c r="D46" s="259"/>
      <c r="E46" s="70" t="str">
        <f>IF(Tableau1[[#This Row],[date debut]]=0,"",IF(Tableau1[[#This Row],[date fin]]=0,"",Tableau1[[#This Row],[Colonne1]]-Tableau1[[#This Row],[date debut]]+1))</f>
        <v/>
      </c>
      <c r="F46" s="70" t="str">
        <f>IF(Tableau1[[#This Row],[date debut]]=0,"",IF(Tableau1[[#This Row],[date fin]]=0,IF(Tableau1[[#This Row],[type]]="travail",Tableau1[[#This Row],[Colonne1]]-Tableau1[[#This Row],[date debut]]+1,""),""))</f>
        <v/>
      </c>
      <c r="G46" s="318" t="str">
        <f>CONCATENATE(Tableau1[[#This Row],[Jours1]],"",Tableau1[[#This Row],[jours2]])</f>
        <v/>
      </c>
      <c r="H46" s="318" t="str">
        <f t="shared" ca="1" si="3"/>
        <v/>
      </c>
      <c r="I46" s="99" t="str">
        <f ca="1">IF(Tableau1[[#This Row],[date fin]]&lt;&gt;0,Tableau1[[#This Row],[date fin]],IF(Tableau1[[#This Row],[type]]="travail",TODAY(),""))</f>
        <v/>
      </c>
      <c r="J46" t="str">
        <f t="shared" si="1"/>
        <v/>
      </c>
    </row>
    <row r="47" spans="1:14">
      <c r="A47" s="280"/>
      <c r="B47" s="281"/>
      <c r="C47" s="248"/>
      <c r="D47" s="259"/>
      <c r="E47" s="70" t="str">
        <f>IF(Tableau1[[#This Row],[date debut]]=0,"",IF(Tableau1[[#This Row],[date fin]]=0,"",Tableau1[[#This Row],[Colonne1]]-Tableau1[[#This Row],[date debut]]+1))</f>
        <v/>
      </c>
      <c r="F47" s="70" t="str">
        <f>IF(Tableau1[[#This Row],[date debut]]=0,"",IF(Tableau1[[#This Row],[date fin]]=0,IF(Tableau1[[#This Row],[type]]="travail",Tableau1[[#This Row],[Colonne1]]-Tableau1[[#This Row],[date debut]]+1,""),""))</f>
        <v/>
      </c>
      <c r="G47" s="318" t="str">
        <f>CONCATENATE(Tableau1[[#This Row],[Jours1]],"",Tableau1[[#This Row],[jours2]])</f>
        <v/>
      </c>
      <c r="H47" s="318" t="str">
        <f t="shared" ca="1" si="3"/>
        <v/>
      </c>
      <c r="I47" s="99" t="str">
        <f ca="1">IF(Tableau1[[#This Row],[date fin]]&lt;&gt;0,Tableau1[[#This Row],[date fin]],IF(Tableau1[[#This Row],[type]]="travail",TODAY(),""))</f>
        <v/>
      </c>
      <c r="J47" t="str">
        <f t="shared" si="1"/>
        <v/>
      </c>
    </row>
    <row r="48" spans="1:14">
      <c r="A48" s="280"/>
      <c r="B48" s="281"/>
      <c r="C48" s="248"/>
      <c r="D48" s="259"/>
      <c r="E48" s="70" t="str">
        <f>IF(Tableau1[[#This Row],[date debut]]=0,"",IF(Tableau1[[#This Row],[date fin]]=0,"",Tableau1[[#This Row],[Colonne1]]-Tableau1[[#This Row],[date debut]]+1))</f>
        <v/>
      </c>
      <c r="F48" s="70" t="str">
        <f>IF(Tableau1[[#This Row],[date debut]]=0,"",IF(Tableau1[[#This Row],[date fin]]=0,IF(Tableau1[[#This Row],[type]]="travail",Tableau1[[#This Row],[Colonne1]]-Tableau1[[#This Row],[date debut]]+1,""),""))</f>
        <v/>
      </c>
      <c r="G48" s="318" t="str">
        <f>CONCATENATE(Tableau1[[#This Row],[Jours1]],"",Tableau1[[#This Row],[jours2]])</f>
        <v/>
      </c>
      <c r="H48" s="318" t="str">
        <f t="shared" ca="1" si="3"/>
        <v/>
      </c>
      <c r="I48" s="99" t="str">
        <f ca="1">IF(Tableau1[[#This Row],[date fin]]&lt;&gt;0,Tableau1[[#This Row],[date fin]],IF(Tableau1[[#This Row],[type]]="travail",TODAY(),""))</f>
        <v/>
      </c>
      <c r="J48" t="str">
        <f t="shared" si="1"/>
        <v/>
      </c>
    </row>
    <row r="49" spans="1:10">
      <c r="A49" s="280"/>
      <c r="B49" s="281"/>
      <c r="C49" s="248"/>
      <c r="D49" s="259"/>
      <c r="E49" s="70" t="str">
        <f>IF(Tableau1[[#This Row],[date debut]]=0,"",IF(Tableau1[[#This Row],[date fin]]=0,"",Tableau1[[#This Row],[Colonne1]]-Tableau1[[#This Row],[date debut]]+1))</f>
        <v/>
      </c>
      <c r="F49" s="70" t="str">
        <f>IF(Tableau1[[#This Row],[date debut]]=0,"",IF(Tableau1[[#This Row],[date fin]]=0,IF(Tableau1[[#This Row],[type]]="travail",Tableau1[[#This Row],[Colonne1]]-Tableau1[[#This Row],[date debut]]+1,""),""))</f>
        <v/>
      </c>
      <c r="G49" s="318" t="str">
        <f>CONCATENATE(Tableau1[[#This Row],[Jours1]],"",Tableau1[[#This Row],[jours2]])</f>
        <v/>
      </c>
      <c r="H49" s="318" t="str">
        <f t="shared" ca="1" si="3"/>
        <v/>
      </c>
      <c r="I49" s="99" t="str">
        <f ca="1">IF(Tableau1[[#This Row],[date fin]]&lt;&gt;0,Tableau1[[#This Row],[date fin]],IF(Tableau1[[#This Row],[type]]="travail",TODAY(),""))</f>
        <v/>
      </c>
      <c r="J49" t="str">
        <f t="shared" si="1"/>
        <v/>
      </c>
    </row>
    <row r="50" spans="1:10">
      <c r="A50" s="280"/>
      <c r="B50" s="281"/>
      <c r="C50" s="248"/>
      <c r="D50" s="259"/>
      <c r="E50" s="70" t="str">
        <f>IF(Tableau1[[#This Row],[date debut]]=0,"",IF(Tableau1[[#This Row],[date fin]]=0,"",Tableau1[[#This Row],[Colonne1]]-Tableau1[[#This Row],[date debut]]+1))</f>
        <v/>
      </c>
      <c r="F50" s="70" t="str">
        <f>IF(Tableau1[[#This Row],[date debut]]=0,"",IF(Tableau1[[#This Row],[date fin]]=0,IF(Tableau1[[#This Row],[type]]="travail",Tableau1[[#This Row],[Colonne1]]-Tableau1[[#This Row],[date debut]]+1,""),""))</f>
        <v/>
      </c>
      <c r="G50" s="318" t="str">
        <f>CONCATENATE(Tableau1[[#This Row],[Jours1]],"",Tableau1[[#This Row],[jours2]])</f>
        <v/>
      </c>
      <c r="H50" s="318" t="str">
        <f t="shared" ca="1" si="3"/>
        <v/>
      </c>
      <c r="I50" s="99" t="str">
        <f ca="1">IF(Tableau1[[#This Row],[date fin]]&lt;&gt;0,Tableau1[[#This Row],[date fin]],IF(Tableau1[[#This Row],[type]]="travail",TODAY(),""))</f>
        <v/>
      </c>
      <c r="J50" t="str">
        <f t="shared" si="1"/>
        <v/>
      </c>
    </row>
    <row r="51" spans="1:10">
      <c r="A51" s="280"/>
      <c r="B51" s="281"/>
      <c r="C51" s="248"/>
      <c r="D51" s="259"/>
      <c r="E51" s="70" t="str">
        <f>IF(Tableau1[[#This Row],[date debut]]=0,"",IF(Tableau1[[#This Row],[date fin]]=0,"",Tableau1[[#This Row],[Colonne1]]-Tableau1[[#This Row],[date debut]]+1))</f>
        <v/>
      </c>
      <c r="F51" s="70" t="str">
        <f>IF(Tableau1[[#This Row],[date debut]]=0,"",IF(Tableau1[[#This Row],[date fin]]=0,IF(Tableau1[[#This Row],[type]]="travail",Tableau1[[#This Row],[Colonne1]]-Tableau1[[#This Row],[date debut]]+1,""),""))</f>
        <v/>
      </c>
      <c r="G51" s="318" t="str">
        <f>CONCATENATE(Tableau1[[#This Row],[Jours1]],"",Tableau1[[#This Row],[jours2]])</f>
        <v/>
      </c>
      <c r="H51" s="318" t="str">
        <f t="shared" ca="1" si="3"/>
        <v/>
      </c>
      <c r="I51" s="99" t="str">
        <f ca="1">IF(Tableau1[[#This Row],[date fin]]&lt;&gt;0,Tableau1[[#This Row],[date fin]],IF(Tableau1[[#This Row],[type]]="travail",TODAY(),""))</f>
        <v/>
      </c>
      <c r="J51" t="str">
        <f t="shared" si="1"/>
        <v/>
      </c>
    </row>
    <row r="52" spans="1:10">
      <c r="A52" s="280"/>
      <c r="B52" s="281"/>
      <c r="C52" s="248"/>
      <c r="D52" s="259"/>
      <c r="E52" s="70" t="str">
        <f>IF(Tableau1[[#This Row],[date debut]]=0,"",IF(Tableau1[[#This Row],[date fin]]=0,"",Tableau1[[#This Row],[Colonne1]]-Tableau1[[#This Row],[date debut]]+1))</f>
        <v/>
      </c>
      <c r="F52" s="70" t="str">
        <f>IF(Tableau1[[#This Row],[date debut]]=0,"",IF(Tableau1[[#This Row],[date fin]]=0,IF(Tableau1[[#This Row],[type]]="travail",Tableau1[[#This Row],[Colonne1]]-Tableau1[[#This Row],[date debut]]+1,""),""))</f>
        <v/>
      </c>
      <c r="G52" s="318" t="str">
        <f>CONCATENATE(Tableau1[[#This Row],[Jours1]],"",Tableau1[[#This Row],[jours2]])</f>
        <v/>
      </c>
      <c r="H52" s="318" t="str">
        <f t="shared" ca="1" si="3"/>
        <v/>
      </c>
      <c r="I52" s="99" t="str">
        <f ca="1">IF(Tableau1[[#This Row],[date fin]]&lt;&gt;0,Tableau1[[#This Row],[date fin]],IF(Tableau1[[#This Row],[type]]="travail",TODAY(),""))</f>
        <v/>
      </c>
      <c r="J52" t="str">
        <f t="shared" si="1"/>
        <v/>
      </c>
    </row>
    <row r="53" spans="1:10">
      <c r="A53" s="280"/>
      <c r="B53" s="281"/>
      <c r="C53" s="248"/>
      <c r="D53" s="259"/>
      <c r="E53" s="70" t="str">
        <f>IF(Tableau1[[#This Row],[date debut]]=0,"",IF(Tableau1[[#This Row],[date fin]]=0,"",Tableau1[[#This Row],[Colonne1]]-Tableau1[[#This Row],[date debut]]+1))</f>
        <v/>
      </c>
      <c r="F53" s="70" t="str">
        <f>IF(Tableau1[[#This Row],[date debut]]=0,"",IF(Tableau1[[#This Row],[date fin]]=0,IF(Tableau1[[#This Row],[type]]="travail",Tableau1[[#This Row],[Colonne1]]-Tableau1[[#This Row],[date debut]]+1,""),""))</f>
        <v/>
      </c>
      <c r="G53" s="318" t="str">
        <f>CONCATENATE(Tableau1[[#This Row],[Jours1]],"",Tableau1[[#This Row],[jours2]])</f>
        <v/>
      </c>
      <c r="H53" s="318" t="str">
        <f t="shared" ca="1" si="3"/>
        <v/>
      </c>
      <c r="I53" s="99" t="str">
        <f ca="1">IF(Tableau1[[#This Row],[date fin]]&lt;&gt;0,Tableau1[[#This Row],[date fin]],IF(Tableau1[[#This Row],[type]]="travail",TODAY(),""))</f>
        <v/>
      </c>
      <c r="J53" t="str">
        <f t="shared" si="1"/>
        <v/>
      </c>
    </row>
    <row r="54" spans="1:10">
      <c r="A54" s="280"/>
      <c r="B54" s="281"/>
      <c r="C54" s="248"/>
      <c r="D54" s="259"/>
      <c r="E54" s="70" t="str">
        <f>IF(Tableau1[[#This Row],[date debut]]=0,"",IF(Tableau1[[#This Row],[date fin]]=0,"",Tableau1[[#This Row],[Colonne1]]-Tableau1[[#This Row],[date debut]]+1))</f>
        <v/>
      </c>
      <c r="F54" s="70" t="str">
        <f>IF(Tableau1[[#This Row],[date debut]]=0,"",IF(Tableau1[[#This Row],[date fin]]=0,IF(Tableau1[[#This Row],[type]]="travail",Tableau1[[#This Row],[Colonne1]]-Tableau1[[#This Row],[date debut]]+1,""),""))</f>
        <v/>
      </c>
      <c r="G54" s="318" t="str">
        <f>CONCATENATE(Tableau1[[#This Row],[Jours1]],"",Tableau1[[#This Row],[jours2]])</f>
        <v/>
      </c>
      <c r="H54" s="318" t="str">
        <f t="shared" ca="1" si="3"/>
        <v/>
      </c>
      <c r="I54" s="99" t="str">
        <f ca="1">IF(Tableau1[[#This Row],[date fin]]&lt;&gt;0,Tableau1[[#This Row],[date fin]],IF(Tableau1[[#This Row],[type]]="travail",TODAY(),""))</f>
        <v/>
      </c>
      <c r="J54" t="str">
        <f t="shared" si="1"/>
        <v/>
      </c>
    </row>
    <row r="55" spans="1:10">
      <c r="A55" s="280"/>
      <c r="B55" s="281"/>
      <c r="C55" s="248"/>
      <c r="D55" s="259"/>
      <c r="E55" s="70" t="str">
        <f>IF(Tableau1[[#This Row],[date debut]]=0,"",IF(Tableau1[[#This Row],[date fin]]=0,"",Tableau1[[#This Row],[Colonne1]]-Tableau1[[#This Row],[date debut]]+1))</f>
        <v/>
      </c>
      <c r="F55" s="70" t="str">
        <f>IF(Tableau1[[#This Row],[date debut]]=0,"",IF(Tableau1[[#This Row],[date fin]]=0,IF(Tableau1[[#This Row],[type]]="travail",Tableau1[[#This Row],[Colonne1]]-Tableau1[[#This Row],[date debut]]+1,""),""))</f>
        <v/>
      </c>
      <c r="G55" s="318" t="str">
        <f>CONCATENATE(Tableau1[[#This Row],[Jours1]],"",Tableau1[[#This Row],[jours2]])</f>
        <v/>
      </c>
      <c r="H55" s="318" t="str">
        <f t="shared" ca="1" si="3"/>
        <v/>
      </c>
      <c r="I55" s="99" t="str">
        <f ca="1">IF(Tableau1[[#This Row],[date fin]]&lt;&gt;0,Tableau1[[#This Row],[date fin]],IF(Tableau1[[#This Row],[type]]="travail",TODAY(),""))</f>
        <v/>
      </c>
      <c r="J55" t="str">
        <f t="shared" si="1"/>
        <v/>
      </c>
    </row>
    <row r="56" spans="1:10">
      <c r="A56" s="280"/>
      <c r="B56" s="281"/>
      <c r="C56" s="248"/>
      <c r="D56" s="259"/>
      <c r="E56" s="70" t="str">
        <f>IF(Tableau1[[#This Row],[date debut]]=0,"",IF(Tableau1[[#This Row],[date fin]]=0,"",Tableau1[[#This Row],[Colonne1]]-Tableau1[[#This Row],[date debut]]+1))</f>
        <v/>
      </c>
      <c r="F56" s="70" t="str">
        <f>IF(Tableau1[[#This Row],[date debut]]=0,"",IF(Tableau1[[#This Row],[date fin]]=0,IF(Tableau1[[#This Row],[type]]="travail",Tableau1[[#This Row],[Colonne1]]-Tableau1[[#This Row],[date debut]]+1,""),""))</f>
        <v/>
      </c>
      <c r="G56" s="318" t="str">
        <f>CONCATENATE(Tableau1[[#This Row],[Jours1]],"",Tableau1[[#This Row],[jours2]])</f>
        <v/>
      </c>
      <c r="H56" s="318" t="str">
        <f t="shared" ca="1" si="3"/>
        <v/>
      </c>
      <c r="I56" s="99" t="str">
        <f ca="1">IF(Tableau1[[#This Row],[date fin]]&lt;&gt;0,Tableau1[[#This Row],[date fin]],IF(Tableau1[[#This Row],[type]]="travail",TODAY(),""))</f>
        <v/>
      </c>
      <c r="J56" t="str">
        <f t="shared" si="1"/>
        <v/>
      </c>
    </row>
    <row r="57" spans="1:10">
      <c r="A57" s="280"/>
      <c r="B57" s="281"/>
      <c r="C57" s="248"/>
      <c r="D57" s="259"/>
      <c r="E57" s="70" t="str">
        <f>IF(Tableau1[[#This Row],[date debut]]=0,"",IF(Tableau1[[#This Row],[date fin]]=0,"",Tableau1[[#This Row],[Colonne1]]-Tableau1[[#This Row],[date debut]]+1))</f>
        <v/>
      </c>
      <c r="F57" s="70" t="str">
        <f>IF(Tableau1[[#This Row],[date debut]]=0,"",IF(Tableau1[[#This Row],[date fin]]=0,IF(Tableau1[[#This Row],[type]]="travail",Tableau1[[#This Row],[Colonne1]]-Tableau1[[#This Row],[date debut]]+1,""),""))</f>
        <v/>
      </c>
      <c r="G57" s="318" t="str">
        <f>CONCATENATE(Tableau1[[#This Row],[Jours1]],"",Tableau1[[#This Row],[jours2]])</f>
        <v/>
      </c>
      <c r="H57" s="318" t="str">
        <f t="shared" ca="1" si="3"/>
        <v/>
      </c>
      <c r="I57" s="99" t="str">
        <f ca="1">IF(Tableau1[[#This Row],[date fin]]&lt;&gt;0,Tableau1[[#This Row],[date fin]],IF(Tableau1[[#This Row],[type]]="travail",TODAY(),""))</f>
        <v/>
      </c>
      <c r="J57" t="str">
        <f t="shared" si="1"/>
        <v/>
      </c>
    </row>
    <row r="58" spans="1:10">
      <c r="A58" s="280"/>
      <c r="B58" s="281"/>
      <c r="C58" s="248"/>
      <c r="D58" s="259"/>
      <c r="E58" s="70" t="str">
        <f>IF(Tableau1[[#This Row],[date debut]]=0,"",IF(Tableau1[[#This Row],[date fin]]=0,"",Tableau1[[#This Row],[Colonne1]]-Tableau1[[#This Row],[date debut]]+1))</f>
        <v/>
      </c>
      <c r="F58" s="70" t="str">
        <f>IF(Tableau1[[#This Row],[date debut]]=0,"",IF(Tableau1[[#This Row],[date fin]]=0,IF(Tableau1[[#This Row],[type]]="travail",Tableau1[[#This Row],[Colonne1]]-Tableau1[[#This Row],[date debut]]+1,""),""))</f>
        <v/>
      </c>
      <c r="G58" s="318" t="str">
        <f>CONCATENATE(Tableau1[[#This Row],[Jours1]],"",Tableau1[[#This Row],[jours2]])</f>
        <v/>
      </c>
      <c r="H58" s="318" t="str">
        <f t="shared" ca="1" si="3"/>
        <v/>
      </c>
      <c r="I58" s="99" t="str">
        <f ca="1">IF(Tableau1[[#This Row],[date fin]]&lt;&gt;0,Tableau1[[#This Row],[date fin]],IF(Tableau1[[#This Row],[type]]="travail",TODAY(),""))</f>
        <v/>
      </c>
      <c r="J58" t="str">
        <f t="shared" si="1"/>
        <v/>
      </c>
    </row>
    <row r="59" spans="1:10">
      <c r="A59" s="280"/>
      <c r="B59" s="281"/>
      <c r="C59" s="248"/>
      <c r="D59" s="259"/>
      <c r="E59" s="70" t="str">
        <f>IF(Tableau1[[#This Row],[date debut]]=0,"",IF(Tableau1[[#This Row],[date fin]]=0,"",Tableau1[[#This Row],[Colonne1]]-Tableau1[[#This Row],[date debut]]+1))</f>
        <v/>
      </c>
      <c r="F59" s="70" t="str">
        <f>IF(Tableau1[[#This Row],[date debut]]=0,"",IF(Tableau1[[#This Row],[date fin]]=0,IF(Tableau1[[#This Row],[type]]="travail",Tableau1[[#This Row],[Colonne1]]-Tableau1[[#This Row],[date debut]]+1,""),""))</f>
        <v/>
      </c>
      <c r="G59" s="318" t="str">
        <f>CONCATENATE(Tableau1[[#This Row],[Jours1]],"",Tableau1[[#This Row],[jours2]])</f>
        <v/>
      </c>
      <c r="H59" s="318" t="str">
        <f t="shared" ca="1" si="3"/>
        <v/>
      </c>
      <c r="I59" s="99" t="str">
        <f ca="1">IF(Tableau1[[#This Row],[date fin]]&lt;&gt;0,Tableau1[[#This Row],[date fin]],IF(Tableau1[[#This Row],[type]]="travail",TODAY(),""))</f>
        <v/>
      </c>
      <c r="J59" t="str">
        <f t="shared" si="1"/>
        <v/>
      </c>
    </row>
    <row r="60" spans="1:10">
      <c r="A60" s="280"/>
      <c r="B60" s="281"/>
      <c r="C60" s="248"/>
      <c r="D60" s="259"/>
      <c r="E60" s="70" t="str">
        <f>IF(Tableau1[[#This Row],[date debut]]=0,"",IF(Tableau1[[#This Row],[date fin]]=0,"",Tableau1[[#This Row],[Colonne1]]-Tableau1[[#This Row],[date debut]]+1))</f>
        <v/>
      </c>
      <c r="F60" s="70" t="str">
        <f>IF(Tableau1[[#This Row],[date debut]]=0,"",IF(Tableau1[[#This Row],[date fin]]=0,IF(Tableau1[[#This Row],[type]]="travail",Tableau1[[#This Row],[Colonne1]]-Tableau1[[#This Row],[date debut]]+1,""),""))</f>
        <v/>
      </c>
      <c r="G60" s="318" t="str">
        <f>CONCATENATE(Tableau1[[#This Row],[Jours1]],"",Tableau1[[#This Row],[jours2]])</f>
        <v/>
      </c>
      <c r="H60" s="318" t="str">
        <f t="shared" ca="1" si="3"/>
        <v/>
      </c>
      <c r="I60" s="99" t="str">
        <f ca="1">IF(Tableau1[[#This Row],[date fin]]&lt;&gt;0,Tableau1[[#This Row],[date fin]],IF(Tableau1[[#This Row],[type]]="travail",TODAY(),""))</f>
        <v/>
      </c>
      <c r="J60" t="str">
        <f t="shared" si="1"/>
        <v/>
      </c>
    </row>
    <row r="61" spans="1:10">
      <c r="A61" s="280"/>
      <c r="B61" s="281"/>
      <c r="C61" s="248"/>
      <c r="D61" s="259"/>
      <c r="E61" s="70" t="str">
        <f>IF(Tableau1[[#This Row],[date debut]]=0,"",IF(Tableau1[[#This Row],[date fin]]=0,"",Tableau1[[#This Row],[Colonne1]]-Tableau1[[#This Row],[date debut]]+1))</f>
        <v/>
      </c>
      <c r="F61" s="70" t="str">
        <f>IF(Tableau1[[#This Row],[date debut]]=0,"",IF(Tableau1[[#This Row],[date fin]]=0,IF(Tableau1[[#This Row],[type]]="travail",Tableau1[[#This Row],[Colonne1]]-Tableau1[[#This Row],[date debut]]+1,""),""))</f>
        <v/>
      </c>
      <c r="G61" s="318" t="str">
        <f>CONCATENATE(Tableau1[[#This Row],[Jours1]],"",Tableau1[[#This Row],[jours2]])</f>
        <v/>
      </c>
      <c r="H61" s="318" t="str">
        <f t="shared" ca="1" si="3"/>
        <v/>
      </c>
      <c r="I61" s="99" t="str">
        <f ca="1">IF(Tableau1[[#This Row],[date fin]]&lt;&gt;0,Tableau1[[#This Row],[date fin]],IF(Tableau1[[#This Row],[type]]="travail",TODAY(),""))</f>
        <v/>
      </c>
      <c r="J61" t="str">
        <f t="shared" si="1"/>
        <v/>
      </c>
    </row>
    <row r="62" spans="1:10">
      <c r="A62" s="280"/>
      <c r="B62" s="281"/>
      <c r="C62" s="248"/>
      <c r="D62" s="259"/>
      <c r="E62" s="70" t="str">
        <f>IF(Tableau1[[#This Row],[date debut]]=0,"",IF(Tableau1[[#This Row],[date fin]]=0,"",Tableau1[[#This Row],[Colonne1]]-Tableau1[[#This Row],[date debut]]+1))</f>
        <v/>
      </c>
      <c r="F62" s="70" t="str">
        <f>IF(Tableau1[[#This Row],[date debut]]=0,"",IF(Tableau1[[#This Row],[date fin]]=0,IF(Tableau1[[#This Row],[type]]="travail",Tableau1[[#This Row],[Colonne1]]-Tableau1[[#This Row],[date debut]]+1,""),""))</f>
        <v/>
      </c>
      <c r="G62" s="318" t="str">
        <f>CONCATENATE(Tableau1[[#This Row],[Jours1]],"",Tableau1[[#This Row],[jours2]])</f>
        <v/>
      </c>
      <c r="H62" s="318" t="str">
        <f t="shared" ca="1" si="3"/>
        <v/>
      </c>
      <c r="I62" s="99" t="str">
        <f ca="1">IF(Tableau1[[#This Row],[date fin]]&lt;&gt;0,Tableau1[[#This Row],[date fin]],IF(Tableau1[[#This Row],[type]]="travail",TODAY(),""))</f>
        <v/>
      </c>
      <c r="J62" t="str">
        <f t="shared" si="1"/>
        <v/>
      </c>
    </row>
    <row r="63" spans="1:10">
      <c r="A63" s="280"/>
      <c r="B63" s="281"/>
      <c r="C63" s="248"/>
      <c r="D63" s="259"/>
      <c r="E63" s="70" t="str">
        <f>IF(Tableau1[[#This Row],[date debut]]=0,"",IF(Tableau1[[#This Row],[date fin]]=0,"",Tableau1[[#This Row],[Colonne1]]-Tableau1[[#This Row],[date debut]]+1))</f>
        <v/>
      </c>
      <c r="F63" s="70" t="str">
        <f>IF(Tableau1[[#This Row],[date debut]]=0,"",IF(Tableau1[[#This Row],[date fin]]=0,IF(Tableau1[[#This Row],[type]]="travail",Tableau1[[#This Row],[Colonne1]]-Tableau1[[#This Row],[date debut]]+1,""),""))</f>
        <v/>
      </c>
      <c r="G63" s="318" t="str">
        <f>CONCATENATE(Tableau1[[#This Row],[Jours1]],"",Tableau1[[#This Row],[jours2]])</f>
        <v/>
      </c>
      <c r="H63" s="318" t="str">
        <f t="shared" ca="1" si="3"/>
        <v/>
      </c>
      <c r="I63" s="99" t="str">
        <f ca="1">IF(Tableau1[[#This Row],[date fin]]&lt;&gt;0,Tableau1[[#This Row],[date fin]],IF(Tableau1[[#This Row],[type]]="travail",TODAY(),""))</f>
        <v/>
      </c>
      <c r="J63" t="str">
        <f t="shared" si="1"/>
        <v/>
      </c>
    </row>
    <row r="64" spans="1:10">
      <c r="A64" s="280"/>
      <c r="B64" s="281"/>
      <c r="C64" s="248"/>
      <c r="D64" s="259"/>
      <c r="E64" s="70" t="str">
        <f>IF(Tableau1[[#This Row],[date debut]]=0,"",IF(Tableau1[[#This Row],[date fin]]=0,"",Tableau1[[#This Row],[Colonne1]]-Tableau1[[#This Row],[date debut]]+1))</f>
        <v/>
      </c>
      <c r="F64" s="70" t="str">
        <f>IF(Tableau1[[#This Row],[date debut]]=0,"",IF(Tableau1[[#This Row],[date fin]]=0,IF(Tableau1[[#This Row],[type]]="travail",Tableau1[[#This Row],[Colonne1]]-Tableau1[[#This Row],[date debut]]+1,""),""))</f>
        <v/>
      </c>
      <c r="G64" s="318" t="str">
        <f>CONCATENATE(Tableau1[[#This Row],[Jours1]],"",Tableau1[[#This Row],[jours2]])</f>
        <v/>
      </c>
      <c r="H64" s="318" t="str">
        <f t="shared" ca="1" si="3"/>
        <v/>
      </c>
      <c r="I64" s="99" t="str">
        <f ca="1">IF(Tableau1[[#This Row],[date fin]]&lt;&gt;0,Tableau1[[#This Row],[date fin]],IF(Tableau1[[#This Row],[type]]="travail",TODAY(),""))</f>
        <v/>
      </c>
      <c r="J64" t="str">
        <f t="shared" si="1"/>
        <v/>
      </c>
    </row>
    <row r="65" spans="1:10">
      <c r="A65" s="280"/>
      <c r="B65" s="281"/>
      <c r="C65" s="248"/>
      <c r="D65" s="259"/>
      <c r="E65" s="70" t="str">
        <f>IF(Tableau1[[#This Row],[date debut]]=0,"",IF(Tableau1[[#This Row],[date fin]]=0,"",Tableau1[[#This Row],[Colonne1]]-Tableau1[[#This Row],[date debut]]+1))</f>
        <v/>
      </c>
      <c r="F65" s="70" t="str">
        <f>IF(Tableau1[[#This Row],[date debut]]=0,"",IF(Tableau1[[#This Row],[date fin]]=0,IF(Tableau1[[#This Row],[type]]="travail",Tableau1[[#This Row],[Colonne1]]-Tableau1[[#This Row],[date debut]]+1,""),""))</f>
        <v/>
      </c>
      <c r="G65" s="318" t="str">
        <f>CONCATENATE(Tableau1[[#This Row],[Jours1]],"",Tableau1[[#This Row],[jours2]])</f>
        <v/>
      </c>
      <c r="H65" s="318" t="str">
        <f t="shared" ca="1" si="3"/>
        <v/>
      </c>
      <c r="I65" s="99" t="str">
        <f ca="1">IF(Tableau1[[#This Row],[date fin]]&lt;&gt;0,Tableau1[[#This Row],[date fin]],IF(Tableau1[[#This Row],[type]]="travail",TODAY(),""))</f>
        <v/>
      </c>
      <c r="J65" t="str">
        <f t="shared" si="1"/>
        <v/>
      </c>
    </row>
    <row r="66" spans="1:10">
      <c r="A66" s="280"/>
      <c r="B66" s="281"/>
      <c r="C66" s="248"/>
      <c r="D66" s="259"/>
      <c r="E66" s="70" t="str">
        <f>IF(Tableau1[[#This Row],[date debut]]=0,"",IF(Tableau1[[#This Row],[date fin]]=0,"",Tableau1[[#This Row],[Colonne1]]-Tableau1[[#This Row],[date debut]]+1))</f>
        <v/>
      </c>
      <c r="F66" s="70" t="str">
        <f>IF(Tableau1[[#This Row],[date debut]]=0,"",IF(Tableau1[[#This Row],[date fin]]=0,IF(Tableau1[[#This Row],[type]]="travail",Tableau1[[#This Row],[Colonne1]]-Tableau1[[#This Row],[date debut]]+1,""),""))</f>
        <v/>
      </c>
      <c r="G66" s="318" t="str">
        <f>CONCATENATE(Tableau1[[#This Row],[Jours1]],"",Tableau1[[#This Row],[jours2]])</f>
        <v/>
      </c>
      <c r="H66" s="318" t="str">
        <f t="shared" ca="1" si="3"/>
        <v/>
      </c>
      <c r="I66" s="99" t="str">
        <f ca="1">IF(Tableau1[[#This Row],[date fin]]&lt;&gt;0,Tableau1[[#This Row],[date fin]],IF(Tableau1[[#This Row],[type]]="travail",TODAY(),""))</f>
        <v/>
      </c>
      <c r="J66" t="str">
        <f t="shared" si="1"/>
        <v/>
      </c>
    </row>
    <row r="67" spans="1:10">
      <c r="A67" s="280"/>
      <c r="B67" s="281"/>
      <c r="C67" s="248"/>
      <c r="D67" s="259"/>
      <c r="E67" s="70" t="str">
        <f>IF(Tableau1[[#This Row],[date debut]]=0,"",IF(Tableau1[[#This Row],[date fin]]=0,"",Tableau1[[#This Row],[Colonne1]]-Tableau1[[#This Row],[date debut]]+1))</f>
        <v/>
      </c>
      <c r="F67" s="70" t="str">
        <f>IF(Tableau1[[#This Row],[date debut]]=0,"",IF(Tableau1[[#This Row],[date fin]]=0,IF(Tableau1[[#This Row],[type]]="travail",Tableau1[[#This Row],[Colonne1]]-Tableau1[[#This Row],[date debut]]+1,""),""))</f>
        <v/>
      </c>
      <c r="G67" s="318" t="str">
        <f>CONCATENATE(Tableau1[[#This Row],[Jours1]],"",Tableau1[[#This Row],[jours2]])</f>
        <v/>
      </c>
      <c r="H67" s="318" t="str">
        <f t="shared" ref="H67:H98" ca="1" si="4">IF(I67="","",NETWORKDAYS(A67,I67))</f>
        <v/>
      </c>
      <c r="I67" s="99" t="str">
        <f ca="1">IF(Tableau1[[#This Row],[date fin]]&lt;&gt;0,Tableau1[[#This Row],[date fin]],IF(Tableau1[[#This Row],[type]]="travail",TODAY(),""))</f>
        <v/>
      </c>
      <c r="J67" t="str">
        <f t="shared" si="1"/>
        <v/>
      </c>
    </row>
    <row r="68" spans="1:10">
      <c r="A68" s="280"/>
      <c r="B68" s="281"/>
      <c r="C68" s="248"/>
      <c r="D68" s="259"/>
      <c r="E68" s="70" t="str">
        <f>IF(Tableau1[[#This Row],[date debut]]=0,"",IF(Tableau1[[#This Row],[date fin]]=0,"",Tableau1[[#This Row],[Colonne1]]-Tableau1[[#This Row],[date debut]]+1))</f>
        <v/>
      </c>
      <c r="F68" s="70" t="str">
        <f>IF(Tableau1[[#This Row],[date debut]]=0,"",IF(Tableau1[[#This Row],[date fin]]=0,IF(Tableau1[[#This Row],[type]]="travail",Tableau1[[#This Row],[Colonne1]]-Tableau1[[#This Row],[date debut]]+1,""),""))</f>
        <v/>
      </c>
      <c r="G68" s="318" t="str">
        <f>CONCATENATE(Tableau1[[#This Row],[Jours1]],"",Tableau1[[#This Row],[jours2]])</f>
        <v/>
      </c>
      <c r="H68" s="318" t="str">
        <f t="shared" ca="1" si="4"/>
        <v/>
      </c>
      <c r="I68" s="99" t="str">
        <f ca="1">IF(Tableau1[[#This Row],[date fin]]&lt;&gt;0,Tableau1[[#This Row],[date fin]],IF(Tableau1[[#This Row],[type]]="travail",TODAY(),""))</f>
        <v/>
      </c>
      <c r="J68" t="str">
        <f t="shared" ref="J68:J131" si="5">IF(ISERROR(VLOOKUP(D68,$M$3:$N$25,2,0)),"",VLOOKUP(D68,$M$3:$N$25,2,0))</f>
        <v/>
      </c>
    </row>
    <row r="69" spans="1:10">
      <c r="A69" s="280"/>
      <c r="B69" s="281"/>
      <c r="C69" s="248"/>
      <c r="D69" s="259"/>
      <c r="E69" s="70" t="str">
        <f>IF(Tableau1[[#This Row],[date debut]]=0,"",IF(Tableau1[[#This Row],[date fin]]=0,"",Tableau1[[#This Row],[Colonne1]]-Tableau1[[#This Row],[date debut]]+1))</f>
        <v/>
      </c>
      <c r="F69" s="70" t="str">
        <f>IF(Tableau1[[#This Row],[date debut]]=0,"",IF(Tableau1[[#This Row],[date fin]]=0,IF(Tableau1[[#This Row],[type]]="travail",Tableau1[[#This Row],[Colonne1]]-Tableau1[[#This Row],[date debut]]+1,""),""))</f>
        <v/>
      </c>
      <c r="G69" s="318" t="str">
        <f>CONCATENATE(Tableau1[[#This Row],[Jours1]],"",Tableau1[[#This Row],[jours2]])</f>
        <v/>
      </c>
      <c r="H69" s="318" t="str">
        <f t="shared" ca="1" si="4"/>
        <v/>
      </c>
      <c r="I69" s="99" t="str">
        <f ca="1">IF(Tableau1[[#This Row],[date fin]]&lt;&gt;0,Tableau1[[#This Row],[date fin]],IF(Tableau1[[#This Row],[type]]="travail",TODAY(),""))</f>
        <v/>
      </c>
      <c r="J69" t="str">
        <f t="shared" si="5"/>
        <v/>
      </c>
    </row>
    <row r="70" spans="1:10">
      <c r="A70" s="280"/>
      <c r="B70" s="281"/>
      <c r="C70" s="248"/>
      <c r="D70" s="259"/>
      <c r="E70" s="70" t="str">
        <f>IF(Tableau1[[#This Row],[date debut]]=0,"",IF(Tableau1[[#This Row],[date fin]]=0,"",Tableau1[[#This Row],[Colonne1]]-Tableau1[[#This Row],[date debut]]+1))</f>
        <v/>
      </c>
      <c r="F70" s="70" t="str">
        <f>IF(Tableau1[[#This Row],[date debut]]=0,"",IF(Tableau1[[#This Row],[date fin]]=0,IF(Tableau1[[#This Row],[type]]="travail",Tableau1[[#This Row],[Colonne1]]-Tableau1[[#This Row],[date debut]]+1,""),""))</f>
        <v/>
      </c>
      <c r="G70" s="318" t="str">
        <f>CONCATENATE(Tableau1[[#This Row],[Jours1]],"",Tableau1[[#This Row],[jours2]])</f>
        <v/>
      </c>
      <c r="H70" s="318" t="str">
        <f t="shared" ca="1" si="4"/>
        <v/>
      </c>
      <c r="I70" s="99" t="str">
        <f ca="1">IF(Tableau1[[#This Row],[date fin]]&lt;&gt;0,Tableau1[[#This Row],[date fin]],IF(Tableau1[[#This Row],[type]]="travail",TODAY(),""))</f>
        <v/>
      </c>
      <c r="J70" t="str">
        <f t="shared" si="5"/>
        <v/>
      </c>
    </row>
    <row r="71" spans="1:10">
      <c r="A71" s="280"/>
      <c r="B71" s="281"/>
      <c r="C71" s="248"/>
      <c r="D71" s="259"/>
      <c r="E71" s="70" t="str">
        <f>IF(Tableau1[[#This Row],[date debut]]=0,"",IF(Tableau1[[#This Row],[date fin]]=0,"",Tableau1[[#This Row],[Colonne1]]-Tableau1[[#This Row],[date debut]]+1))</f>
        <v/>
      </c>
      <c r="F71" s="70" t="str">
        <f>IF(Tableau1[[#This Row],[date debut]]=0,"",IF(Tableau1[[#This Row],[date fin]]=0,IF(Tableau1[[#This Row],[type]]="travail",Tableau1[[#This Row],[Colonne1]]-Tableau1[[#This Row],[date debut]]+1,""),""))</f>
        <v/>
      </c>
      <c r="G71" s="318" t="str">
        <f>CONCATENATE(Tableau1[[#This Row],[Jours1]],"",Tableau1[[#This Row],[jours2]])</f>
        <v/>
      </c>
      <c r="H71" s="318" t="str">
        <f t="shared" ca="1" si="4"/>
        <v/>
      </c>
      <c r="I71" s="99" t="str">
        <f ca="1">IF(Tableau1[[#This Row],[date fin]]&lt;&gt;0,Tableau1[[#This Row],[date fin]],IF(Tableau1[[#This Row],[type]]="travail",TODAY(),""))</f>
        <v/>
      </c>
      <c r="J71" t="str">
        <f t="shared" si="5"/>
        <v/>
      </c>
    </row>
    <row r="72" spans="1:10">
      <c r="A72" s="280"/>
      <c r="B72" s="281"/>
      <c r="C72" s="248"/>
      <c r="D72" s="259"/>
      <c r="E72" s="70" t="str">
        <f>IF(Tableau1[[#This Row],[date debut]]=0,"",IF(Tableau1[[#This Row],[date fin]]=0,"",Tableau1[[#This Row],[Colonne1]]-Tableau1[[#This Row],[date debut]]+1))</f>
        <v/>
      </c>
      <c r="F72" s="70" t="str">
        <f>IF(Tableau1[[#This Row],[date debut]]=0,"",IF(Tableau1[[#This Row],[date fin]]=0,IF(Tableau1[[#This Row],[type]]="travail",Tableau1[[#This Row],[Colonne1]]-Tableau1[[#This Row],[date debut]]+1,""),""))</f>
        <v/>
      </c>
      <c r="G72" s="318" t="str">
        <f>CONCATENATE(Tableau1[[#This Row],[Jours1]],"",Tableau1[[#This Row],[jours2]])</f>
        <v/>
      </c>
      <c r="H72" s="318" t="str">
        <f t="shared" ca="1" si="4"/>
        <v/>
      </c>
      <c r="I72" s="99" t="str">
        <f ca="1">IF(Tableau1[[#This Row],[date fin]]&lt;&gt;0,Tableau1[[#This Row],[date fin]],IF(Tableau1[[#This Row],[type]]="travail",TODAY(),""))</f>
        <v/>
      </c>
      <c r="J72" t="str">
        <f t="shared" si="5"/>
        <v/>
      </c>
    </row>
    <row r="73" spans="1:10">
      <c r="A73" s="280"/>
      <c r="B73" s="281"/>
      <c r="C73" s="248"/>
      <c r="D73" s="259"/>
      <c r="E73" s="70" t="str">
        <f>IF(Tableau1[[#This Row],[date debut]]=0,"",IF(Tableau1[[#This Row],[date fin]]=0,"",Tableau1[[#This Row],[Colonne1]]-Tableau1[[#This Row],[date debut]]+1))</f>
        <v/>
      </c>
      <c r="F73" s="70" t="str">
        <f>IF(Tableau1[[#This Row],[date debut]]=0,"",IF(Tableau1[[#This Row],[date fin]]=0,IF(Tableau1[[#This Row],[type]]="travail",Tableau1[[#This Row],[Colonne1]]-Tableau1[[#This Row],[date debut]]+1,""),""))</f>
        <v/>
      </c>
      <c r="G73" s="318" t="str">
        <f>CONCATENATE(Tableau1[[#This Row],[Jours1]],"",Tableau1[[#This Row],[jours2]])</f>
        <v/>
      </c>
      <c r="H73" s="318" t="str">
        <f t="shared" ca="1" si="4"/>
        <v/>
      </c>
      <c r="I73" s="99" t="str">
        <f ca="1">IF(Tableau1[[#This Row],[date fin]]&lt;&gt;0,Tableau1[[#This Row],[date fin]],IF(Tableau1[[#This Row],[type]]="travail",TODAY(),""))</f>
        <v/>
      </c>
      <c r="J73" t="str">
        <f t="shared" si="5"/>
        <v/>
      </c>
    </row>
    <row r="74" spans="1:10">
      <c r="A74" s="280"/>
      <c r="B74" s="281"/>
      <c r="C74" s="248"/>
      <c r="D74" s="259"/>
      <c r="E74" s="70" t="str">
        <f>IF(Tableau1[[#This Row],[date debut]]=0,"",IF(Tableau1[[#This Row],[date fin]]=0,"",Tableau1[[#This Row],[Colonne1]]-Tableau1[[#This Row],[date debut]]+1))</f>
        <v/>
      </c>
      <c r="F74" s="70" t="str">
        <f>IF(Tableau1[[#This Row],[date debut]]=0,"",IF(Tableau1[[#This Row],[date fin]]=0,IF(Tableau1[[#This Row],[type]]="travail",Tableau1[[#This Row],[Colonne1]]-Tableau1[[#This Row],[date debut]]+1,""),""))</f>
        <v/>
      </c>
      <c r="G74" s="318" t="str">
        <f>CONCATENATE(Tableau1[[#This Row],[Jours1]],"",Tableau1[[#This Row],[jours2]])</f>
        <v/>
      </c>
      <c r="H74" s="318" t="str">
        <f t="shared" ca="1" si="4"/>
        <v/>
      </c>
      <c r="I74" s="99" t="str">
        <f ca="1">IF(Tableau1[[#This Row],[date fin]]&lt;&gt;0,Tableau1[[#This Row],[date fin]],IF(Tableau1[[#This Row],[type]]="travail",TODAY(),""))</f>
        <v/>
      </c>
      <c r="J74" t="str">
        <f t="shared" si="5"/>
        <v/>
      </c>
    </row>
    <row r="75" spans="1:10">
      <c r="A75" s="280"/>
      <c r="B75" s="281"/>
      <c r="C75" s="248"/>
      <c r="D75" s="259"/>
      <c r="E75" s="70" t="str">
        <f>IF(Tableau1[[#This Row],[date debut]]=0,"",IF(Tableau1[[#This Row],[date fin]]=0,"",Tableau1[[#This Row],[Colonne1]]-Tableau1[[#This Row],[date debut]]+1))</f>
        <v/>
      </c>
      <c r="F75" s="70" t="str">
        <f>IF(Tableau1[[#This Row],[date debut]]=0,"",IF(Tableau1[[#This Row],[date fin]]=0,IF(Tableau1[[#This Row],[type]]="travail",Tableau1[[#This Row],[Colonne1]]-Tableau1[[#This Row],[date debut]]+1,""),""))</f>
        <v/>
      </c>
      <c r="G75" s="318" t="str">
        <f>CONCATENATE(Tableau1[[#This Row],[Jours1]],"",Tableau1[[#This Row],[jours2]])</f>
        <v/>
      </c>
      <c r="H75" s="318" t="str">
        <f t="shared" ca="1" si="4"/>
        <v/>
      </c>
      <c r="I75" s="99" t="str">
        <f ca="1">IF(Tableau1[[#This Row],[date fin]]&lt;&gt;0,Tableau1[[#This Row],[date fin]],IF(Tableau1[[#This Row],[type]]="travail",TODAY(),""))</f>
        <v/>
      </c>
      <c r="J75" t="str">
        <f t="shared" si="5"/>
        <v/>
      </c>
    </row>
    <row r="76" spans="1:10">
      <c r="A76" s="280"/>
      <c r="B76" s="281"/>
      <c r="C76" s="248"/>
      <c r="D76" s="259"/>
      <c r="E76" s="70" t="str">
        <f>IF(Tableau1[[#This Row],[date debut]]=0,"",IF(Tableau1[[#This Row],[date fin]]=0,"",Tableau1[[#This Row],[Colonne1]]-Tableau1[[#This Row],[date debut]]+1))</f>
        <v/>
      </c>
      <c r="F76" s="70" t="str">
        <f>IF(Tableau1[[#This Row],[date debut]]=0,"",IF(Tableau1[[#This Row],[date fin]]=0,IF(Tableau1[[#This Row],[type]]="travail",Tableau1[[#This Row],[Colonne1]]-Tableau1[[#This Row],[date debut]]+1,""),""))</f>
        <v/>
      </c>
      <c r="G76" s="318" t="str">
        <f>CONCATENATE(Tableau1[[#This Row],[Jours1]],"",Tableau1[[#This Row],[jours2]])</f>
        <v/>
      </c>
      <c r="H76" s="318" t="str">
        <f t="shared" ca="1" si="4"/>
        <v/>
      </c>
      <c r="I76" s="99" t="str">
        <f ca="1">IF(Tableau1[[#This Row],[date fin]]&lt;&gt;0,Tableau1[[#This Row],[date fin]],IF(Tableau1[[#This Row],[type]]="travail",TODAY(),""))</f>
        <v/>
      </c>
      <c r="J76" t="str">
        <f t="shared" si="5"/>
        <v/>
      </c>
    </row>
    <row r="77" spans="1:10">
      <c r="A77" s="280"/>
      <c r="B77" s="281"/>
      <c r="C77" s="248"/>
      <c r="D77" s="259"/>
      <c r="E77" s="70" t="str">
        <f>IF(Tableau1[[#This Row],[date debut]]=0,"",IF(Tableau1[[#This Row],[date fin]]=0,"",Tableau1[[#This Row],[Colonne1]]-Tableau1[[#This Row],[date debut]]+1))</f>
        <v/>
      </c>
      <c r="F77" s="70" t="str">
        <f>IF(Tableau1[[#This Row],[date debut]]=0,"",IF(Tableau1[[#This Row],[date fin]]=0,IF(Tableau1[[#This Row],[type]]="travail",Tableau1[[#This Row],[Colonne1]]-Tableau1[[#This Row],[date debut]]+1,""),""))</f>
        <v/>
      </c>
      <c r="G77" s="318" t="str">
        <f>CONCATENATE(Tableau1[[#This Row],[Jours1]],"",Tableau1[[#This Row],[jours2]])</f>
        <v/>
      </c>
      <c r="H77" s="318" t="str">
        <f t="shared" ca="1" si="4"/>
        <v/>
      </c>
      <c r="I77" s="99" t="str">
        <f ca="1">IF(Tableau1[[#This Row],[date fin]]&lt;&gt;0,Tableau1[[#This Row],[date fin]],IF(Tableau1[[#This Row],[type]]="travail",TODAY(),""))</f>
        <v/>
      </c>
      <c r="J77" t="str">
        <f t="shared" si="5"/>
        <v/>
      </c>
    </row>
    <row r="78" spans="1:10">
      <c r="A78" s="280"/>
      <c r="B78" s="281"/>
      <c r="C78" s="248"/>
      <c r="D78" s="259"/>
      <c r="E78" s="70" t="str">
        <f>IF(Tableau1[[#This Row],[date debut]]=0,"",IF(Tableau1[[#This Row],[date fin]]=0,"",Tableau1[[#This Row],[Colonne1]]-Tableau1[[#This Row],[date debut]]+1))</f>
        <v/>
      </c>
      <c r="F78" s="70" t="str">
        <f>IF(Tableau1[[#This Row],[date debut]]=0,"",IF(Tableau1[[#This Row],[date fin]]=0,IF(Tableau1[[#This Row],[type]]="travail",Tableau1[[#This Row],[Colonne1]]-Tableau1[[#This Row],[date debut]]+1,""),""))</f>
        <v/>
      </c>
      <c r="G78" s="318" t="str">
        <f>CONCATENATE(Tableau1[[#This Row],[Jours1]],"",Tableau1[[#This Row],[jours2]])</f>
        <v/>
      </c>
      <c r="H78" s="318" t="str">
        <f t="shared" ca="1" si="4"/>
        <v/>
      </c>
      <c r="I78" s="99" t="str">
        <f ca="1">IF(Tableau1[[#This Row],[date fin]]&lt;&gt;0,Tableau1[[#This Row],[date fin]],IF(Tableau1[[#This Row],[type]]="travail",TODAY(),""))</f>
        <v/>
      </c>
      <c r="J78" t="str">
        <f t="shared" si="5"/>
        <v/>
      </c>
    </row>
    <row r="79" spans="1:10">
      <c r="A79" s="280"/>
      <c r="B79" s="281"/>
      <c r="C79" s="248"/>
      <c r="D79" s="259"/>
      <c r="E79" s="70" t="str">
        <f>IF(Tableau1[[#This Row],[date debut]]=0,"",IF(Tableau1[[#This Row],[date fin]]=0,"",Tableau1[[#This Row],[Colonne1]]-Tableau1[[#This Row],[date debut]]+1))</f>
        <v/>
      </c>
      <c r="F79" s="70" t="str">
        <f>IF(Tableau1[[#This Row],[date debut]]=0,"",IF(Tableau1[[#This Row],[date fin]]=0,IF(Tableau1[[#This Row],[type]]="travail",Tableau1[[#This Row],[Colonne1]]-Tableau1[[#This Row],[date debut]]+1,""),""))</f>
        <v/>
      </c>
      <c r="G79" s="318" t="str">
        <f>CONCATENATE(Tableau1[[#This Row],[Jours1]],"",Tableau1[[#This Row],[jours2]])</f>
        <v/>
      </c>
      <c r="H79" s="318" t="str">
        <f t="shared" ca="1" si="4"/>
        <v/>
      </c>
      <c r="I79" s="99" t="str">
        <f ca="1">IF(Tableau1[[#This Row],[date fin]]&lt;&gt;0,Tableau1[[#This Row],[date fin]],IF(Tableau1[[#This Row],[type]]="travail",TODAY(),""))</f>
        <v/>
      </c>
      <c r="J79" t="str">
        <f t="shared" si="5"/>
        <v/>
      </c>
    </row>
    <row r="80" spans="1:10">
      <c r="A80" s="280"/>
      <c r="B80" s="281"/>
      <c r="C80" s="248"/>
      <c r="D80" s="259"/>
      <c r="E80" s="70" t="str">
        <f>IF(Tableau1[[#This Row],[date debut]]=0,"",IF(Tableau1[[#This Row],[date fin]]=0,"",Tableau1[[#This Row],[Colonne1]]-Tableau1[[#This Row],[date debut]]+1))</f>
        <v/>
      </c>
      <c r="F80" s="70" t="str">
        <f>IF(Tableau1[[#This Row],[date debut]]=0,"",IF(Tableau1[[#This Row],[date fin]]=0,IF(Tableau1[[#This Row],[type]]="travail",Tableau1[[#This Row],[Colonne1]]-Tableau1[[#This Row],[date debut]]+1,""),""))</f>
        <v/>
      </c>
      <c r="G80" s="318" t="str">
        <f>CONCATENATE(Tableau1[[#This Row],[Jours1]],"",Tableau1[[#This Row],[jours2]])</f>
        <v/>
      </c>
      <c r="H80" s="318" t="str">
        <f t="shared" ca="1" si="4"/>
        <v/>
      </c>
      <c r="I80" s="99" t="str">
        <f ca="1">IF(Tableau1[[#This Row],[date fin]]&lt;&gt;0,Tableau1[[#This Row],[date fin]],IF(Tableau1[[#This Row],[type]]="travail",TODAY(),""))</f>
        <v/>
      </c>
      <c r="J80" t="str">
        <f t="shared" si="5"/>
        <v/>
      </c>
    </row>
    <row r="81" spans="1:10">
      <c r="A81" s="280"/>
      <c r="B81" s="281"/>
      <c r="C81" s="248"/>
      <c r="D81" s="259"/>
      <c r="E81" s="70" t="str">
        <f>IF(Tableau1[[#This Row],[date debut]]=0,"",IF(Tableau1[[#This Row],[date fin]]=0,"",Tableau1[[#This Row],[Colonne1]]-Tableau1[[#This Row],[date debut]]+1))</f>
        <v/>
      </c>
      <c r="F81" s="70" t="str">
        <f>IF(Tableau1[[#This Row],[date debut]]=0,"",IF(Tableau1[[#This Row],[date fin]]=0,IF(Tableau1[[#This Row],[type]]="travail",Tableau1[[#This Row],[Colonne1]]-Tableau1[[#This Row],[date debut]]+1,""),""))</f>
        <v/>
      </c>
      <c r="G81" s="318" t="str">
        <f>CONCATENATE(Tableau1[[#This Row],[Jours1]],"",Tableau1[[#This Row],[jours2]])</f>
        <v/>
      </c>
      <c r="H81" s="318" t="str">
        <f t="shared" ca="1" si="4"/>
        <v/>
      </c>
      <c r="I81" s="99" t="str">
        <f ca="1">IF(Tableau1[[#This Row],[date fin]]&lt;&gt;0,Tableau1[[#This Row],[date fin]],IF(Tableau1[[#This Row],[type]]="travail",TODAY(),""))</f>
        <v/>
      </c>
      <c r="J81" t="str">
        <f t="shared" si="5"/>
        <v/>
      </c>
    </row>
    <row r="82" spans="1:10">
      <c r="A82" s="280"/>
      <c r="B82" s="281"/>
      <c r="C82" s="248"/>
      <c r="D82" s="259"/>
      <c r="E82" s="70" t="str">
        <f>IF(Tableau1[[#This Row],[date debut]]=0,"",IF(Tableau1[[#This Row],[date fin]]=0,"",Tableau1[[#This Row],[Colonne1]]-Tableau1[[#This Row],[date debut]]+1))</f>
        <v/>
      </c>
      <c r="F82" s="70" t="str">
        <f>IF(Tableau1[[#This Row],[date debut]]=0,"",IF(Tableau1[[#This Row],[date fin]]=0,IF(Tableau1[[#This Row],[type]]="travail",Tableau1[[#This Row],[Colonne1]]-Tableau1[[#This Row],[date debut]]+1,""),""))</f>
        <v/>
      </c>
      <c r="G82" s="318" t="str">
        <f>CONCATENATE(Tableau1[[#This Row],[Jours1]],"",Tableau1[[#This Row],[jours2]])</f>
        <v/>
      </c>
      <c r="H82" s="318" t="str">
        <f t="shared" ca="1" si="4"/>
        <v/>
      </c>
      <c r="I82" s="99" t="str">
        <f ca="1">IF(Tableau1[[#This Row],[date fin]]&lt;&gt;0,Tableau1[[#This Row],[date fin]],IF(Tableau1[[#This Row],[type]]="travail",TODAY(),""))</f>
        <v/>
      </c>
      <c r="J82" t="str">
        <f t="shared" si="5"/>
        <v/>
      </c>
    </row>
    <row r="83" spans="1:10">
      <c r="A83" s="280"/>
      <c r="B83" s="281"/>
      <c r="C83" s="248"/>
      <c r="D83" s="259"/>
      <c r="E83" s="70" t="str">
        <f>IF(Tableau1[[#This Row],[date debut]]=0,"",IF(Tableau1[[#This Row],[date fin]]=0,"",Tableau1[[#This Row],[Colonne1]]-Tableau1[[#This Row],[date debut]]+1))</f>
        <v/>
      </c>
      <c r="F83" s="70" t="str">
        <f>IF(Tableau1[[#This Row],[date debut]]=0,"",IF(Tableau1[[#This Row],[date fin]]=0,IF(Tableau1[[#This Row],[type]]="travail",Tableau1[[#This Row],[Colonne1]]-Tableau1[[#This Row],[date debut]]+1,""),""))</f>
        <v/>
      </c>
      <c r="G83" s="318" t="str">
        <f>CONCATENATE(Tableau1[[#This Row],[Jours1]],"",Tableau1[[#This Row],[jours2]])</f>
        <v/>
      </c>
      <c r="H83" s="318" t="str">
        <f t="shared" ca="1" si="4"/>
        <v/>
      </c>
      <c r="I83" s="99" t="str">
        <f ca="1">IF(Tableau1[[#This Row],[date fin]]&lt;&gt;0,Tableau1[[#This Row],[date fin]],IF(Tableau1[[#This Row],[type]]="travail",TODAY(),""))</f>
        <v/>
      </c>
      <c r="J83" t="str">
        <f t="shared" si="5"/>
        <v/>
      </c>
    </row>
    <row r="84" spans="1:10">
      <c r="A84" s="280"/>
      <c r="B84" s="281"/>
      <c r="C84" s="248"/>
      <c r="D84" s="259"/>
      <c r="E84" s="70" t="str">
        <f>IF(Tableau1[[#This Row],[date debut]]=0,"",IF(Tableau1[[#This Row],[date fin]]=0,"",Tableau1[[#This Row],[Colonne1]]-Tableau1[[#This Row],[date debut]]+1))</f>
        <v/>
      </c>
      <c r="F84" s="70" t="str">
        <f>IF(Tableau1[[#This Row],[date debut]]=0,"",IF(Tableau1[[#This Row],[date fin]]=0,IF(Tableau1[[#This Row],[type]]="travail",Tableau1[[#This Row],[Colonne1]]-Tableau1[[#This Row],[date debut]]+1,""),""))</f>
        <v/>
      </c>
      <c r="G84" s="318" t="str">
        <f>CONCATENATE(Tableau1[[#This Row],[Jours1]],"",Tableau1[[#This Row],[jours2]])</f>
        <v/>
      </c>
      <c r="H84" s="318" t="str">
        <f t="shared" ca="1" si="4"/>
        <v/>
      </c>
      <c r="I84" s="99" t="str">
        <f ca="1">IF(Tableau1[[#This Row],[date fin]]&lt;&gt;0,Tableau1[[#This Row],[date fin]],IF(Tableau1[[#This Row],[type]]="travail",TODAY(),""))</f>
        <v/>
      </c>
      <c r="J84" t="str">
        <f t="shared" si="5"/>
        <v/>
      </c>
    </row>
    <row r="85" spans="1:10">
      <c r="A85" s="280"/>
      <c r="B85" s="281"/>
      <c r="C85" s="248"/>
      <c r="D85" s="259"/>
      <c r="E85" s="70" t="str">
        <f>IF(Tableau1[[#This Row],[date debut]]=0,"",IF(Tableau1[[#This Row],[date fin]]=0,"",Tableau1[[#This Row],[Colonne1]]-Tableau1[[#This Row],[date debut]]+1))</f>
        <v/>
      </c>
      <c r="F85" s="70" t="str">
        <f>IF(Tableau1[[#This Row],[date debut]]=0,"",IF(Tableau1[[#This Row],[date fin]]=0,IF(Tableau1[[#This Row],[type]]="travail",Tableau1[[#This Row],[Colonne1]]-Tableau1[[#This Row],[date debut]]+1,""),""))</f>
        <v/>
      </c>
      <c r="G85" s="318" t="str">
        <f>CONCATENATE(Tableau1[[#This Row],[Jours1]],"",Tableau1[[#This Row],[jours2]])</f>
        <v/>
      </c>
      <c r="H85" s="318" t="str">
        <f t="shared" ca="1" si="4"/>
        <v/>
      </c>
      <c r="I85" s="99" t="str">
        <f ca="1">IF(Tableau1[[#This Row],[date fin]]&lt;&gt;0,Tableau1[[#This Row],[date fin]],IF(Tableau1[[#This Row],[type]]="travail",TODAY(),""))</f>
        <v/>
      </c>
      <c r="J85" t="str">
        <f t="shared" si="5"/>
        <v/>
      </c>
    </row>
    <row r="86" spans="1:10">
      <c r="A86" s="280"/>
      <c r="B86" s="281"/>
      <c r="C86" s="248"/>
      <c r="D86" s="259"/>
      <c r="E86" s="70" t="str">
        <f>IF(Tableau1[[#This Row],[date debut]]=0,"",IF(Tableau1[[#This Row],[date fin]]=0,"",Tableau1[[#This Row],[Colonne1]]-Tableau1[[#This Row],[date debut]]+1))</f>
        <v/>
      </c>
      <c r="F86" s="70" t="str">
        <f>IF(Tableau1[[#This Row],[date debut]]=0,"",IF(Tableau1[[#This Row],[date fin]]=0,IF(Tableau1[[#This Row],[type]]="travail",Tableau1[[#This Row],[Colonne1]]-Tableau1[[#This Row],[date debut]]+1,""),""))</f>
        <v/>
      </c>
      <c r="G86" s="318" t="str">
        <f>CONCATENATE(Tableau1[[#This Row],[Jours1]],"",Tableau1[[#This Row],[jours2]])</f>
        <v/>
      </c>
      <c r="H86" s="318" t="str">
        <f t="shared" ca="1" si="4"/>
        <v/>
      </c>
      <c r="I86" s="99" t="str">
        <f ca="1">IF(Tableau1[[#This Row],[date fin]]&lt;&gt;0,Tableau1[[#This Row],[date fin]],IF(Tableau1[[#This Row],[type]]="travail",TODAY(),""))</f>
        <v/>
      </c>
      <c r="J86" t="str">
        <f t="shared" si="5"/>
        <v/>
      </c>
    </row>
    <row r="87" spans="1:10">
      <c r="A87" s="280"/>
      <c r="B87" s="281"/>
      <c r="C87" s="248"/>
      <c r="D87" s="259"/>
      <c r="E87" s="70" t="str">
        <f>IF(Tableau1[[#This Row],[date debut]]=0,"",IF(Tableau1[[#This Row],[date fin]]=0,"",Tableau1[[#This Row],[Colonne1]]-Tableau1[[#This Row],[date debut]]+1))</f>
        <v/>
      </c>
      <c r="F87" s="70" t="str">
        <f>IF(Tableau1[[#This Row],[date debut]]=0,"",IF(Tableau1[[#This Row],[date fin]]=0,IF(Tableau1[[#This Row],[type]]="travail",Tableau1[[#This Row],[Colonne1]]-Tableau1[[#This Row],[date debut]]+1,""),""))</f>
        <v/>
      </c>
      <c r="G87" s="318" t="str">
        <f>CONCATENATE(Tableau1[[#This Row],[Jours1]],"",Tableau1[[#This Row],[jours2]])</f>
        <v/>
      </c>
      <c r="H87" s="318" t="str">
        <f t="shared" ca="1" si="4"/>
        <v/>
      </c>
      <c r="I87" s="99" t="str">
        <f ca="1">IF(Tableau1[[#This Row],[date fin]]&lt;&gt;0,Tableau1[[#This Row],[date fin]],IF(Tableau1[[#This Row],[type]]="travail",TODAY(),""))</f>
        <v/>
      </c>
      <c r="J87" t="str">
        <f t="shared" si="5"/>
        <v/>
      </c>
    </row>
    <row r="88" spans="1:10">
      <c r="A88" s="280"/>
      <c r="B88" s="281"/>
      <c r="C88" s="248"/>
      <c r="D88" s="259"/>
      <c r="E88" s="70" t="str">
        <f>IF(Tableau1[[#This Row],[date debut]]=0,"",IF(Tableau1[[#This Row],[date fin]]=0,"",Tableau1[[#This Row],[Colonne1]]-Tableau1[[#This Row],[date debut]]+1))</f>
        <v/>
      </c>
      <c r="F88" s="70" t="str">
        <f>IF(Tableau1[[#This Row],[date debut]]=0,"",IF(Tableau1[[#This Row],[date fin]]=0,IF(Tableau1[[#This Row],[type]]="travail",Tableau1[[#This Row],[Colonne1]]-Tableau1[[#This Row],[date debut]]+1,""),""))</f>
        <v/>
      </c>
      <c r="G88" s="318" t="str">
        <f>CONCATENATE(Tableau1[[#This Row],[Jours1]],"",Tableau1[[#This Row],[jours2]])</f>
        <v/>
      </c>
      <c r="H88" s="318" t="str">
        <f t="shared" ca="1" si="4"/>
        <v/>
      </c>
      <c r="I88" s="99" t="str">
        <f ca="1">IF(Tableau1[[#This Row],[date fin]]&lt;&gt;0,Tableau1[[#This Row],[date fin]],IF(Tableau1[[#This Row],[type]]="travail",TODAY(),""))</f>
        <v/>
      </c>
      <c r="J88" t="str">
        <f t="shared" si="5"/>
        <v/>
      </c>
    </row>
    <row r="89" spans="1:10">
      <c r="A89" s="280"/>
      <c r="B89" s="281"/>
      <c r="C89" s="248"/>
      <c r="D89" s="259"/>
      <c r="E89" s="70" t="str">
        <f>IF(Tableau1[[#This Row],[date debut]]=0,"",IF(Tableau1[[#This Row],[date fin]]=0,"",Tableau1[[#This Row],[Colonne1]]-Tableau1[[#This Row],[date debut]]+1))</f>
        <v/>
      </c>
      <c r="F89" s="70" t="str">
        <f>IF(Tableau1[[#This Row],[date debut]]=0,"",IF(Tableau1[[#This Row],[date fin]]=0,IF(Tableau1[[#This Row],[type]]="travail",Tableau1[[#This Row],[Colonne1]]-Tableau1[[#This Row],[date debut]]+1,""),""))</f>
        <v/>
      </c>
      <c r="G89" s="318" t="str">
        <f>CONCATENATE(Tableau1[[#This Row],[Jours1]],"",Tableau1[[#This Row],[jours2]])</f>
        <v/>
      </c>
      <c r="H89" s="318" t="str">
        <f t="shared" ca="1" si="4"/>
        <v/>
      </c>
      <c r="I89" s="99" t="str">
        <f ca="1">IF(Tableau1[[#This Row],[date fin]]&lt;&gt;0,Tableau1[[#This Row],[date fin]],IF(Tableau1[[#This Row],[type]]="travail",TODAY(),""))</f>
        <v/>
      </c>
      <c r="J89" t="str">
        <f t="shared" si="5"/>
        <v/>
      </c>
    </row>
    <row r="90" spans="1:10">
      <c r="A90" s="280"/>
      <c r="B90" s="281"/>
      <c r="C90" s="248"/>
      <c r="D90" s="259"/>
      <c r="E90" s="70" t="str">
        <f>IF(Tableau1[[#This Row],[date debut]]=0,"",IF(Tableau1[[#This Row],[date fin]]=0,"",Tableau1[[#This Row],[Colonne1]]-Tableau1[[#This Row],[date debut]]+1))</f>
        <v/>
      </c>
      <c r="F90" s="70" t="str">
        <f>IF(Tableau1[[#This Row],[date debut]]=0,"",IF(Tableau1[[#This Row],[date fin]]=0,IF(Tableau1[[#This Row],[type]]="travail",Tableau1[[#This Row],[Colonne1]]-Tableau1[[#This Row],[date debut]]+1,""),""))</f>
        <v/>
      </c>
      <c r="G90" s="318" t="str">
        <f>CONCATENATE(Tableau1[[#This Row],[Jours1]],"",Tableau1[[#This Row],[jours2]])</f>
        <v/>
      </c>
      <c r="H90" s="318" t="str">
        <f t="shared" ca="1" si="4"/>
        <v/>
      </c>
      <c r="I90" s="99" t="str">
        <f ca="1">IF(Tableau1[[#This Row],[date fin]]&lt;&gt;0,Tableau1[[#This Row],[date fin]],IF(Tableau1[[#This Row],[type]]="travail",TODAY(),""))</f>
        <v/>
      </c>
      <c r="J90" t="str">
        <f t="shared" si="5"/>
        <v/>
      </c>
    </row>
    <row r="91" spans="1:10">
      <c r="A91" s="280"/>
      <c r="B91" s="281"/>
      <c r="C91" s="248"/>
      <c r="D91" s="259"/>
      <c r="E91" s="70" t="str">
        <f>IF(Tableau1[[#This Row],[date debut]]=0,"",IF(Tableau1[[#This Row],[date fin]]=0,"",Tableau1[[#This Row],[Colonne1]]-Tableau1[[#This Row],[date debut]]+1))</f>
        <v/>
      </c>
      <c r="F91" s="70" t="str">
        <f>IF(Tableau1[[#This Row],[date debut]]=0,"",IF(Tableau1[[#This Row],[date fin]]=0,IF(Tableau1[[#This Row],[type]]="travail",Tableau1[[#This Row],[Colonne1]]-Tableau1[[#This Row],[date debut]]+1,""),""))</f>
        <v/>
      </c>
      <c r="G91" s="318" t="str">
        <f>CONCATENATE(Tableau1[[#This Row],[Jours1]],"",Tableau1[[#This Row],[jours2]])</f>
        <v/>
      </c>
      <c r="H91" s="318" t="str">
        <f t="shared" ca="1" si="4"/>
        <v/>
      </c>
      <c r="I91" s="99" t="str">
        <f ca="1">IF(Tableau1[[#This Row],[date fin]]&lt;&gt;0,Tableau1[[#This Row],[date fin]],IF(Tableau1[[#This Row],[type]]="travail",TODAY(),""))</f>
        <v/>
      </c>
      <c r="J91" t="str">
        <f t="shared" si="5"/>
        <v/>
      </c>
    </row>
    <row r="92" spans="1:10">
      <c r="A92" s="280"/>
      <c r="B92" s="281"/>
      <c r="C92" s="248"/>
      <c r="D92" s="259"/>
      <c r="E92" s="70" t="str">
        <f>IF(Tableau1[[#This Row],[date debut]]=0,"",IF(Tableau1[[#This Row],[date fin]]=0,"",Tableau1[[#This Row],[Colonne1]]-Tableau1[[#This Row],[date debut]]+1))</f>
        <v/>
      </c>
      <c r="F92" s="70" t="str">
        <f>IF(Tableau1[[#This Row],[date debut]]=0,"",IF(Tableau1[[#This Row],[date fin]]=0,IF(Tableau1[[#This Row],[type]]="travail",Tableau1[[#This Row],[Colonne1]]-Tableau1[[#This Row],[date debut]]+1,""),""))</f>
        <v/>
      </c>
      <c r="G92" s="318" t="str">
        <f>CONCATENATE(Tableau1[[#This Row],[Jours1]],"",Tableau1[[#This Row],[jours2]])</f>
        <v/>
      </c>
      <c r="H92" s="318" t="str">
        <f t="shared" ca="1" si="4"/>
        <v/>
      </c>
      <c r="I92" s="99" t="str">
        <f ca="1">IF(Tableau1[[#This Row],[date fin]]&lt;&gt;0,Tableau1[[#This Row],[date fin]],IF(Tableau1[[#This Row],[type]]="travail",TODAY(),""))</f>
        <v/>
      </c>
      <c r="J92" t="str">
        <f t="shared" si="5"/>
        <v/>
      </c>
    </row>
    <row r="93" spans="1:10">
      <c r="A93" s="280"/>
      <c r="B93" s="281"/>
      <c r="C93" s="248"/>
      <c r="D93" s="259"/>
      <c r="E93" s="70" t="str">
        <f>IF(Tableau1[[#This Row],[date debut]]=0,"",IF(Tableau1[[#This Row],[date fin]]=0,"",Tableau1[[#This Row],[Colonne1]]-Tableau1[[#This Row],[date debut]]+1))</f>
        <v/>
      </c>
      <c r="F93" s="70" t="str">
        <f>IF(Tableau1[[#This Row],[date debut]]=0,"",IF(Tableau1[[#This Row],[date fin]]=0,IF(Tableau1[[#This Row],[type]]="travail",Tableau1[[#This Row],[Colonne1]]-Tableau1[[#This Row],[date debut]]+1,""),""))</f>
        <v/>
      </c>
      <c r="G93" s="318" t="str">
        <f>CONCATENATE(Tableau1[[#This Row],[Jours1]],"",Tableau1[[#This Row],[jours2]])</f>
        <v/>
      </c>
      <c r="H93" s="318" t="str">
        <f t="shared" ca="1" si="4"/>
        <v/>
      </c>
      <c r="I93" s="99" t="str">
        <f ca="1">IF(Tableau1[[#This Row],[date fin]]&lt;&gt;0,Tableau1[[#This Row],[date fin]],IF(Tableau1[[#This Row],[type]]="travail",TODAY(),""))</f>
        <v/>
      </c>
      <c r="J93" t="str">
        <f t="shared" si="5"/>
        <v/>
      </c>
    </row>
    <row r="94" spans="1:10">
      <c r="A94" s="280"/>
      <c r="B94" s="281"/>
      <c r="C94" s="248"/>
      <c r="D94" s="259"/>
      <c r="E94" s="70" t="str">
        <f>IF(Tableau1[[#This Row],[date debut]]=0,"",IF(Tableau1[[#This Row],[date fin]]=0,"",Tableau1[[#This Row],[Colonne1]]-Tableau1[[#This Row],[date debut]]+1))</f>
        <v/>
      </c>
      <c r="F94" s="70" t="str">
        <f>IF(Tableau1[[#This Row],[date debut]]=0,"",IF(Tableau1[[#This Row],[date fin]]=0,IF(Tableau1[[#This Row],[type]]="travail",Tableau1[[#This Row],[Colonne1]]-Tableau1[[#This Row],[date debut]]+1,""),""))</f>
        <v/>
      </c>
      <c r="G94" s="318" t="str">
        <f>CONCATENATE(Tableau1[[#This Row],[Jours1]],"",Tableau1[[#This Row],[jours2]])</f>
        <v/>
      </c>
      <c r="H94" s="318" t="str">
        <f t="shared" ca="1" si="4"/>
        <v/>
      </c>
      <c r="I94" s="99" t="str">
        <f ca="1">IF(Tableau1[[#This Row],[date fin]]&lt;&gt;0,Tableau1[[#This Row],[date fin]],IF(Tableau1[[#This Row],[type]]="travail",TODAY(),""))</f>
        <v/>
      </c>
      <c r="J94" t="str">
        <f t="shared" si="5"/>
        <v/>
      </c>
    </row>
    <row r="95" spans="1:10">
      <c r="A95" s="280"/>
      <c r="B95" s="281"/>
      <c r="C95" s="248"/>
      <c r="D95" s="259"/>
      <c r="E95" s="70" t="str">
        <f>IF(Tableau1[[#This Row],[date debut]]=0,"",IF(Tableau1[[#This Row],[date fin]]=0,"",Tableau1[[#This Row],[Colonne1]]-Tableau1[[#This Row],[date debut]]+1))</f>
        <v/>
      </c>
      <c r="F95" s="70" t="str">
        <f>IF(Tableau1[[#This Row],[date debut]]=0,"",IF(Tableau1[[#This Row],[date fin]]=0,IF(Tableau1[[#This Row],[type]]="travail",Tableau1[[#This Row],[Colonne1]]-Tableau1[[#This Row],[date debut]]+1,""),""))</f>
        <v/>
      </c>
      <c r="G95" s="318" t="str">
        <f>CONCATENATE(Tableau1[[#This Row],[Jours1]],"",Tableau1[[#This Row],[jours2]])</f>
        <v/>
      </c>
      <c r="H95" s="318" t="str">
        <f t="shared" ca="1" si="4"/>
        <v/>
      </c>
      <c r="I95" s="99" t="str">
        <f ca="1">IF(Tableau1[[#This Row],[date fin]]&lt;&gt;0,Tableau1[[#This Row],[date fin]],IF(Tableau1[[#This Row],[type]]="travail",TODAY(),""))</f>
        <v/>
      </c>
      <c r="J95" t="str">
        <f t="shared" si="5"/>
        <v/>
      </c>
    </row>
    <row r="96" spans="1:10">
      <c r="A96" s="280"/>
      <c r="B96" s="281"/>
      <c r="C96" s="248"/>
      <c r="D96" s="259"/>
      <c r="E96" s="70" t="str">
        <f>IF(Tableau1[[#This Row],[date debut]]=0,"",IF(Tableau1[[#This Row],[date fin]]=0,"",Tableau1[[#This Row],[Colonne1]]-Tableau1[[#This Row],[date debut]]+1))</f>
        <v/>
      </c>
      <c r="F96" s="70" t="str">
        <f>IF(Tableau1[[#This Row],[date debut]]=0,"",IF(Tableau1[[#This Row],[date fin]]=0,IF(Tableau1[[#This Row],[type]]="travail",Tableau1[[#This Row],[Colonne1]]-Tableau1[[#This Row],[date debut]]+1,""),""))</f>
        <v/>
      </c>
      <c r="G96" s="318" t="str">
        <f>CONCATENATE(Tableau1[[#This Row],[Jours1]],"",Tableau1[[#This Row],[jours2]])</f>
        <v/>
      </c>
      <c r="H96" s="318" t="str">
        <f t="shared" ca="1" si="4"/>
        <v/>
      </c>
      <c r="I96" s="99" t="str">
        <f ca="1">IF(Tableau1[[#This Row],[date fin]]&lt;&gt;0,Tableau1[[#This Row],[date fin]],IF(Tableau1[[#This Row],[type]]="travail",TODAY(),""))</f>
        <v/>
      </c>
      <c r="J96" t="str">
        <f t="shared" si="5"/>
        <v/>
      </c>
    </row>
    <row r="97" spans="1:10">
      <c r="A97" s="280"/>
      <c r="B97" s="281"/>
      <c r="C97" s="248"/>
      <c r="D97" s="259"/>
      <c r="E97" s="70" t="str">
        <f>IF(Tableau1[[#This Row],[date debut]]=0,"",IF(Tableau1[[#This Row],[date fin]]=0,"",Tableau1[[#This Row],[Colonne1]]-Tableau1[[#This Row],[date debut]]+1))</f>
        <v/>
      </c>
      <c r="F97" s="70" t="str">
        <f>IF(Tableau1[[#This Row],[date debut]]=0,"",IF(Tableau1[[#This Row],[date fin]]=0,IF(Tableau1[[#This Row],[type]]="travail",Tableau1[[#This Row],[Colonne1]]-Tableau1[[#This Row],[date debut]]+1,""),""))</f>
        <v/>
      </c>
      <c r="G97" s="318" t="str">
        <f>CONCATENATE(Tableau1[[#This Row],[Jours1]],"",Tableau1[[#This Row],[jours2]])</f>
        <v/>
      </c>
      <c r="H97" s="318" t="str">
        <f t="shared" ca="1" si="4"/>
        <v/>
      </c>
      <c r="I97" s="99" t="str">
        <f ca="1">IF(Tableau1[[#This Row],[date fin]]&lt;&gt;0,Tableau1[[#This Row],[date fin]],IF(Tableau1[[#This Row],[type]]="travail",TODAY(),""))</f>
        <v/>
      </c>
      <c r="J97" t="str">
        <f t="shared" si="5"/>
        <v/>
      </c>
    </row>
    <row r="98" spans="1:10">
      <c r="A98" s="280"/>
      <c r="B98" s="281"/>
      <c r="C98" s="248"/>
      <c r="D98" s="259"/>
      <c r="E98" s="70" t="str">
        <f>IF(Tableau1[[#This Row],[date debut]]=0,"",IF(Tableau1[[#This Row],[date fin]]=0,"",Tableau1[[#This Row],[Colonne1]]-Tableau1[[#This Row],[date debut]]+1))</f>
        <v/>
      </c>
      <c r="F98" s="70" t="str">
        <f>IF(Tableau1[[#This Row],[date debut]]=0,"",IF(Tableau1[[#This Row],[date fin]]=0,IF(Tableau1[[#This Row],[type]]="travail",Tableau1[[#This Row],[Colonne1]]-Tableau1[[#This Row],[date debut]]+1,""),""))</f>
        <v/>
      </c>
      <c r="G98" s="318" t="str">
        <f>CONCATENATE(Tableau1[[#This Row],[Jours1]],"",Tableau1[[#This Row],[jours2]])</f>
        <v/>
      </c>
      <c r="H98" s="318" t="str">
        <f t="shared" ca="1" si="4"/>
        <v/>
      </c>
      <c r="I98" s="99" t="str">
        <f ca="1">IF(Tableau1[[#This Row],[date fin]]&lt;&gt;0,Tableau1[[#This Row],[date fin]],IF(Tableau1[[#This Row],[type]]="travail",TODAY(),""))</f>
        <v/>
      </c>
      <c r="J98" t="str">
        <f t="shared" si="5"/>
        <v/>
      </c>
    </row>
    <row r="99" spans="1:10">
      <c r="A99" s="280"/>
      <c r="B99" s="281"/>
      <c r="C99" s="248"/>
      <c r="D99" s="259"/>
      <c r="E99" s="70" t="str">
        <f>IF(Tableau1[[#This Row],[date debut]]=0,"",IF(Tableau1[[#This Row],[date fin]]=0,"",Tableau1[[#This Row],[Colonne1]]-Tableau1[[#This Row],[date debut]]+1))</f>
        <v/>
      </c>
      <c r="F99" s="70" t="str">
        <f>IF(Tableau1[[#This Row],[date debut]]=0,"",IF(Tableau1[[#This Row],[date fin]]=0,IF(Tableau1[[#This Row],[type]]="travail",Tableau1[[#This Row],[Colonne1]]-Tableau1[[#This Row],[date debut]]+1,""),""))</f>
        <v/>
      </c>
      <c r="G99" s="318" t="str">
        <f>CONCATENATE(Tableau1[[#This Row],[Jours1]],"",Tableau1[[#This Row],[jours2]])</f>
        <v/>
      </c>
      <c r="H99" s="318" t="str">
        <f t="shared" ref="H99:H130" ca="1" si="6">IF(I99="","",NETWORKDAYS(A99,I99))</f>
        <v/>
      </c>
      <c r="I99" s="99" t="str">
        <f ca="1">IF(Tableau1[[#This Row],[date fin]]&lt;&gt;0,Tableau1[[#This Row],[date fin]],IF(Tableau1[[#This Row],[type]]="travail",TODAY(),""))</f>
        <v/>
      </c>
      <c r="J99" t="str">
        <f t="shared" si="5"/>
        <v/>
      </c>
    </row>
    <row r="100" spans="1:10">
      <c r="A100" s="280"/>
      <c r="B100" s="281"/>
      <c r="C100" s="248"/>
      <c r="D100" s="259"/>
      <c r="E100" s="70" t="str">
        <f>IF(Tableau1[[#This Row],[date debut]]=0,"",IF(Tableau1[[#This Row],[date fin]]=0,"",Tableau1[[#This Row],[Colonne1]]-Tableau1[[#This Row],[date debut]]+1))</f>
        <v/>
      </c>
      <c r="F100" s="70" t="str">
        <f>IF(Tableau1[[#This Row],[date debut]]=0,"",IF(Tableau1[[#This Row],[date fin]]=0,IF(Tableau1[[#This Row],[type]]="travail",Tableau1[[#This Row],[Colonne1]]-Tableau1[[#This Row],[date debut]]+1,""),""))</f>
        <v/>
      </c>
      <c r="G100" s="318" t="str">
        <f>CONCATENATE(Tableau1[[#This Row],[Jours1]],"",Tableau1[[#This Row],[jours2]])</f>
        <v/>
      </c>
      <c r="H100" s="318" t="str">
        <f t="shared" ca="1" si="6"/>
        <v/>
      </c>
      <c r="I100" s="99" t="str">
        <f ca="1">IF(Tableau1[[#This Row],[date fin]]&lt;&gt;0,Tableau1[[#This Row],[date fin]],IF(Tableau1[[#This Row],[type]]="travail",TODAY(),""))</f>
        <v/>
      </c>
      <c r="J100" t="str">
        <f t="shared" si="5"/>
        <v/>
      </c>
    </row>
    <row r="101" spans="1:10">
      <c r="A101" s="280"/>
      <c r="B101" s="281"/>
      <c r="C101" s="248"/>
      <c r="D101" s="259"/>
      <c r="E101" s="70" t="str">
        <f>IF(Tableau1[[#This Row],[date debut]]=0,"",IF(Tableau1[[#This Row],[date fin]]=0,"",Tableau1[[#This Row],[Colonne1]]-Tableau1[[#This Row],[date debut]]+1))</f>
        <v/>
      </c>
      <c r="F101" s="70" t="str">
        <f>IF(Tableau1[[#This Row],[date debut]]=0,"",IF(Tableau1[[#This Row],[date fin]]=0,IF(Tableau1[[#This Row],[type]]="travail",Tableau1[[#This Row],[Colonne1]]-Tableau1[[#This Row],[date debut]]+1,""),""))</f>
        <v/>
      </c>
      <c r="G101" s="318" t="str">
        <f>CONCATENATE(Tableau1[[#This Row],[Jours1]],"",Tableau1[[#This Row],[jours2]])</f>
        <v/>
      </c>
      <c r="H101" s="318" t="str">
        <f t="shared" ca="1" si="6"/>
        <v/>
      </c>
      <c r="I101" s="99" t="str">
        <f ca="1">IF(Tableau1[[#This Row],[date fin]]&lt;&gt;0,Tableau1[[#This Row],[date fin]],IF(Tableau1[[#This Row],[type]]="travail",TODAY(),""))</f>
        <v/>
      </c>
      <c r="J101" t="str">
        <f t="shared" si="5"/>
        <v/>
      </c>
    </row>
    <row r="102" spans="1:10">
      <c r="A102" s="280"/>
      <c r="B102" s="281"/>
      <c r="C102" s="248"/>
      <c r="D102" s="259"/>
      <c r="E102" s="70" t="str">
        <f>IF(Tableau1[[#This Row],[date debut]]=0,"",IF(Tableau1[[#This Row],[date fin]]=0,"",Tableau1[[#This Row],[Colonne1]]-Tableau1[[#This Row],[date debut]]+1))</f>
        <v/>
      </c>
      <c r="F102" s="70" t="str">
        <f>IF(Tableau1[[#This Row],[date debut]]=0,"",IF(Tableau1[[#This Row],[date fin]]=0,IF(Tableau1[[#This Row],[type]]="travail",Tableau1[[#This Row],[Colonne1]]-Tableau1[[#This Row],[date debut]]+1,""),""))</f>
        <v/>
      </c>
      <c r="G102" s="318" t="str">
        <f>CONCATENATE(Tableau1[[#This Row],[Jours1]],"",Tableau1[[#This Row],[jours2]])</f>
        <v/>
      </c>
      <c r="H102" s="318" t="str">
        <f t="shared" ca="1" si="6"/>
        <v/>
      </c>
      <c r="I102" s="99" t="str">
        <f ca="1">IF(Tableau1[[#This Row],[date fin]]&lt;&gt;0,Tableau1[[#This Row],[date fin]],IF(Tableau1[[#This Row],[type]]="travail",TODAY(),""))</f>
        <v/>
      </c>
      <c r="J102" t="str">
        <f t="shared" si="5"/>
        <v/>
      </c>
    </row>
    <row r="103" spans="1:10">
      <c r="A103" s="280"/>
      <c r="B103" s="281"/>
      <c r="C103" s="248"/>
      <c r="D103" s="259"/>
      <c r="E103" s="70" t="str">
        <f>IF(Tableau1[[#This Row],[date debut]]=0,"",IF(Tableau1[[#This Row],[date fin]]=0,"",Tableau1[[#This Row],[Colonne1]]-Tableau1[[#This Row],[date debut]]+1))</f>
        <v/>
      </c>
      <c r="F103" s="70" t="str">
        <f>IF(Tableau1[[#This Row],[date debut]]=0,"",IF(Tableau1[[#This Row],[date fin]]=0,IF(Tableau1[[#This Row],[type]]="travail",Tableau1[[#This Row],[Colonne1]]-Tableau1[[#This Row],[date debut]]+1,""),""))</f>
        <v/>
      </c>
      <c r="G103" s="318" t="str">
        <f>CONCATENATE(Tableau1[[#This Row],[Jours1]],"",Tableau1[[#This Row],[jours2]])</f>
        <v/>
      </c>
      <c r="H103" s="318" t="str">
        <f t="shared" ca="1" si="6"/>
        <v/>
      </c>
      <c r="I103" s="99" t="str">
        <f ca="1">IF(Tableau1[[#This Row],[date fin]]&lt;&gt;0,Tableau1[[#This Row],[date fin]],IF(Tableau1[[#This Row],[type]]="travail",TODAY(),""))</f>
        <v/>
      </c>
      <c r="J103" t="str">
        <f t="shared" si="5"/>
        <v/>
      </c>
    </row>
    <row r="104" spans="1:10">
      <c r="A104" s="280"/>
      <c r="B104" s="281"/>
      <c r="C104" s="248"/>
      <c r="D104" s="259"/>
      <c r="E104" s="70" t="str">
        <f>IF(Tableau1[[#This Row],[date debut]]=0,"",IF(Tableau1[[#This Row],[date fin]]=0,"",Tableau1[[#This Row],[Colonne1]]-Tableau1[[#This Row],[date debut]]+1))</f>
        <v/>
      </c>
      <c r="F104" s="70" t="str">
        <f>IF(Tableau1[[#This Row],[date debut]]=0,"",IF(Tableau1[[#This Row],[date fin]]=0,IF(Tableau1[[#This Row],[type]]="travail",Tableau1[[#This Row],[Colonne1]]-Tableau1[[#This Row],[date debut]]+1,""),""))</f>
        <v/>
      </c>
      <c r="G104" s="318" t="str">
        <f>CONCATENATE(Tableau1[[#This Row],[Jours1]],"",Tableau1[[#This Row],[jours2]])</f>
        <v/>
      </c>
      <c r="H104" s="318" t="str">
        <f t="shared" ca="1" si="6"/>
        <v/>
      </c>
      <c r="I104" s="99" t="str">
        <f ca="1">IF(Tableau1[[#This Row],[date fin]]&lt;&gt;0,Tableau1[[#This Row],[date fin]],IF(Tableau1[[#This Row],[type]]="travail",TODAY(),""))</f>
        <v/>
      </c>
      <c r="J104" t="str">
        <f t="shared" si="5"/>
        <v/>
      </c>
    </row>
    <row r="105" spans="1:10">
      <c r="A105" s="280"/>
      <c r="B105" s="281"/>
      <c r="C105" s="248"/>
      <c r="D105" s="259"/>
      <c r="E105" s="70" t="str">
        <f>IF(Tableau1[[#This Row],[date debut]]=0,"",IF(Tableau1[[#This Row],[date fin]]=0,"",Tableau1[[#This Row],[Colonne1]]-Tableau1[[#This Row],[date debut]]+1))</f>
        <v/>
      </c>
      <c r="F105" s="70" t="str">
        <f>IF(Tableau1[[#This Row],[date debut]]=0,"",IF(Tableau1[[#This Row],[date fin]]=0,IF(Tableau1[[#This Row],[type]]="travail",Tableau1[[#This Row],[Colonne1]]-Tableau1[[#This Row],[date debut]]+1,""),""))</f>
        <v/>
      </c>
      <c r="G105" s="318" t="str">
        <f>CONCATENATE(Tableau1[[#This Row],[Jours1]],"",Tableau1[[#This Row],[jours2]])</f>
        <v/>
      </c>
      <c r="H105" s="318" t="str">
        <f t="shared" ca="1" si="6"/>
        <v/>
      </c>
      <c r="I105" s="99" t="str">
        <f ca="1">IF(Tableau1[[#This Row],[date fin]]&lt;&gt;0,Tableau1[[#This Row],[date fin]],IF(Tableau1[[#This Row],[type]]="travail",TODAY(),""))</f>
        <v/>
      </c>
      <c r="J105" t="str">
        <f t="shared" si="5"/>
        <v/>
      </c>
    </row>
    <row r="106" spans="1:10">
      <c r="A106" s="280"/>
      <c r="B106" s="281"/>
      <c r="C106" s="248"/>
      <c r="D106" s="259"/>
      <c r="E106" s="70" t="str">
        <f>IF(Tableau1[[#This Row],[date debut]]=0,"",IF(Tableau1[[#This Row],[date fin]]=0,"",Tableau1[[#This Row],[Colonne1]]-Tableau1[[#This Row],[date debut]]+1))</f>
        <v/>
      </c>
      <c r="F106" s="70" t="str">
        <f>IF(Tableau1[[#This Row],[date debut]]=0,"",IF(Tableau1[[#This Row],[date fin]]=0,IF(Tableau1[[#This Row],[type]]="travail",Tableau1[[#This Row],[Colonne1]]-Tableau1[[#This Row],[date debut]]+1,""),""))</f>
        <v/>
      </c>
      <c r="G106" s="318" t="str">
        <f>CONCATENATE(Tableau1[[#This Row],[Jours1]],"",Tableau1[[#This Row],[jours2]])</f>
        <v/>
      </c>
      <c r="H106" s="318" t="str">
        <f t="shared" ca="1" si="6"/>
        <v/>
      </c>
      <c r="I106" s="99" t="str">
        <f ca="1">IF(Tableau1[[#This Row],[date fin]]&lt;&gt;0,Tableau1[[#This Row],[date fin]],IF(Tableau1[[#This Row],[type]]="travail",TODAY(),""))</f>
        <v/>
      </c>
      <c r="J106" t="str">
        <f t="shared" si="5"/>
        <v/>
      </c>
    </row>
    <row r="107" spans="1:10">
      <c r="A107" s="280"/>
      <c r="B107" s="281"/>
      <c r="C107" s="248"/>
      <c r="D107" s="259"/>
      <c r="E107" s="70" t="str">
        <f>IF(Tableau1[[#This Row],[date debut]]=0,"",IF(Tableau1[[#This Row],[date fin]]=0,"",Tableau1[[#This Row],[Colonne1]]-Tableau1[[#This Row],[date debut]]+1))</f>
        <v/>
      </c>
      <c r="F107" s="70" t="str">
        <f>IF(Tableau1[[#This Row],[date debut]]=0,"",IF(Tableau1[[#This Row],[date fin]]=0,IF(Tableau1[[#This Row],[type]]="travail",Tableau1[[#This Row],[Colonne1]]-Tableau1[[#This Row],[date debut]]+1,""),""))</f>
        <v/>
      </c>
      <c r="G107" s="318" t="str">
        <f>CONCATENATE(Tableau1[[#This Row],[Jours1]],"",Tableau1[[#This Row],[jours2]])</f>
        <v/>
      </c>
      <c r="H107" s="318" t="str">
        <f t="shared" ca="1" si="6"/>
        <v/>
      </c>
      <c r="I107" s="99" t="str">
        <f ca="1">IF(Tableau1[[#This Row],[date fin]]&lt;&gt;0,Tableau1[[#This Row],[date fin]],IF(Tableau1[[#This Row],[type]]="travail",TODAY(),""))</f>
        <v/>
      </c>
      <c r="J107" t="str">
        <f t="shared" si="5"/>
        <v/>
      </c>
    </row>
    <row r="108" spans="1:10">
      <c r="A108" s="280"/>
      <c r="B108" s="281"/>
      <c r="C108" s="248"/>
      <c r="D108" s="259"/>
      <c r="E108" s="70" t="str">
        <f>IF(Tableau1[[#This Row],[date debut]]=0,"",IF(Tableau1[[#This Row],[date fin]]=0,"",Tableau1[[#This Row],[Colonne1]]-Tableau1[[#This Row],[date debut]]+1))</f>
        <v/>
      </c>
      <c r="F108" s="70" t="str">
        <f>IF(Tableau1[[#This Row],[date debut]]=0,"",IF(Tableau1[[#This Row],[date fin]]=0,IF(Tableau1[[#This Row],[type]]="travail",Tableau1[[#This Row],[Colonne1]]-Tableau1[[#This Row],[date debut]]+1,""),""))</f>
        <v/>
      </c>
      <c r="G108" s="318" t="str">
        <f>CONCATENATE(Tableau1[[#This Row],[Jours1]],"",Tableau1[[#This Row],[jours2]])</f>
        <v/>
      </c>
      <c r="H108" s="318" t="str">
        <f t="shared" ca="1" si="6"/>
        <v/>
      </c>
      <c r="I108" s="99" t="str">
        <f ca="1">IF(Tableau1[[#This Row],[date fin]]&lt;&gt;0,Tableau1[[#This Row],[date fin]],IF(Tableau1[[#This Row],[type]]="travail",TODAY(),""))</f>
        <v/>
      </c>
      <c r="J108" t="str">
        <f t="shared" si="5"/>
        <v/>
      </c>
    </row>
    <row r="109" spans="1:10">
      <c r="A109" s="280"/>
      <c r="B109" s="281"/>
      <c r="C109" s="248"/>
      <c r="D109" s="259"/>
      <c r="E109" s="70" t="str">
        <f>IF(Tableau1[[#This Row],[date debut]]=0,"",IF(Tableau1[[#This Row],[date fin]]=0,"",Tableau1[[#This Row],[Colonne1]]-Tableau1[[#This Row],[date debut]]+1))</f>
        <v/>
      </c>
      <c r="F109" s="70" t="str">
        <f>IF(Tableau1[[#This Row],[date debut]]=0,"",IF(Tableau1[[#This Row],[date fin]]=0,IF(Tableau1[[#This Row],[type]]="travail",Tableau1[[#This Row],[Colonne1]]-Tableau1[[#This Row],[date debut]]+1,""),""))</f>
        <v/>
      </c>
      <c r="G109" s="318" t="str">
        <f>CONCATENATE(Tableau1[[#This Row],[Jours1]],"",Tableau1[[#This Row],[jours2]])</f>
        <v/>
      </c>
      <c r="H109" s="318" t="str">
        <f t="shared" ca="1" si="6"/>
        <v/>
      </c>
      <c r="I109" s="99" t="str">
        <f ca="1">IF(Tableau1[[#This Row],[date fin]]&lt;&gt;0,Tableau1[[#This Row],[date fin]],IF(Tableau1[[#This Row],[type]]="travail",TODAY(),""))</f>
        <v/>
      </c>
      <c r="J109" t="str">
        <f t="shared" si="5"/>
        <v/>
      </c>
    </row>
    <row r="110" spans="1:10">
      <c r="A110" s="280"/>
      <c r="B110" s="281"/>
      <c r="C110" s="248"/>
      <c r="D110" s="259"/>
      <c r="E110" s="70" t="str">
        <f>IF(Tableau1[[#This Row],[date debut]]=0,"",IF(Tableau1[[#This Row],[date fin]]=0,"",Tableau1[[#This Row],[Colonne1]]-Tableau1[[#This Row],[date debut]]+1))</f>
        <v/>
      </c>
      <c r="F110" s="70" t="str">
        <f>IF(Tableau1[[#This Row],[date debut]]=0,"",IF(Tableau1[[#This Row],[date fin]]=0,IF(Tableau1[[#This Row],[type]]="travail",Tableau1[[#This Row],[Colonne1]]-Tableau1[[#This Row],[date debut]]+1,""),""))</f>
        <v/>
      </c>
      <c r="G110" s="318" t="str">
        <f>CONCATENATE(Tableau1[[#This Row],[Jours1]],"",Tableau1[[#This Row],[jours2]])</f>
        <v/>
      </c>
      <c r="H110" s="318" t="str">
        <f t="shared" ca="1" si="6"/>
        <v/>
      </c>
      <c r="I110" s="99" t="str">
        <f ca="1">IF(Tableau1[[#This Row],[date fin]]&lt;&gt;0,Tableau1[[#This Row],[date fin]],IF(Tableau1[[#This Row],[type]]="travail",TODAY(),""))</f>
        <v/>
      </c>
      <c r="J110" t="str">
        <f t="shared" si="5"/>
        <v/>
      </c>
    </row>
    <row r="111" spans="1:10">
      <c r="A111" s="280"/>
      <c r="B111" s="281"/>
      <c r="C111" s="248"/>
      <c r="D111" s="259"/>
      <c r="E111" s="70" t="str">
        <f>IF(Tableau1[[#This Row],[date debut]]=0,"",IF(Tableau1[[#This Row],[date fin]]=0,"",Tableau1[[#This Row],[Colonne1]]-Tableau1[[#This Row],[date debut]]+1))</f>
        <v/>
      </c>
      <c r="F111" s="70" t="str">
        <f>IF(Tableau1[[#This Row],[date debut]]=0,"",IF(Tableau1[[#This Row],[date fin]]=0,IF(Tableau1[[#This Row],[type]]="travail",Tableau1[[#This Row],[Colonne1]]-Tableau1[[#This Row],[date debut]]+1,""),""))</f>
        <v/>
      </c>
      <c r="G111" s="318" t="str">
        <f>CONCATENATE(Tableau1[[#This Row],[Jours1]],"",Tableau1[[#This Row],[jours2]])</f>
        <v/>
      </c>
      <c r="H111" s="318" t="str">
        <f t="shared" ca="1" si="6"/>
        <v/>
      </c>
      <c r="I111" s="99" t="str">
        <f ca="1">IF(Tableau1[[#This Row],[date fin]]&lt;&gt;0,Tableau1[[#This Row],[date fin]],IF(Tableau1[[#This Row],[type]]="travail",TODAY(),""))</f>
        <v/>
      </c>
      <c r="J111" t="str">
        <f t="shared" si="5"/>
        <v/>
      </c>
    </row>
    <row r="112" spans="1:10">
      <c r="A112" s="280"/>
      <c r="B112" s="281"/>
      <c r="C112" s="248"/>
      <c r="D112" s="259"/>
      <c r="E112" s="70" t="str">
        <f>IF(Tableau1[[#This Row],[date debut]]=0,"",IF(Tableau1[[#This Row],[date fin]]=0,"",Tableau1[[#This Row],[Colonne1]]-Tableau1[[#This Row],[date debut]]+1))</f>
        <v/>
      </c>
      <c r="F112" s="70" t="str">
        <f>IF(Tableau1[[#This Row],[date debut]]=0,"",IF(Tableau1[[#This Row],[date fin]]=0,IF(Tableau1[[#This Row],[type]]="travail",Tableau1[[#This Row],[Colonne1]]-Tableau1[[#This Row],[date debut]]+1,""),""))</f>
        <v/>
      </c>
      <c r="G112" s="318" t="str">
        <f>CONCATENATE(Tableau1[[#This Row],[Jours1]],"",Tableau1[[#This Row],[jours2]])</f>
        <v/>
      </c>
      <c r="H112" s="318" t="str">
        <f t="shared" ca="1" si="6"/>
        <v/>
      </c>
      <c r="I112" s="99" t="str">
        <f ca="1">IF(Tableau1[[#This Row],[date fin]]&lt;&gt;0,Tableau1[[#This Row],[date fin]],IF(Tableau1[[#This Row],[type]]="travail",TODAY(),""))</f>
        <v/>
      </c>
      <c r="J112" t="str">
        <f t="shared" si="5"/>
        <v/>
      </c>
    </row>
    <row r="113" spans="1:10">
      <c r="A113" s="280"/>
      <c r="B113" s="281"/>
      <c r="C113" s="248"/>
      <c r="D113" s="259"/>
      <c r="E113" s="70" t="str">
        <f>IF(Tableau1[[#This Row],[date debut]]=0,"",IF(Tableau1[[#This Row],[date fin]]=0,"",Tableau1[[#This Row],[Colonne1]]-Tableau1[[#This Row],[date debut]]+1))</f>
        <v/>
      </c>
      <c r="F113" s="70" t="str">
        <f>IF(Tableau1[[#This Row],[date debut]]=0,"",IF(Tableau1[[#This Row],[date fin]]=0,IF(Tableau1[[#This Row],[type]]="travail",Tableau1[[#This Row],[Colonne1]]-Tableau1[[#This Row],[date debut]]+1,""),""))</f>
        <v/>
      </c>
      <c r="G113" s="318" t="str">
        <f>CONCATENATE(Tableau1[[#This Row],[Jours1]],"",Tableau1[[#This Row],[jours2]])</f>
        <v/>
      </c>
      <c r="H113" s="318" t="str">
        <f t="shared" ca="1" si="6"/>
        <v/>
      </c>
      <c r="I113" s="99" t="str">
        <f ca="1">IF(Tableau1[[#This Row],[date fin]]&lt;&gt;0,Tableau1[[#This Row],[date fin]],IF(Tableau1[[#This Row],[type]]="travail",TODAY(),""))</f>
        <v/>
      </c>
      <c r="J113" t="str">
        <f t="shared" si="5"/>
        <v/>
      </c>
    </row>
    <row r="114" spans="1:10">
      <c r="A114" s="280"/>
      <c r="B114" s="281"/>
      <c r="C114" s="248"/>
      <c r="D114" s="259"/>
      <c r="E114" s="70" t="str">
        <f>IF(Tableau1[[#This Row],[date debut]]=0,"",IF(Tableau1[[#This Row],[date fin]]=0,"",Tableau1[[#This Row],[Colonne1]]-Tableau1[[#This Row],[date debut]]+1))</f>
        <v/>
      </c>
      <c r="F114" s="70" t="str">
        <f>IF(Tableau1[[#This Row],[date debut]]=0,"",IF(Tableau1[[#This Row],[date fin]]=0,IF(Tableau1[[#This Row],[type]]="travail",Tableau1[[#This Row],[Colonne1]]-Tableau1[[#This Row],[date debut]]+1,""),""))</f>
        <v/>
      </c>
      <c r="G114" s="318" t="str">
        <f>CONCATENATE(Tableau1[[#This Row],[Jours1]],"",Tableau1[[#This Row],[jours2]])</f>
        <v/>
      </c>
      <c r="H114" s="318" t="str">
        <f t="shared" ca="1" si="6"/>
        <v/>
      </c>
      <c r="I114" s="99" t="str">
        <f ca="1">IF(Tableau1[[#This Row],[date fin]]&lt;&gt;0,Tableau1[[#This Row],[date fin]],IF(Tableau1[[#This Row],[type]]="travail",TODAY(),""))</f>
        <v/>
      </c>
      <c r="J114" t="str">
        <f t="shared" si="5"/>
        <v/>
      </c>
    </row>
    <row r="115" spans="1:10">
      <c r="A115" s="280"/>
      <c r="B115" s="281"/>
      <c r="C115" s="248"/>
      <c r="D115" s="259"/>
      <c r="E115" s="70" t="str">
        <f>IF(Tableau1[[#This Row],[date debut]]=0,"",IF(Tableau1[[#This Row],[date fin]]=0,"",Tableau1[[#This Row],[Colonne1]]-Tableau1[[#This Row],[date debut]]+1))</f>
        <v/>
      </c>
      <c r="F115" s="70" t="str">
        <f>IF(Tableau1[[#This Row],[date debut]]=0,"",IF(Tableau1[[#This Row],[date fin]]=0,IF(Tableau1[[#This Row],[type]]="travail",Tableau1[[#This Row],[Colonne1]]-Tableau1[[#This Row],[date debut]]+1,""),""))</f>
        <v/>
      </c>
      <c r="G115" s="318" t="str">
        <f>CONCATENATE(Tableau1[[#This Row],[Jours1]],"",Tableau1[[#This Row],[jours2]])</f>
        <v/>
      </c>
      <c r="H115" s="318" t="str">
        <f t="shared" ca="1" si="6"/>
        <v/>
      </c>
      <c r="I115" s="99" t="str">
        <f ca="1">IF(Tableau1[[#This Row],[date fin]]&lt;&gt;0,Tableau1[[#This Row],[date fin]],IF(Tableau1[[#This Row],[type]]="travail",TODAY(),""))</f>
        <v/>
      </c>
      <c r="J115" t="str">
        <f t="shared" si="5"/>
        <v/>
      </c>
    </row>
    <row r="116" spans="1:10">
      <c r="A116" s="280"/>
      <c r="B116" s="281"/>
      <c r="C116" s="248"/>
      <c r="D116" s="259"/>
      <c r="E116" s="70" t="str">
        <f>IF(Tableau1[[#This Row],[date debut]]=0,"",IF(Tableau1[[#This Row],[date fin]]=0,"",Tableau1[[#This Row],[Colonne1]]-Tableau1[[#This Row],[date debut]]+1))</f>
        <v/>
      </c>
      <c r="F116" s="70" t="str">
        <f>IF(Tableau1[[#This Row],[date debut]]=0,"",IF(Tableau1[[#This Row],[date fin]]=0,IF(Tableau1[[#This Row],[type]]="travail",Tableau1[[#This Row],[Colonne1]]-Tableau1[[#This Row],[date debut]]+1,""),""))</f>
        <v/>
      </c>
      <c r="G116" s="318" t="str">
        <f>CONCATENATE(Tableau1[[#This Row],[Jours1]],"",Tableau1[[#This Row],[jours2]])</f>
        <v/>
      </c>
      <c r="H116" s="318" t="str">
        <f t="shared" ca="1" si="6"/>
        <v/>
      </c>
      <c r="I116" s="99" t="str">
        <f ca="1">IF(Tableau1[[#This Row],[date fin]]&lt;&gt;0,Tableau1[[#This Row],[date fin]],IF(Tableau1[[#This Row],[type]]="travail",TODAY(),""))</f>
        <v/>
      </c>
      <c r="J116" t="str">
        <f t="shared" si="5"/>
        <v/>
      </c>
    </row>
    <row r="117" spans="1:10">
      <c r="A117" s="280"/>
      <c r="B117" s="281"/>
      <c r="C117" s="248"/>
      <c r="D117" s="259"/>
      <c r="E117" s="70" t="str">
        <f>IF(Tableau1[[#This Row],[date debut]]=0,"",IF(Tableau1[[#This Row],[date fin]]=0,"",Tableau1[[#This Row],[Colonne1]]-Tableau1[[#This Row],[date debut]]+1))</f>
        <v/>
      </c>
      <c r="F117" s="70" t="str">
        <f>IF(Tableau1[[#This Row],[date debut]]=0,"",IF(Tableau1[[#This Row],[date fin]]=0,IF(Tableau1[[#This Row],[type]]="travail",Tableau1[[#This Row],[Colonne1]]-Tableau1[[#This Row],[date debut]]+1,""),""))</f>
        <v/>
      </c>
      <c r="G117" s="318" t="str">
        <f>CONCATENATE(Tableau1[[#This Row],[Jours1]],"",Tableau1[[#This Row],[jours2]])</f>
        <v/>
      </c>
      <c r="H117" s="318" t="str">
        <f t="shared" ca="1" si="6"/>
        <v/>
      </c>
      <c r="I117" s="99" t="str">
        <f ca="1">IF(Tableau1[[#This Row],[date fin]]&lt;&gt;0,Tableau1[[#This Row],[date fin]],IF(Tableau1[[#This Row],[type]]="travail",TODAY(),""))</f>
        <v/>
      </c>
      <c r="J117" t="str">
        <f t="shared" si="5"/>
        <v/>
      </c>
    </row>
    <row r="118" spans="1:10">
      <c r="A118" s="280"/>
      <c r="B118" s="281"/>
      <c r="C118" s="248"/>
      <c r="D118" s="259"/>
      <c r="E118" s="70" t="str">
        <f>IF(Tableau1[[#This Row],[date debut]]=0,"",IF(Tableau1[[#This Row],[date fin]]=0,"",Tableau1[[#This Row],[Colonne1]]-Tableau1[[#This Row],[date debut]]+1))</f>
        <v/>
      </c>
      <c r="F118" s="70" t="str">
        <f>IF(Tableau1[[#This Row],[date debut]]=0,"",IF(Tableau1[[#This Row],[date fin]]=0,IF(Tableau1[[#This Row],[type]]="travail",Tableau1[[#This Row],[Colonne1]]-Tableau1[[#This Row],[date debut]]+1,""),""))</f>
        <v/>
      </c>
      <c r="G118" s="318" t="str">
        <f>CONCATENATE(Tableau1[[#This Row],[Jours1]],"",Tableau1[[#This Row],[jours2]])</f>
        <v/>
      </c>
      <c r="H118" s="318" t="str">
        <f t="shared" ca="1" si="6"/>
        <v/>
      </c>
      <c r="I118" s="99" t="str">
        <f ca="1">IF(Tableau1[[#This Row],[date fin]]&lt;&gt;0,Tableau1[[#This Row],[date fin]],IF(Tableau1[[#This Row],[type]]="travail",TODAY(),""))</f>
        <v/>
      </c>
      <c r="J118" t="str">
        <f t="shared" si="5"/>
        <v/>
      </c>
    </row>
    <row r="119" spans="1:10">
      <c r="A119" s="280"/>
      <c r="B119" s="281"/>
      <c r="C119" s="248"/>
      <c r="D119" s="259"/>
      <c r="E119" s="70" t="str">
        <f>IF(Tableau1[[#This Row],[date debut]]=0,"",IF(Tableau1[[#This Row],[date fin]]=0,"",Tableau1[[#This Row],[Colonne1]]-Tableau1[[#This Row],[date debut]]+1))</f>
        <v/>
      </c>
      <c r="F119" s="70" t="str">
        <f>IF(Tableau1[[#This Row],[date debut]]=0,"",IF(Tableau1[[#This Row],[date fin]]=0,IF(Tableau1[[#This Row],[type]]="travail",Tableau1[[#This Row],[Colonne1]]-Tableau1[[#This Row],[date debut]]+1,""),""))</f>
        <v/>
      </c>
      <c r="G119" s="318" t="str">
        <f>CONCATENATE(Tableau1[[#This Row],[Jours1]],"",Tableau1[[#This Row],[jours2]])</f>
        <v/>
      </c>
      <c r="H119" s="318" t="str">
        <f t="shared" ca="1" si="6"/>
        <v/>
      </c>
      <c r="I119" s="99" t="str">
        <f ca="1">IF(Tableau1[[#This Row],[date fin]]&lt;&gt;0,Tableau1[[#This Row],[date fin]],IF(Tableau1[[#This Row],[type]]="travail",TODAY(),""))</f>
        <v/>
      </c>
      <c r="J119" t="str">
        <f t="shared" si="5"/>
        <v/>
      </c>
    </row>
    <row r="120" spans="1:10">
      <c r="A120" s="280"/>
      <c r="B120" s="281"/>
      <c r="C120" s="248"/>
      <c r="D120" s="259"/>
      <c r="E120" s="70" t="str">
        <f>IF(Tableau1[[#This Row],[date debut]]=0,"",IF(Tableau1[[#This Row],[date fin]]=0,"",Tableau1[[#This Row],[Colonne1]]-Tableau1[[#This Row],[date debut]]+1))</f>
        <v/>
      </c>
      <c r="F120" s="70" t="str">
        <f>IF(Tableau1[[#This Row],[date debut]]=0,"",IF(Tableau1[[#This Row],[date fin]]=0,IF(Tableau1[[#This Row],[type]]="travail",Tableau1[[#This Row],[Colonne1]]-Tableau1[[#This Row],[date debut]]+1,""),""))</f>
        <v/>
      </c>
      <c r="G120" s="318" t="str">
        <f>CONCATENATE(Tableau1[[#This Row],[Jours1]],"",Tableau1[[#This Row],[jours2]])</f>
        <v/>
      </c>
      <c r="H120" s="318" t="str">
        <f t="shared" ca="1" si="6"/>
        <v/>
      </c>
      <c r="I120" s="99" t="str">
        <f ca="1">IF(Tableau1[[#This Row],[date fin]]&lt;&gt;0,Tableau1[[#This Row],[date fin]],IF(Tableau1[[#This Row],[type]]="travail",TODAY(),""))</f>
        <v/>
      </c>
      <c r="J120" t="str">
        <f t="shared" si="5"/>
        <v/>
      </c>
    </row>
    <row r="121" spans="1:10">
      <c r="A121" s="280"/>
      <c r="B121" s="281"/>
      <c r="C121" s="248"/>
      <c r="D121" s="259"/>
      <c r="E121" s="70" t="str">
        <f>IF(Tableau1[[#This Row],[date debut]]=0,"",IF(Tableau1[[#This Row],[date fin]]=0,"",Tableau1[[#This Row],[Colonne1]]-Tableau1[[#This Row],[date debut]]+1))</f>
        <v/>
      </c>
      <c r="F121" s="70" t="str">
        <f>IF(Tableau1[[#This Row],[date debut]]=0,"",IF(Tableau1[[#This Row],[date fin]]=0,IF(Tableau1[[#This Row],[type]]="travail",Tableau1[[#This Row],[Colonne1]]-Tableau1[[#This Row],[date debut]]+1,""),""))</f>
        <v/>
      </c>
      <c r="G121" s="318" t="str">
        <f>CONCATENATE(Tableau1[[#This Row],[Jours1]],"",Tableau1[[#This Row],[jours2]])</f>
        <v/>
      </c>
      <c r="H121" s="318" t="str">
        <f t="shared" ca="1" si="6"/>
        <v/>
      </c>
      <c r="I121" s="99" t="str">
        <f ca="1">IF(Tableau1[[#This Row],[date fin]]&lt;&gt;0,Tableau1[[#This Row],[date fin]],IF(Tableau1[[#This Row],[type]]="travail",TODAY(),""))</f>
        <v/>
      </c>
      <c r="J121" t="str">
        <f t="shared" si="5"/>
        <v/>
      </c>
    </row>
    <row r="122" spans="1:10">
      <c r="A122" s="280"/>
      <c r="B122" s="281"/>
      <c r="C122" s="248"/>
      <c r="D122" s="259"/>
      <c r="E122" s="70" t="str">
        <f>IF(Tableau1[[#This Row],[date debut]]=0,"",IF(Tableau1[[#This Row],[date fin]]=0,"",Tableau1[[#This Row],[Colonne1]]-Tableau1[[#This Row],[date debut]]+1))</f>
        <v/>
      </c>
      <c r="F122" s="70" t="str">
        <f>IF(Tableau1[[#This Row],[date debut]]=0,"",IF(Tableau1[[#This Row],[date fin]]=0,IF(Tableau1[[#This Row],[type]]="travail",Tableau1[[#This Row],[Colonne1]]-Tableau1[[#This Row],[date debut]]+1,""),""))</f>
        <v/>
      </c>
      <c r="G122" s="318" t="str">
        <f>CONCATENATE(Tableau1[[#This Row],[Jours1]],"",Tableau1[[#This Row],[jours2]])</f>
        <v/>
      </c>
      <c r="H122" s="318" t="str">
        <f t="shared" ca="1" si="6"/>
        <v/>
      </c>
      <c r="I122" s="99" t="str">
        <f ca="1">IF(Tableau1[[#This Row],[date fin]]&lt;&gt;0,Tableau1[[#This Row],[date fin]],IF(Tableau1[[#This Row],[type]]="travail",TODAY(),""))</f>
        <v/>
      </c>
      <c r="J122" t="str">
        <f t="shared" si="5"/>
        <v/>
      </c>
    </row>
    <row r="123" spans="1:10">
      <c r="A123" s="280"/>
      <c r="B123" s="281"/>
      <c r="C123" s="248"/>
      <c r="D123" s="259"/>
      <c r="E123" s="70" t="str">
        <f>IF(Tableau1[[#This Row],[date debut]]=0,"",IF(Tableau1[[#This Row],[date fin]]=0,"",Tableau1[[#This Row],[Colonne1]]-Tableau1[[#This Row],[date debut]]+1))</f>
        <v/>
      </c>
      <c r="F123" s="70" t="str">
        <f>IF(Tableau1[[#This Row],[date debut]]=0,"",IF(Tableau1[[#This Row],[date fin]]=0,IF(Tableau1[[#This Row],[type]]="travail",Tableau1[[#This Row],[Colonne1]]-Tableau1[[#This Row],[date debut]]+1,""),""))</f>
        <v/>
      </c>
      <c r="G123" s="318" t="str">
        <f>CONCATENATE(Tableau1[[#This Row],[Jours1]],"",Tableau1[[#This Row],[jours2]])</f>
        <v/>
      </c>
      <c r="H123" s="318" t="str">
        <f t="shared" ca="1" si="6"/>
        <v/>
      </c>
      <c r="I123" s="99" t="str">
        <f ca="1">IF(Tableau1[[#This Row],[date fin]]&lt;&gt;0,Tableau1[[#This Row],[date fin]],IF(Tableau1[[#This Row],[type]]="travail",TODAY(),""))</f>
        <v/>
      </c>
      <c r="J123" t="str">
        <f t="shared" si="5"/>
        <v/>
      </c>
    </row>
    <row r="124" spans="1:10">
      <c r="A124" s="280"/>
      <c r="B124" s="281"/>
      <c r="C124" s="248"/>
      <c r="D124" s="259"/>
      <c r="E124" s="70" t="str">
        <f>IF(Tableau1[[#This Row],[date debut]]=0,"",IF(Tableau1[[#This Row],[date fin]]=0,"",Tableau1[[#This Row],[Colonne1]]-Tableau1[[#This Row],[date debut]]+1))</f>
        <v/>
      </c>
      <c r="F124" s="70" t="str">
        <f>IF(Tableau1[[#This Row],[date debut]]=0,"",IF(Tableau1[[#This Row],[date fin]]=0,IF(Tableau1[[#This Row],[type]]="travail",Tableau1[[#This Row],[Colonne1]]-Tableau1[[#This Row],[date debut]]+1,""),""))</f>
        <v/>
      </c>
      <c r="G124" s="318" t="str">
        <f>CONCATENATE(Tableau1[[#This Row],[Jours1]],"",Tableau1[[#This Row],[jours2]])</f>
        <v/>
      </c>
      <c r="H124" s="318" t="str">
        <f t="shared" ca="1" si="6"/>
        <v/>
      </c>
      <c r="I124" s="99" t="str">
        <f ca="1">IF(Tableau1[[#This Row],[date fin]]&lt;&gt;0,Tableau1[[#This Row],[date fin]],IF(Tableau1[[#This Row],[type]]="travail",TODAY(),""))</f>
        <v/>
      </c>
      <c r="J124" t="str">
        <f t="shared" si="5"/>
        <v/>
      </c>
    </row>
    <row r="125" spans="1:10">
      <c r="A125" s="280"/>
      <c r="B125" s="281"/>
      <c r="C125" s="248"/>
      <c r="D125" s="259"/>
      <c r="E125" s="70" t="str">
        <f>IF(Tableau1[[#This Row],[date debut]]=0,"",IF(Tableau1[[#This Row],[date fin]]=0,"",Tableau1[[#This Row],[Colonne1]]-Tableau1[[#This Row],[date debut]]+1))</f>
        <v/>
      </c>
      <c r="F125" s="70" t="str">
        <f>IF(Tableau1[[#This Row],[date debut]]=0,"",IF(Tableau1[[#This Row],[date fin]]=0,IF(Tableau1[[#This Row],[type]]="travail",Tableau1[[#This Row],[Colonne1]]-Tableau1[[#This Row],[date debut]]+1,""),""))</f>
        <v/>
      </c>
      <c r="G125" s="318" t="str">
        <f>CONCATENATE(Tableau1[[#This Row],[Jours1]],"",Tableau1[[#This Row],[jours2]])</f>
        <v/>
      </c>
      <c r="H125" s="318" t="str">
        <f t="shared" ca="1" si="6"/>
        <v/>
      </c>
      <c r="I125" s="99" t="str">
        <f ca="1">IF(Tableau1[[#This Row],[date fin]]&lt;&gt;0,Tableau1[[#This Row],[date fin]],IF(Tableau1[[#This Row],[type]]="travail",TODAY(),""))</f>
        <v/>
      </c>
      <c r="J125" t="str">
        <f t="shared" si="5"/>
        <v/>
      </c>
    </row>
    <row r="126" spans="1:10">
      <c r="A126" s="280"/>
      <c r="B126" s="281"/>
      <c r="C126" s="248"/>
      <c r="D126" s="259"/>
      <c r="E126" s="70" t="str">
        <f>IF(Tableau1[[#This Row],[date debut]]=0,"",IF(Tableau1[[#This Row],[date fin]]=0,"",Tableau1[[#This Row],[Colonne1]]-Tableau1[[#This Row],[date debut]]+1))</f>
        <v/>
      </c>
      <c r="F126" s="70" t="str">
        <f>IF(Tableau1[[#This Row],[date debut]]=0,"",IF(Tableau1[[#This Row],[date fin]]=0,IF(Tableau1[[#This Row],[type]]="travail",Tableau1[[#This Row],[Colonne1]]-Tableau1[[#This Row],[date debut]]+1,""),""))</f>
        <v/>
      </c>
      <c r="G126" s="318" t="str">
        <f>CONCATENATE(Tableau1[[#This Row],[Jours1]],"",Tableau1[[#This Row],[jours2]])</f>
        <v/>
      </c>
      <c r="H126" s="318" t="str">
        <f t="shared" ca="1" si="6"/>
        <v/>
      </c>
      <c r="I126" s="99" t="str">
        <f ca="1">IF(Tableau1[[#This Row],[date fin]]&lt;&gt;0,Tableau1[[#This Row],[date fin]],IF(Tableau1[[#This Row],[type]]="travail",TODAY(),""))</f>
        <v/>
      </c>
      <c r="J126" t="str">
        <f t="shared" si="5"/>
        <v/>
      </c>
    </row>
    <row r="127" spans="1:10">
      <c r="A127" s="280"/>
      <c r="B127" s="281"/>
      <c r="C127" s="248"/>
      <c r="D127" s="259"/>
      <c r="E127" s="70" t="str">
        <f>IF(Tableau1[[#This Row],[date debut]]=0,"",IF(Tableau1[[#This Row],[date fin]]=0,"",Tableau1[[#This Row],[Colonne1]]-Tableau1[[#This Row],[date debut]]+1))</f>
        <v/>
      </c>
      <c r="F127" s="70" t="str">
        <f>IF(Tableau1[[#This Row],[date debut]]=0,"",IF(Tableau1[[#This Row],[date fin]]=0,IF(Tableau1[[#This Row],[type]]="travail",Tableau1[[#This Row],[Colonne1]]-Tableau1[[#This Row],[date debut]]+1,""),""))</f>
        <v/>
      </c>
      <c r="G127" s="318" t="str">
        <f>CONCATENATE(Tableau1[[#This Row],[Jours1]],"",Tableau1[[#This Row],[jours2]])</f>
        <v/>
      </c>
      <c r="H127" s="318" t="str">
        <f t="shared" ca="1" si="6"/>
        <v/>
      </c>
      <c r="I127" s="99" t="str">
        <f ca="1">IF(Tableau1[[#This Row],[date fin]]&lt;&gt;0,Tableau1[[#This Row],[date fin]],IF(Tableau1[[#This Row],[type]]="travail",TODAY(),""))</f>
        <v/>
      </c>
      <c r="J127" t="str">
        <f t="shared" si="5"/>
        <v/>
      </c>
    </row>
    <row r="128" spans="1:10">
      <c r="A128" s="280"/>
      <c r="B128" s="281"/>
      <c r="C128" s="248"/>
      <c r="D128" s="259"/>
      <c r="E128" s="70" t="str">
        <f>IF(Tableau1[[#This Row],[date debut]]=0,"",IF(Tableau1[[#This Row],[date fin]]=0,"",Tableau1[[#This Row],[Colonne1]]-Tableau1[[#This Row],[date debut]]+1))</f>
        <v/>
      </c>
      <c r="F128" s="70" t="str">
        <f>IF(Tableau1[[#This Row],[date debut]]=0,"",IF(Tableau1[[#This Row],[date fin]]=0,IF(Tableau1[[#This Row],[type]]="travail",Tableau1[[#This Row],[Colonne1]]-Tableau1[[#This Row],[date debut]]+1,""),""))</f>
        <v/>
      </c>
      <c r="G128" s="318" t="str">
        <f>CONCATENATE(Tableau1[[#This Row],[Jours1]],"",Tableau1[[#This Row],[jours2]])</f>
        <v/>
      </c>
      <c r="H128" s="318" t="str">
        <f t="shared" ca="1" si="6"/>
        <v/>
      </c>
      <c r="I128" s="99" t="str">
        <f ca="1">IF(Tableau1[[#This Row],[date fin]]&lt;&gt;0,Tableau1[[#This Row],[date fin]],IF(Tableau1[[#This Row],[type]]="travail",TODAY(),""))</f>
        <v/>
      </c>
      <c r="J128" t="str">
        <f t="shared" si="5"/>
        <v/>
      </c>
    </row>
    <row r="129" spans="1:10">
      <c r="A129" s="280"/>
      <c r="B129" s="281"/>
      <c r="C129" s="248"/>
      <c r="D129" s="259"/>
      <c r="E129" s="70" t="str">
        <f>IF(Tableau1[[#This Row],[date debut]]=0,"",IF(Tableau1[[#This Row],[date fin]]=0,"",Tableau1[[#This Row],[Colonne1]]-Tableau1[[#This Row],[date debut]]+1))</f>
        <v/>
      </c>
      <c r="F129" s="70" t="str">
        <f>IF(Tableau1[[#This Row],[date debut]]=0,"",IF(Tableau1[[#This Row],[date fin]]=0,IF(Tableau1[[#This Row],[type]]="travail",Tableau1[[#This Row],[Colonne1]]-Tableau1[[#This Row],[date debut]]+1,""),""))</f>
        <v/>
      </c>
      <c r="G129" s="318" t="str">
        <f>CONCATENATE(Tableau1[[#This Row],[Jours1]],"",Tableau1[[#This Row],[jours2]])</f>
        <v/>
      </c>
      <c r="H129" s="318" t="str">
        <f t="shared" ca="1" si="6"/>
        <v/>
      </c>
      <c r="I129" s="99" t="str">
        <f ca="1">IF(Tableau1[[#This Row],[date fin]]&lt;&gt;0,Tableau1[[#This Row],[date fin]],IF(Tableau1[[#This Row],[type]]="travail",TODAY(),""))</f>
        <v/>
      </c>
      <c r="J129" t="str">
        <f t="shared" si="5"/>
        <v/>
      </c>
    </row>
    <row r="130" spans="1:10">
      <c r="A130" s="280"/>
      <c r="B130" s="281"/>
      <c r="C130" s="248"/>
      <c r="D130" s="259"/>
      <c r="E130" s="70" t="str">
        <f>IF(Tableau1[[#This Row],[date debut]]=0,"",IF(Tableau1[[#This Row],[date fin]]=0,"",Tableau1[[#This Row],[Colonne1]]-Tableau1[[#This Row],[date debut]]+1))</f>
        <v/>
      </c>
      <c r="F130" s="70" t="str">
        <f>IF(Tableau1[[#This Row],[date debut]]=0,"",IF(Tableau1[[#This Row],[date fin]]=0,IF(Tableau1[[#This Row],[type]]="travail",Tableau1[[#This Row],[Colonne1]]-Tableau1[[#This Row],[date debut]]+1,""),""))</f>
        <v/>
      </c>
      <c r="G130" s="318" t="str">
        <f>CONCATENATE(Tableau1[[#This Row],[Jours1]],"",Tableau1[[#This Row],[jours2]])</f>
        <v/>
      </c>
      <c r="H130" s="318" t="str">
        <f t="shared" ca="1" si="6"/>
        <v/>
      </c>
      <c r="I130" s="99" t="str">
        <f ca="1">IF(Tableau1[[#This Row],[date fin]]&lt;&gt;0,Tableau1[[#This Row],[date fin]],IF(Tableau1[[#This Row],[type]]="travail",TODAY(),""))</f>
        <v/>
      </c>
      <c r="J130" t="str">
        <f t="shared" si="5"/>
        <v/>
      </c>
    </row>
    <row r="131" spans="1:10">
      <c r="A131" s="280"/>
      <c r="B131" s="281"/>
      <c r="C131" s="248"/>
      <c r="D131" s="259"/>
      <c r="E131" s="70" t="str">
        <f>IF(Tableau1[[#This Row],[date debut]]=0,"",IF(Tableau1[[#This Row],[date fin]]=0,"",Tableau1[[#This Row],[Colonne1]]-Tableau1[[#This Row],[date debut]]+1))</f>
        <v/>
      </c>
      <c r="F131" s="70" t="str">
        <f>IF(Tableau1[[#This Row],[date debut]]=0,"",IF(Tableau1[[#This Row],[date fin]]=0,IF(Tableau1[[#This Row],[type]]="travail",Tableau1[[#This Row],[Colonne1]]-Tableau1[[#This Row],[date debut]]+1,""),""))</f>
        <v/>
      </c>
      <c r="G131" s="318" t="str">
        <f>CONCATENATE(Tableau1[[#This Row],[Jours1]],"",Tableau1[[#This Row],[jours2]])</f>
        <v/>
      </c>
      <c r="H131" s="318" t="str">
        <f t="shared" ref="H131:H162" ca="1" si="7">IF(I131="","",NETWORKDAYS(A131,I131))</f>
        <v/>
      </c>
      <c r="I131" s="99" t="str">
        <f ca="1">IF(Tableau1[[#This Row],[date fin]]&lt;&gt;0,Tableau1[[#This Row],[date fin]],IF(Tableau1[[#This Row],[type]]="travail",TODAY(),""))</f>
        <v/>
      </c>
      <c r="J131" t="str">
        <f t="shared" si="5"/>
        <v/>
      </c>
    </row>
    <row r="132" spans="1:10">
      <c r="A132" s="280"/>
      <c r="B132" s="281"/>
      <c r="C132" s="248"/>
      <c r="D132" s="259"/>
      <c r="E132" s="70" t="str">
        <f>IF(Tableau1[[#This Row],[date debut]]=0,"",IF(Tableau1[[#This Row],[date fin]]=0,"",Tableau1[[#This Row],[Colonne1]]-Tableau1[[#This Row],[date debut]]+1))</f>
        <v/>
      </c>
      <c r="F132" s="70" t="str">
        <f>IF(Tableau1[[#This Row],[date debut]]=0,"",IF(Tableau1[[#This Row],[date fin]]=0,IF(Tableau1[[#This Row],[type]]="travail",Tableau1[[#This Row],[Colonne1]]-Tableau1[[#This Row],[date debut]]+1,""),""))</f>
        <v/>
      </c>
      <c r="G132" s="318" t="str">
        <f>CONCATENATE(Tableau1[[#This Row],[Jours1]],"",Tableau1[[#This Row],[jours2]])</f>
        <v/>
      </c>
      <c r="H132" s="318" t="str">
        <f t="shared" ca="1" si="7"/>
        <v/>
      </c>
      <c r="I132" s="99" t="str">
        <f ca="1">IF(Tableau1[[#This Row],[date fin]]&lt;&gt;0,Tableau1[[#This Row],[date fin]],IF(Tableau1[[#This Row],[type]]="travail",TODAY(),""))</f>
        <v/>
      </c>
      <c r="J132" t="str">
        <f t="shared" ref="J132:J190" si="8">IF(ISERROR(VLOOKUP(D132,$M$3:$N$25,2,0)),"",VLOOKUP(D132,$M$3:$N$25,2,0))</f>
        <v/>
      </c>
    </row>
    <row r="133" spans="1:10">
      <c r="A133" s="280"/>
      <c r="B133" s="281"/>
      <c r="C133" s="248"/>
      <c r="D133" s="259"/>
      <c r="E133" s="70" t="str">
        <f>IF(Tableau1[[#This Row],[date debut]]=0,"",IF(Tableau1[[#This Row],[date fin]]=0,"",Tableau1[[#This Row],[Colonne1]]-Tableau1[[#This Row],[date debut]]+1))</f>
        <v/>
      </c>
      <c r="F133" s="70" t="str">
        <f>IF(Tableau1[[#This Row],[date debut]]=0,"",IF(Tableau1[[#This Row],[date fin]]=0,IF(Tableau1[[#This Row],[type]]="travail",Tableau1[[#This Row],[Colonne1]]-Tableau1[[#This Row],[date debut]]+1,""),""))</f>
        <v/>
      </c>
      <c r="G133" s="318" t="str">
        <f>CONCATENATE(Tableau1[[#This Row],[Jours1]],"",Tableau1[[#This Row],[jours2]])</f>
        <v/>
      </c>
      <c r="H133" s="318" t="str">
        <f t="shared" ca="1" si="7"/>
        <v/>
      </c>
      <c r="I133" s="99" t="str">
        <f ca="1">IF(Tableau1[[#This Row],[date fin]]&lt;&gt;0,Tableau1[[#This Row],[date fin]],IF(Tableau1[[#This Row],[type]]="travail",TODAY(),""))</f>
        <v/>
      </c>
      <c r="J133" t="str">
        <f t="shared" si="8"/>
        <v/>
      </c>
    </row>
    <row r="134" spans="1:10">
      <c r="A134" s="280"/>
      <c r="B134" s="281"/>
      <c r="C134" s="248"/>
      <c r="D134" s="259"/>
      <c r="E134" s="70" t="str">
        <f>IF(Tableau1[[#This Row],[date debut]]=0,"",IF(Tableau1[[#This Row],[date fin]]=0,"",Tableau1[[#This Row],[Colonne1]]-Tableau1[[#This Row],[date debut]]+1))</f>
        <v/>
      </c>
      <c r="F134" s="70" t="str">
        <f>IF(Tableau1[[#This Row],[date debut]]=0,"",IF(Tableau1[[#This Row],[date fin]]=0,IF(Tableau1[[#This Row],[type]]="travail",Tableau1[[#This Row],[Colonne1]]-Tableau1[[#This Row],[date debut]]+1,""),""))</f>
        <v/>
      </c>
      <c r="G134" s="318" t="str">
        <f>CONCATENATE(Tableau1[[#This Row],[Jours1]],"",Tableau1[[#This Row],[jours2]])</f>
        <v/>
      </c>
      <c r="H134" s="318" t="str">
        <f t="shared" ca="1" si="7"/>
        <v/>
      </c>
      <c r="I134" s="99" t="str">
        <f ca="1">IF(Tableau1[[#This Row],[date fin]]&lt;&gt;0,Tableau1[[#This Row],[date fin]],IF(Tableau1[[#This Row],[type]]="travail",TODAY(),""))</f>
        <v/>
      </c>
      <c r="J134" t="str">
        <f t="shared" si="8"/>
        <v/>
      </c>
    </row>
    <row r="135" spans="1:10">
      <c r="A135" s="280"/>
      <c r="B135" s="281"/>
      <c r="C135" s="248"/>
      <c r="D135" s="259"/>
      <c r="E135" s="70" t="str">
        <f>IF(Tableau1[[#This Row],[date debut]]=0,"",IF(Tableau1[[#This Row],[date fin]]=0,"",Tableau1[[#This Row],[Colonne1]]-Tableau1[[#This Row],[date debut]]+1))</f>
        <v/>
      </c>
      <c r="F135" s="70" t="str">
        <f>IF(Tableau1[[#This Row],[date debut]]=0,"",IF(Tableau1[[#This Row],[date fin]]=0,IF(Tableau1[[#This Row],[type]]="travail",Tableau1[[#This Row],[Colonne1]]-Tableau1[[#This Row],[date debut]]+1,""),""))</f>
        <v/>
      </c>
      <c r="G135" s="318" t="str">
        <f>CONCATENATE(Tableau1[[#This Row],[Jours1]],"",Tableau1[[#This Row],[jours2]])</f>
        <v/>
      </c>
      <c r="H135" s="318" t="str">
        <f t="shared" ca="1" si="7"/>
        <v/>
      </c>
      <c r="I135" s="99" t="str">
        <f ca="1">IF(Tableau1[[#This Row],[date fin]]&lt;&gt;0,Tableau1[[#This Row],[date fin]],IF(Tableau1[[#This Row],[type]]="travail",TODAY(),""))</f>
        <v/>
      </c>
      <c r="J135" t="str">
        <f t="shared" si="8"/>
        <v/>
      </c>
    </row>
    <row r="136" spans="1:10">
      <c r="A136" s="280"/>
      <c r="B136" s="281"/>
      <c r="C136" s="248"/>
      <c r="D136" s="259"/>
      <c r="E136" s="70" t="str">
        <f>IF(Tableau1[[#This Row],[date debut]]=0,"",IF(Tableau1[[#This Row],[date fin]]=0,"",Tableau1[[#This Row],[Colonne1]]-Tableau1[[#This Row],[date debut]]+1))</f>
        <v/>
      </c>
      <c r="F136" s="70" t="str">
        <f>IF(Tableau1[[#This Row],[date debut]]=0,"",IF(Tableau1[[#This Row],[date fin]]=0,IF(Tableau1[[#This Row],[type]]="travail",Tableau1[[#This Row],[Colonne1]]-Tableau1[[#This Row],[date debut]]+1,""),""))</f>
        <v/>
      </c>
      <c r="G136" s="318" t="str">
        <f>CONCATENATE(Tableau1[[#This Row],[Jours1]],"",Tableau1[[#This Row],[jours2]])</f>
        <v/>
      </c>
      <c r="H136" s="318" t="str">
        <f t="shared" ca="1" si="7"/>
        <v/>
      </c>
      <c r="I136" s="99" t="str">
        <f ca="1">IF(Tableau1[[#This Row],[date fin]]&lt;&gt;0,Tableau1[[#This Row],[date fin]],IF(Tableau1[[#This Row],[type]]="travail",TODAY(),""))</f>
        <v/>
      </c>
      <c r="J136" t="str">
        <f t="shared" si="8"/>
        <v/>
      </c>
    </row>
    <row r="137" spans="1:10">
      <c r="A137" s="280"/>
      <c r="B137" s="281"/>
      <c r="C137" s="248"/>
      <c r="D137" s="259"/>
      <c r="E137" s="70" t="str">
        <f>IF(Tableau1[[#This Row],[date debut]]=0,"",IF(Tableau1[[#This Row],[date fin]]=0,"",Tableau1[[#This Row],[Colonne1]]-Tableau1[[#This Row],[date debut]]+1))</f>
        <v/>
      </c>
      <c r="F137" s="70" t="str">
        <f>IF(Tableau1[[#This Row],[date debut]]=0,"",IF(Tableau1[[#This Row],[date fin]]=0,IF(Tableau1[[#This Row],[type]]="travail",Tableau1[[#This Row],[Colonne1]]-Tableau1[[#This Row],[date debut]]+1,""),""))</f>
        <v/>
      </c>
      <c r="G137" s="318" t="str">
        <f>CONCATENATE(Tableau1[[#This Row],[Jours1]],"",Tableau1[[#This Row],[jours2]])</f>
        <v/>
      </c>
      <c r="H137" s="318" t="str">
        <f t="shared" ca="1" si="7"/>
        <v/>
      </c>
      <c r="I137" s="99" t="str">
        <f ca="1">IF(Tableau1[[#This Row],[date fin]]&lt;&gt;0,Tableau1[[#This Row],[date fin]],IF(Tableau1[[#This Row],[type]]="travail",TODAY(),""))</f>
        <v/>
      </c>
      <c r="J137" t="str">
        <f t="shared" si="8"/>
        <v/>
      </c>
    </row>
    <row r="138" spans="1:10">
      <c r="A138" s="280"/>
      <c r="B138" s="281"/>
      <c r="C138" s="248"/>
      <c r="D138" s="259"/>
      <c r="E138" s="70" t="str">
        <f>IF(Tableau1[[#This Row],[date debut]]=0,"",IF(Tableau1[[#This Row],[date fin]]=0,"",Tableau1[[#This Row],[Colonne1]]-Tableau1[[#This Row],[date debut]]+1))</f>
        <v/>
      </c>
      <c r="F138" s="70" t="str">
        <f>IF(Tableau1[[#This Row],[date debut]]=0,"",IF(Tableau1[[#This Row],[date fin]]=0,IF(Tableau1[[#This Row],[type]]="travail",Tableau1[[#This Row],[Colonne1]]-Tableau1[[#This Row],[date debut]]+1,""),""))</f>
        <v/>
      </c>
      <c r="G138" s="318" t="str">
        <f>CONCATENATE(Tableau1[[#This Row],[Jours1]],"",Tableau1[[#This Row],[jours2]])</f>
        <v/>
      </c>
      <c r="H138" s="318" t="str">
        <f t="shared" ca="1" si="7"/>
        <v/>
      </c>
      <c r="I138" s="99" t="str">
        <f ca="1">IF(Tableau1[[#This Row],[date fin]]&lt;&gt;0,Tableau1[[#This Row],[date fin]],IF(Tableau1[[#This Row],[type]]="travail",TODAY(),""))</f>
        <v/>
      </c>
      <c r="J138" t="str">
        <f t="shared" si="8"/>
        <v/>
      </c>
    </row>
    <row r="139" spans="1:10">
      <c r="A139" s="280"/>
      <c r="B139" s="281"/>
      <c r="C139" s="248"/>
      <c r="D139" s="259"/>
      <c r="E139" s="70" t="str">
        <f>IF(Tableau1[[#This Row],[date debut]]=0,"",IF(Tableau1[[#This Row],[date fin]]=0,"",Tableau1[[#This Row],[Colonne1]]-Tableau1[[#This Row],[date debut]]+1))</f>
        <v/>
      </c>
      <c r="F139" s="70" t="str">
        <f>IF(Tableau1[[#This Row],[date debut]]=0,"",IF(Tableau1[[#This Row],[date fin]]=0,IF(Tableau1[[#This Row],[type]]="travail",Tableau1[[#This Row],[Colonne1]]-Tableau1[[#This Row],[date debut]]+1,""),""))</f>
        <v/>
      </c>
      <c r="G139" s="318" t="str">
        <f>CONCATENATE(Tableau1[[#This Row],[Jours1]],"",Tableau1[[#This Row],[jours2]])</f>
        <v/>
      </c>
      <c r="H139" s="318" t="str">
        <f t="shared" ca="1" si="7"/>
        <v/>
      </c>
      <c r="I139" s="99" t="str">
        <f ca="1">IF(Tableau1[[#This Row],[date fin]]&lt;&gt;0,Tableau1[[#This Row],[date fin]],IF(Tableau1[[#This Row],[type]]="travail",TODAY(),""))</f>
        <v/>
      </c>
      <c r="J139" t="str">
        <f t="shared" si="8"/>
        <v/>
      </c>
    </row>
    <row r="140" spans="1:10">
      <c r="A140" s="280"/>
      <c r="B140" s="281"/>
      <c r="C140" s="248"/>
      <c r="D140" s="259"/>
      <c r="E140" s="70" t="str">
        <f>IF(Tableau1[[#This Row],[date debut]]=0,"",IF(Tableau1[[#This Row],[date fin]]=0,"",Tableau1[[#This Row],[Colonne1]]-Tableau1[[#This Row],[date debut]]+1))</f>
        <v/>
      </c>
      <c r="F140" s="70" t="str">
        <f>IF(Tableau1[[#This Row],[date debut]]=0,"",IF(Tableau1[[#This Row],[date fin]]=0,IF(Tableau1[[#This Row],[type]]="travail",Tableau1[[#This Row],[Colonne1]]-Tableau1[[#This Row],[date debut]]+1,""),""))</f>
        <v/>
      </c>
      <c r="G140" s="318" t="str">
        <f>CONCATENATE(Tableau1[[#This Row],[Jours1]],"",Tableau1[[#This Row],[jours2]])</f>
        <v/>
      </c>
      <c r="H140" s="318" t="str">
        <f t="shared" ca="1" si="7"/>
        <v/>
      </c>
      <c r="I140" s="99" t="str">
        <f ca="1">IF(Tableau1[[#This Row],[date fin]]&lt;&gt;0,Tableau1[[#This Row],[date fin]],IF(Tableau1[[#This Row],[type]]="travail",TODAY(),""))</f>
        <v/>
      </c>
      <c r="J140" t="str">
        <f t="shared" si="8"/>
        <v/>
      </c>
    </row>
    <row r="141" spans="1:10">
      <c r="A141" s="280"/>
      <c r="B141" s="281"/>
      <c r="C141" s="248"/>
      <c r="D141" s="259"/>
      <c r="E141" s="70" t="str">
        <f>IF(Tableau1[[#This Row],[date debut]]=0,"",IF(Tableau1[[#This Row],[date fin]]=0,"",Tableau1[[#This Row],[Colonne1]]-Tableau1[[#This Row],[date debut]]+1))</f>
        <v/>
      </c>
      <c r="F141" s="70" t="str">
        <f>IF(Tableau1[[#This Row],[date debut]]=0,"",IF(Tableau1[[#This Row],[date fin]]=0,IF(Tableau1[[#This Row],[type]]="travail",Tableau1[[#This Row],[Colonne1]]-Tableau1[[#This Row],[date debut]]+1,""),""))</f>
        <v/>
      </c>
      <c r="G141" s="318" t="str">
        <f>CONCATENATE(Tableau1[[#This Row],[Jours1]],"",Tableau1[[#This Row],[jours2]])</f>
        <v/>
      </c>
      <c r="H141" s="318" t="str">
        <f t="shared" ca="1" si="7"/>
        <v/>
      </c>
      <c r="I141" s="99" t="str">
        <f ca="1">IF(Tableau1[[#This Row],[date fin]]&lt;&gt;0,Tableau1[[#This Row],[date fin]],IF(Tableau1[[#This Row],[type]]="travail",TODAY(),""))</f>
        <v/>
      </c>
      <c r="J141" t="str">
        <f t="shared" si="8"/>
        <v/>
      </c>
    </row>
    <row r="142" spans="1:10">
      <c r="A142" s="280"/>
      <c r="B142" s="281"/>
      <c r="C142" s="248"/>
      <c r="D142" s="259"/>
      <c r="E142" s="70" t="str">
        <f>IF(Tableau1[[#This Row],[date debut]]=0,"",IF(Tableau1[[#This Row],[date fin]]=0,"",Tableau1[[#This Row],[Colonne1]]-Tableau1[[#This Row],[date debut]]+1))</f>
        <v/>
      </c>
      <c r="F142" s="70" t="str">
        <f>IF(Tableau1[[#This Row],[date debut]]=0,"",IF(Tableau1[[#This Row],[date fin]]=0,IF(Tableau1[[#This Row],[type]]="travail",Tableau1[[#This Row],[Colonne1]]-Tableau1[[#This Row],[date debut]]+1,""),""))</f>
        <v/>
      </c>
      <c r="G142" s="318" t="str">
        <f>CONCATENATE(Tableau1[[#This Row],[Jours1]],"",Tableau1[[#This Row],[jours2]])</f>
        <v/>
      </c>
      <c r="H142" s="318" t="str">
        <f t="shared" ca="1" si="7"/>
        <v/>
      </c>
      <c r="I142" s="99" t="str">
        <f ca="1">IF(Tableau1[[#This Row],[date fin]]&lt;&gt;0,Tableau1[[#This Row],[date fin]],IF(Tableau1[[#This Row],[type]]="travail",TODAY(),""))</f>
        <v/>
      </c>
      <c r="J142" t="str">
        <f t="shared" si="8"/>
        <v/>
      </c>
    </row>
    <row r="143" spans="1:10">
      <c r="A143" s="280"/>
      <c r="B143" s="281"/>
      <c r="C143" s="248"/>
      <c r="D143" s="259"/>
      <c r="E143" s="70" t="str">
        <f>IF(Tableau1[[#This Row],[date debut]]=0,"",IF(Tableau1[[#This Row],[date fin]]=0,"",Tableau1[[#This Row],[Colonne1]]-Tableau1[[#This Row],[date debut]]+1))</f>
        <v/>
      </c>
      <c r="F143" s="70" t="str">
        <f>IF(Tableau1[[#This Row],[date debut]]=0,"",IF(Tableau1[[#This Row],[date fin]]=0,IF(Tableau1[[#This Row],[type]]="travail",Tableau1[[#This Row],[Colonne1]]-Tableau1[[#This Row],[date debut]]+1,""),""))</f>
        <v/>
      </c>
      <c r="G143" s="318" t="str">
        <f>CONCATENATE(Tableau1[[#This Row],[Jours1]],"",Tableau1[[#This Row],[jours2]])</f>
        <v/>
      </c>
      <c r="H143" s="318" t="str">
        <f t="shared" ca="1" si="7"/>
        <v/>
      </c>
      <c r="I143" s="99" t="str">
        <f ca="1">IF(Tableau1[[#This Row],[date fin]]&lt;&gt;0,Tableau1[[#This Row],[date fin]],IF(Tableau1[[#This Row],[type]]="travail",TODAY(),""))</f>
        <v/>
      </c>
      <c r="J143" t="str">
        <f t="shared" si="8"/>
        <v/>
      </c>
    </row>
    <row r="144" spans="1:10">
      <c r="A144" s="280"/>
      <c r="B144" s="281"/>
      <c r="C144" s="248"/>
      <c r="D144" s="259"/>
      <c r="E144" s="70" t="str">
        <f>IF(Tableau1[[#This Row],[date debut]]=0,"",IF(Tableau1[[#This Row],[date fin]]=0,"",Tableau1[[#This Row],[Colonne1]]-Tableau1[[#This Row],[date debut]]+1))</f>
        <v/>
      </c>
      <c r="F144" s="70" t="str">
        <f>IF(Tableau1[[#This Row],[date debut]]=0,"",IF(Tableau1[[#This Row],[date fin]]=0,IF(Tableau1[[#This Row],[type]]="travail",Tableau1[[#This Row],[Colonne1]]-Tableau1[[#This Row],[date debut]]+1,""),""))</f>
        <v/>
      </c>
      <c r="G144" s="318" t="str">
        <f>CONCATENATE(Tableau1[[#This Row],[Jours1]],"",Tableau1[[#This Row],[jours2]])</f>
        <v/>
      </c>
      <c r="H144" s="318" t="str">
        <f t="shared" ca="1" si="7"/>
        <v/>
      </c>
      <c r="I144" s="99" t="str">
        <f ca="1">IF(Tableau1[[#This Row],[date fin]]&lt;&gt;0,Tableau1[[#This Row],[date fin]],IF(Tableau1[[#This Row],[type]]="travail",TODAY(),""))</f>
        <v/>
      </c>
      <c r="J144" t="str">
        <f t="shared" si="8"/>
        <v/>
      </c>
    </row>
    <row r="145" spans="1:10">
      <c r="A145" s="280"/>
      <c r="B145" s="281"/>
      <c r="C145" s="248"/>
      <c r="D145" s="259"/>
      <c r="E145" s="70" t="str">
        <f>IF(Tableau1[[#This Row],[date debut]]=0,"",IF(Tableau1[[#This Row],[date fin]]=0,"",Tableau1[[#This Row],[Colonne1]]-Tableau1[[#This Row],[date debut]]+1))</f>
        <v/>
      </c>
      <c r="F145" s="70" t="str">
        <f>IF(Tableau1[[#This Row],[date debut]]=0,"",IF(Tableau1[[#This Row],[date fin]]=0,IF(Tableau1[[#This Row],[type]]="travail",Tableau1[[#This Row],[Colonne1]]-Tableau1[[#This Row],[date debut]]+1,""),""))</f>
        <v/>
      </c>
      <c r="G145" s="318" t="str">
        <f>CONCATENATE(Tableau1[[#This Row],[Jours1]],"",Tableau1[[#This Row],[jours2]])</f>
        <v/>
      </c>
      <c r="H145" s="318" t="str">
        <f t="shared" ca="1" si="7"/>
        <v/>
      </c>
      <c r="I145" s="99" t="str">
        <f ca="1">IF(Tableau1[[#This Row],[date fin]]&lt;&gt;0,Tableau1[[#This Row],[date fin]],IF(Tableau1[[#This Row],[type]]="travail",TODAY(),""))</f>
        <v/>
      </c>
      <c r="J145" t="str">
        <f t="shared" si="8"/>
        <v/>
      </c>
    </row>
    <row r="146" spans="1:10">
      <c r="A146" s="280"/>
      <c r="B146" s="281"/>
      <c r="C146" s="248"/>
      <c r="D146" s="259"/>
      <c r="E146" s="70" t="str">
        <f>IF(Tableau1[[#This Row],[date debut]]=0,"",IF(Tableau1[[#This Row],[date fin]]=0,"",Tableau1[[#This Row],[Colonne1]]-Tableau1[[#This Row],[date debut]]+1))</f>
        <v/>
      </c>
      <c r="F146" s="70" t="str">
        <f>IF(Tableau1[[#This Row],[date debut]]=0,"",IF(Tableau1[[#This Row],[date fin]]=0,IF(Tableau1[[#This Row],[type]]="travail",Tableau1[[#This Row],[Colonne1]]-Tableau1[[#This Row],[date debut]]+1,""),""))</f>
        <v/>
      </c>
      <c r="G146" s="318" t="str">
        <f>CONCATENATE(Tableau1[[#This Row],[Jours1]],"",Tableau1[[#This Row],[jours2]])</f>
        <v/>
      </c>
      <c r="H146" s="318" t="str">
        <f t="shared" ca="1" si="7"/>
        <v/>
      </c>
      <c r="I146" s="99" t="str">
        <f ca="1">IF(Tableau1[[#This Row],[date fin]]&lt;&gt;0,Tableau1[[#This Row],[date fin]],IF(Tableau1[[#This Row],[type]]="travail",TODAY(),""))</f>
        <v/>
      </c>
      <c r="J146" t="str">
        <f t="shared" si="8"/>
        <v/>
      </c>
    </row>
    <row r="147" spans="1:10">
      <c r="A147" s="280"/>
      <c r="B147" s="281"/>
      <c r="C147" s="248"/>
      <c r="D147" s="259"/>
      <c r="E147" s="70" t="str">
        <f>IF(Tableau1[[#This Row],[date debut]]=0,"",IF(Tableau1[[#This Row],[date fin]]=0,"",Tableau1[[#This Row],[Colonne1]]-Tableau1[[#This Row],[date debut]]+1))</f>
        <v/>
      </c>
      <c r="F147" s="70" t="str">
        <f>IF(Tableau1[[#This Row],[date debut]]=0,"",IF(Tableau1[[#This Row],[date fin]]=0,IF(Tableau1[[#This Row],[type]]="travail",Tableau1[[#This Row],[Colonne1]]-Tableau1[[#This Row],[date debut]]+1,""),""))</f>
        <v/>
      </c>
      <c r="G147" s="318" t="str">
        <f>CONCATENATE(Tableau1[[#This Row],[Jours1]],"",Tableau1[[#This Row],[jours2]])</f>
        <v/>
      </c>
      <c r="H147" s="318" t="str">
        <f t="shared" ca="1" si="7"/>
        <v/>
      </c>
      <c r="I147" s="99" t="str">
        <f ca="1">IF(Tableau1[[#This Row],[date fin]]&lt;&gt;0,Tableau1[[#This Row],[date fin]],IF(Tableau1[[#This Row],[type]]="travail",TODAY(),""))</f>
        <v/>
      </c>
      <c r="J147" t="str">
        <f t="shared" si="8"/>
        <v/>
      </c>
    </row>
    <row r="148" spans="1:10">
      <c r="A148" s="280"/>
      <c r="B148" s="281"/>
      <c r="C148" s="248"/>
      <c r="D148" s="259"/>
      <c r="E148" s="70" t="str">
        <f>IF(Tableau1[[#This Row],[date debut]]=0,"",IF(Tableau1[[#This Row],[date fin]]=0,"",Tableau1[[#This Row],[Colonne1]]-Tableau1[[#This Row],[date debut]]+1))</f>
        <v/>
      </c>
      <c r="F148" s="70" t="str">
        <f>IF(Tableau1[[#This Row],[date debut]]=0,"",IF(Tableau1[[#This Row],[date fin]]=0,IF(Tableau1[[#This Row],[type]]="travail",Tableau1[[#This Row],[Colonne1]]-Tableau1[[#This Row],[date debut]]+1,""),""))</f>
        <v/>
      </c>
      <c r="G148" s="318" t="str">
        <f>CONCATENATE(Tableau1[[#This Row],[Jours1]],"",Tableau1[[#This Row],[jours2]])</f>
        <v/>
      </c>
      <c r="H148" s="318" t="str">
        <f t="shared" ca="1" si="7"/>
        <v/>
      </c>
      <c r="I148" s="99" t="str">
        <f ca="1">IF(Tableau1[[#This Row],[date fin]]&lt;&gt;0,Tableau1[[#This Row],[date fin]],IF(Tableau1[[#This Row],[type]]="travail",TODAY(),""))</f>
        <v/>
      </c>
      <c r="J148" t="str">
        <f t="shared" si="8"/>
        <v/>
      </c>
    </row>
    <row r="149" spans="1:10">
      <c r="A149" s="280"/>
      <c r="B149" s="281"/>
      <c r="C149" s="248"/>
      <c r="D149" s="259"/>
      <c r="E149" s="70" t="str">
        <f>IF(Tableau1[[#This Row],[date debut]]=0,"",IF(Tableau1[[#This Row],[date fin]]=0,"",Tableau1[[#This Row],[Colonne1]]-Tableau1[[#This Row],[date debut]]+1))</f>
        <v/>
      </c>
      <c r="F149" s="70" t="str">
        <f>IF(Tableau1[[#This Row],[date debut]]=0,"",IF(Tableau1[[#This Row],[date fin]]=0,IF(Tableau1[[#This Row],[type]]="travail",Tableau1[[#This Row],[Colonne1]]-Tableau1[[#This Row],[date debut]]+1,""),""))</f>
        <v/>
      </c>
      <c r="G149" s="318" t="str">
        <f>CONCATENATE(Tableau1[[#This Row],[Jours1]],"",Tableau1[[#This Row],[jours2]])</f>
        <v/>
      </c>
      <c r="H149" s="318" t="str">
        <f t="shared" ca="1" si="7"/>
        <v/>
      </c>
      <c r="I149" s="99" t="str">
        <f ca="1">IF(Tableau1[[#This Row],[date fin]]&lt;&gt;0,Tableau1[[#This Row],[date fin]],IF(Tableau1[[#This Row],[type]]="travail",TODAY(),""))</f>
        <v/>
      </c>
      <c r="J149" t="str">
        <f t="shared" si="8"/>
        <v/>
      </c>
    </row>
    <row r="150" spans="1:10">
      <c r="A150" s="280"/>
      <c r="B150" s="281"/>
      <c r="C150" s="248"/>
      <c r="D150" s="259"/>
      <c r="E150" s="70" t="str">
        <f>IF(Tableau1[[#This Row],[date debut]]=0,"",IF(Tableau1[[#This Row],[date fin]]=0,"",Tableau1[[#This Row],[Colonne1]]-Tableau1[[#This Row],[date debut]]+1))</f>
        <v/>
      </c>
      <c r="F150" s="70" t="str">
        <f>IF(Tableau1[[#This Row],[date debut]]=0,"",IF(Tableau1[[#This Row],[date fin]]=0,IF(Tableau1[[#This Row],[type]]="travail",Tableau1[[#This Row],[Colonne1]]-Tableau1[[#This Row],[date debut]]+1,""),""))</f>
        <v/>
      </c>
      <c r="G150" s="318" t="str">
        <f>CONCATENATE(Tableau1[[#This Row],[Jours1]],"",Tableau1[[#This Row],[jours2]])</f>
        <v/>
      </c>
      <c r="H150" s="318" t="str">
        <f t="shared" ca="1" si="7"/>
        <v/>
      </c>
      <c r="I150" s="99" t="str">
        <f ca="1">IF(Tableau1[[#This Row],[date fin]]&lt;&gt;0,Tableau1[[#This Row],[date fin]],IF(Tableau1[[#This Row],[type]]="travail",TODAY(),""))</f>
        <v/>
      </c>
      <c r="J150" t="str">
        <f t="shared" si="8"/>
        <v/>
      </c>
    </row>
    <row r="151" spans="1:10">
      <c r="A151" s="280"/>
      <c r="B151" s="281"/>
      <c r="C151" s="248"/>
      <c r="D151" s="259"/>
      <c r="E151" s="70" t="str">
        <f>IF(Tableau1[[#This Row],[date debut]]=0,"",IF(Tableau1[[#This Row],[date fin]]=0,"",Tableau1[[#This Row],[Colonne1]]-Tableau1[[#This Row],[date debut]]+1))</f>
        <v/>
      </c>
      <c r="F151" s="70" t="str">
        <f>IF(Tableau1[[#This Row],[date debut]]=0,"",IF(Tableau1[[#This Row],[date fin]]=0,IF(Tableau1[[#This Row],[type]]="travail",Tableau1[[#This Row],[Colonne1]]-Tableau1[[#This Row],[date debut]]+1,""),""))</f>
        <v/>
      </c>
      <c r="G151" s="318" t="str">
        <f>CONCATENATE(Tableau1[[#This Row],[Jours1]],"",Tableau1[[#This Row],[jours2]])</f>
        <v/>
      </c>
      <c r="H151" s="318" t="str">
        <f t="shared" ca="1" si="7"/>
        <v/>
      </c>
      <c r="I151" s="99" t="str">
        <f ca="1">IF(Tableau1[[#This Row],[date fin]]&lt;&gt;0,Tableau1[[#This Row],[date fin]],IF(Tableau1[[#This Row],[type]]="travail",TODAY(),""))</f>
        <v/>
      </c>
      <c r="J151" t="str">
        <f t="shared" si="8"/>
        <v/>
      </c>
    </row>
    <row r="152" spans="1:10">
      <c r="A152" s="280"/>
      <c r="B152" s="281"/>
      <c r="C152" s="248"/>
      <c r="D152" s="259"/>
      <c r="E152" s="70" t="str">
        <f>IF(Tableau1[[#This Row],[date debut]]=0,"",IF(Tableau1[[#This Row],[date fin]]=0,"",Tableau1[[#This Row],[Colonne1]]-Tableau1[[#This Row],[date debut]]+1))</f>
        <v/>
      </c>
      <c r="F152" s="70" t="str">
        <f>IF(Tableau1[[#This Row],[date debut]]=0,"",IF(Tableau1[[#This Row],[date fin]]=0,IF(Tableau1[[#This Row],[type]]="travail",Tableau1[[#This Row],[Colonne1]]-Tableau1[[#This Row],[date debut]]+1,""),""))</f>
        <v/>
      </c>
      <c r="G152" s="318" t="str">
        <f>CONCATENATE(Tableau1[[#This Row],[Jours1]],"",Tableau1[[#This Row],[jours2]])</f>
        <v/>
      </c>
      <c r="H152" s="318" t="str">
        <f t="shared" ca="1" si="7"/>
        <v/>
      </c>
      <c r="I152" s="99" t="str">
        <f ca="1">IF(Tableau1[[#This Row],[date fin]]&lt;&gt;0,Tableau1[[#This Row],[date fin]],IF(Tableau1[[#This Row],[type]]="travail",TODAY(),""))</f>
        <v/>
      </c>
      <c r="J152" t="str">
        <f t="shared" si="8"/>
        <v/>
      </c>
    </row>
    <row r="153" spans="1:10">
      <c r="A153" s="280"/>
      <c r="B153" s="281"/>
      <c r="C153" s="248"/>
      <c r="D153" s="259"/>
      <c r="E153" s="70" t="str">
        <f>IF(Tableau1[[#This Row],[date debut]]=0,"",IF(Tableau1[[#This Row],[date fin]]=0,"",Tableau1[[#This Row],[Colonne1]]-Tableau1[[#This Row],[date debut]]+1))</f>
        <v/>
      </c>
      <c r="F153" s="70" t="str">
        <f>IF(Tableau1[[#This Row],[date debut]]=0,"",IF(Tableau1[[#This Row],[date fin]]=0,IF(Tableau1[[#This Row],[type]]="travail",Tableau1[[#This Row],[Colonne1]]-Tableau1[[#This Row],[date debut]]+1,""),""))</f>
        <v/>
      </c>
      <c r="G153" s="318" t="str">
        <f>CONCATENATE(Tableau1[[#This Row],[Jours1]],"",Tableau1[[#This Row],[jours2]])</f>
        <v/>
      </c>
      <c r="H153" s="318" t="str">
        <f t="shared" ca="1" si="7"/>
        <v/>
      </c>
      <c r="I153" s="99" t="str">
        <f ca="1">IF(Tableau1[[#This Row],[date fin]]&lt;&gt;0,Tableau1[[#This Row],[date fin]],IF(Tableau1[[#This Row],[type]]="travail",TODAY(),""))</f>
        <v/>
      </c>
      <c r="J153" t="str">
        <f t="shared" si="8"/>
        <v/>
      </c>
    </row>
    <row r="154" spans="1:10">
      <c r="A154" s="280"/>
      <c r="B154" s="281"/>
      <c r="C154" s="248"/>
      <c r="D154" s="259"/>
      <c r="E154" s="70" t="str">
        <f>IF(Tableau1[[#This Row],[date debut]]=0,"",IF(Tableau1[[#This Row],[date fin]]=0,"",Tableau1[[#This Row],[Colonne1]]-Tableau1[[#This Row],[date debut]]+1))</f>
        <v/>
      </c>
      <c r="F154" s="70" t="str">
        <f>IF(Tableau1[[#This Row],[date debut]]=0,"",IF(Tableau1[[#This Row],[date fin]]=0,IF(Tableau1[[#This Row],[type]]="travail",Tableau1[[#This Row],[Colonne1]]-Tableau1[[#This Row],[date debut]]+1,""),""))</f>
        <v/>
      </c>
      <c r="G154" s="318" t="str">
        <f>CONCATENATE(Tableau1[[#This Row],[Jours1]],"",Tableau1[[#This Row],[jours2]])</f>
        <v/>
      </c>
      <c r="H154" s="318" t="str">
        <f t="shared" ca="1" si="7"/>
        <v/>
      </c>
      <c r="I154" s="99" t="str">
        <f ca="1">IF(Tableau1[[#This Row],[date fin]]&lt;&gt;0,Tableau1[[#This Row],[date fin]],IF(Tableau1[[#This Row],[type]]="travail",TODAY(),""))</f>
        <v/>
      </c>
      <c r="J154" t="str">
        <f t="shared" si="8"/>
        <v/>
      </c>
    </row>
    <row r="155" spans="1:10">
      <c r="A155" s="280"/>
      <c r="B155" s="281"/>
      <c r="C155" s="248"/>
      <c r="D155" s="259"/>
      <c r="E155" s="70" t="str">
        <f>IF(Tableau1[[#This Row],[date debut]]=0,"",IF(Tableau1[[#This Row],[date fin]]=0,"",Tableau1[[#This Row],[Colonne1]]-Tableau1[[#This Row],[date debut]]+1))</f>
        <v/>
      </c>
      <c r="F155" s="70" t="str">
        <f>IF(Tableau1[[#This Row],[date debut]]=0,"",IF(Tableau1[[#This Row],[date fin]]=0,IF(Tableau1[[#This Row],[type]]="travail",Tableau1[[#This Row],[Colonne1]]-Tableau1[[#This Row],[date debut]]+1,""),""))</f>
        <v/>
      </c>
      <c r="G155" s="318" t="str">
        <f>CONCATENATE(Tableau1[[#This Row],[Jours1]],"",Tableau1[[#This Row],[jours2]])</f>
        <v/>
      </c>
      <c r="H155" s="318" t="str">
        <f t="shared" ca="1" si="7"/>
        <v/>
      </c>
      <c r="I155" s="99" t="str">
        <f ca="1">IF(Tableau1[[#This Row],[date fin]]&lt;&gt;0,Tableau1[[#This Row],[date fin]],IF(Tableau1[[#This Row],[type]]="travail",TODAY(),""))</f>
        <v/>
      </c>
      <c r="J155" t="str">
        <f t="shared" si="8"/>
        <v/>
      </c>
    </row>
    <row r="156" spans="1:10">
      <c r="A156" s="280"/>
      <c r="B156" s="281"/>
      <c r="C156" s="248"/>
      <c r="D156" s="259"/>
      <c r="E156" s="70" t="str">
        <f>IF(Tableau1[[#This Row],[date debut]]=0,"",IF(Tableau1[[#This Row],[date fin]]=0,"",Tableau1[[#This Row],[Colonne1]]-Tableau1[[#This Row],[date debut]]+1))</f>
        <v/>
      </c>
      <c r="F156" s="70" t="str">
        <f>IF(Tableau1[[#This Row],[date debut]]=0,"",IF(Tableau1[[#This Row],[date fin]]=0,IF(Tableau1[[#This Row],[type]]="travail",Tableau1[[#This Row],[Colonne1]]-Tableau1[[#This Row],[date debut]]+1,""),""))</f>
        <v/>
      </c>
      <c r="G156" s="318" t="str">
        <f>CONCATENATE(Tableau1[[#This Row],[Jours1]],"",Tableau1[[#This Row],[jours2]])</f>
        <v/>
      </c>
      <c r="H156" s="318" t="str">
        <f t="shared" ca="1" si="7"/>
        <v/>
      </c>
      <c r="I156" s="99" t="str">
        <f ca="1">IF(Tableau1[[#This Row],[date fin]]&lt;&gt;0,Tableau1[[#This Row],[date fin]],IF(Tableau1[[#This Row],[type]]="travail",TODAY(),""))</f>
        <v/>
      </c>
      <c r="J156" t="str">
        <f t="shared" si="8"/>
        <v/>
      </c>
    </row>
    <row r="157" spans="1:10">
      <c r="A157" s="280"/>
      <c r="B157" s="281"/>
      <c r="C157" s="248"/>
      <c r="D157" s="259"/>
      <c r="E157" s="70" t="str">
        <f>IF(Tableau1[[#This Row],[date debut]]=0,"",IF(Tableau1[[#This Row],[date fin]]=0,"",Tableau1[[#This Row],[Colonne1]]-Tableau1[[#This Row],[date debut]]+1))</f>
        <v/>
      </c>
      <c r="F157" s="70" t="str">
        <f>IF(Tableau1[[#This Row],[date debut]]=0,"",IF(Tableau1[[#This Row],[date fin]]=0,IF(Tableau1[[#This Row],[type]]="travail",Tableau1[[#This Row],[Colonne1]]-Tableau1[[#This Row],[date debut]]+1,""),""))</f>
        <v/>
      </c>
      <c r="G157" s="318" t="str">
        <f>CONCATENATE(Tableau1[[#This Row],[Jours1]],"",Tableau1[[#This Row],[jours2]])</f>
        <v/>
      </c>
      <c r="H157" s="318" t="str">
        <f t="shared" ca="1" si="7"/>
        <v/>
      </c>
      <c r="I157" s="99" t="str">
        <f ca="1">IF(Tableau1[[#This Row],[date fin]]&lt;&gt;0,Tableau1[[#This Row],[date fin]],IF(Tableau1[[#This Row],[type]]="travail",TODAY(),""))</f>
        <v/>
      </c>
      <c r="J157" t="str">
        <f t="shared" si="8"/>
        <v/>
      </c>
    </row>
    <row r="158" spans="1:10">
      <c r="A158" s="280"/>
      <c r="B158" s="281"/>
      <c r="C158" s="248"/>
      <c r="D158" s="259"/>
      <c r="E158" s="70" t="str">
        <f>IF(Tableau1[[#This Row],[date debut]]=0,"",IF(Tableau1[[#This Row],[date fin]]=0,"",Tableau1[[#This Row],[Colonne1]]-Tableau1[[#This Row],[date debut]]+1))</f>
        <v/>
      </c>
      <c r="F158" s="70" t="str">
        <f>IF(Tableau1[[#This Row],[date debut]]=0,"",IF(Tableau1[[#This Row],[date fin]]=0,IF(Tableau1[[#This Row],[type]]="travail",Tableau1[[#This Row],[Colonne1]]-Tableau1[[#This Row],[date debut]]+1,""),""))</f>
        <v/>
      </c>
      <c r="G158" s="318" t="str">
        <f>CONCATENATE(Tableau1[[#This Row],[Jours1]],"",Tableau1[[#This Row],[jours2]])</f>
        <v/>
      </c>
      <c r="H158" s="318" t="str">
        <f t="shared" ca="1" si="7"/>
        <v/>
      </c>
      <c r="I158" s="99" t="str">
        <f ca="1">IF(Tableau1[[#This Row],[date fin]]&lt;&gt;0,Tableau1[[#This Row],[date fin]],IF(Tableau1[[#This Row],[type]]="travail",TODAY(),""))</f>
        <v/>
      </c>
      <c r="J158" t="str">
        <f t="shared" si="8"/>
        <v/>
      </c>
    </row>
    <row r="159" spans="1:10">
      <c r="A159" s="280"/>
      <c r="B159" s="281"/>
      <c r="C159" s="248"/>
      <c r="D159" s="259"/>
      <c r="E159" s="70" t="str">
        <f>IF(Tableau1[[#This Row],[date debut]]=0,"",IF(Tableau1[[#This Row],[date fin]]=0,"",Tableau1[[#This Row],[Colonne1]]-Tableau1[[#This Row],[date debut]]+1))</f>
        <v/>
      </c>
      <c r="F159" s="70" t="str">
        <f>IF(Tableau1[[#This Row],[date debut]]=0,"",IF(Tableau1[[#This Row],[date fin]]=0,IF(Tableau1[[#This Row],[type]]="travail",Tableau1[[#This Row],[Colonne1]]-Tableau1[[#This Row],[date debut]]+1,""),""))</f>
        <v/>
      </c>
      <c r="G159" s="318" t="str">
        <f>CONCATENATE(Tableau1[[#This Row],[Jours1]],"",Tableau1[[#This Row],[jours2]])</f>
        <v/>
      </c>
      <c r="H159" s="318" t="str">
        <f t="shared" ca="1" si="7"/>
        <v/>
      </c>
      <c r="I159" s="99" t="str">
        <f ca="1">IF(Tableau1[[#This Row],[date fin]]&lt;&gt;0,Tableau1[[#This Row],[date fin]],IF(Tableau1[[#This Row],[type]]="travail",TODAY(),""))</f>
        <v/>
      </c>
      <c r="J159" t="str">
        <f t="shared" si="8"/>
        <v/>
      </c>
    </row>
    <row r="160" spans="1:10">
      <c r="A160" s="280"/>
      <c r="B160" s="281"/>
      <c r="C160" s="248"/>
      <c r="D160" s="259"/>
      <c r="E160" s="70" t="str">
        <f>IF(Tableau1[[#This Row],[date debut]]=0,"",IF(Tableau1[[#This Row],[date fin]]=0,"",Tableau1[[#This Row],[Colonne1]]-Tableau1[[#This Row],[date debut]]+1))</f>
        <v/>
      </c>
      <c r="F160" s="70" t="str">
        <f>IF(Tableau1[[#This Row],[date debut]]=0,"",IF(Tableau1[[#This Row],[date fin]]=0,IF(Tableau1[[#This Row],[type]]="travail",Tableau1[[#This Row],[Colonne1]]-Tableau1[[#This Row],[date debut]]+1,""),""))</f>
        <v/>
      </c>
      <c r="G160" s="318" t="str">
        <f>CONCATENATE(Tableau1[[#This Row],[Jours1]],"",Tableau1[[#This Row],[jours2]])</f>
        <v/>
      </c>
      <c r="H160" s="318" t="str">
        <f t="shared" ca="1" si="7"/>
        <v/>
      </c>
      <c r="I160" s="99" t="str">
        <f ca="1">IF(Tableau1[[#This Row],[date fin]]&lt;&gt;0,Tableau1[[#This Row],[date fin]],IF(Tableau1[[#This Row],[type]]="travail",TODAY(),""))</f>
        <v/>
      </c>
      <c r="J160" t="str">
        <f t="shared" si="8"/>
        <v/>
      </c>
    </row>
    <row r="161" spans="1:10">
      <c r="A161" s="280"/>
      <c r="B161" s="281"/>
      <c r="C161" s="248"/>
      <c r="D161" s="259"/>
      <c r="E161" s="70" t="str">
        <f>IF(Tableau1[[#This Row],[date debut]]=0,"",IF(Tableau1[[#This Row],[date fin]]=0,"",Tableau1[[#This Row],[Colonne1]]-Tableau1[[#This Row],[date debut]]+1))</f>
        <v/>
      </c>
      <c r="F161" s="70" t="str">
        <f>IF(Tableau1[[#This Row],[date debut]]=0,"",IF(Tableau1[[#This Row],[date fin]]=0,IF(Tableau1[[#This Row],[type]]="travail",Tableau1[[#This Row],[Colonne1]]-Tableau1[[#This Row],[date debut]]+1,""),""))</f>
        <v/>
      </c>
      <c r="G161" s="318" t="str">
        <f>CONCATENATE(Tableau1[[#This Row],[Jours1]],"",Tableau1[[#This Row],[jours2]])</f>
        <v/>
      </c>
      <c r="H161" s="318" t="str">
        <f t="shared" ca="1" si="7"/>
        <v/>
      </c>
      <c r="I161" s="99" t="str">
        <f ca="1">IF(Tableau1[[#This Row],[date fin]]&lt;&gt;0,Tableau1[[#This Row],[date fin]],IF(Tableau1[[#This Row],[type]]="travail",TODAY(),""))</f>
        <v/>
      </c>
      <c r="J161" t="str">
        <f t="shared" si="8"/>
        <v/>
      </c>
    </row>
    <row r="162" spans="1:10">
      <c r="A162" s="280"/>
      <c r="B162" s="281"/>
      <c r="C162" s="248"/>
      <c r="D162" s="259"/>
      <c r="E162" s="70" t="str">
        <f>IF(Tableau1[[#This Row],[date debut]]=0,"",IF(Tableau1[[#This Row],[date fin]]=0,"",Tableau1[[#This Row],[Colonne1]]-Tableau1[[#This Row],[date debut]]+1))</f>
        <v/>
      </c>
      <c r="F162" s="70" t="str">
        <f>IF(Tableau1[[#This Row],[date debut]]=0,"",IF(Tableau1[[#This Row],[date fin]]=0,IF(Tableau1[[#This Row],[type]]="travail",Tableau1[[#This Row],[Colonne1]]-Tableau1[[#This Row],[date debut]]+1,""),""))</f>
        <v/>
      </c>
      <c r="G162" s="318" t="str">
        <f>CONCATENATE(Tableau1[[#This Row],[Jours1]],"",Tableau1[[#This Row],[jours2]])</f>
        <v/>
      </c>
      <c r="H162" s="318" t="str">
        <f t="shared" ca="1" si="7"/>
        <v/>
      </c>
      <c r="I162" s="99" t="str">
        <f ca="1">IF(Tableau1[[#This Row],[date fin]]&lt;&gt;0,Tableau1[[#This Row],[date fin]],IF(Tableau1[[#This Row],[type]]="travail",TODAY(),""))</f>
        <v/>
      </c>
      <c r="J162" t="str">
        <f t="shared" si="8"/>
        <v/>
      </c>
    </row>
    <row r="163" spans="1:10">
      <c r="A163" s="280"/>
      <c r="B163" s="281"/>
      <c r="C163" s="248"/>
      <c r="D163" s="259"/>
      <c r="E163" s="70" t="str">
        <f>IF(Tableau1[[#This Row],[date debut]]=0,"",IF(Tableau1[[#This Row],[date fin]]=0,"",Tableau1[[#This Row],[Colonne1]]-Tableau1[[#This Row],[date debut]]+1))</f>
        <v/>
      </c>
      <c r="F163" s="70" t="str">
        <f>IF(Tableau1[[#This Row],[date debut]]=0,"",IF(Tableau1[[#This Row],[date fin]]=0,IF(Tableau1[[#This Row],[type]]="travail",Tableau1[[#This Row],[Colonne1]]-Tableau1[[#This Row],[date debut]]+1,""),""))</f>
        <v/>
      </c>
      <c r="G163" s="318" t="str">
        <f>CONCATENATE(Tableau1[[#This Row],[Jours1]],"",Tableau1[[#This Row],[jours2]])</f>
        <v/>
      </c>
      <c r="H163" s="318" t="str">
        <f t="shared" ref="H163:H190" ca="1" si="9">IF(I163="","",NETWORKDAYS(A163,I163))</f>
        <v/>
      </c>
      <c r="I163" s="99" t="str">
        <f ca="1">IF(Tableau1[[#This Row],[date fin]]&lt;&gt;0,Tableau1[[#This Row],[date fin]],IF(Tableau1[[#This Row],[type]]="travail",TODAY(),""))</f>
        <v/>
      </c>
      <c r="J163" t="str">
        <f t="shared" si="8"/>
        <v/>
      </c>
    </row>
    <row r="164" spans="1:10">
      <c r="A164" s="280"/>
      <c r="B164" s="281"/>
      <c r="C164" s="248"/>
      <c r="D164" s="259"/>
      <c r="E164" s="70" t="str">
        <f>IF(Tableau1[[#This Row],[date debut]]=0,"",IF(Tableau1[[#This Row],[date fin]]=0,"",Tableau1[[#This Row],[Colonne1]]-Tableau1[[#This Row],[date debut]]+1))</f>
        <v/>
      </c>
      <c r="F164" s="70" t="str">
        <f>IF(Tableau1[[#This Row],[date debut]]=0,"",IF(Tableau1[[#This Row],[date fin]]=0,IF(Tableau1[[#This Row],[type]]="travail",Tableau1[[#This Row],[Colonne1]]-Tableau1[[#This Row],[date debut]]+1,""),""))</f>
        <v/>
      </c>
      <c r="G164" s="318" t="str">
        <f>CONCATENATE(Tableau1[[#This Row],[Jours1]],"",Tableau1[[#This Row],[jours2]])</f>
        <v/>
      </c>
      <c r="H164" s="318" t="str">
        <f t="shared" ca="1" si="9"/>
        <v/>
      </c>
      <c r="I164" s="99" t="str">
        <f ca="1">IF(Tableau1[[#This Row],[date fin]]&lt;&gt;0,Tableau1[[#This Row],[date fin]],IF(Tableau1[[#This Row],[type]]="travail",TODAY(),""))</f>
        <v/>
      </c>
      <c r="J164" t="str">
        <f t="shared" si="8"/>
        <v/>
      </c>
    </row>
    <row r="165" spans="1:10">
      <c r="A165" s="280"/>
      <c r="B165" s="281"/>
      <c r="C165" s="248"/>
      <c r="D165" s="259"/>
      <c r="E165" s="70" t="str">
        <f>IF(Tableau1[[#This Row],[date debut]]=0,"",IF(Tableau1[[#This Row],[date fin]]=0,"",Tableau1[[#This Row],[Colonne1]]-Tableau1[[#This Row],[date debut]]+1))</f>
        <v/>
      </c>
      <c r="F165" s="70" t="str">
        <f>IF(Tableau1[[#This Row],[date debut]]=0,"",IF(Tableau1[[#This Row],[date fin]]=0,IF(Tableau1[[#This Row],[type]]="travail",Tableau1[[#This Row],[Colonne1]]-Tableau1[[#This Row],[date debut]]+1,""),""))</f>
        <v/>
      </c>
      <c r="G165" s="318" t="str">
        <f>CONCATENATE(Tableau1[[#This Row],[Jours1]],"",Tableau1[[#This Row],[jours2]])</f>
        <v/>
      </c>
      <c r="H165" s="318" t="str">
        <f t="shared" ca="1" si="9"/>
        <v/>
      </c>
      <c r="I165" s="99" t="str">
        <f ca="1">IF(Tableau1[[#This Row],[date fin]]&lt;&gt;0,Tableau1[[#This Row],[date fin]],IF(Tableau1[[#This Row],[type]]="travail",TODAY(),""))</f>
        <v/>
      </c>
      <c r="J165" t="str">
        <f t="shared" si="8"/>
        <v/>
      </c>
    </row>
    <row r="166" spans="1:10">
      <c r="A166" s="280"/>
      <c r="B166" s="281"/>
      <c r="C166" s="248"/>
      <c r="D166" s="259"/>
      <c r="E166" s="70" t="str">
        <f>IF(Tableau1[[#This Row],[date debut]]=0,"",IF(Tableau1[[#This Row],[date fin]]=0,"",Tableau1[[#This Row],[Colonne1]]-Tableau1[[#This Row],[date debut]]+1))</f>
        <v/>
      </c>
      <c r="F166" s="70" t="str">
        <f>IF(Tableau1[[#This Row],[date debut]]=0,"",IF(Tableau1[[#This Row],[date fin]]=0,IF(Tableau1[[#This Row],[type]]="travail",Tableau1[[#This Row],[Colonne1]]-Tableau1[[#This Row],[date debut]]+1,""),""))</f>
        <v/>
      </c>
      <c r="G166" s="318" t="str">
        <f>CONCATENATE(Tableau1[[#This Row],[Jours1]],"",Tableau1[[#This Row],[jours2]])</f>
        <v/>
      </c>
      <c r="H166" s="318" t="str">
        <f t="shared" ca="1" si="9"/>
        <v/>
      </c>
      <c r="I166" s="99" t="str">
        <f ca="1">IF(Tableau1[[#This Row],[date fin]]&lt;&gt;0,Tableau1[[#This Row],[date fin]],IF(Tableau1[[#This Row],[type]]="travail",TODAY(),""))</f>
        <v/>
      </c>
      <c r="J166" t="str">
        <f t="shared" si="8"/>
        <v/>
      </c>
    </row>
    <row r="167" spans="1:10">
      <c r="A167" s="280"/>
      <c r="B167" s="281"/>
      <c r="C167" s="248"/>
      <c r="D167" s="259"/>
      <c r="E167" s="70" t="str">
        <f>IF(Tableau1[[#This Row],[date debut]]=0,"",IF(Tableau1[[#This Row],[date fin]]=0,"",Tableau1[[#This Row],[Colonne1]]-Tableau1[[#This Row],[date debut]]+1))</f>
        <v/>
      </c>
      <c r="F167" s="70" t="str">
        <f>IF(Tableau1[[#This Row],[date debut]]=0,"",IF(Tableau1[[#This Row],[date fin]]=0,IF(Tableau1[[#This Row],[type]]="travail",Tableau1[[#This Row],[Colonne1]]-Tableau1[[#This Row],[date debut]]+1,""),""))</f>
        <v/>
      </c>
      <c r="G167" s="318" t="str">
        <f>CONCATENATE(Tableau1[[#This Row],[Jours1]],"",Tableau1[[#This Row],[jours2]])</f>
        <v/>
      </c>
      <c r="H167" s="318" t="str">
        <f t="shared" ca="1" si="9"/>
        <v/>
      </c>
      <c r="I167" s="99" t="str">
        <f ca="1">IF(Tableau1[[#This Row],[date fin]]&lt;&gt;0,Tableau1[[#This Row],[date fin]],IF(Tableau1[[#This Row],[type]]="travail",TODAY(),""))</f>
        <v/>
      </c>
      <c r="J167" t="str">
        <f t="shared" si="8"/>
        <v/>
      </c>
    </row>
    <row r="168" spans="1:10">
      <c r="A168" s="280"/>
      <c r="B168" s="281"/>
      <c r="C168" s="248"/>
      <c r="D168" s="259"/>
      <c r="E168" s="70" t="str">
        <f>IF(Tableau1[[#This Row],[date debut]]=0,"",IF(Tableau1[[#This Row],[date fin]]=0,"",Tableau1[[#This Row],[Colonne1]]-Tableau1[[#This Row],[date debut]]+1))</f>
        <v/>
      </c>
      <c r="F168" s="70" t="str">
        <f>IF(Tableau1[[#This Row],[date debut]]=0,"",IF(Tableau1[[#This Row],[date fin]]=0,IF(Tableau1[[#This Row],[type]]="travail",Tableau1[[#This Row],[Colonne1]]-Tableau1[[#This Row],[date debut]]+1,""),""))</f>
        <v/>
      </c>
      <c r="G168" s="318" t="str">
        <f>CONCATENATE(Tableau1[[#This Row],[Jours1]],"",Tableau1[[#This Row],[jours2]])</f>
        <v/>
      </c>
      <c r="H168" s="318" t="str">
        <f t="shared" ca="1" si="9"/>
        <v/>
      </c>
      <c r="I168" s="99" t="str">
        <f ca="1">IF(Tableau1[[#This Row],[date fin]]&lt;&gt;0,Tableau1[[#This Row],[date fin]],IF(Tableau1[[#This Row],[type]]="travail",TODAY(),""))</f>
        <v/>
      </c>
      <c r="J168" t="str">
        <f t="shared" si="8"/>
        <v/>
      </c>
    </row>
    <row r="169" spans="1:10">
      <c r="A169" s="280"/>
      <c r="B169" s="281"/>
      <c r="C169" s="248"/>
      <c r="D169" s="259"/>
      <c r="E169" s="70" t="str">
        <f>IF(Tableau1[[#This Row],[date debut]]=0,"",IF(Tableau1[[#This Row],[date fin]]=0,"",Tableau1[[#This Row],[Colonne1]]-Tableau1[[#This Row],[date debut]]+1))</f>
        <v/>
      </c>
      <c r="F169" s="70" t="str">
        <f>IF(Tableau1[[#This Row],[date debut]]=0,"",IF(Tableau1[[#This Row],[date fin]]=0,IF(Tableau1[[#This Row],[type]]="travail",Tableau1[[#This Row],[Colonne1]]-Tableau1[[#This Row],[date debut]]+1,""),""))</f>
        <v/>
      </c>
      <c r="G169" s="318" t="str">
        <f>CONCATENATE(Tableau1[[#This Row],[Jours1]],"",Tableau1[[#This Row],[jours2]])</f>
        <v/>
      </c>
      <c r="H169" s="318" t="str">
        <f t="shared" ca="1" si="9"/>
        <v/>
      </c>
      <c r="I169" s="99" t="str">
        <f ca="1">IF(Tableau1[[#This Row],[date fin]]&lt;&gt;0,Tableau1[[#This Row],[date fin]],IF(Tableau1[[#This Row],[type]]="travail",TODAY(),""))</f>
        <v/>
      </c>
      <c r="J169" t="str">
        <f t="shared" si="8"/>
        <v/>
      </c>
    </row>
    <row r="170" spans="1:10">
      <c r="A170" s="280"/>
      <c r="B170" s="281"/>
      <c r="C170" s="248"/>
      <c r="D170" s="259"/>
      <c r="E170" s="70" t="str">
        <f>IF(Tableau1[[#This Row],[date debut]]=0,"",IF(Tableau1[[#This Row],[date fin]]=0,"",Tableau1[[#This Row],[Colonne1]]-Tableau1[[#This Row],[date debut]]+1))</f>
        <v/>
      </c>
      <c r="F170" s="70" t="str">
        <f>IF(Tableau1[[#This Row],[date debut]]=0,"",IF(Tableau1[[#This Row],[date fin]]=0,IF(Tableau1[[#This Row],[type]]="travail",Tableau1[[#This Row],[Colonne1]]-Tableau1[[#This Row],[date debut]]+1,""),""))</f>
        <v/>
      </c>
      <c r="G170" s="318" t="str">
        <f>CONCATENATE(Tableau1[[#This Row],[Jours1]],"",Tableau1[[#This Row],[jours2]])</f>
        <v/>
      </c>
      <c r="H170" s="318" t="str">
        <f t="shared" ca="1" si="9"/>
        <v/>
      </c>
      <c r="I170" s="99" t="str">
        <f ca="1">IF(Tableau1[[#This Row],[date fin]]&lt;&gt;0,Tableau1[[#This Row],[date fin]],IF(Tableau1[[#This Row],[type]]="travail",TODAY(),""))</f>
        <v/>
      </c>
      <c r="J170" t="str">
        <f t="shared" si="8"/>
        <v/>
      </c>
    </row>
    <row r="171" spans="1:10">
      <c r="A171" s="280"/>
      <c r="B171" s="281"/>
      <c r="C171" s="248"/>
      <c r="D171" s="259"/>
      <c r="E171" s="70" t="str">
        <f>IF(Tableau1[[#This Row],[date debut]]=0,"",IF(Tableau1[[#This Row],[date fin]]=0,"",Tableau1[[#This Row],[Colonne1]]-Tableau1[[#This Row],[date debut]]+1))</f>
        <v/>
      </c>
      <c r="F171" s="70" t="str">
        <f>IF(Tableau1[[#This Row],[date debut]]=0,"",IF(Tableau1[[#This Row],[date fin]]=0,IF(Tableau1[[#This Row],[type]]="travail",Tableau1[[#This Row],[Colonne1]]-Tableau1[[#This Row],[date debut]]+1,""),""))</f>
        <v/>
      </c>
      <c r="G171" s="318" t="str">
        <f>CONCATENATE(Tableau1[[#This Row],[Jours1]],"",Tableau1[[#This Row],[jours2]])</f>
        <v/>
      </c>
      <c r="H171" s="318" t="str">
        <f t="shared" ca="1" si="9"/>
        <v/>
      </c>
      <c r="I171" s="99" t="str">
        <f ca="1">IF(Tableau1[[#This Row],[date fin]]&lt;&gt;0,Tableau1[[#This Row],[date fin]],IF(Tableau1[[#This Row],[type]]="travail",TODAY(),""))</f>
        <v/>
      </c>
      <c r="J171" t="str">
        <f t="shared" si="8"/>
        <v/>
      </c>
    </row>
    <row r="172" spans="1:10">
      <c r="A172" s="280"/>
      <c r="B172" s="281"/>
      <c r="C172" s="248"/>
      <c r="D172" s="259"/>
      <c r="E172" s="70" t="str">
        <f>IF(Tableau1[[#This Row],[date debut]]=0,"",IF(Tableau1[[#This Row],[date fin]]=0,"",Tableau1[[#This Row],[Colonne1]]-Tableau1[[#This Row],[date debut]]+1))</f>
        <v/>
      </c>
      <c r="F172" s="70" t="str">
        <f>IF(Tableau1[[#This Row],[date debut]]=0,"",IF(Tableau1[[#This Row],[date fin]]=0,IF(Tableau1[[#This Row],[type]]="travail",Tableau1[[#This Row],[Colonne1]]-Tableau1[[#This Row],[date debut]]+1,""),""))</f>
        <v/>
      </c>
      <c r="G172" s="318" t="str">
        <f>CONCATENATE(Tableau1[[#This Row],[Jours1]],"",Tableau1[[#This Row],[jours2]])</f>
        <v/>
      </c>
      <c r="H172" s="318" t="str">
        <f t="shared" ca="1" si="9"/>
        <v/>
      </c>
      <c r="I172" s="99" t="str">
        <f ca="1">IF(Tableau1[[#This Row],[date fin]]&lt;&gt;0,Tableau1[[#This Row],[date fin]],IF(Tableau1[[#This Row],[type]]="travail",TODAY(),""))</f>
        <v/>
      </c>
      <c r="J172" t="str">
        <f t="shared" si="8"/>
        <v/>
      </c>
    </row>
    <row r="173" spans="1:10">
      <c r="A173" s="280"/>
      <c r="B173" s="281"/>
      <c r="C173" s="248"/>
      <c r="D173" s="259"/>
      <c r="E173" s="70" t="str">
        <f>IF(Tableau1[[#This Row],[date debut]]=0,"",IF(Tableau1[[#This Row],[date fin]]=0,"",Tableau1[[#This Row],[Colonne1]]-Tableau1[[#This Row],[date debut]]+1))</f>
        <v/>
      </c>
      <c r="F173" s="70" t="str">
        <f>IF(Tableau1[[#This Row],[date debut]]=0,"",IF(Tableau1[[#This Row],[date fin]]=0,IF(Tableau1[[#This Row],[type]]="travail",Tableau1[[#This Row],[Colonne1]]-Tableau1[[#This Row],[date debut]]+1,""),""))</f>
        <v/>
      </c>
      <c r="G173" s="318" t="str">
        <f>CONCATENATE(Tableau1[[#This Row],[Jours1]],"",Tableau1[[#This Row],[jours2]])</f>
        <v/>
      </c>
      <c r="H173" s="318" t="str">
        <f t="shared" ca="1" si="9"/>
        <v/>
      </c>
      <c r="I173" s="99" t="str">
        <f ca="1">IF(Tableau1[[#This Row],[date fin]]&lt;&gt;0,Tableau1[[#This Row],[date fin]],IF(Tableau1[[#This Row],[type]]="travail",TODAY(),""))</f>
        <v/>
      </c>
      <c r="J173" t="str">
        <f t="shared" si="8"/>
        <v/>
      </c>
    </row>
    <row r="174" spans="1:10">
      <c r="A174" s="280"/>
      <c r="B174" s="281"/>
      <c r="C174" s="248"/>
      <c r="D174" s="259"/>
      <c r="E174" s="70" t="str">
        <f>IF(Tableau1[[#This Row],[date debut]]=0,"",IF(Tableau1[[#This Row],[date fin]]=0,"",Tableau1[[#This Row],[Colonne1]]-Tableau1[[#This Row],[date debut]]+1))</f>
        <v/>
      </c>
      <c r="F174" s="70" t="str">
        <f>IF(Tableau1[[#This Row],[date debut]]=0,"",IF(Tableau1[[#This Row],[date fin]]=0,IF(Tableau1[[#This Row],[type]]="travail",Tableau1[[#This Row],[Colonne1]]-Tableau1[[#This Row],[date debut]]+1,""),""))</f>
        <v/>
      </c>
      <c r="G174" s="318" t="str">
        <f>CONCATENATE(Tableau1[[#This Row],[Jours1]],"",Tableau1[[#This Row],[jours2]])</f>
        <v/>
      </c>
      <c r="H174" s="318" t="str">
        <f t="shared" ca="1" si="9"/>
        <v/>
      </c>
      <c r="I174" s="99" t="str">
        <f ca="1">IF(Tableau1[[#This Row],[date fin]]&lt;&gt;0,Tableau1[[#This Row],[date fin]],IF(Tableau1[[#This Row],[type]]="travail",TODAY(),""))</f>
        <v/>
      </c>
      <c r="J174" t="str">
        <f t="shared" si="8"/>
        <v/>
      </c>
    </row>
    <row r="175" spans="1:10">
      <c r="A175" s="280"/>
      <c r="B175" s="281"/>
      <c r="C175" s="248"/>
      <c r="D175" s="259"/>
      <c r="E175" s="70" t="str">
        <f>IF(Tableau1[[#This Row],[date debut]]=0,"",IF(Tableau1[[#This Row],[date fin]]=0,"",Tableau1[[#This Row],[Colonne1]]-Tableau1[[#This Row],[date debut]]+1))</f>
        <v/>
      </c>
      <c r="F175" s="70" t="str">
        <f>IF(Tableau1[[#This Row],[date debut]]=0,"",IF(Tableau1[[#This Row],[date fin]]=0,IF(Tableau1[[#This Row],[type]]="travail",Tableau1[[#This Row],[Colonne1]]-Tableau1[[#This Row],[date debut]]+1,""),""))</f>
        <v/>
      </c>
      <c r="G175" s="318" t="str">
        <f>CONCATENATE(Tableau1[[#This Row],[Jours1]],"",Tableau1[[#This Row],[jours2]])</f>
        <v/>
      </c>
      <c r="H175" s="318" t="str">
        <f t="shared" ca="1" si="9"/>
        <v/>
      </c>
      <c r="I175" s="99" t="str">
        <f ca="1">IF(Tableau1[[#This Row],[date fin]]&lt;&gt;0,Tableau1[[#This Row],[date fin]],IF(Tableau1[[#This Row],[type]]="travail",TODAY(),""))</f>
        <v/>
      </c>
      <c r="J175" t="str">
        <f t="shared" si="8"/>
        <v/>
      </c>
    </row>
    <row r="176" spans="1:10">
      <c r="A176" s="280"/>
      <c r="B176" s="281"/>
      <c r="C176" s="248"/>
      <c r="D176" s="259"/>
      <c r="E176" s="70" t="str">
        <f>IF(Tableau1[[#This Row],[date debut]]=0,"",IF(Tableau1[[#This Row],[date fin]]=0,"",Tableau1[[#This Row],[Colonne1]]-Tableau1[[#This Row],[date debut]]+1))</f>
        <v/>
      </c>
      <c r="F176" s="70" t="str">
        <f>IF(Tableau1[[#This Row],[date debut]]=0,"",IF(Tableau1[[#This Row],[date fin]]=0,IF(Tableau1[[#This Row],[type]]="travail",Tableau1[[#This Row],[Colonne1]]-Tableau1[[#This Row],[date debut]]+1,""),""))</f>
        <v/>
      </c>
      <c r="G176" s="318" t="str">
        <f>CONCATENATE(Tableau1[[#This Row],[Jours1]],"",Tableau1[[#This Row],[jours2]])</f>
        <v/>
      </c>
      <c r="H176" s="318" t="str">
        <f t="shared" ca="1" si="9"/>
        <v/>
      </c>
      <c r="I176" s="99" t="str">
        <f ca="1">IF(Tableau1[[#This Row],[date fin]]&lt;&gt;0,Tableau1[[#This Row],[date fin]],IF(Tableau1[[#This Row],[type]]="travail",TODAY(),""))</f>
        <v/>
      </c>
      <c r="J176" t="str">
        <f t="shared" si="8"/>
        <v/>
      </c>
    </row>
    <row r="177" spans="1:10">
      <c r="A177" s="280"/>
      <c r="B177" s="281"/>
      <c r="C177" s="248"/>
      <c r="D177" s="259"/>
      <c r="E177" s="70" t="str">
        <f>IF(Tableau1[[#This Row],[date debut]]=0,"",IF(Tableau1[[#This Row],[date fin]]=0,"",Tableau1[[#This Row],[Colonne1]]-Tableau1[[#This Row],[date debut]]+1))</f>
        <v/>
      </c>
      <c r="F177" s="70" t="str">
        <f>IF(Tableau1[[#This Row],[date debut]]=0,"",IF(Tableau1[[#This Row],[date fin]]=0,IF(Tableau1[[#This Row],[type]]="travail",Tableau1[[#This Row],[Colonne1]]-Tableau1[[#This Row],[date debut]]+1,""),""))</f>
        <v/>
      </c>
      <c r="G177" s="318" t="str">
        <f>CONCATENATE(Tableau1[[#This Row],[Jours1]],"",Tableau1[[#This Row],[jours2]])</f>
        <v/>
      </c>
      <c r="H177" s="318" t="str">
        <f t="shared" ca="1" si="9"/>
        <v/>
      </c>
      <c r="I177" s="99" t="str">
        <f ca="1">IF(Tableau1[[#This Row],[date fin]]&lt;&gt;0,Tableau1[[#This Row],[date fin]],IF(Tableau1[[#This Row],[type]]="travail",TODAY(),""))</f>
        <v/>
      </c>
      <c r="J177" t="str">
        <f t="shared" si="8"/>
        <v/>
      </c>
    </row>
    <row r="178" spans="1:10">
      <c r="A178" s="280"/>
      <c r="B178" s="281"/>
      <c r="C178" s="248"/>
      <c r="D178" s="259"/>
      <c r="E178" s="70" t="str">
        <f>IF(Tableau1[[#This Row],[date debut]]=0,"",IF(Tableau1[[#This Row],[date fin]]=0,"",Tableau1[[#This Row],[Colonne1]]-Tableau1[[#This Row],[date debut]]+1))</f>
        <v/>
      </c>
      <c r="F178" s="70" t="str">
        <f>IF(Tableau1[[#This Row],[date debut]]=0,"",IF(Tableau1[[#This Row],[date fin]]=0,IF(Tableau1[[#This Row],[type]]="travail",Tableau1[[#This Row],[Colonne1]]-Tableau1[[#This Row],[date debut]]+1,""),""))</f>
        <v/>
      </c>
      <c r="G178" s="318" t="str">
        <f>CONCATENATE(Tableau1[[#This Row],[Jours1]],"",Tableau1[[#This Row],[jours2]])</f>
        <v/>
      </c>
      <c r="H178" s="318" t="str">
        <f t="shared" ca="1" si="9"/>
        <v/>
      </c>
      <c r="I178" s="99" t="str">
        <f ca="1">IF(Tableau1[[#This Row],[date fin]]&lt;&gt;0,Tableau1[[#This Row],[date fin]],IF(Tableau1[[#This Row],[type]]="travail",TODAY(),""))</f>
        <v/>
      </c>
      <c r="J178" t="str">
        <f t="shared" si="8"/>
        <v/>
      </c>
    </row>
    <row r="179" spans="1:10">
      <c r="A179" s="280"/>
      <c r="B179" s="281"/>
      <c r="C179" s="248"/>
      <c r="D179" s="259"/>
      <c r="E179" s="70" t="str">
        <f>IF(Tableau1[[#This Row],[date debut]]=0,"",IF(Tableau1[[#This Row],[date fin]]=0,"",Tableau1[[#This Row],[Colonne1]]-Tableau1[[#This Row],[date debut]]+1))</f>
        <v/>
      </c>
      <c r="F179" s="70" t="str">
        <f>IF(Tableau1[[#This Row],[date debut]]=0,"",IF(Tableau1[[#This Row],[date fin]]=0,IF(Tableau1[[#This Row],[type]]="travail",Tableau1[[#This Row],[Colonne1]]-Tableau1[[#This Row],[date debut]]+1,""),""))</f>
        <v/>
      </c>
      <c r="G179" s="318" t="str">
        <f>CONCATENATE(Tableau1[[#This Row],[Jours1]],"",Tableau1[[#This Row],[jours2]])</f>
        <v/>
      </c>
      <c r="H179" s="318" t="str">
        <f t="shared" ca="1" si="9"/>
        <v/>
      </c>
      <c r="I179" s="99" t="str">
        <f ca="1">IF(Tableau1[[#This Row],[date fin]]&lt;&gt;0,Tableau1[[#This Row],[date fin]],IF(Tableau1[[#This Row],[type]]="travail",TODAY(),""))</f>
        <v/>
      </c>
      <c r="J179" t="str">
        <f t="shared" si="8"/>
        <v/>
      </c>
    </row>
    <row r="180" spans="1:10">
      <c r="A180" s="280"/>
      <c r="B180" s="281"/>
      <c r="C180" s="248"/>
      <c r="D180" s="259"/>
      <c r="E180" s="70" t="str">
        <f>IF(Tableau1[[#This Row],[date debut]]=0,"",IF(Tableau1[[#This Row],[date fin]]=0,"",Tableau1[[#This Row],[Colonne1]]-Tableau1[[#This Row],[date debut]]+1))</f>
        <v/>
      </c>
      <c r="F180" s="70" t="str">
        <f>IF(Tableau1[[#This Row],[date debut]]=0,"",IF(Tableau1[[#This Row],[date fin]]=0,IF(Tableau1[[#This Row],[type]]="travail",Tableau1[[#This Row],[Colonne1]]-Tableau1[[#This Row],[date debut]]+1,""),""))</f>
        <v/>
      </c>
      <c r="G180" s="318" t="str">
        <f>CONCATENATE(Tableau1[[#This Row],[Jours1]],"",Tableau1[[#This Row],[jours2]])</f>
        <v/>
      </c>
      <c r="H180" s="318" t="str">
        <f t="shared" ca="1" si="9"/>
        <v/>
      </c>
      <c r="I180" s="99" t="str">
        <f ca="1">IF(Tableau1[[#This Row],[date fin]]&lt;&gt;0,Tableau1[[#This Row],[date fin]],IF(Tableau1[[#This Row],[type]]="travail",TODAY(),""))</f>
        <v/>
      </c>
      <c r="J180" t="str">
        <f t="shared" si="8"/>
        <v/>
      </c>
    </row>
    <row r="181" spans="1:10">
      <c r="A181" s="280"/>
      <c r="B181" s="281"/>
      <c r="C181" s="248"/>
      <c r="D181" s="259"/>
      <c r="E181" s="70" t="str">
        <f>IF(Tableau1[[#This Row],[date debut]]=0,"",IF(Tableau1[[#This Row],[date fin]]=0,"",Tableau1[[#This Row],[Colonne1]]-Tableau1[[#This Row],[date debut]]+1))</f>
        <v/>
      </c>
      <c r="F181" s="70" t="str">
        <f>IF(Tableau1[[#This Row],[date debut]]=0,"",IF(Tableau1[[#This Row],[date fin]]=0,IF(Tableau1[[#This Row],[type]]="travail",Tableau1[[#This Row],[Colonne1]]-Tableau1[[#This Row],[date debut]]+1,""),""))</f>
        <v/>
      </c>
      <c r="G181" s="318" t="str">
        <f>CONCATENATE(Tableau1[[#This Row],[Jours1]],"",Tableau1[[#This Row],[jours2]])</f>
        <v/>
      </c>
      <c r="H181" s="318" t="str">
        <f t="shared" ca="1" si="9"/>
        <v/>
      </c>
      <c r="I181" s="99" t="str">
        <f ca="1">IF(Tableau1[[#This Row],[date fin]]&lt;&gt;0,Tableau1[[#This Row],[date fin]],IF(Tableau1[[#This Row],[type]]="travail",TODAY(),""))</f>
        <v/>
      </c>
      <c r="J181" t="str">
        <f t="shared" si="8"/>
        <v/>
      </c>
    </row>
    <row r="182" spans="1:10">
      <c r="A182" s="280"/>
      <c r="B182" s="281"/>
      <c r="C182" s="248"/>
      <c r="D182" s="259"/>
      <c r="E182" s="70" t="str">
        <f>IF(Tableau1[[#This Row],[date debut]]=0,"",IF(Tableau1[[#This Row],[date fin]]=0,"",Tableau1[[#This Row],[Colonne1]]-Tableau1[[#This Row],[date debut]]+1))</f>
        <v/>
      </c>
      <c r="F182" s="70" t="str">
        <f>IF(Tableau1[[#This Row],[date debut]]=0,"",IF(Tableau1[[#This Row],[date fin]]=0,IF(Tableau1[[#This Row],[type]]="travail",Tableau1[[#This Row],[Colonne1]]-Tableau1[[#This Row],[date debut]]+1,""),""))</f>
        <v/>
      </c>
      <c r="G182" s="318" t="str">
        <f>CONCATENATE(Tableau1[[#This Row],[Jours1]],"",Tableau1[[#This Row],[jours2]])</f>
        <v/>
      </c>
      <c r="H182" s="318" t="str">
        <f t="shared" ca="1" si="9"/>
        <v/>
      </c>
      <c r="I182" s="99" t="str">
        <f ca="1">IF(Tableau1[[#This Row],[date fin]]&lt;&gt;0,Tableau1[[#This Row],[date fin]],IF(Tableau1[[#This Row],[type]]="travail",TODAY(),""))</f>
        <v/>
      </c>
      <c r="J182" t="str">
        <f t="shared" si="8"/>
        <v/>
      </c>
    </row>
    <row r="183" spans="1:10">
      <c r="A183" s="280"/>
      <c r="B183" s="281"/>
      <c r="C183" s="248"/>
      <c r="D183" s="259"/>
      <c r="E183" s="70" t="str">
        <f>IF(Tableau1[[#This Row],[date debut]]=0,"",IF(Tableau1[[#This Row],[date fin]]=0,"",Tableau1[[#This Row],[Colonne1]]-Tableau1[[#This Row],[date debut]]+1))</f>
        <v/>
      </c>
      <c r="F183" s="70" t="str">
        <f>IF(Tableau1[[#This Row],[date debut]]=0,"",IF(Tableau1[[#This Row],[date fin]]=0,IF(Tableau1[[#This Row],[type]]="travail",Tableau1[[#This Row],[Colonne1]]-Tableau1[[#This Row],[date debut]]+1,""),""))</f>
        <v/>
      </c>
      <c r="G183" s="318" t="str">
        <f>CONCATENATE(Tableau1[[#This Row],[Jours1]],"",Tableau1[[#This Row],[jours2]])</f>
        <v/>
      </c>
      <c r="H183" s="318" t="str">
        <f t="shared" ca="1" si="9"/>
        <v/>
      </c>
      <c r="I183" s="99" t="str">
        <f ca="1">IF(Tableau1[[#This Row],[date fin]]&lt;&gt;0,Tableau1[[#This Row],[date fin]],IF(Tableau1[[#This Row],[type]]="travail",TODAY(),""))</f>
        <v/>
      </c>
      <c r="J183" t="str">
        <f t="shared" si="8"/>
        <v/>
      </c>
    </row>
    <row r="184" spans="1:10">
      <c r="A184" s="280"/>
      <c r="B184" s="281"/>
      <c r="C184" s="248"/>
      <c r="D184" s="259"/>
      <c r="E184" s="70" t="str">
        <f>IF(Tableau1[[#This Row],[date debut]]=0,"",IF(Tableau1[[#This Row],[date fin]]=0,"",Tableau1[[#This Row],[Colonne1]]-Tableau1[[#This Row],[date debut]]+1))</f>
        <v/>
      </c>
      <c r="F184" s="70" t="str">
        <f>IF(Tableau1[[#This Row],[date debut]]=0,"",IF(Tableau1[[#This Row],[date fin]]=0,IF(Tableau1[[#This Row],[type]]="travail",Tableau1[[#This Row],[Colonne1]]-Tableau1[[#This Row],[date debut]]+1,""),""))</f>
        <v/>
      </c>
      <c r="G184" s="318" t="str">
        <f>CONCATENATE(Tableau1[[#This Row],[Jours1]],"",Tableau1[[#This Row],[jours2]])</f>
        <v/>
      </c>
      <c r="H184" s="318" t="str">
        <f t="shared" ca="1" si="9"/>
        <v/>
      </c>
      <c r="I184" s="99" t="str">
        <f ca="1">IF(Tableau1[[#This Row],[date fin]]&lt;&gt;0,Tableau1[[#This Row],[date fin]],IF(Tableau1[[#This Row],[type]]="travail",TODAY(),""))</f>
        <v/>
      </c>
      <c r="J184" t="str">
        <f t="shared" si="8"/>
        <v/>
      </c>
    </row>
    <row r="185" spans="1:10">
      <c r="A185" s="280"/>
      <c r="B185" s="281"/>
      <c r="C185" s="248"/>
      <c r="D185" s="259"/>
      <c r="E185" s="70" t="str">
        <f>IF(Tableau1[[#This Row],[date debut]]=0,"",IF(Tableau1[[#This Row],[date fin]]=0,"",Tableau1[[#This Row],[Colonne1]]-Tableau1[[#This Row],[date debut]]+1))</f>
        <v/>
      </c>
      <c r="F185" s="70" t="str">
        <f>IF(Tableau1[[#This Row],[date debut]]=0,"",IF(Tableau1[[#This Row],[date fin]]=0,IF(Tableau1[[#This Row],[type]]="travail",Tableau1[[#This Row],[Colonne1]]-Tableau1[[#This Row],[date debut]]+1,""),""))</f>
        <v/>
      </c>
      <c r="G185" s="318" t="str">
        <f>CONCATENATE(Tableau1[[#This Row],[Jours1]],"",Tableau1[[#This Row],[jours2]])</f>
        <v/>
      </c>
      <c r="H185" s="318" t="str">
        <f t="shared" ca="1" si="9"/>
        <v/>
      </c>
      <c r="I185" s="99" t="str">
        <f ca="1">IF(Tableau1[[#This Row],[date fin]]&lt;&gt;0,Tableau1[[#This Row],[date fin]],IF(Tableau1[[#This Row],[type]]="travail",TODAY(),""))</f>
        <v/>
      </c>
      <c r="J185" t="str">
        <f t="shared" si="8"/>
        <v/>
      </c>
    </row>
    <row r="186" spans="1:10">
      <c r="A186" s="280"/>
      <c r="B186" s="281"/>
      <c r="C186" s="248"/>
      <c r="D186" s="259"/>
      <c r="E186" s="70" t="str">
        <f>IF(Tableau1[[#This Row],[date debut]]=0,"",IF(Tableau1[[#This Row],[date fin]]=0,"",Tableau1[[#This Row],[Colonne1]]-Tableau1[[#This Row],[date debut]]+1))</f>
        <v/>
      </c>
      <c r="F186" s="70" t="str">
        <f>IF(Tableau1[[#This Row],[date debut]]=0,"",IF(Tableau1[[#This Row],[date fin]]=0,IF(Tableau1[[#This Row],[type]]="travail",Tableau1[[#This Row],[Colonne1]]-Tableau1[[#This Row],[date debut]]+1,""),""))</f>
        <v/>
      </c>
      <c r="G186" s="318" t="str">
        <f>CONCATENATE(Tableau1[[#This Row],[Jours1]],"",Tableau1[[#This Row],[jours2]])</f>
        <v/>
      </c>
      <c r="H186" s="318" t="str">
        <f t="shared" ca="1" si="9"/>
        <v/>
      </c>
      <c r="I186" s="99" t="str">
        <f ca="1">IF(Tableau1[[#This Row],[date fin]]&lt;&gt;0,Tableau1[[#This Row],[date fin]],IF(Tableau1[[#This Row],[type]]="travail",TODAY(),""))</f>
        <v/>
      </c>
      <c r="J186" t="str">
        <f t="shared" si="8"/>
        <v/>
      </c>
    </row>
    <row r="187" spans="1:10">
      <c r="A187" s="280"/>
      <c r="B187" s="281"/>
      <c r="C187" s="248"/>
      <c r="D187" s="259"/>
      <c r="E187" s="70" t="str">
        <f>IF(Tableau1[[#This Row],[date debut]]=0,"",IF(Tableau1[[#This Row],[date fin]]=0,"",Tableau1[[#This Row],[Colonne1]]-Tableau1[[#This Row],[date debut]]+1))</f>
        <v/>
      </c>
      <c r="F187" s="70" t="str">
        <f>IF(Tableau1[[#This Row],[date debut]]=0,"",IF(Tableau1[[#This Row],[date fin]]=0,IF(Tableau1[[#This Row],[type]]="travail",Tableau1[[#This Row],[Colonne1]]-Tableau1[[#This Row],[date debut]]+1,""),""))</f>
        <v/>
      </c>
      <c r="G187" s="318" t="str">
        <f>CONCATENATE(Tableau1[[#This Row],[Jours1]],"",Tableau1[[#This Row],[jours2]])</f>
        <v/>
      </c>
      <c r="H187" s="318" t="str">
        <f t="shared" ca="1" si="9"/>
        <v/>
      </c>
      <c r="I187" s="99" t="str">
        <f ca="1">IF(Tableau1[[#This Row],[date fin]]&lt;&gt;0,Tableau1[[#This Row],[date fin]],IF(Tableau1[[#This Row],[type]]="travail",TODAY(),""))</f>
        <v/>
      </c>
      <c r="J187" t="str">
        <f t="shared" si="8"/>
        <v/>
      </c>
    </row>
    <row r="188" spans="1:10">
      <c r="A188" s="280"/>
      <c r="B188" s="281"/>
      <c r="C188" s="248"/>
      <c r="D188" s="259"/>
      <c r="E188" s="70" t="str">
        <f>IF(Tableau1[[#This Row],[date debut]]=0,"",IF(Tableau1[[#This Row],[date fin]]=0,"",Tableau1[[#This Row],[Colonne1]]-Tableau1[[#This Row],[date debut]]+1))</f>
        <v/>
      </c>
      <c r="F188" s="70" t="str">
        <f>IF(Tableau1[[#This Row],[date debut]]=0,"",IF(Tableau1[[#This Row],[date fin]]=0,IF(Tableau1[[#This Row],[type]]="travail",Tableau1[[#This Row],[Colonne1]]-Tableau1[[#This Row],[date debut]]+1,""),""))</f>
        <v/>
      </c>
      <c r="G188" s="318" t="str">
        <f>CONCATENATE(Tableau1[[#This Row],[Jours1]],"",Tableau1[[#This Row],[jours2]])</f>
        <v/>
      </c>
      <c r="H188" s="318" t="str">
        <f t="shared" ca="1" si="9"/>
        <v/>
      </c>
      <c r="I188" s="99" t="str">
        <f ca="1">IF(Tableau1[[#This Row],[date fin]]&lt;&gt;0,Tableau1[[#This Row],[date fin]],IF(Tableau1[[#This Row],[type]]="travail",TODAY(),""))</f>
        <v/>
      </c>
      <c r="J188" t="str">
        <f t="shared" si="8"/>
        <v/>
      </c>
    </row>
    <row r="189" spans="1:10">
      <c r="A189" s="280"/>
      <c r="B189" s="281"/>
      <c r="C189" s="248"/>
      <c r="D189" s="259"/>
      <c r="E189" s="70" t="str">
        <f>IF(Tableau1[[#This Row],[date debut]]=0,"",IF(Tableau1[[#This Row],[date fin]]=0,"",Tableau1[[#This Row],[Colonne1]]-Tableau1[[#This Row],[date debut]]+1))</f>
        <v/>
      </c>
      <c r="F189" s="70" t="str">
        <f>IF(Tableau1[[#This Row],[date debut]]=0,"",IF(Tableau1[[#This Row],[date fin]]=0,IF(Tableau1[[#This Row],[type]]="travail",Tableau1[[#This Row],[Colonne1]]-Tableau1[[#This Row],[date debut]]+1,""),""))</f>
        <v/>
      </c>
      <c r="G189" s="318" t="str">
        <f>CONCATENATE(Tableau1[[#This Row],[Jours1]],"",Tableau1[[#This Row],[jours2]])</f>
        <v/>
      </c>
      <c r="H189" s="318" t="str">
        <f t="shared" ca="1" si="9"/>
        <v/>
      </c>
      <c r="I189" s="99" t="str">
        <f ca="1">IF(Tableau1[[#This Row],[date fin]]&lt;&gt;0,Tableau1[[#This Row],[date fin]],IF(Tableau1[[#This Row],[type]]="travail",TODAY(),""))</f>
        <v/>
      </c>
      <c r="J189" t="str">
        <f t="shared" si="8"/>
        <v/>
      </c>
    </row>
    <row r="190" spans="1:10">
      <c r="A190" s="282"/>
      <c r="B190" s="283"/>
      <c r="C190" s="251"/>
      <c r="D190" s="260"/>
      <c r="E190" s="70" t="str">
        <f>IF(Tableau1[[#This Row],[date debut]]=0,"",IF(Tableau1[[#This Row],[date fin]]=0,"",Tableau1[[#This Row],[Colonne1]]-Tableau1[[#This Row],[date debut]]+1))</f>
        <v/>
      </c>
      <c r="F190" s="70" t="str">
        <f>IF(Tableau1[[#This Row],[date debut]]=0,"",IF(Tableau1[[#This Row],[date fin]]=0,IF(Tableau1[[#This Row],[type]]="travail",Tableau1[[#This Row],[Colonne1]]-Tableau1[[#This Row],[date debut]]+1,""),""))</f>
        <v/>
      </c>
      <c r="G190" s="318" t="str">
        <f>CONCATENATE(Tableau1[[#This Row],[Jours1]],"",Tableau1[[#This Row],[jours2]])</f>
        <v/>
      </c>
      <c r="H190" s="318" t="str">
        <f t="shared" ca="1" si="9"/>
        <v/>
      </c>
      <c r="I190" s="99" t="str">
        <f ca="1">IF(Tableau1[[#This Row],[date fin]]&lt;&gt;0,Tableau1[[#This Row],[date fin]],IF(Tableau1[[#This Row],[type]]="travail",TODAY(),""))</f>
        <v/>
      </c>
      <c r="J190" t="str">
        <f t="shared" si="8"/>
        <v/>
      </c>
    </row>
  </sheetData>
  <sortState ref="M4:N25">
    <sortCondition ref="M3"/>
  </sortState>
  <dataValidations disablePrompts="1" count="1">
    <dataValidation type="list" allowBlank="1" showInputMessage="1" showErrorMessage="1" sqref="D3:D190">
      <formula1>$M$3:$M$25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81"/>
  <sheetViews>
    <sheetView zoomScale="115" zoomScaleNormal="115" workbookViewId="0">
      <selection activeCell="F2" sqref="F2"/>
    </sheetView>
  </sheetViews>
  <sheetFormatPr baseColWidth="10" defaultRowHeight="15"/>
  <cols>
    <col min="1" max="2" width="11.85546875" style="99" bestFit="1" customWidth="1"/>
    <col min="3" max="3" width="50.5703125" style="99" customWidth="1"/>
    <col min="4" max="4" width="5.42578125" style="99" bestFit="1" customWidth="1"/>
    <col min="5" max="5" width="10.140625" customWidth="1"/>
    <col min="6" max="6" width="11.42578125" style="159"/>
  </cols>
  <sheetData>
    <row r="1" spans="1:6">
      <c r="A1" s="161" t="s">
        <v>29</v>
      </c>
      <c r="B1" s="162" t="s">
        <v>29</v>
      </c>
      <c r="C1" s="163" t="s">
        <v>583</v>
      </c>
      <c r="D1" s="163" t="s">
        <v>589</v>
      </c>
      <c r="E1" s="163" t="s">
        <v>587</v>
      </c>
      <c r="F1" s="159" t="s">
        <v>588</v>
      </c>
    </row>
    <row r="2" spans="1:6">
      <c r="A2" s="164">
        <v>42786</v>
      </c>
      <c r="B2" s="165">
        <v>42839</v>
      </c>
      <c r="C2" s="165" t="s">
        <v>584</v>
      </c>
      <c r="D2" s="215" t="s">
        <v>590</v>
      </c>
      <c r="E2" s="166"/>
      <c r="F2" s="159">
        <f>B2-A2</f>
        <v>53</v>
      </c>
    </row>
    <row r="3" spans="1:6">
      <c r="A3" s="167">
        <v>42849</v>
      </c>
      <c r="B3" s="168">
        <f ca="1">TODAY()</f>
        <v>42874</v>
      </c>
      <c r="C3" s="168" t="s">
        <v>585</v>
      </c>
      <c r="D3" s="216" t="s">
        <v>590</v>
      </c>
      <c r="E3" s="169"/>
    </row>
    <row r="4" spans="1:6">
      <c r="A4" s="170">
        <v>42843</v>
      </c>
      <c r="B4" s="171">
        <v>42846</v>
      </c>
      <c r="C4" s="171" t="s">
        <v>586</v>
      </c>
      <c r="D4" s="217" t="s">
        <v>591</v>
      </c>
      <c r="E4" s="172"/>
    </row>
    <row r="5" spans="1:6">
      <c r="A5" s="173"/>
      <c r="B5" s="174"/>
      <c r="C5" s="174"/>
      <c r="D5" s="218"/>
      <c r="E5" s="175"/>
    </row>
    <row r="6" spans="1:6">
      <c r="A6" s="176"/>
      <c r="B6" s="177"/>
      <c r="C6" s="177"/>
      <c r="D6" s="219"/>
      <c r="E6" s="178"/>
    </row>
    <row r="7" spans="1:6">
      <c r="A7" s="179"/>
      <c r="B7" s="180"/>
      <c r="C7" s="180"/>
      <c r="D7" s="220"/>
      <c r="E7" s="181"/>
    </row>
    <row r="8" spans="1:6">
      <c r="A8" s="182"/>
      <c r="B8" s="183"/>
      <c r="C8" s="183"/>
      <c r="D8" s="221"/>
      <c r="E8" s="184"/>
    </row>
    <row r="9" spans="1:6">
      <c r="A9" s="185"/>
      <c r="B9" s="186"/>
      <c r="C9" s="186"/>
      <c r="D9" s="222"/>
      <c r="E9" s="187"/>
    </row>
    <row r="10" spans="1:6">
      <c r="A10" s="188"/>
      <c r="B10" s="189"/>
      <c r="C10" s="189"/>
      <c r="D10" s="223"/>
      <c r="E10" s="190"/>
    </row>
    <row r="11" spans="1:6">
      <c r="A11" s="191"/>
      <c r="B11" s="192"/>
      <c r="C11" s="192"/>
      <c r="D11" s="224"/>
      <c r="E11" s="193"/>
    </row>
    <row r="12" spans="1:6">
      <c r="A12" s="194"/>
      <c r="B12" s="195"/>
      <c r="C12" s="195"/>
      <c r="D12" s="225"/>
      <c r="E12" s="196"/>
    </row>
    <row r="13" spans="1:6">
      <c r="A13" s="197"/>
      <c r="B13" s="198"/>
      <c r="C13" s="198"/>
      <c r="D13" s="226"/>
      <c r="E13" s="199"/>
    </row>
    <row r="14" spans="1:6">
      <c r="A14" s="200"/>
      <c r="B14" s="201"/>
      <c r="C14" s="201"/>
      <c r="D14" s="227"/>
      <c r="E14" s="202"/>
    </row>
    <row r="15" spans="1:6">
      <c r="A15" s="203"/>
      <c r="B15" s="204"/>
      <c r="C15" s="204"/>
      <c r="D15" s="228"/>
      <c r="E15" s="205"/>
    </row>
    <row r="16" spans="1:6">
      <c r="A16" s="206"/>
      <c r="B16" s="207"/>
      <c r="C16" s="207"/>
      <c r="D16" s="229"/>
      <c r="E16" s="208"/>
    </row>
    <row r="17" spans="1:5">
      <c r="A17" s="209"/>
      <c r="B17" s="210"/>
      <c r="C17" s="210"/>
      <c r="D17" s="230"/>
      <c r="E17" s="211"/>
    </row>
    <row r="18" spans="1:5">
      <c r="A18" s="164"/>
      <c r="B18" s="165"/>
      <c r="C18" s="165"/>
      <c r="D18" s="215"/>
      <c r="E18" s="166"/>
    </row>
    <row r="19" spans="1:5">
      <c r="A19" s="167"/>
      <c r="B19" s="168"/>
      <c r="C19" s="168"/>
      <c r="D19" s="216"/>
      <c r="E19" s="169"/>
    </row>
    <row r="20" spans="1:5">
      <c r="A20" s="170"/>
      <c r="B20" s="171"/>
      <c r="C20" s="171"/>
      <c r="D20" s="217"/>
      <c r="E20" s="172"/>
    </row>
    <row r="21" spans="1:5">
      <c r="A21" s="173"/>
      <c r="B21" s="174"/>
      <c r="C21" s="174"/>
      <c r="D21" s="218"/>
      <c r="E21" s="175"/>
    </row>
    <row r="22" spans="1:5">
      <c r="A22" s="176"/>
      <c r="B22" s="177"/>
      <c r="C22" s="177"/>
      <c r="D22" s="219"/>
      <c r="E22" s="178"/>
    </row>
    <row r="23" spans="1:5">
      <c r="A23" s="179"/>
      <c r="B23" s="180"/>
      <c r="C23" s="180"/>
      <c r="D23" s="220"/>
      <c r="E23" s="181"/>
    </row>
    <row r="24" spans="1:5">
      <c r="A24" s="182"/>
      <c r="B24" s="183"/>
      <c r="C24" s="183"/>
      <c r="D24" s="221"/>
      <c r="E24" s="184"/>
    </row>
    <row r="25" spans="1:5">
      <c r="A25" s="185"/>
      <c r="B25" s="186"/>
      <c r="C25" s="186"/>
      <c r="D25" s="222"/>
      <c r="E25" s="187"/>
    </row>
    <row r="26" spans="1:5">
      <c r="A26" s="188"/>
      <c r="B26" s="189"/>
      <c r="C26" s="189"/>
      <c r="D26" s="223"/>
      <c r="E26" s="190"/>
    </row>
    <row r="27" spans="1:5">
      <c r="A27" s="191"/>
      <c r="B27" s="192"/>
      <c r="C27" s="192"/>
      <c r="D27" s="224"/>
      <c r="E27" s="193"/>
    </row>
    <row r="28" spans="1:5">
      <c r="A28" s="194"/>
      <c r="B28" s="195"/>
      <c r="C28" s="195"/>
      <c r="D28" s="225"/>
      <c r="E28" s="196"/>
    </row>
    <row r="29" spans="1:5">
      <c r="A29" s="197"/>
      <c r="B29" s="198"/>
      <c r="C29" s="198"/>
      <c r="D29" s="226"/>
      <c r="E29" s="199"/>
    </row>
    <row r="30" spans="1:5">
      <c r="A30" s="200"/>
      <c r="B30" s="201"/>
      <c r="C30" s="201"/>
      <c r="D30" s="227"/>
      <c r="E30" s="202"/>
    </row>
    <row r="31" spans="1:5">
      <c r="A31" s="203"/>
      <c r="B31" s="204"/>
      <c r="C31" s="204"/>
      <c r="D31" s="228"/>
      <c r="E31" s="205"/>
    </row>
    <row r="32" spans="1:5">
      <c r="A32" s="206"/>
      <c r="B32" s="207"/>
      <c r="C32" s="207"/>
      <c r="D32" s="229"/>
      <c r="E32" s="208"/>
    </row>
    <row r="33" spans="1:5">
      <c r="A33" s="209"/>
      <c r="B33" s="210"/>
      <c r="C33" s="210"/>
      <c r="D33" s="230"/>
      <c r="E33" s="211"/>
    </row>
    <row r="34" spans="1:5">
      <c r="A34" s="164"/>
      <c r="B34" s="165"/>
      <c r="C34" s="165"/>
      <c r="D34" s="215"/>
      <c r="E34" s="166"/>
    </row>
    <row r="35" spans="1:5">
      <c r="A35" s="167"/>
      <c r="B35" s="168"/>
      <c r="C35" s="168"/>
      <c r="D35" s="216"/>
      <c r="E35" s="169"/>
    </row>
    <row r="36" spans="1:5">
      <c r="A36" s="170"/>
      <c r="B36" s="171"/>
      <c r="C36" s="171"/>
      <c r="D36" s="217"/>
      <c r="E36" s="172"/>
    </row>
    <row r="37" spans="1:5">
      <c r="A37" s="173"/>
      <c r="B37" s="174"/>
      <c r="C37" s="174"/>
      <c r="D37" s="218"/>
      <c r="E37" s="175"/>
    </row>
    <row r="38" spans="1:5">
      <c r="A38" s="176"/>
      <c r="B38" s="177"/>
      <c r="C38" s="177"/>
      <c r="D38" s="219"/>
      <c r="E38" s="178"/>
    </row>
    <row r="39" spans="1:5">
      <c r="A39" s="179"/>
      <c r="B39" s="180"/>
      <c r="C39" s="180"/>
      <c r="D39" s="220"/>
      <c r="E39" s="181"/>
    </row>
    <row r="40" spans="1:5">
      <c r="A40" s="182"/>
      <c r="B40" s="183"/>
      <c r="C40" s="183"/>
      <c r="D40" s="221"/>
      <c r="E40" s="184"/>
    </row>
    <row r="41" spans="1:5">
      <c r="A41" s="185"/>
      <c r="B41" s="186"/>
      <c r="C41" s="186"/>
      <c r="D41" s="222"/>
      <c r="E41" s="187"/>
    </row>
    <row r="42" spans="1:5">
      <c r="A42" s="188"/>
      <c r="B42" s="189"/>
      <c r="C42" s="189"/>
      <c r="D42" s="223"/>
      <c r="E42" s="190"/>
    </row>
    <row r="43" spans="1:5">
      <c r="A43" s="191"/>
      <c r="B43" s="192"/>
      <c r="C43" s="192"/>
      <c r="D43" s="224"/>
      <c r="E43" s="193"/>
    </row>
    <row r="44" spans="1:5">
      <c r="A44" s="194"/>
      <c r="B44" s="195"/>
      <c r="C44" s="195"/>
      <c r="D44" s="225"/>
      <c r="E44" s="196"/>
    </row>
    <row r="45" spans="1:5">
      <c r="A45" s="197"/>
      <c r="B45" s="198"/>
      <c r="C45" s="198"/>
      <c r="D45" s="226"/>
      <c r="E45" s="199"/>
    </row>
    <row r="46" spans="1:5">
      <c r="A46" s="200"/>
      <c r="B46" s="201"/>
      <c r="C46" s="201"/>
      <c r="D46" s="227"/>
      <c r="E46" s="202"/>
    </row>
    <row r="47" spans="1:5">
      <c r="A47" s="203"/>
      <c r="B47" s="204"/>
      <c r="C47" s="204"/>
      <c r="D47" s="228"/>
      <c r="E47" s="205"/>
    </row>
    <row r="48" spans="1:5">
      <c r="A48" s="206"/>
      <c r="B48" s="207"/>
      <c r="C48" s="207"/>
      <c r="D48" s="229"/>
      <c r="E48" s="208"/>
    </row>
    <row r="49" spans="1:5">
      <c r="A49" s="209"/>
      <c r="B49" s="210"/>
      <c r="C49" s="210"/>
      <c r="D49" s="230"/>
      <c r="E49" s="211"/>
    </row>
    <row r="50" spans="1:5">
      <c r="A50" s="164"/>
      <c r="B50" s="165"/>
      <c r="C50" s="165"/>
      <c r="D50" s="215"/>
      <c r="E50" s="166"/>
    </row>
    <row r="51" spans="1:5">
      <c r="A51" s="167"/>
      <c r="B51" s="168"/>
      <c r="C51" s="168"/>
      <c r="D51" s="216"/>
      <c r="E51" s="169"/>
    </row>
    <row r="52" spans="1:5">
      <c r="A52" s="170"/>
      <c r="B52" s="171"/>
      <c r="C52" s="171"/>
      <c r="D52" s="217"/>
      <c r="E52" s="172"/>
    </row>
    <row r="53" spans="1:5">
      <c r="A53" s="173"/>
      <c r="B53" s="174"/>
      <c r="C53" s="174"/>
      <c r="D53" s="218"/>
      <c r="E53" s="175"/>
    </row>
    <row r="54" spans="1:5">
      <c r="A54" s="176"/>
      <c r="B54" s="177"/>
      <c r="C54" s="177"/>
      <c r="D54" s="219"/>
      <c r="E54" s="178"/>
    </row>
    <row r="55" spans="1:5">
      <c r="A55" s="179"/>
      <c r="B55" s="180"/>
      <c r="C55" s="180"/>
      <c r="D55" s="220"/>
      <c r="E55" s="181"/>
    </row>
    <row r="56" spans="1:5">
      <c r="A56" s="182"/>
      <c r="B56" s="183"/>
      <c r="C56" s="183"/>
      <c r="D56" s="221"/>
      <c r="E56" s="184"/>
    </row>
    <row r="57" spans="1:5">
      <c r="A57" s="185"/>
      <c r="B57" s="186"/>
      <c r="C57" s="186"/>
      <c r="D57" s="222"/>
      <c r="E57" s="187"/>
    </row>
    <row r="58" spans="1:5">
      <c r="A58" s="188"/>
      <c r="B58" s="189"/>
      <c r="C58" s="189"/>
      <c r="D58" s="223"/>
      <c r="E58" s="190"/>
    </row>
    <row r="59" spans="1:5">
      <c r="A59" s="191"/>
      <c r="B59" s="192"/>
      <c r="C59" s="192"/>
      <c r="D59" s="224"/>
      <c r="E59" s="193"/>
    </row>
    <row r="60" spans="1:5">
      <c r="A60" s="194"/>
      <c r="B60" s="195"/>
      <c r="C60" s="195"/>
      <c r="D60" s="225"/>
      <c r="E60" s="196"/>
    </row>
    <row r="61" spans="1:5">
      <c r="A61" s="197"/>
      <c r="B61" s="198"/>
      <c r="C61" s="198"/>
      <c r="D61" s="226"/>
      <c r="E61" s="199"/>
    </row>
    <row r="62" spans="1:5">
      <c r="A62" s="200"/>
      <c r="B62" s="201"/>
      <c r="C62" s="201"/>
      <c r="D62" s="227"/>
      <c r="E62" s="202"/>
    </row>
    <row r="63" spans="1:5">
      <c r="A63" s="203"/>
      <c r="B63" s="204"/>
      <c r="C63" s="204"/>
      <c r="D63" s="228"/>
      <c r="E63" s="205"/>
    </row>
    <row r="64" spans="1:5">
      <c r="A64" s="206"/>
      <c r="B64" s="207"/>
      <c r="C64" s="207"/>
      <c r="D64" s="229"/>
      <c r="E64" s="208"/>
    </row>
    <row r="65" spans="1:5" ht="15.75" thickBot="1">
      <c r="A65" s="212"/>
      <c r="B65" s="213"/>
      <c r="C65" s="213"/>
      <c r="D65" s="231"/>
      <c r="E65" s="214"/>
    </row>
    <row r="66" spans="1:5">
      <c r="A66" s="160"/>
      <c r="B66" s="160"/>
      <c r="C66" s="75"/>
      <c r="D66" s="75"/>
      <c r="E66" s="158"/>
    </row>
    <row r="67" spans="1:5">
      <c r="A67" s="160"/>
      <c r="B67" s="160"/>
      <c r="C67" s="75"/>
      <c r="D67" s="75"/>
      <c r="E67" s="158"/>
    </row>
    <row r="68" spans="1:5">
      <c r="A68" s="160"/>
      <c r="B68" s="160"/>
      <c r="C68" s="75"/>
      <c r="D68" s="75"/>
      <c r="E68" s="158"/>
    </row>
    <row r="69" spans="1:5">
      <c r="A69" s="160"/>
      <c r="B69" s="160"/>
      <c r="C69" s="75"/>
      <c r="D69" s="75"/>
      <c r="E69" s="158"/>
    </row>
    <row r="70" spans="1:5">
      <c r="A70" s="160"/>
      <c r="B70" s="160"/>
      <c r="C70" s="75"/>
      <c r="D70" s="75"/>
      <c r="E70" s="158"/>
    </row>
    <row r="71" spans="1:5">
      <c r="A71" s="160"/>
      <c r="B71" s="160"/>
      <c r="C71" s="75"/>
      <c r="D71" s="75"/>
      <c r="E71" s="158"/>
    </row>
    <row r="72" spans="1:5">
      <c r="A72" s="160"/>
      <c r="B72" s="160"/>
      <c r="C72" s="75"/>
      <c r="D72" s="75"/>
      <c r="E72" s="158"/>
    </row>
    <row r="73" spans="1:5">
      <c r="A73" s="160"/>
      <c r="B73" s="160"/>
      <c r="C73" s="75"/>
      <c r="D73" s="75"/>
      <c r="E73" s="158"/>
    </row>
    <row r="74" spans="1:5">
      <c r="A74" s="160"/>
      <c r="B74" s="160"/>
      <c r="C74" s="75"/>
      <c r="D74" s="75"/>
      <c r="E74" s="158"/>
    </row>
    <row r="75" spans="1:5">
      <c r="A75" s="160"/>
      <c r="B75" s="160"/>
      <c r="C75" s="75"/>
      <c r="D75" s="75"/>
      <c r="E75" s="158"/>
    </row>
    <row r="76" spans="1:5">
      <c r="A76" s="160"/>
      <c r="B76" s="160"/>
      <c r="C76" s="75"/>
      <c r="D76" s="75"/>
      <c r="E76" s="158"/>
    </row>
    <row r="77" spans="1:5">
      <c r="A77" s="160"/>
      <c r="B77" s="160"/>
      <c r="C77" s="75"/>
      <c r="D77" s="75"/>
      <c r="E77" s="158"/>
    </row>
    <row r="78" spans="1:5">
      <c r="A78" s="160"/>
      <c r="B78" s="160"/>
      <c r="C78" s="75"/>
      <c r="D78" s="75"/>
      <c r="E78" s="158"/>
    </row>
    <row r="79" spans="1:5">
      <c r="A79" s="160"/>
      <c r="B79" s="160"/>
      <c r="C79" s="75"/>
      <c r="D79" s="75"/>
      <c r="E79" s="158"/>
    </row>
    <row r="80" spans="1:5">
      <c r="A80" s="160"/>
      <c r="B80" s="160"/>
      <c r="C80" s="75"/>
      <c r="D80" s="75"/>
      <c r="E80" s="158"/>
    </row>
    <row r="81" spans="1:5">
      <c r="A81" s="160"/>
      <c r="B81" s="160"/>
      <c r="C81" s="75"/>
      <c r="D81" s="75"/>
      <c r="E81" s="158"/>
    </row>
  </sheetData>
  <conditionalFormatting sqref="P22">
    <cfRule type="expression" priority="1">
      <formula>"{=si($K$22="""":"""":sierreur(recherchebv($K$22;Événements!$A$2:$C$65;2;0);""""))}"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990"/>
  <sheetViews>
    <sheetView topLeftCell="A744" workbookViewId="0">
      <selection activeCell="F32" sqref="F32"/>
    </sheetView>
  </sheetViews>
  <sheetFormatPr baseColWidth="10" defaultRowHeight="15"/>
  <cols>
    <col min="1" max="1" width="11.5703125" style="99" customWidth="1"/>
    <col min="2" max="2" width="15.7109375" style="129" customWidth="1"/>
  </cols>
  <sheetData>
    <row r="1" spans="1:3">
      <c r="A1" s="99">
        <v>40909</v>
      </c>
      <c r="B1" s="129" t="s">
        <v>461</v>
      </c>
      <c r="C1" t="s">
        <v>462</v>
      </c>
    </row>
    <row r="2" spans="1:3">
      <c r="A2" s="99">
        <v>40917</v>
      </c>
      <c r="B2" s="129" t="s">
        <v>463</v>
      </c>
    </row>
    <row r="3" spans="1:3">
      <c r="A3" s="99">
        <v>40924</v>
      </c>
      <c r="B3" s="129" t="s">
        <v>464</v>
      </c>
    </row>
    <row r="4" spans="1:3">
      <c r="A4" s="99">
        <v>40931</v>
      </c>
      <c r="B4" s="129" t="s">
        <v>465</v>
      </c>
    </row>
    <row r="5" spans="1:3">
      <c r="A5" s="99">
        <v>40939</v>
      </c>
      <c r="B5" s="129" t="s">
        <v>461</v>
      </c>
    </row>
    <row r="6" spans="1:3">
      <c r="A6" s="99">
        <v>40946</v>
      </c>
      <c r="B6" s="129" t="s">
        <v>463</v>
      </c>
    </row>
    <row r="7" spans="1:3">
      <c r="A7" s="99">
        <v>40953</v>
      </c>
      <c r="B7" s="129" t="s">
        <v>464</v>
      </c>
    </row>
    <row r="8" spans="1:3">
      <c r="A8" s="99">
        <v>40960</v>
      </c>
      <c r="B8" s="129" t="s">
        <v>465</v>
      </c>
    </row>
    <row r="9" spans="1:3">
      <c r="A9" s="99">
        <v>40969</v>
      </c>
      <c r="B9" s="129" t="s">
        <v>461</v>
      </c>
    </row>
    <row r="10" spans="1:3">
      <c r="A10" s="99">
        <v>40976</v>
      </c>
      <c r="B10" s="129" t="s">
        <v>463</v>
      </c>
    </row>
    <row r="11" spans="1:3">
      <c r="A11" s="99">
        <v>40983</v>
      </c>
      <c r="B11" s="129" t="s">
        <v>464</v>
      </c>
    </row>
    <row r="12" spans="1:3">
      <c r="A12" s="99">
        <v>40990</v>
      </c>
      <c r="B12" s="129" t="s">
        <v>465</v>
      </c>
    </row>
    <row r="13" spans="1:3">
      <c r="A13" s="99">
        <v>40998</v>
      </c>
      <c r="B13" s="129" t="s">
        <v>461</v>
      </c>
    </row>
    <row r="14" spans="1:3">
      <c r="A14" s="99">
        <v>41005</v>
      </c>
      <c r="B14" s="129" t="s">
        <v>463</v>
      </c>
    </row>
    <row r="15" spans="1:3">
      <c r="A15" s="99">
        <v>41012</v>
      </c>
      <c r="B15" s="129" t="s">
        <v>464</v>
      </c>
    </row>
    <row r="16" spans="1:3">
      <c r="A16" s="99">
        <v>41020</v>
      </c>
      <c r="B16" s="129" t="s">
        <v>465</v>
      </c>
    </row>
    <row r="17" spans="1:2">
      <c r="A17" s="99">
        <v>41028</v>
      </c>
      <c r="B17" s="129" t="s">
        <v>461</v>
      </c>
    </row>
    <row r="18" spans="1:2">
      <c r="A18" s="99">
        <v>41035</v>
      </c>
      <c r="B18" s="129" t="s">
        <v>463</v>
      </c>
    </row>
    <row r="19" spans="1:2">
      <c r="A19" s="99">
        <v>41041</v>
      </c>
      <c r="B19" s="129" t="s">
        <v>464</v>
      </c>
    </row>
    <row r="20" spans="1:2">
      <c r="A20" s="99">
        <v>41049</v>
      </c>
      <c r="B20" s="129" t="s">
        <v>465</v>
      </c>
    </row>
    <row r="21" spans="1:2">
      <c r="A21" s="99">
        <v>41057</v>
      </c>
      <c r="B21" s="129" t="s">
        <v>461</v>
      </c>
    </row>
    <row r="22" spans="1:2">
      <c r="A22" s="99">
        <v>41064</v>
      </c>
      <c r="B22" s="129" t="s">
        <v>463</v>
      </c>
    </row>
    <row r="23" spans="1:2">
      <c r="A23" s="99">
        <v>41071</v>
      </c>
      <c r="B23" s="129" t="s">
        <v>464</v>
      </c>
    </row>
    <row r="24" spans="1:2">
      <c r="A24" s="99">
        <v>41079</v>
      </c>
      <c r="B24" s="129" t="s">
        <v>465</v>
      </c>
    </row>
    <row r="25" spans="1:2">
      <c r="A25" s="99">
        <v>41087</v>
      </c>
      <c r="B25" s="129" t="s">
        <v>461</v>
      </c>
    </row>
    <row r="26" spans="1:2">
      <c r="A26" s="99">
        <v>41093</v>
      </c>
      <c r="B26" s="129" t="s">
        <v>463</v>
      </c>
    </row>
    <row r="27" spans="1:2">
      <c r="A27" s="99">
        <v>41101</v>
      </c>
      <c r="B27" s="129" t="s">
        <v>464</v>
      </c>
    </row>
    <row r="28" spans="1:2">
      <c r="A28" s="99">
        <v>41109</v>
      </c>
      <c r="B28" s="129" t="s">
        <v>465</v>
      </c>
    </row>
    <row r="29" spans="1:2">
      <c r="A29" s="99">
        <v>41116</v>
      </c>
      <c r="B29" s="129" t="s">
        <v>461</v>
      </c>
    </row>
    <row r="30" spans="1:2">
      <c r="A30" s="99">
        <v>41123</v>
      </c>
      <c r="B30" s="129" t="s">
        <v>463</v>
      </c>
    </row>
    <row r="31" spans="1:2">
      <c r="A31" s="99">
        <v>41130</v>
      </c>
      <c r="B31" s="129" t="s">
        <v>464</v>
      </c>
    </row>
    <row r="32" spans="1:2">
      <c r="A32" s="99">
        <v>41138</v>
      </c>
      <c r="B32" s="129" t="s">
        <v>465</v>
      </c>
    </row>
    <row r="33" spans="1:2">
      <c r="A33" s="99">
        <v>41145</v>
      </c>
      <c r="B33" s="129" t="s">
        <v>461</v>
      </c>
    </row>
    <row r="34" spans="1:2">
      <c r="A34" s="99">
        <v>41152</v>
      </c>
      <c r="B34" s="129" t="s">
        <v>463</v>
      </c>
    </row>
    <row r="35" spans="1:2">
      <c r="A35" s="99">
        <v>41160</v>
      </c>
      <c r="B35" s="129" t="s">
        <v>464</v>
      </c>
    </row>
    <row r="36" spans="1:2">
      <c r="A36" s="99">
        <v>41168</v>
      </c>
      <c r="B36" s="129" t="s">
        <v>465</v>
      </c>
    </row>
    <row r="37" spans="1:2">
      <c r="A37" s="99">
        <v>41174</v>
      </c>
      <c r="B37" s="129" t="s">
        <v>461</v>
      </c>
    </row>
    <row r="38" spans="1:2">
      <c r="A38" s="99">
        <v>41182</v>
      </c>
      <c r="B38" s="129" t="s">
        <v>463</v>
      </c>
    </row>
    <row r="39" spans="1:2">
      <c r="A39" s="99">
        <v>41190</v>
      </c>
      <c r="B39" s="129" t="s">
        <v>464</v>
      </c>
    </row>
    <row r="40" spans="1:2">
      <c r="A40" s="99">
        <v>41197</v>
      </c>
      <c r="B40" s="129" t="s">
        <v>465</v>
      </c>
    </row>
    <row r="41" spans="1:2">
      <c r="A41" s="99">
        <v>41204</v>
      </c>
      <c r="B41" s="129" t="s">
        <v>461</v>
      </c>
    </row>
    <row r="42" spans="1:2">
      <c r="A42" s="99">
        <v>41211</v>
      </c>
      <c r="B42" s="129" t="s">
        <v>463</v>
      </c>
    </row>
    <row r="43" spans="1:2">
      <c r="A43" s="99">
        <v>41220</v>
      </c>
      <c r="B43" s="129" t="s">
        <v>464</v>
      </c>
    </row>
    <row r="44" spans="1:2">
      <c r="A44" s="99">
        <v>41226</v>
      </c>
      <c r="B44" s="129" t="s">
        <v>465</v>
      </c>
    </row>
    <row r="45" spans="1:2">
      <c r="A45" s="99">
        <v>41233</v>
      </c>
      <c r="B45" s="129" t="s">
        <v>461</v>
      </c>
    </row>
    <row r="46" spans="1:2">
      <c r="A46" s="99">
        <v>41241</v>
      </c>
      <c r="B46" s="129" t="s">
        <v>463</v>
      </c>
    </row>
    <row r="47" spans="1:2">
      <c r="A47" s="99">
        <v>41249</v>
      </c>
      <c r="B47" s="129" t="s">
        <v>464</v>
      </c>
    </row>
    <row r="48" spans="1:2">
      <c r="A48" s="99">
        <v>41256</v>
      </c>
      <c r="B48" s="129" t="s">
        <v>465</v>
      </c>
    </row>
    <row r="49" spans="1:2">
      <c r="A49" s="99">
        <v>41263</v>
      </c>
      <c r="B49" s="129" t="s">
        <v>461</v>
      </c>
    </row>
    <row r="50" spans="1:2">
      <c r="A50" s="99">
        <v>41271</v>
      </c>
      <c r="B50" s="129" t="s">
        <v>463</v>
      </c>
    </row>
    <row r="51" spans="1:2">
      <c r="A51" s="99">
        <v>41279</v>
      </c>
      <c r="B51" s="129" t="s">
        <v>464</v>
      </c>
    </row>
    <row r="52" spans="1:2">
      <c r="A52" s="99">
        <v>41285</v>
      </c>
      <c r="B52" s="129" t="s">
        <v>465</v>
      </c>
    </row>
    <row r="53" spans="1:2">
      <c r="A53" s="99">
        <v>41292</v>
      </c>
      <c r="B53" s="129" t="s">
        <v>461</v>
      </c>
    </row>
    <row r="54" spans="1:2">
      <c r="A54" s="99">
        <v>41301</v>
      </c>
      <c r="B54" s="129" t="s">
        <v>463</v>
      </c>
    </row>
    <row r="55" spans="1:2">
      <c r="A55" s="99">
        <v>41308</v>
      </c>
      <c r="B55" s="129" t="s">
        <v>464</v>
      </c>
    </row>
    <row r="56" spans="1:2">
      <c r="A56" s="99">
        <v>41315</v>
      </c>
      <c r="B56" s="129" t="s">
        <v>465</v>
      </c>
    </row>
    <row r="57" spans="1:2">
      <c r="A57" s="99">
        <v>41322</v>
      </c>
      <c r="B57" s="129" t="s">
        <v>461</v>
      </c>
    </row>
    <row r="58" spans="1:2">
      <c r="A58" s="99">
        <v>41330</v>
      </c>
      <c r="B58" s="129" t="s">
        <v>463</v>
      </c>
    </row>
    <row r="59" spans="1:2">
      <c r="A59" s="99">
        <v>41337</v>
      </c>
      <c r="B59" s="129" t="s">
        <v>464</v>
      </c>
    </row>
    <row r="60" spans="1:2">
      <c r="A60" s="99">
        <v>41344</v>
      </c>
      <c r="B60" s="129" t="s">
        <v>465</v>
      </c>
    </row>
    <row r="61" spans="1:2">
      <c r="A61" s="99">
        <v>41352</v>
      </c>
      <c r="B61" s="129" t="s">
        <v>461</v>
      </c>
    </row>
    <row r="62" spans="1:2">
      <c r="A62" s="99">
        <v>41360</v>
      </c>
      <c r="B62" s="129" t="s">
        <v>463</v>
      </c>
    </row>
    <row r="63" spans="1:2">
      <c r="A63" s="99">
        <v>41367</v>
      </c>
      <c r="B63" s="129" t="s">
        <v>464</v>
      </c>
    </row>
    <row r="64" spans="1:2">
      <c r="A64" s="99">
        <v>41374</v>
      </c>
      <c r="B64" s="129" t="s">
        <v>465</v>
      </c>
    </row>
    <row r="65" spans="1:2">
      <c r="A65" s="99">
        <v>41382</v>
      </c>
      <c r="B65" s="129" t="s">
        <v>461</v>
      </c>
    </row>
    <row r="66" spans="1:2">
      <c r="A66" s="99">
        <v>41389</v>
      </c>
      <c r="B66" s="129" t="s">
        <v>463</v>
      </c>
    </row>
    <row r="67" spans="1:2">
      <c r="A67" s="99">
        <v>41396</v>
      </c>
      <c r="B67" s="129" t="s">
        <v>464</v>
      </c>
    </row>
    <row r="68" spans="1:2">
      <c r="A68" s="99">
        <v>41404</v>
      </c>
      <c r="B68" s="129" t="s">
        <v>465</v>
      </c>
    </row>
    <row r="69" spans="1:2">
      <c r="A69" s="99">
        <v>41412</v>
      </c>
      <c r="B69" s="129" t="s">
        <v>461</v>
      </c>
    </row>
    <row r="70" spans="1:2">
      <c r="A70" s="99">
        <v>41419</v>
      </c>
      <c r="B70" s="129" t="s">
        <v>463</v>
      </c>
    </row>
    <row r="71" spans="1:2">
      <c r="A71" s="99">
        <v>41425</v>
      </c>
      <c r="B71" s="129" t="s">
        <v>464</v>
      </c>
    </row>
    <row r="72" spans="1:2">
      <c r="A72" s="99">
        <v>41433</v>
      </c>
      <c r="B72" s="129" t="s">
        <v>465</v>
      </c>
    </row>
    <row r="73" spans="1:2">
      <c r="A73" s="99">
        <v>41441</v>
      </c>
      <c r="B73" s="129" t="s">
        <v>461</v>
      </c>
    </row>
    <row r="74" spans="1:2">
      <c r="A74" s="99">
        <v>41448</v>
      </c>
      <c r="B74" s="129" t="s">
        <v>463</v>
      </c>
    </row>
    <row r="75" spans="1:2">
      <c r="A75" s="99">
        <v>41455</v>
      </c>
      <c r="B75" s="129" t="s">
        <v>464</v>
      </c>
    </row>
    <row r="76" spans="1:2">
      <c r="A76" s="99">
        <v>41463</v>
      </c>
      <c r="B76" s="129" t="s">
        <v>465</v>
      </c>
    </row>
    <row r="77" spans="1:2">
      <c r="A77" s="99">
        <v>41471</v>
      </c>
      <c r="B77" s="129" t="s">
        <v>461</v>
      </c>
    </row>
    <row r="78" spans="1:2">
      <c r="A78" s="99">
        <v>41477</v>
      </c>
      <c r="B78" s="129" t="s">
        <v>463</v>
      </c>
    </row>
    <row r="79" spans="1:2">
      <c r="A79" s="99">
        <v>41484</v>
      </c>
      <c r="B79" s="129" t="s">
        <v>464</v>
      </c>
    </row>
    <row r="80" spans="1:2">
      <c r="A80" s="99">
        <v>41492</v>
      </c>
      <c r="B80" s="129" t="s">
        <v>465</v>
      </c>
    </row>
    <row r="81" spans="1:2">
      <c r="A81" s="99">
        <v>41500</v>
      </c>
      <c r="B81" s="129" t="s">
        <v>461</v>
      </c>
    </row>
    <row r="82" spans="1:2">
      <c r="A82" s="99">
        <v>41507</v>
      </c>
      <c r="B82" s="129" t="s">
        <v>463</v>
      </c>
    </row>
    <row r="83" spans="1:2">
      <c r="A83" s="99">
        <v>41514</v>
      </c>
      <c r="B83" s="129" t="s">
        <v>464</v>
      </c>
    </row>
    <row r="84" spans="1:2">
      <c r="A84" s="99">
        <v>41522</v>
      </c>
      <c r="B84" s="129" t="s">
        <v>465</v>
      </c>
    </row>
    <row r="85" spans="1:2">
      <c r="A85" s="99">
        <v>41529</v>
      </c>
      <c r="B85" s="129" t="s">
        <v>461</v>
      </c>
    </row>
    <row r="86" spans="1:2">
      <c r="A86" s="99">
        <v>41536</v>
      </c>
      <c r="B86" s="129" t="s">
        <v>463</v>
      </c>
    </row>
    <row r="87" spans="1:2">
      <c r="A87" s="99">
        <v>41544</v>
      </c>
      <c r="B87" s="129" t="s">
        <v>464</v>
      </c>
    </row>
    <row r="88" spans="1:2">
      <c r="A88" s="99">
        <v>41552</v>
      </c>
      <c r="B88" s="129" t="s">
        <v>465</v>
      </c>
    </row>
    <row r="89" spans="1:2">
      <c r="A89" s="99">
        <v>41558</v>
      </c>
      <c r="B89" s="129" t="s">
        <v>461</v>
      </c>
    </row>
    <row r="90" spans="1:2">
      <c r="A90" s="99">
        <v>41565</v>
      </c>
      <c r="B90" s="129" t="s">
        <v>463</v>
      </c>
    </row>
    <row r="91" spans="1:2">
      <c r="A91" s="99">
        <v>41573</v>
      </c>
      <c r="B91" s="129" t="s">
        <v>464</v>
      </c>
    </row>
    <row r="92" spans="1:2">
      <c r="A92" s="99">
        <v>41581</v>
      </c>
      <c r="B92" s="129" t="s">
        <v>465</v>
      </c>
    </row>
    <row r="93" spans="1:2">
      <c r="A93" s="99">
        <v>41588</v>
      </c>
      <c r="B93" s="129" t="s">
        <v>461</v>
      </c>
    </row>
    <row r="94" spans="1:2">
      <c r="A94" s="99">
        <v>41595</v>
      </c>
      <c r="B94" s="129" t="s">
        <v>463</v>
      </c>
    </row>
    <row r="95" spans="1:2">
      <c r="A95" s="99">
        <v>41603</v>
      </c>
      <c r="B95" s="129" t="s">
        <v>464</v>
      </c>
    </row>
    <row r="96" spans="1:2">
      <c r="A96" s="99">
        <v>41611</v>
      </c>
      <c r="B96" s="129" t="s">
        <v>465</v>
      </c>
    </row>
    <row r="97" spans="1:2">
      <c r="A97" s="99">
        <v>41617</v>
      </c>
      <c r="B97" s="129" t="s">
        <v>461</v>
      </c>
    </row>
    <row r="98" spans="1:2">
      <c r="A98" s="99">
        <v>41625</v>
      </c>
      <c r="B98" s="129" t="s">
        <v>463</v>
      </c>
    </row>
    <row r="99" spans="1:2">
      <c r="A99" s="99">
        <v>41633</v>
      </c>
      <c r="B99" s="129" t="s">
        <v>464</v>
      </c>
    </row>
    <row r="100" spans="1:2">
      <c r="A100" s="99">
        <v>41640</v>
      </c>
      <c r="B100" s="129" t="s">
        <v>465</v>
      </c>
    </row>
    <row r="101" spans="1:2">
      <c r="A101" s="99">
        <v>41647</v>
      </c>
      <c r="B101" s="129" t="s">
        <v>461</v>
      </c>
    </row>
    <row r="102" spans="1:2">
      <c r="A102" s="99">
        <v>41655</v>
      </c>
      <c r="B102" s="129" t="s">
        <v>463</v>
      </c>
    </row>
    <row r="103" spans="1:2">
      <c r="A103" s="99">
        <v>41663</v>
      </c>
      <c r="B103" s="129" t="s">
        <v>464</v>
      </c>
    </row>
    <row r="104" spans="1:2">
      <c r="A104" s="99">
        <v>41669</v>
      </c>
      <c r="B104" s="129" t="s">
        <v>465</v>
      </c>
    </row>
    <row r="105" spans="1:2">
      <c r="A105" s="99">
        <v>41676</v>
      </c>
      <c r="B105" s="129" t="s">
        <v>461</v>
      </c>
    </row>
    <row r="106" spans="1:2">
      <c r="A106" s="99">
        <v>41684</v>
      </c>
      <c r="B106" s="129" t="s">
        <v>463</v>
      </c>
    </row>
    <row r="107" spans="1:2">
      <c r="A107" s="99">
        <v>41692</v>
      </c>
      <c r="B107" s="129" t="s">
        <v>464</v>
      </c>
    </row>
    <row r="108" spans="1:2">
      <c r="A108" s="99">
        <v>41699</v>
      </c>
      <c r="B108" s="129" t="s">
        <v>465</v>
      </c>
    </row>
    <row r="109" spans="1:2">
      <c r="A109" s="99">
        <v>41706</v>
      </c>
      <c r="B109" s="129" t="s">
        <v>461</v>
      </c>
    </row>
    <row r="110" spans="1:2">
      <c r="A110" s="99">
        <v>41714</v>
      </c>
      <c r="B110" s="129" t="s">
        <v>463</v>
      </c>
    </row>
    <row r="111" spans="1:2">
      <c r="A111" s="99">
        <v>41722</v>
      </c>
      <c r="B111" s="129" t="s">
        <v>464</v>
      </c>
    </row>
    <row r="112" spans="1:2">
      <c r="A112" s="99">
        <v>41728</v>
      </c>
      <c r="B112" s="129" t="s">
        <v>465</v>
      </c>
    </row>
    <row r="113" spans="1:2">
      <c r="A113" s="99">
        <v>41736</v>
      </c>
      <c r="B113" s="129" t="s">
        <v>461</v>
      </c>
    </row>
    <row r="114" spans="1:2">
      <c r="A114" s="99">
        <v>41744</v>
      </c>
      <c r="B114" s="129" t="s">
        <v>463</v>
      </c>
    </row>
    <row r="115" spans="1:2">
      <c r="A115" s="99">
        <v>41751</v>
      </c>
      <c r="B115" s="129" t="s">
        <v>464</v>
      </c>
    </row>
    <row r="116" spans="1:2">
      <c r="A116" s="99">
        <v>41758</v>
      </c>
      <c r="B116" s="129" t="s">
        <v>465</v>
      </c>
    </row>
    <row r="117" spans="1:2">
      <c r="A117" s="99">
        <v>41766</v>
      </c>
      <c r="B117" s="129" t="s">
        <v>461</v>
      </c>
    </row>
    <row r="118" spans="1:2">
      <c r="A118" s="99">
        <v>41773</v>
      </c>
      <c r="B118" s="129" t="s">
        <v>463</v>
      </c>
    </row>
    <row r="119" spans="1:2">
      <c r="A119" s="99">
        <v>41780</v>
      </c>
      <c r="B119" s="129" t="s">
        <v>464</v>
      </c>
    </row>
    <row r="120" spans="1:2">
      <c r="A120" s="99">
        <v>41787</v>
      </c>
      <c r="B120" s="129" t="s">
        <v>465</v>
      </c>
    </row>
    <row r="121" spans="1:2">
      <c r="A121" s="99">
        <v>41795</v>
      </c>
      <c r="B121" s="129" t="s">
        <v>461</v>
      </c>
    </row>
    <row r="122" spans="1:2">
      <c r="A122" s="99">
        <v>41803</v>
      </c>
      <c r="B122" s="129" t="s">
        <v>463</v>
      </c>
    </row>
    <row r="123" spans="1:2">
      <c r="A123" s="99">
        <v>41809</v>
      </c>
      <c r="B123" s="129" t="s">
        <v>464</v>
      </c>
    </row>
    <row r="124" spans="1:2">
      <c r="A124" s="99">
        <v>41817</v>
      </c>
      <c r="B124" s="129" t="s">
        <v>465</v>
      </c>
    </row>
    <row r="125" spans="1:2">
      <c r="A125" s="99">
        <v>41825</v>
      </c>
      <c r="B125" s="129" t="s">
        <v>461</v>
      </c>
    </row>
    <row r="126" spans="1:2">
      <c r="A126" s="99">
        <v>41832</v>
      </c>
      <c r="B126" s="129" t="s">
        <v>463</v>
      </c>
    </row>
    <row r="127" spans="1:2">
      <c r="A127" s="99">
        <v>41839</v>
      </c>
      <c r="B127" s="129" t="s">
        <v>464</v>
      </c>
    </row>
    <row r="128" spans="1:2">
      <c r="A128" s="99">
        <v>41846</v>
      </c>
      <c r="B128" s="129" t="s">
        <v>465</v>
      </c>
    </row>
    <row r="129" spans="1:2">
      <c r="A129" s="99">
        <v>41855</v>
      </c>
      <c r="B129" s="129" t="s">
        <v>461</v>
      </c>
    </row>
    <row r="130" spans="1:2">
      <c r="A130" s="99">
        <v>41861</v>
      </c>
      <c r="B130" s="129" t="s">
        <v>463</v>
      </c>
    </row>
    <row r="131" spans="1:2">
      <c r="A131" s="99">
        <v>41868</v>
      </c>
      <c r="B131" s="129" t="s">
        <v>464</v>
      </c>
    </row>
    <row r="132" spans="1:2">
      <c r="A132" s="99">
        <v>41876</v>
      </c>
      <c r="B132" s="129" t="s">
        <v>465</v>
      </c>
    </row>
    <row r="133" spans="1:2">
      <c r="A133" s="99">
        <v>41884</v>
      </c>
      <c r="B133" s="129" t="s">
        <v>461</v>
      </c>
    </row>
    <row r="134" spans="1:2">
      <c r="A134" s="99">
        <v>41891</v>
      </c>
      <c r="B134" s="129" t="s">
        <v>463</v>
      </c>
    </row>
    <row r="135" spans="1:2">
      <c r="A135" s="99">
        <v>41898</v>
      </c>
      <c r="B135" s="129" t="s">
        <v>464</v>
      </c>
    </row>
    <row r="136" spans="1:2">
      <c r="A136" s="99">
        <v>41906</v>
      </c>
      <c r="B136" s="129" t="s">
        <v>465</v>
      </c>
    </row>
    <row r="137" spans="1:2">
      <c r="A137" s="99">
        <v>41913</v>
      </c>
      <c r="B137" s="129" t="s">
        <v>461</v>
      </c>
    </row>
    <row r="138" spans="1:2">
      <c r="A138" s="99">
        <v>41920</v>
      </c>
      <c r="B138" s="129" t="s">
        <v>463</v>
      </c>
    </row>
    <row r="139" spans="1:2">
      <c r="A139" s="99">
        <v>41927</v>
      </c>
      <c r="B139" s="129" t="s">
        <v>464</v>
      </c>
    </row>
    <row r="140" spans="1:2">
      <c r="A140" s="99">
        <v>41935</v>
      </c>
      <c r="B140" s="129" t="s">
        <v>465</v>
      </c>
    </row>
    <row r="141" spans="1:2">
      <c r="A141" s="99">
        <v>41943</v>
      </c>
      <c r="B141" s="129" t="s">
        <v>461</v>
      </c>
    </row>
    <row r="142" spans="1:2">
      <c r="A142" s="99">
        <v>41949</v>
      </c>
      <c r="B142" s="129" t="s">
        <v>463</v>
      </c>
    </row>
    <row r="143" spans="1:2">
      <c r="A143" s="99">
        <v>41957</v>
      </c>
      <c r="B143" s="129" t="s">
        <v>464</v>
      </c>
    </row>
    <row r="144" spans="1:2">
      <c r="A144" s="99">
        <v>41965</v>
      </c>
      <c r="B144" s="129" t="s">
        <v>465</v>
      </c>
    </row>
    <row r="145" spans="1:2">
      <c r="A145" s="99">
        <v>41972</v>
      </c>
      <c r="B145" s="129" t="s">
        <v>461</v>
      </c>
    </row>
    <row r="146" spans="1:2">
      <c r="A146" s="99">
        <v>41979</v>
      </c>
      <c r="B146" s="129" t="s">
        <v>463</v>
      </c>
    </row>
    <row r="147" spans="1:2">
      <c r="A147" s="99">
        <v>41987</v>
      </c>
      <c r="B147" s="129" t="s">
        <v>464</v>
      </c>
    </row>
    <row r="148" spans="1:2">
      <c r="A148" s="99">
        <v>41995</v>
      </c>
      <c r="B148" s="129" t="s">
        <v>465</v>
      </c>
    </row>
    <row r="149" spans="1:2">
      <c r="A149" s="99">
        <v>42001</v>
      </c>
      <c r="B149" s="129" t="s">
        <v>461</v>
      </c>
    </row>
    <row r="150" spans="1:2">
      <c r="A150" s="99">
        <v>42009</v>
      </c>
      <c r="B150" s="129" t="s">
        <v>463</v>
      </c>
    </row>
    <row r="151" spans="1:2">
      <c r="A151" s="99">
        <v>42017</v>
      </c>
      <c r="B151" s="129" t="s">
        <v>464</v>
      </c>
    </row>
    <row r="152" spans="1:2">
      <c r="A152" s="99">
        <v>42024</v>
      </c>
      <c r="B152" s="129" t="s">
        <v>465</v>
      </c>
    </row>
    <row r="153" spans="1:2">
      <c r="A153" s="99">
        <v>42031</v>
      </c>
      <c r="B153" s="129" t="s">
        <v>461</v>
      </c>
    </row>
    <row r="154" spans="1:2">
      <c r="A154" s="99">
        <v>42038</v>
      </c>
      <c r="B154" s="129" t="s">
        <v>463</v>
      </c>
    </row>
    <row r="155" spans="1:2">
      <c r="A155" s="99">
        <v>42047</v>
      </c>
      <c r="B155" s="129" t="s">
        <v>464</v>
      </c>
    </row>
    <row r="156" spans="1:2">
      <c r="A156" s="99">
        <v>42053</v>
      </c>
      <c r="B156" s="129" t="s">
        <v>465</v>
      </c>
    </row>
    <row r="157" spans="1:2">
      <c r="A157" s="99">
        <v>42060</v>
      </c>
      <c r="B157" s="129" t="s">
        <v>461</v>
      </c>
    </row>
    <row r="158" spans="1:2">
      <c r="A158" s="99">
        <v>42068</v>
      </c>
      <c r="B158" s="129" t="s">
        <v>463</v>
      </c>
    </row>
    <row r="159" spans="1:2">
      <c r="A159" s="99">
        <v>42076</v>
      </c>
      <c r="B159" s="129" t="s">
        <v>464</v>
      </c>
    </row>
    <row r="160" spans="1:2">
      <c r="A160" s="99">
        <v>42083</v>
      </c>
      <c r="B160" s="129" t="s">
        <v>465</v>
      </c>
    </row>
    <row r="161" spans="1:2">
      <c r="A161" s="99">
        <v>42090</v>
      </c>
      <c r="B161" s="129" t="s">
        <v>461</v>
      </c>
    </row>
    <row r="162" spans="1:2">
      <c r="A162" s="99">
        <v>42098</v>
      </c>
      <c r="B162" s="129" t="s">
        <v>463</v>
      </c>
    </row>
    <row r="163" spans="1:2">
      <c r="A163" s="99">
        <v>42106</v>
      </c>
      <c r="B163" s="129" t="s">
        <v>464</v>
      </c>
    </row>
    <row r="164" spans="1:2">
      <c r="A164" s="99">
        <v>42112</v>
      </c>
      <c r="B164" s="129" t="s">
        <v>465</v>
      </c>
    </row>
    <row r="165" spans="1:2">
      <c r="A165" s="99">
        <v>42119</v>
      </c>
      <c r="B165" s="129" t="s">
        <v>461</v>
      </c>
    </row>
    <row r="166" spans="1:2">
      <c r="A166" s="99">
        <v>42128</v>
      </c>
      <c r="B166" s="129" t="s">
        <v>463</v>
      </c>
    </row>
    <row r="167" spans="1:2">
      <c r="A167" s="99">
        <v>42135</v>
      </c>
      <c r="B167" s="129" t="s">
        <v>464</v>
      </c>
    </row>
    <row r="168" spans="1:2">
      <c r="A168" s="99">
        <v>42142</v>
      </c>
      <c r="B168" s="129" t="s">
        <v>465</v>
      </c>
    </row>
    <row r="169" spans="1:2">
      <c r="A169" s="99">
        <v>42149</v>
      </c>
      <c r="B169" s="129" t="s">
        <v>461</v>
      </c>
    </row>
    <row r="170" spans="1:2">
      <c r="A170" s="99">
        <v>42157</v>
      </c>
      <c r="B170" s="129" t="s">
        <v>463</v>
      </c>
    </row>
    <row r="171" spans="1:2">
      <c r="A171" s="99">
        <v>42164</v>
      </c>
      <c r="B171" s="129" t="s">
        <v>464</v>
      </c>
    </row>
    <row r="172" spans="1:2">
      <c r="A172" s="99">
        <v>42171</v>
      </c>
      <c r="B172" s="129" t="s">
        <v>465</v>
      </c>
    </row>
    <row r="173" spans="1:2">
      <c r="A173" s="99">
        <v>42179</v>
      </c>
      <c r="B173" s="129" t="s">
        <v>461</v>
      </c>
    </row>
    <row r="174" spans="1:2">
      <c r="A174" s="99">
        <v>42187</v>
      </c>
      <c r="B174" s="129" t="s">
        <v>463</v>
      </c>
    </row>
    <row r="175" spans="1:2">
      <c r="A175" s="99">
        <v>42193</v>
      </c>
      <c r="B175" s="129" t="s">
        <v>464</v>
      </c>
    </row>
    <row r="176" spans="1:2">
      <c r="A176" s="99">
        <v>42201</v>
      </c>
      <c r="B176" s="129" t="s">
        <v>465</v>
      </c>
    </row>
    <row r="177" spans="1:2">
      <c r="A177" s="99">
        <v>42209</v>
      </c>
      <c r="B177" s="129" t="s">
        <v>461</v>
      </c>
    </row>
    <row r="178" spans="1:2">
      <c r="A178" s="99">
        <v>42216</v>
      </c>
      <c r="B178" s="129" t="s">
        <v>463</v>
      </c>
    </row>
    <row r="179" spans="1:2">
      <c r="A179" s="99">
        <v>42223</v>
      </c>
      <c r="B179" s="129" t="s">
        <v>464</v>
      </c>
    </row>
    <row r="180" spans="1:2">
      <c r="A180" s="99">
        <v>42230</v>
      </c>
      <c r="B180" s="129" t="s">
        <v>465</v>
      </c>
    </row>
    <row r="181" spans="1:2">
      <c r="A181" s="99">
        <v>42238</v>
      </c>
      <c r="B181" s="129" t="s">
        <v>461</v>
      </c>
    </row>
    <row r="182" spans="1:2">
      <c r="A182" s="99">
        <v>42245</v>
      </c>
      <c r="B182" s="129" t="s">
        <v>463</v>
      </c>
    </row>
    <row r="183" spans="1:2">
      <c r="A183" s="99">
        <v>42252</v>
      </c>
      <c r="B183" s="129" t="s">
        <v>464</v>
      </c>
    </row>
    <row r="184" spans="1:2">
      <c r="A184" s="99">
        <v>42260</v>
      </c>
      <c r="B184" s="129" t="s">
        <v>465</v>
      </c>
    </row>
    <row r="185" spans="1:2">
      <c r="A185" s="99">
        <v>42268</v>
      </c>
      <c r="B185" s="129" t="s">
        <v>461</v>
      </c>
    </row>
    <row r="186" spans="1:2">
      <c r="A186" s="99">
        <v>42275</v>
      </c>
      <c r="B186" s="129" t="s">
        <v>463</v>
      </c>
    </row>
    <row r="187" spans="1:2">
      <c r="A187" s="99">
        <v>42281</v>
      </c>
      <c r="B187" s="129" t="s">
        <v>464</v>
      </c>
    </row>
    <row r="188" spans="1:2">
      <c r="A188" s="99">
        <v>42290</v>
      </c>
      <c r="B188" s="129" t="s">
        <v>465</v>
      </c>
    </row>
    <row r="189" spans="1:2">
      <c r="A189" s="99">
        <v>42297</v>
      </c>
      <c r="B189" s="129" t="s">
        <v>461</v>
      </c>
    </row>
    <row r="190" spans="1:2">
      <c r="A190" s="99">
        <v>42304</v>
      </c>
      <c r="B190" s="129" t="s">
        <v>463</v>
      </c>
    </row>
    <row r="191" spans="1:2">
      <c r="A191" s="99">
        <v>42311</v>
      </c>
      <c r="B191" s="129" t="s">
        <v>464</v>
      </c>
    </row>
    <row r="192" spans="1:2">
      <c r="A192" s="99">
        <v>42319</v>
      </c>
      <c r="B192" s="129" t="s">
        <v>465</v>
      </c>
    </row>
    <row r="193" spans="1:2">
      <c r="A193" s="99">
        <v>42327</v>
      </c>
      <c r="B193" s="129" t="s">
        <v>461</v>
      </c>
    </row>
    <row r="194" spans="1:2">
      <c r="A194" s="99">
        <v>42333</v>
      </c>
      <c r="B194" s="129" t="s">
        <v>463</v>
      </c>
    </row>
    <row r="195" spans="1:2">
      <c r="A195" s="99">
        <v>42341</v>
      </c>
      <c r="B195" s="129" t="s">
        <v>464</v>
      </c>
    </row>
    <row r="196" spans="1:2">
      <c r="A196" s="99">
        <v>42349</v>
      </c>
      <c r="B196" s="129" t="s">
        <v>465</v>
      </c>
    </row>
    <row r="197" spans="1:2">
      <c r="A197" s="99">
        <v>42356</v>
      </c>
      <c r="B197" s="129" t="s">
        <v>461</v>
      </c>
    </row>
    <row r="198" spans="1:2">
      <c r="A198" s="99">
        <v>42363</v>
      </c>
      <c r="B198" s="129" t="s">
        <v>463</v>
      </c>
    </row>
    <row r="199" spans="1:2">
      <c r="A199" s="99">
        <v>42371</v>
      </c>
      <c r="B199" s="129" t="s">
        <v>464</v>
      </c>
    </row>
    <row r="200" spans="1:2">
      <c r="A200" s="99">
        <v>42379</v>
      </c>
      <c r="B200" s="129" t="s">
        <v>465</v>
      </c>
    </row>
    <row r="201" spans="1:2">
      <c r="A201" s="99">
        <v>42385</v>
      </c>
      <c r="B201" s="129" t="s">
        <v>461</v>
      </c>
    </row>
    <row r="202" spans="1:2">
      <c r="A202" s="99">
        <v>42393</v>
      </c>
      <c r="B202" s="129" t="s">
        <v>463</v>
      </c>
    </row>
    <row r="203" spans="1:2">
      <c r="A203" s="99">
        <v>42401</v>
      </c>
      <c r="B203" s="129" t="s">
        <v>464</v>
      </c>
    </row>
    <row r="204" spans="1:2">
      <c r="A204" s="99">
        <v>42408</v>
      </c>
      <c r="B204" s="129" t="s">
        <v>465</v>
      </c>
    </row>
    <row r="205" spans="1:2">
      <c r="A205" s="99">
        <v>42415</v>
      </c>
      <c r="B205" s="129" t="s">
        <v>461</v>
      </c>
    </row>
    <row r="206" spans="1:2">
      <c r="A206" s="99">
        <v>42422</v>
      </c>
      <c r="B206" s="129" t="s">
        <v>463</v>
      </c>
    </row>
    <row r="207" spans="1:2">
      <c r="A207" s="99">
        <v>42430</v>
      </c>
      <c r="B207" s="129" t="s">
        <v>464</v>
      </c>
    </row>
    <row r="208" spans="1:2">
      <c r="A208" s="99">
        <v>42438</v>
      </c>
      <c r="B208" s="129" t="s">
        <v>465</v>
      </c>
    </row>
    <row r="209" spans="1:2">
      <c r="A209" s="99">
        <v>42444</v>
      </c>
      <c r="B209" s="129" t="s">
        <v>461</v>
      </c>
    </row>
    <row r="210" spans="1:2">
      <c r="A210" s="99">
        <v>42452</v>
      </c>
      <c r="B210" s="129" t="s">
        <v>463</v>
      </c>
    </row>
    <row r="211" spans="1:2">
      <c r="A211" s="99">
        <v>42460</v>
      </c>
      <c r="B211" s="129" t="s">
        <v>464</v>
      </c>
    </row>
    <row r="212" spans="1:2">
      <c r="A212" s="99">
        <v>42467</v>
      </c>
      <c r="B212" s="129" t="s">
        <v>465</v>
      </c>
    </row>
    <row r="213" spans="1:2">
      <c r="A213" s="99">
        <v>42474</v>
      </c>
      <c r="B213" s="129" t="s">
        <v>461</v>
      </c>
    </row>
    <row r="214" spans="1:2">
      <c r="A214" s="99">
        <v>42482</v>
      </c>
      <c r="B214" s="129" t="s">
        <v>463</v>
      </c>
    </row>
    <row r="215" spans="1:2">
      <c r="A215" s="99">
        <v>42490</v>
      </c>
      <c r="B215" s="129" t="s">
        <v>464</v>
      </c>
    </row>
    <row r="216" spans="1:2">
      <c r="A216" s="99">
        <v>42496</v>
      </c>
      <c r="B216" s="129" t="s">
        <v>465</v>
      </c>
    </row>
    <row r="217" spans="1:2">
      <c r="A217" s="99">
        <v>42503</v>
      </c>
      <c r="B217" s="129" t="s">
        <v>461</v>
      </c>
    </row>
    <row r="218" spans="1:2">
      <c r="A218" s="99">
        <v>42511</v>
      </c>
      <c r="B218" s="129" t="s">
        <v>463</v>
      </c>
    </row>
    <row r="219" spans="1:2">
      <c r="A219" s="99">
        <v>42519</v>
      </c>
      <c r="B219" s="129" t="s">
        <v>464</v>
      </c>
    </row>
    <row r="220" spans="1:2">
      <c r="A220" s="99">
        <v>42526</v>
      </c>
      <c r="B220" s="129" t="s">
        <v>465</v>
      </c>
    </row>
    <row r="221" spans="1:2">
      <c r="A221" s="99">
        <v>42533</v>
      </c>
      <c r="B221" s="129" t="s">
        <v>461</v>
      </c>
    </row>
    <row r="222" spans="1:2">
      <c r="A222" s="99">
        <v>42541</v>
      </c>
      <c r="B222" s="129" t="s">
        <v>463</v>
      </c>
    </row>
    <row r="223" spans="1:2">
      <c r="A223" s="99">
        <v>42548</v>
      </c>
      <c r="B223" s="129" t="s">
        <v>464</v>
      </c>
    </row>
    <row r="224" spans="1:2">
      <c r="A224" s="99">
        <v>42555</v>
      </c>
      <c r="B224" s="129" t="s">
        <v>465</v>
      </c>
    </row>
    <row r="225" spans="1:2">
      <c r="A225" s="99">
        <v>42563</v>
      </c>
      <c r="B225" s="129" t="s">
        <v>461</v>
      </c>
    </row>
    <row r="226" spans="1:2">
      <c r="A226" s="99">
        <v>42570</v>
      </c>
      <c r="B226" s="129" t="s">
        <v>463</v>
      </c>
    </row>
    <row r="227" spans="1:2">
      <c r="A227" s="99">
        <v>42577</v>
      </c>
      <c r="B227" s="129" t="s">
        <v>464</v>
      </c>
    </row>
    <row r="228" spans="1:2">
      <c r="A228" s="99">
        <v>42584</v>
      </c>
      <c r="B228" s="129" t="s">
        <v>465</v>
      </c>
    </row>
    <row r="229" spans="1:2">
      <c r="A229" s="99">
        <v>42592</v>
      </c>
      <c r="B229" s="129" t="s">
        <v>461</v>
      </c>
    </row>
    <row r="230" spans="1:2">
      <c r="A230" s="99">
        <v>42600</v>
      </c>
      <c r="B230" s="129" t="s">
        <v>463</v>
      </c>
    </row>
    <row r="231" spans="1:2">
      <c r="A231" s="99">
        <v>42607</v>
      </c>
      <c r="B231" s="129" t="s">
        <v>464</v>
      </c>
    </row>
    <row r="232" spans="1:2">
      <c r="A232" s="99">
        <v>42614</v>
      </c>
      <c r="B232" s="129" t="s">
        <v>465</v>
      </c>
    </row>
    <row r="233" spans="1:2">
      <c r="A233" s="99">
        <v>42622</v>
      </c>
      <c r="B233" s="129" t="s">
        <v>461</v>
      </c>
    </row>
    <row r="234" spans="1:2">
      <c r="A234" s="99">
        <v>42629</v>
      </c>
      <c r="B234" s="129" t="s">
        <v>463</v>
      </c>
    </row>
    <row r="235" spans="1:2">
      <c r="A235" s="99">
        <v>42636</v>
      </c>
      <c r="B235" s="129" t="s">
        <v>464</v>
      </c>
    </row>
    <row r="236" spans="1:2">
      <c r="A236" s="99">
        <v>42644</v>
      </c>
      <c r="B236" s="129" t="s">
        <v>465</v>
      </c>
    </row>
    <row r="237" spans="1:2">
      <c r="A237" s="99">
        <v>42652</v>
      </c>
      <c r="B237" s="129" t="s">
        <v>461</v>
      </c>
    </row>
    <row r="238" spans="1:2">
      <c r="A238" s="99">
        <v>42659</v>
      </c>
      <c r="B238" s="129" t="s">
        <v>463</v>
      </c>
    </row>
    <row r="239" spans="1:2">
      <c r="A239" s="99">
        <v>42665</v>
      </c>
      <c r="B239" s="129" t="s">
        <v>464</v>
      </c>
    </row>
    <row r="240" spans="1:2">
      <c r="A240" s="99">
        <v>42673</v>
      </c>
      <c r="B240" s="129" t="s">
        <v>465</v>
      </c>
    </row>
    <row r="241" spans="1:2">
      <c r="A241" s="99">
        <v>42681</v>
      </c>
      <c r="B241" s="129" t="s">
        <v>461</v>
      </c>
    </row>
    <row r="242" spans="1:2">
      <c r="A242" s="99">
        <v>42688</v>
      </c>
      <c r="B242" s="129" t="s">
        <v>463</v>
      </c>
    </row>
    <row r="243" spans="1:2">
      <c r="A243" s="99">
        <v>42695</v>
      </c>
      <c r="B243" s="129" t="s">
        <v>464</v>
      </c>
    </row>
    <row r="244" spans="1:2">
      <c r="A244" s="99">
        <v>42703</v>
      </c>
      <c r="B244" s="129" t="s">
        <v>465</v>
      </c>
    </row>
    <row r="245" spans="1:2">
      <c r="A245" s="99">
        <v>42711</v>
      </c>
      <c r="B245" s="129" t="s">
        <v>461</v>
      </c>
    </row>
    <row r="246" spans="1:2">
      <c r="A246" s="99">
        <v>42718</v>
      </c>
      <c r="B246" s="129" t="s">
        <v>463</v>
      </c>
    </row>
    <row r="247" spans="1:2">
      <c r="A247" s="99">
        <v>42725</v>
      </c>
      <c r="B247" s="129" t="s">
        <v>464</v>
      </c>
    </row>
    <row r="248" spans="1:2">
      <c r="A248" s="99">
        <v>42733</v>
      </c>
      <c r="B248" s="129" t="s">
        <v>465</v>
      </c>
    </row>
    <row r="249" spans="1:2">
      <c r="A249" s="99">
        <v>42740</v>
      </c>
      <c r="B249" s="129" t="s">
        <v>461</v>
      </c>
    </row>
    <row r="250" spans="1:2">
      <c r="A250" s="99">
        <v>42747</v>
      </c>
      <c r="B250" s="129" t="s">
        <v>463</v>
      </c>
    </row>
    <row r="251" spans="1:2">
      <c r="A251" s="99">
        <v>42754</v>
      </c>
      <c r="B251" s="129" t="s">
        <v>464</v>
      </c>
    </row>
    <row r="252" spans="1:2">
      <c r="A252" s="99">
        <v>42763</v>
      </c>
      <c r="B252" s="129" t="s">
        <v>465</v>
      </c>
    </row>
    <row r="253" spans="1:2">
      <c r="A253" s="99">
        <v>42770</v>
      </c>
      <c r="B253" s="129" t="s">
        <v>461</v>
      </c>
    </row>
    <row r="254" spans="1:2">
      <c r="A254" s="99">
        <v>42777</v>
      </c>
      <c r="B254" s="129" t="s">
        <v>463</v>
      </c>
    </row>
    <row r="255" spans="1:2">
      <c r="A255" s="99">
        <v>42784</v>
      </c>
      <c r="B255" s="129" t="s">
        <v>464</v>
      </c>
    </row>
    <row r="256" spans="1:2">
      <c r="A256" s="99">
        <v>42792</v>
      </c>
      <c r="B256" s="129" t="s">
        <v>465</v>
      </c>
    </row>
    <row r="257" spans="1:2">
      <c r="A257" s="99">
        <v>42799</v>
      </c>
      <c r="B257" s="129" t="s">
        <v>461</v>
      </c>
    </row>
    <row r="258" spans="1:2">
      <c r="A258" s="99">
        <v>42806</v>
      </c>
      <c r="B258" s="129" t="s">
        <v>463</v>
      </c>
    </row>
    <row r="259" spans="1:2">
      <c r="A259" s="99">
        <v>42814</v>
      </c>
      <c r="B259" s="129" t="s">
        <v>464</v>
      </c>
    </row>
    <row r="260" spans="1:2">
      <c r="A260" s="99">
        <v>42822</v>
      </c>
      <c r="B260" s="129" t="s">
        <v>465</v>
      </c>
    </row>
    <row r="261" spans="1:2">
      <c r="A261" s="99">
        <v>42828</v>
      </c>
      <c r="B261" s="129" t="s">
        <v>461</v>
      </c>
    </row>
    <row r="262" spans="1:2">
      <c r="A262" s="99">
        <v>42836</v>
      </c>
      <c r="B262" s="129" t="s">
        <v>463</v>
      </c>
    </row>
    <row r="263" spans="1:2">
      <c r="A263" s="99">
        <v>42844</v>
      </c>
      <c r="B263" s="129" t="s">
        <v>464</v>
      </c>
    </row>
    <row r="264" spans="1:2">
      <c r="A264" s="99">
        <v>42851</v>
      </c>
      <c r="B264" s="129" t="s">
        <v>465</v>
      </c>
    </row>
    <row r="265" spans="1:2">
      <c r="A265" s="99">
        <v>42858</v>
      </c>
      <c r="B265" s="129" t="s">
        <v>461</v>
      </c>
    </row>
    <row r="266" spans="1:2">
      <c r="A266" s="99">
        <v>42865</v>
      </c>
      <c r="B266" s="129" t="s">
        <v>463</v>
      </c>
    </row>
    <row r="267" spans="1:2">
      <c r="A267" s="99">
        <v>42874</v>
      </c>
      <c r="B267" s="129" t="s">
        <v>464</v>
      </c>
    </row>
    <row r="268" spans="1:2">
      <c r="A268" s="99">
        <v>42880</v>
      </c>
      <c r="B268" s="129" t="s">
        <v>465</v>
      </c>
    </row>
    <row r="269" spans="1:2">
      <c r="A269" s="99">
        <v>42887</v>
      </c>
      <c r="B269" s="129" t="s">
        <v>461</v>
      </c>
    </row>
    <row r="270" spans="1:2">
      <c r="A270" s="99">
        <v>42895</v>
      </c>
      <c r="B270" s="129" t="s">
        <v>463</v>
      </c>
    </row>
    <row r="271" spans="1:2">
      <c r="A271" s="99">
        <v>42903</v>
      </c>
      <c r="B271" s="129" t="s">
        <v>464</v>
      </c>
    </row>
    <row r="272" spans="1:2">
      <c r="A272" s="99">
        <v>42910</v>
      </c>
      <c r="B272" s="129" t="s">
        <v>465</v>
      </c>
    </row>
    <row r="273" spans="1:2">
      <c r="A273" s="99">
        <v>42917</v>
      </c>
      <c r="B273" s="129" t="s">
        <v>461</v>
      </c>
    </row>
    <row r="274" spans="1:2">
      <c r="A274" s="99">
        <v>42925</v>
      </c>
      <c r="B274" s="129" t="s">
        <v>463</v>
      </c>
    </row>
    <row r="275" spans="1:2">
      <c r="A275" s="99">
        <v>42932</v>
      </c>
      <c r="B275" s="129" t="s">
        <v>464</v>
      </c>
    </row>
    <row r="276" spans="1:2">
      <c r="A276" s="99">
        <v>42939</v>
      </c>
      <c r="B276" s="129" t="s">
        <v>465</v>
      </c>
    </row>
    <row r="277" spans="1:2">
      <c r="A277" s="99">
        <v>42946</v>
      </c>
      <c r="B277" s="129" t="s">
        <v>461</v>
      </c>
    </row>
    <row r="278" spans="1:2">
      <c r="A278" s="99">
        <v>42954</v>
      </c>
      <c r="B278" s="129" t="s">
        <v>463</v>
      </c>
    </row>
    <row r="279" spans="1:2">
      <c r="A279" s="99">
        <v>42962</v>
      </c>
      <c r="B279" s="129" t="s">
        <v>464</v>
      </c>
    </row>
    <row r="280" spans="1:2">
      <c r="A280" s="99">
        <v>42968</v>
      </c>
      <c r="B280" s="129" t="s">
        <v>465</v>
      </c>
    </row>
    <row r="281" spans="1:2">
      <c r="A281" s="99">
        <v>42976</v>
      </c>
      <c r="B281" s="129" t="s">
        <v>461</v>
      </c>
    </row>
    <row r="282" spans="1:2">
      <c r="A282" s="99">
        <v>42984</v>
      </c>
      <c r="B282" s="129" t="s">
        <v>463</v>
      </c>
    </row>
    <row r="283" spans="1:2">
      <c r="A283" s="99">
        <v>42991</v>
      </c>
      <c r="B283" s="129" t="s">
        <v>464</v>
      </c>
    </row>
    <row r="284" spans="1:2">
      <c r="A284" s="99">
        <v>42998</v>
      </c>
      <c r="B284" s="129" t="s">
        <v>465</v>
      </c>
    </row>
    <row r="285" spans="1:2">
      <c r="A285" s="99">
        <v>43006</v>
      </c>
      <c r="B285" s="129" t="s">
        <v>461</v>
      </c>
    </row>
    <row r="286" spans="1:2">
      <c r="A286" s="99">
        <v>43013</v>
      </c>
      <c r="B286" s="129" t="s">
        <v>463</v>
      </c>
    </row>
    <row r="287" spans="1:2">
      <c r="A287" s="99">
        <v>43020</v>
      </c>
      <c r="B287" s="129" t="s">
        <v>464</v>
      </c>
    </row>
    <row r="288" spans="1:2">
      <c r="A288" s="99">
        <v>43027</v>
      </c>
      <c r="B288" s="129" t="s">
        <v>465</v>
      </c>
    </row>
    <row r="289" spans="1:2">
      <c r="A289" s="99">
        <v>43035</v>
      </c>
      <c r="B289" s="129" t="s">
        <v>461</v>
      </c>
    </row>
    <row r="290" spans="1:2">
      <c r="A290" s="99">
        <v>43043</v>
      </c>
      <c r="B290" s="129" t="s">
        <v>463</v>
      </c>
    </row>
    <row r="291" spans="1:2">
      <c r="A291" s="99">
        <v>43049</v>
      </c>
      <c r="B291" s="129" t="s">
        <v>464</v>
      </c>
    </row>
    <row r="292" spans="1:2">
      <c r="A292" s="99">
        <v>43057</v>
      </c>
      <c r="B292" s="129" t="s">
        <v>465</v>
      </c>
    </row>
    <row r="293" spans="1:2">
      <c r="A293" s="99">
        <v>43065</v>
      </c>
      <c r="B293" s="129" t="s">
        <v>461</v>
      </c>
    </row>
    <row r="294" spans="1:2">
      <c r="A294" s="99">
        <v>43072</v>
      </c>
      <c r="B294" s="129" t="s">
        <v>463</v>
      </c>
    </row>
    <row r="295" spans="1:2">
      <c r="A295" s="99">
        <v>43079</v>
      </c>
      <c r="B295" s="129" t="s">
        <v>464</v>
      </c>
    </row>
    <row r="296" spans="1:2">
      <c r="A296" s="99">
        <v>43087</v>
      </c>
      <c r="B296" s="129" t="s">
        <v>465</v>
      </c>
    </row>
    <row r="297" spans="1:2">
      <c r="A297" s="99">
        <v>43095</v>
      </c>
      <c r="B297" s="129" t="s">
        <v>461</v>
      </c>
    </row>
    <row r="298" spans="1:2">
      <c r="A298" s="99">
        <v>43102</v>
      </c>
      <c r="B298" s="129" t="s">
        <v>463</v>
      </c>
    </row>
    <row r="299" spans="1:2">
      <c r="A299" s="99">
        <v>43108</v>
      </c>
      <c r="B299" s="129" t="s">
        <v>464</v>
      </c>
    </row>
    <row r="300" spans="1:2">
      <c r="A300" s="99">
        <v>43117</v>
      </c>
      <c r="B300" s="129" t="s">
        <v>465</v>
      </c>
    </row>
    <row r="301" spans="1:2">
      <c r="A301" s="99">
        <v>43124</v>
      </c>
      <c r="B301" s="129" t="s">
        <v>461</v>
      </c>
    </row>
    <row r="302" spans="1:2">
      <c r="A302" s="99">
        <v>43131</v>
      </c>
      <c r="B302" s="129" t="s">
        <v>463</v>
      </c>
    </row>
    <row r="303" spans="1:2">
      <c r="A303" s="99">
        <v>43138</v>
      </c>
      <c r="B303" s="129" t="s">
        <v>464</v>
      </c>
    </row>
    <row r="304" spans="1:2">
      <c r="A304" s="99">
        <v>43146</v>
      </c>
      <c r="B304" s="129" t="s">
        <v>465</v>
      </c>
    </row>
    <row r="305" spans="1:2">
      <c r="A305" s="99">
        <v>43154</v>
      </c>
      <c r="B305" s="129" t="s">
        <v>461</v>
      </c>
    </row>
    <row r="306" spans="1:2">
      <c r="A306" s="99">
        <v>43161</v>
      </c>
      <c r="B306" s="129" t="s">
        <v>463</v>
      </c>
    </row>
    <row r="307" spans="1:2">
      <c r="A307" s="99">
        <v>43168</v>
      </c>
      <c r="B307" s="129" t="s">
        <v>464</v>
      </c>
    </row>
    <row r="308" spans="1:2">
      <c r="A308" s="99">
        <v>43176</v>
      </c>
      <c r="B308" s="129" t="s">
        <v>465</v>
      </c>
    </row>
    <row r="309" spans="1:2">
      <c r="A309" s="99">
        <v>43183</v>
      </c>
      <c r="B309" s="129" t="s">
        <v>461</v>
      </c>
    </row>
    <row r="310" spans="1:2">
      <c r="A310" s="99">
        <v>43190</v>
      </c>
      <c r="B310" s="129" t="s">
        <v>463</v>
      </c>
    </row>
    <row r="311" spans="1:2">
      <c r="A311" s="99">
        <v>43198</v>
      </c>
      <c r="B311" s="129" t="s">
        <v>464</v>
      </c>
    </row>
    <row r="312" spans="1:2">
      <c r="A312" s="99">
        <v>43206</v>
      </c>
      <c r="B312" s="129" t="s">
        <v>465</v>
      </c>
    </row>
    <row r="313" spans="1:2">
      <c r="A313" s="99">
        <v>43212</v>
      </c>
      <c r="B313" s="129" t="s">
        <v>461</v>
      </c>
    </row>
    <row r="314" spans="1:2">
      <c r="A314" s="99">
        <v>43220</v>
      </c>
      <c r="B314" s="129" t="s">
        <v>463</v>
      </c>
    </row>
    <row r="315" spans="1:2">
      <c r="A315" s="99">
        <v>43228</v>
      </c>
      <c r="B315" s="129" t="s">
        <v>464</v>
      </c>
    </row>
    <row r="316" spans="1:2">
      <c r="A316" s="99">
        <v>43235</v>
      </c>
      <c r="B316" s="129" t="s">
        <v>465</v>
      </c>
    </row>
    <row r="317" spans="1:2">
      <c r="A317" s="99">
        <v>43242</v>
      </c>
      <c r="B317" s="129" t="s">
        <v>461</v>
      </c>
    </row>
    <row r="318" spans="1:2">
      <c r="A318" s="99">
        <v>43249</v>
      </c>
      <c r="B318" s="129" t="s">
        <v>463</v>
      </c>
    </row>
    <row r="319" spans="1:2">
      <c r="A319" s="99">
        <v>43257</v>
      </c>
      <c r="B319" s="129" t="s">
        <v>464</v>
      </c>
    </row>
    <row r="320" spans="1:2">
      <c r="A320" s="99">
        <v>43264</v>
      </c>
      <c r="B320" s="129" t="s">
        <v>465</v>
      </c>
    </row>
    <row r="321" spans="1:2">
      <c r="A321" s="99">
        <v>43271</v>
      </c>
      <c r="B321" s="129" t="s">
        <v>461</v>
      </c>
    </row>
    <row r="322" spans="1:2">
      <c r="A322" s="99">
        <v>43279</v>
      </c>
      <c r="B322" s="129" t="s">
        <v>463</v>
      </c>
    </row>
    <row r="323" spans="1:2">
      <c r="A323" s="99">
        <v>43287</v>
      </c>
      <c r="B323" s="129" t="s">
        <v>464</v>
      </c>
    </row>
    <row r="324" spans="1:2">
      <c r="A324" s="99">
        <v>43294</v>
      </c>
      <c r="B324" s="129" t="s">
        <v>465</v>
      </c>
    </row>
    <row r="325" spans="1:2">
      <c r="A325" s="99">
        <v>43300</v>
      </c>
      <c r="B325" s="129" t="s">
        <v>461</v>
      </c>
    </row>
    <row r="326" spans="1:2">
      <c r="A326" s="99">
        <v>43308</v>
      </c>
      <c r="B326" s="129" t="s">
        <v>463</v>
      </c>
    </row>
    <row r="327" spans="1:2">
      <c r="A327" s="99">
        <v>43316</v>
      </c>
      <c r="B327" s="129" t="s">
        <v>464</v>
      </c>
    </row>
    <row r="328" spans="1:2">
      <c r="A328" s="99">
        <v>43323</v>
      </c>
      <c r="B328" s="129" t="s">
        <v>465</v>
      </c>
    </row>
    <row r="329" spans="1:2">
      <c r="A329" s="99">
        <v>43330</v>
      </c>
      <c r="B329" s="129" t="s">
        <v>461</v>
      </c>
    </row>
    <row r="330" spans="1:2">
      <c r="A330" s="99">
        <v>43338</v>
      </c>
      <c r="B330" s="129" t="s">
        <v>463</v>
      </c>
    </row>
    <row r="331" spans="1:2">
      <c r="A331" s="99">
        <v>43346</v>
      </c>
      <c r="B331" s="129" t="s">
        <v>464</v>
      </c>
    </row>
    <row r="332" spans="1:2">
      <c r="A332" s="99">
        <v>43352</v>
      </c>
      <c r="B332" s="129" t="s">
        <v>465</v>
      </c>
    </row>
    <row r="333" spans="1:2">
      <c r="A333" s="99">
        <v>43359</v>
      </c>
      <c r="B333" s="129" t="s">
        <v>461</v>
      </c>
    </row>
    <row r="334" spans="1:2">
      <c r="A334" s="99">
        <v>43368</v>
      </c>
      <c r="B334" s="129" t="s">
        <v>463</v>
      </c>
    </row>
    <row r="335" spans="1:2">
      <c r="A335" s="99">
        <v>43375</v>
      </c>
      <c r="B335" s="129" t="s">
        <v>464</v>
      </c>
    </row>
    <row r="336" spans="1:2">
      <c r="A336" s="99">
        <v>43382</v>
      </c>
      <c r="B336" s="129" t="s">
        <v>465</v>
      </c>
    </row>
    <row r="337" spans="1:2">
      <c r="A337" s="99">
        <v>43389</v>
      </c>
      <c r="B337" s="129" t="s">
        <v>461</v>
      </c>
    </row>
    <row r="338" spans="1:2">
      <c r="A338" s="99">
        <v>43397</v>
      </c>
      <c r="B338" s="129" t="s">
        <v>463</v>
      </c>
    </row>
    <row r="339" spans="1:2">
      <c r="A339" s="99">
        <v>43404</v>
      </c>
      <c r="B339" s="129" t="s">
        <v>464</v>
      </c>
    </row>
    <row r="340" spans="1:2">
      <c r="A340" s="99">
        <v>43411</v>
      </c>
      <c r="B340" s="129" t="s">
        <v>465</v>
      </c>
    </row>
    <row r="341" spans="1:2">
      <c r="A341" s="99">
        <v>43419</v>
      </c>
      <c r="B341" s="129" t="s">
        <v>461</v>
      </c>
    </row>
    <row r="342" spans="1:2">
      <c r="A342" s="99">
        <v>43427</v>
      </c>
      <c r="B342" s="129" t="s">
        <v>463</v>
      </c>
    </row>
    <row r="343" spans="1:2">
      <c r="A343" s="99">
        <v>43434</v>
      </c>
      <c r="B343" s="129" t="s">
        <v>464</v>
      </c>
    </row>
    <row r="344" spans="1:2">
      <c r="A344" s="99">
        <v>43441</v>
      </c>
      <c r="B344" s="129" t="s">
        <v>465</v>
      </c>
    </row>
    <row r="345" spans="1:2">
      <c r="A345" s="99">
        <v>43449</v>
      </c>
      <c r="B345" s="129" t="s">
        <v>461</v>
      </c>
    </row>
    <row r="346" spans="1:2">
      <c r="A346" s="99">
        <v>43456</v>
      </c>
      <c r="B346" s="129" t="s">
        <v>463</v>
      </c>
    </row>
    <row r="347" spans="1:2">
      <c r="A347" s="99">
        <v>43463</v>
      </c>
      <c r="B347" s="129" t="s">
        <v>464</v>
      </c>
    </row>
    <row r="348" spans="1:2">
      <c r="A348" s="99">
        <v>43471</v>
      </c>
      <c r="B348" s="129" t="s">
        <v>465</v>
      </c>
    </row>
    <row r="349" spans="1:2">
      <c r="A349" s="99">
        <v>43479</v>
      </c>
      <c r="B349" s="129" t="s">
        <v>461</v>
      </c>
    </row>
    <row r="350" spans="1:2">
      <c r="A350" s="99">
        <v>43486</v>
      </c>
      <c r="B350" s="129" t="s">
        <v>463</v>
      </c>
    </row>
    <row r="351" spans="1:2">
      <c r="A351" s="99">
        <v>43492</v>
      </c>
      <c r="B351" s="129" t="s">
        <v>464</v>
      </c>
    </row>
    <row r="352" spans="1:2">
      <c r="A352" s="99">
        <v>43500</v>
      </c>
      <c r="B352" s="129" t="s">
        <v>465</v>
      </c>
    </row>
    <row r="353" spans="1:2">
      <c r="A353" s="99">
        <v>43508</v>
      </c>
      <c r="B353" s="129" t="s">
        <v>461</v>
      </c>
    </row>
    <row r="354" spans="1:2">
      <c r="A354" s="99">
        <v>43515</v>
      </c>
      <c r="B354" s="129" t="s">
        <v>463</v>
      </c>
    </row>
    <row r="355" spans="1:2">
      <c r="A355" s="99">
        <v>43522</v>
      </c>
      <c r="B355" s="129" t="s">
        <v>464</v>
      </c>
    </row>
    <row r="356" spans="1:2">
      <c r="A356" s="99">
        <v>43530</v>
      </c>
      <c r="B356" s="129" t="s">
        <v>465</v>
      </c>
    </row>
    <row r="357" spans="1:2">
      <c r="A357" s="99">
        <v>43538</v>
      </c>
      <c r="B357" s="129" t="s">
        <v>461</v>
      </c>
    </row>
    <row r="358" spans="1:2">
      <c r="A358" s="99">
        <v>43545</v>
      </c>
      <c r="B358" s="129" t="s">
        <v>463</v>
      </c>
    </row>
    <row r="359" spans="1:2">
      <c r="A359" s="99">
        <v>43552</v>
      </c>
      <c r="B359" s="129" t="s">
        <v>464</v>
      </c>
    </row>
    <row r="360" spans="1:2">
      <c r="A360" s="99">
        <v>43560</v>
      </c>
      <c r="B360" s="129" t="s">
        <v>465</v>
      </c>
    </row>
    <row r="361" spans="1:2">
      <c r="A361" s="99">
        <v>43567</v>
      </c>
      <c r="B361" s="129" t="s">
        <v>461</v>
      </c>
    </row>
    <row r="362" spans="1:2">
      <c r="A362" s="99">
        <v>43574</v>
      </c>
      <c r="B362" s="129" t="s">
        <v>463</v>
      </c>
    </row>
    <row r="363" spans="1:2">
      <c r="A363" s="99">
        <v>43581</v>
      </c>
      <c r="B363" s="129" t="s">
        <v>464</v>
      </c>
    </row>
    <row r="364" spans="1:2">
      <c r="A364" s="99">
        <v>43589</v>
      </c>
      <c r="B364" s="129" t="s">
        <v>465</v>
      </c>
    </row>
    <row r="365" spans="1:2">
      <c r="A365" s="99">
        <v>43597</v>
      </c>
      <c r="B365" s="129" t="s">
        <v>461</v>
      </c>
    </row>
    <row r="366" spans="1:2">
      <c r="A366" s="99">
        <v>43603</v>
      </c>
      <c r="B366" s="129" t="s">
        <v>463</v>
      </c>
    </row>
    <row r="367" spans="1:2">
      <c r="A367" s="99">
        <v>43611</v>
      </c>
      <c r="B367" s="129" t="s">
        <v>464</v>
      </c>
    </row>
    <row r="368" spans="1:2">
      <c r="A368" s="99">
        <v>43619</v>
      </c>
      <c r="B368" s="129" t="s">
        <v>465</v>
      </c>
    </row>
    <row r="369" spans="1:2">
      <c r="A369" s="99">
        <v>43626</v>
      </c>
      <c r="B369" s="129" t="s">
        <v>461</v>
      </c>
    </row>
    <row r="370" spans="1:2">
      <c r="A370" s="99">
        <v>43633</v>
      </c>
      <c r="B370" s="129" t="s">
        <v>463</v>
      </c>
    </row>
    <row r="371" spans="1:2">
      <c r="A371" s="99">
        <v>43641</v>
      </c>
      <c r="B371" s="129" t="s">
        <v>464</v>
      </c>
    </row>
    <row r="372" spans="1:2">
      <c r="A372" s="99">
        <v>43648</v>
      </c>
      <c r="B372" s="129" t="s">
        <v>465</v>
      </c>
    </row>
    <row r="373" spans="1:2">
      <c r="A373" s="99">
        <v>43655</v>
      </c>
      <c r="B373" s="129" t="s">
        <v>461</v>
      </c>
    </row>
    <row r="374" spans="1:2">
      <c r="A374" s="99">
        <v>43662</v>
      </c>
      <c r="B374" s="129" t="s">
        <v>463</v>
      </c>
    </row>
    <row r="375" spans="1:2">
      <c r="A375" s="99">
        <v>43671</v>
      </c>
      <c r="B375" s="129" t="s">
        <v>464</v>
      </c>
    </row>
    <row r="376" spans="1:2">
      <c r="A376" s="99">
        <v>43678</v>
      </c>
      <c r="B376" s="129" t="s">
        <v>465</v>
      </c>
    </row>
    <row r="377" spans="1:2">
      <c r="A377" s="99">
        <v>43684</v>
      </c>
      <c r="B377" s="129" t="s">
        <v>461</v>
      </c>
    </row>
    <row r="378" spans="1:2">
      <c r="A378" s="99">
        <v>43692</v>
      </c>
      <c r="B378" s="129" t="s">
        <v>463</v>
      </c>
    </row>
    <row r="379" spans="1:2">
      <c r="A379" s="99">
        <v>43700</v>
      </c>
      <c r="B379" s="129" t="s">
        <v>464</v>
      </c>
    </row>
    <row r="380" spans="1:2">
      <c r="A380" s="99">
        <v>43707</v>
      </c>
      <c r="B380" s="129" t="s">
        <v>465</v>
      </c>
    </row>
    <row r="381" spans="1:2">
      <c r="A381" s="99">
        <v>43714</v>
      </c>
      <c r="B381" s="129" t="s">
        <v>461</v>
      </c>
    </row>
    <row r="382" spans="1:2">
      <c r="A382" s="99">
        <v>43722</v>
      </c>
      <c r="B382" s="129" t="s">
        <v>463</v>
      </c>
    </row>
    <row r="383" spans="1:2">
      <c r="A383" s="99">
        <v>43730</v>
      </c>
      <c r="B383" s="129" t="s">
        <v>464</v>
      </c>
    </row>
    <row r="384" spans="1:2">
      <c r="A384" s="99">
        <v>43736</v>
      </c>
      <c r="B384" s="129" t="s">
        <v>465</v>
      </c>
    </row>
    <row r="385" spans="1:2">
      <c r="A385" s="99">
        <v>43743</v>
      </c>
      <c r="B385" s="129" t="s">
        <v>461</v>
      </c>
    </row>
    <row r="386" spans="1:2">
      <c r="A386" s="99">
        <v>43751</v>
      </c>
      <c r="B386" s="129" t="s">
        <v>463</v>
      </c>
    </row>
    <row r="387" spans="1:2">
      <c r="A387" s="99">
        <v>43759</v>
      </c>
      <c r="B387" s="129" t="s">
        <v>464</v>
      </c>
    </row>
    <row r="388" spans="1:2">
      <c r="A388" s="99">
        <v>43766</v>
      </c>
      <c r="B388" s="129" t="s">
        <v>465</v>
      </c>
    </row>
    <row r="389" spans="1:2">
      <c r="A389" s="99">
        <v>43773</v>
      </c>
      <c r="B389" s="129" t="s">
        <v>461</v>
      </c>
    </row>
    <row r="390" spans="1:2">
      <c r="A390" s="99">
        <v>43781</v>
      </c>
      <c r="B390" s="129" t="s">
        <v>463</v>
      </c>
    </row>
    <row r="391" spans="1:2">
      <c r="A391" s="99">
        <v>43788</v>
      </c>
      <c r="B391" s="129" t="s">
        <v>464</v>
      </c>
    </row>
    <row r="392" spans="1:2">
      <c r="A392" s="99">
        <v>43795</v>
      </c>
      <c r="B392" s="129" t="s">
        <v>465</v>
      </c>
    </row>
    <row r="393" spans="1:2">
      <c r="A393" s="99">
        <v>43803</v>
      </c>
      <c r="B393" s="129" t="s">
        <v>461</v>
      </c>
    </row>
    <row r="394" spans="1:2">
      <c r="A394" s="99">
        <v>43811</v>
      </c>
      <c r="B394" s="129" t="s">
        <v>463</v>
      </c>
    </row>
    <row r="395" spans="1:2">
      <c r="A395" s="99">
        <v>43818</v>
      </c>
      <c r="B395" s="129" t="s">
        <v>464</v>
      </c>
    </row>
    <row r="396" spans="1:2">
      <c r="A396" s="99">
        <v>43825</v>
      </c>
      <c r="B396" s="129" t="s">
        <v>465</v>
      </c>
    </row>
    <row r="397" spans="1:2">
      <c r="A397" s="99">
        <v>43833</v>
      </c>
      <c r="B397" s="129" t="s">
        <v>461</v>
      </c>
    </row>
    <row r="398" spans="1:2">
      <c r="A398" s="99">
        <v>43840</v>
      </c>
      <c r="B398" s="129" t="s">
        <v>463</v>
      </c>
    </row>
    <row r="399" spans="1:2">
      <c r="A399" s="99">
        <v>43847</v>
      </c>
      <c r="B399" s="129" t="s">
        <v>464</v>
      </c>
    </row>
    <row r="400" spans="1:2">
      <c r="A400" s="99">
        <v>43854</v>
      </c>
      <c r="B400" s="129" t="s">
        <v>465</v>
      </c>
    </row>
    <row r="401" spans="1:2">
      <c r="A401" s="99">
        <v>43863</v>
      </c>
      <c r="B401" s="129" t="s">
        <v>461</v>
      </c>
    </row>
    <row r="402" spans="1:2">
      <c r="A402" s="99">
        <v>43870</v>
      </c>
      <c r="B402" s="129" t="s">
        <v>463</v>
      </c>
    </row>
    <row r="403" spans="1:2">
      <c r="A403" s="99">
        <v>43876</v>
      </c>
      <c r="B403" s="129" t="s">
        <v>464</v>
      </c>
    </row>
    <row r="404" spans="1:2">
      <c r="A404" s="99">
        <v>43884</v>
      </c>
      <c r="B404" s="129" t="s">
        <v>465</v>
      </c>
    </row>
    <row r="405" spans="1:2">
      <c r="A405" s="99">
        <v>43892</v>
      </c>
      <c r="B405" s="129" t="s">
        <v>461</v>
      </c>
    </row>
    <row r="406" spans="1:2">
      <c r="A406" s="99">
        <v>43899</v>
      </c>
      <c r="B406" s="129" t="s">
        <v>463</v>
      </c>
    </row>
    <row r="407" spans="1:2">
      <c r="A407" s="99">
        <v>43906</v>
      </c>
      <c r="B407" s="129" t="s">
        <v>464</v>
      </c>
    </row>
    <row r="408" spans="1:2">
      <c r="A408" s="99">
        <v>43914</v>
      </c>
      <c r="B408" s="129" t="s">
        <v>465</v>
      </c>
    </row>
    <row r="409" spans="1:2">
      <c r="A409" s="99">
        <v>43922</v>
      </c>
      <c r="B409" s="129" t="s">
        <v>461</v>
      </c>
    </row>
    <row r="410" spans="1:2">
      <c r="A410" s="99">
        <v>43929</v>
      </c>
      <c r="B410" s="129" t="s">
        <v>463</v>
      </c>
    </row>
    <row r="411" spans="1:2">
      <c r="A411" s="99">
        <v>43935</v>
      </c>
      <c r="B411" s="129" t="s">
        <v>464</v>
      </c>
    </row>
    <row r="412" spans="1:2">
      <c r="A412" s="99">
        <v>43944</v>
      </c>
      <c r="B412" s="129" t="s">
        <v>465</v>
      </c>
    </row>
    <row r="413" spans="1:2">
      <c r="A413" s="99">
        <v>43951</v>
      </c>
      <c r="B413" s="129" t="s">
        <v>461</v>
      </c>
    </row>
    <row r="414" spans="1:2">
      <c r="A414" s="99">
        <v>43958</v>
      </c>
      <c r="B414" s="129" t="s">
        <v>463</v>
      </c>
    </row>
    <row r="415" spans="1:2">
      <c r="A415" s="99">
        <v>43965</v>
      </c>
      <c r="B415" s="129" t="s">
        <v>464</v>
      </c>
    </row>
    <row r="416" spans="1:2">
      <c r="A416" s="99">
        <v>43973</v>
      </c>
      <c r="B416" s="129" t="s">
        <v>465</v>
      </c>
    </row>
    <row r="417" spans="1:2">
      <c r="A417" s="99">
        <v>43981</v>
      </c>
      <c r="B417" s="129" t="s">
        <v>461</v>
      </c>
    </row>
    <row r="418" spans="1:2">
      <c r="A418" s="99">
        <v>43987</v>
      </c>
      <c r="B418" s="129" t="s">
        <v>463</v>
      </c>
    </row>
    <row r="419" spans="1:2">
      <c r="A419" s="99">
        <v>43995</v>
      </c>
      <c r="B419" s="129" t="s">
        <v>464</v>
      </c>
    </row>
    <row r="420" spans="1:2">
      <c r="A420" s="99">
        <v>44003</v>
      </c>
      <c r="B420" s="129" t="s">
        <v>465</v>
      </c>
    </row>
    <row r="421" spans="1:2">
      <c r="A421" s="99">
        <v>44010</v>
      </c>
      <c r="B421" s="129" t="s">
        <v>461</v>
      </c>
    </row>
    <row r="422" spans="1:2">
      <c r="A422" s="99">
        <v>44017</v>
      </c>
      <c r="B422" s="129" t="s">
        <v>463</v>
      </c>
    </row>
    <row r="423" spans="1:2">
      <c r="A423" s="99">
        <v>44024</v>
      </c>
      <c r="B423" s="129" t="s">
        <v>464</v>
      </c>
    </row>
    <row r="424" spans="1:2">
      <c r="A424" s="99">
        <v>44032</v>
      </c>
      <c r="B424" s="129" t="s">
        <v>465</v>
      </c>
    </row>
    <row r="425" spans="1:2">
      <c r="A425" s="99">
        <v>44039</v>
      </c>
      <c r="B425" s="129" t="s">
        <v>461</v>
      </c>
    </row>
    <row r="426" spans="1:2">
      <c r="A426" s="99">
        <v>44046</v>
      </c>
      <c r="B426" s="129" t="s">
        <v>463</v>
      </c>
    </row>
    <row r="427" spans="1:2">
      <c r="A427" s="99">
        <v>44054</v>
      </c>
      <c r="B427" s="129" t="s">
        <v>464</v>
      </c>
    </row>
    <row r="428" spans="1:2">
      <c r="A428" s="99">
        <v>44062</v>
      </c>
      <c r="B428" s="129" t="s">
        <v>465</v>
      </c>
    </row>
    <row r="429" spans="1:2">
      <c r="A429" s="99">
        <v>44068</v>
      </c>
      <c r="B429" s="129" t="s">
        <v>461</v>
      </c>
    </row>
    <row r="430" spans="1:2">
      <c r="A430" s="99">
        <v>44076</v>
      </c>
      <c r="B430" s="129" t="s">
        <v>463</v>
      </c>
    </row>
    <row r="431" spans="1:2">
      <c r="A431" s="99">
        <v>44084</v>
      </c>
      <c r="B431" s="129" t="s">
        <v>464</v>
      </c>
    </row>
    <row r="432" spans="1:2">
      <c r="A432" s="99">
        <v>44091</v>
      </c>
      <c r="B432" s="129" t="s">
        <v>465</v>
      </c>
    </row>
    <row r="433" spans="1:2">
      <c r="A433" s="99">
        <v>44098</v>
      </c>
      <c r="B433" s="129" t="s">
        <v>461</v>
      </c>
    </row>
    <row r="434" spans="1:2">
      <c r="A434" s="99">
        <v>44105</v>
      </c>
      <c r="B434" s="129" t="s">
        <v>463</v>
      </c>
    </row>
    <row r="435" spans="1:2">
      <c r="A435" s="99">
        <v>44114</v>
      </c>
      <c r="B435" s="129" t="s">
        <v>464</v>
      </c>
    </row>
    <row r="436" spans="1:2">
      <c r="A436" s="99">
        <v>44120</v>
      </c>
      <c r="B436" s="129" t="s">
        <v>465</v>
      </c>
    </row>
    <row r="437" spans="1:2">
      <c r="A437" s="99">
        <v>44127</v>
      </c>
      <c r="B437" s="129" t="s">
        <v>461</v>
      </c>
    </row>
    <row r="438" spans="1:2">
      <c r="A438" s="99">
        <v>44135</v>
      </c>
      <c r="B438" s="129" t="s">
        <v>463</v>
      </c>
    </row>
    <row r="439" spans="1:2">
      <c r="A439" s="99">
        <v>44143</v>
      </c>
      <c r="B439" s="129" t="s">
        <v>464</v>
      </c>
    </row>
    <row r="440" spans="1:2">
      <c r="A440" s="99">
        <v>44150</v>
      </c>
      <c r="B440" s="129" t="s">
        <v>465</v>
      </c>
    </row>
    <row r="441" spans="1:2">
      <c r="A441" s="99">
        <v>44157</v>
      </c>
      <c r="B441" s="129" t="s">
        <v>461</v>
      </c>
    </row>
    <row r="442" spans="1:2">
      <c r="A442" s="99">
        <v>44165</v>
      </c>
      <c r="B442" s="129" t="s">
        <v>463</v>
      </c>
    </row>
    <row r="443" spans="1:2">
      <c r="A443" s="99">
        <v>44173</v>
      </c>
      <c r="B443" s="129" t="s">
        <v>464</v>
      </c>
    </row>
    <row r="444" spans="1:2">
      <c r="A444" s="99">
        <v>44179</v>
      </c>
      <c r="B444" s="129" t="s">
        <v>465</v>
      </c>
    </row>
    <row r="445" spans="1:2">
      <c r="A445" s="99">
        <v>44186</v>
      </c>
      <c r="B445" s="129" t="s">
        <v>461</v>
      </c>
    </row>
    <row r="446" spans="1:2">
      <c r="A446" s="99">
        <v>44195</v>
      </c>
      <c r="B446" s="129" t="s">
        <v>463</v>
      </c>
    </row>
    <row r="447" spans="1:2">
      <c r="A447" s="99">
        <v>44202</v>
      </c>
      <c r="B447" s="129" t="s">
        <v>464</v>
      </c>
    </row>
    <row r="448" spans="1:2">
      <c r="A448" s="99">
        <v>44209</v>
      </c>
      <c r="B448" s="129" t="s">
        <v>465</v>
      </c>
    </row>
    <row r="449" spans="1:2">
      <c r="A449" s="99">
        <v>44216</v>
      </c>
      <c r="B449" s="129" t="s">
        <v>461</v>
      </c>
    </row>
    <row r="450" spans="1:2">
      <c r="A450" s="99">
        <v>44224</v>
      </c>
      <c r="B450" s="129" t="s">
        <v>463</v>
      </c>
    </row>
    <row r="451" spans="1:2">
      <c r="A451" s="99">
        <v>44231</v>
      </c>
      <c r="B451" s="129" t="s">
        <v>464</v>
      </c>
    </row>
    <row r="452" spans="1:2">
      <c r="A452" s="99">
        <v>44238</v>
      </c>
      <c r="B452" s="129" t="s">
        <v>465</v>
      </c>
    </row>
    <row r="453" spans="1:2">
      <c r="A453" s="99">
        <v>44246</v>
      </c>
      <c r="B453" s="129" t="s">
        <v>461</v>
      </c>
    </row>
    <row r="454" spans="1:2">
      <c r="A454" s="99">
        <v>44254</v>
      </c>
      <c r="B454" s="129" t="s">
        <v>463</v>
      </c>
    </row>
    <row r="455" spans="1:2">
      <c r="A455" s="99">
        <v>44261</v>
      </c>
      <c r="B455" s="129" t="s">
        <v>464</v>
      </c>
    </row>
    <row r="456" spans="1:2">
      <c r="A456" s="99">
        <v>44268</v>
      </c>
      <c r="B456" s="129" t="s">
        <v>465</v>
      </c>
    </row>
    <row r="457" spans="1:2">
      <c r="A457" s="99">
        <v>44276</v>
      </c>
      <c r="B457" s="129" t="s">
        <v>461</v>
      </c>
    </row>
    <row r="458" spans="1:2">
      <c r="A458" s="99">
        <v>44283</v>
      </c>
      <c r="B458" s="129" t="s">
        <v>463</v>
      </c>
    </row>
    <row r="459" spans="1:2">
      <c r="A459" s="99">
        <v>44290</v>
      </c>
      <c r="B459" s="129" t="s">
        <v>464</v>
      </c>
    </row>
    <row r="460" spans="1:2">
      <c r="A460" s="99">
        <v>44298</v>
      </c>
      <c r="B460" s="129" t="s">
        <v>465</v>
      </c>
    </row>
    <row r="461" spans="1:2">
      <c r="A461" s="99">
        <v>44306</v>
      </c>
      <c r="B461" s="129" t="s">
        <v>461</v>
      </c>
    </row>
    <row r="462" spans="1:2">
      <c r="A462" s="99">
        <v>44313</v>
      </c>
      <c r="B462" s="129" t="s">
        <v>463</v>
      </c>
    </row>
    <row r="463" spans="1:2">
      <c r="A463" s="99">
        <v>44319</v>
      </c>
      <c r="B463" s="129" t="s">
        <v>464</v>
      </c>
    </row>
    <row r="464" spans="1:2">
      <c r="A464" s="99">
        <v>44327</v>
      </c>
      <c r="B464" s="129" t="s">
        <v>465</v>
      </c>
    </row>
    <row r="465" spans="1:2">
      <c r="A465" s="99">
        <v>44335</v>
      </c>
      <c r="B465" s="129" t="s">
        <v>461</v>
      </c>
    </row>
    <row r="466" spans="1:2">
      <c r="A466" s="99">
        <v>44342</v>
      </c>
      <c r="B466" s="129" t="s">
        <v>463</v>
      </c>
    </row>
    <row r="467" spans="1:2">
      <c r="A467" s="99">
        <v>44349</v>
      </c>
      <c r="B467" s="129" t="s">
        <v>464</v>
      </c>
    </row>
    <row r="468" spans="1:2">
      <c r="A468" s="99">
        <v>44357</v>
      </c>
      <c r="B468" s="129" t="s">
        <v>465</v>
      </c>
    </row>
    <row r="469" spans="1:2">
      <c r="A469" s="99">
        <v>44365</v>
      </c>
      <c r="B469" s="129" t="s">
        <v>461</v>
      </c>
    </row>
    <row r="470" spans="1:2">
      <c r="A470" s="99">
        <v>44371</v>
      </c>
      <c r="B470" s="129" t="s">
        <v>463</v>
      </c>
    </row>
    <row r="471" spans="1:2">
      <c r="A471" s="99">
        <v>44378</v>
      </c>
      <c r="B471" s="129" t="s">
        <v>464</v>
      </c>
    </row>
    <row r="472" spans="1:2">
      <c r="A472" s="99">
        <v>44387</v>
      </c>
      <c r="B472" s="129" t="s">
        <v>465</v>
      </c>
    </row>
    <row r="473" spans="1:2">
      <c r="A473" s="99">
        <v>44394</v>
      </c>
      <c r="B473" s="129" t="s">
        <v>461</v>
      </c>
    </row>
    <row r="474" spans="1:2">
      <c r="A474" s="99">
        <v>44401</v>
      </c>
      <c r="B474" s="129" t="s">
        <v>463</v>
      </c>
    </row>
    <row r="475" spans="1:2">
      <c r="A475" s="99">
        <v>44408</v>
      </c>
      <c r="B475" s="129" t="s">
        <v>464</v>
      </c>
    </row>
    <row r="476" spans="1:2">
      <c r="A476" s="99">
        <v>44416</v>
      </c>
      <c r="B476" s="129" t="s">
        <v>465</v>
      </c>
    </row>
    <row r="477" spans="1:2">
      <c r="A477" s="99">
        <v>44423</v>
      </c>
      <c r="B477" s="129" t="s">
        <v>461</v>
      </c>
    </row>
    <row r="478" spans="1:2">
      <c r="A478" s="99">
        <v>44430</v>
      </c>
      <c r="B478" s="129" t="s">
        <v>463</v>
      </c>
    </row>
    <row r="479" spans="1:2">
      <c r="A479" s="99">
        <v>44438</v>
      </c>
      <c r="B479" s="129" t="s">
        <v>464</v>
      </c>
    </row>
    <row r="480" spans="1:2">
      <c r="A480" s="99">
        <v>44446</v>
      </c>
      <c r="B480" s="129" t="s">
        <v>465</v>
      </c>
    </row>
    <row r="481" spans="1:2">
      <c r="A481" s="99">
        <v>44452</v>
      </c>
      <c r="B481" s="129" t="s">
        <v>461</v>
      </c>
    </row>
    <row r="482" spans="1:2">
      <c r="A482" s="99">
        <v>44459</v>
      </c>
      <c r="B482" s="129" t="s">
        <v>463</v>
      </c>
    </row>
    <row r="483" spans="1:2">
      <c r="A483" s="99">
        <v>44468</v>
      </c>
      <c r="B483" s="129" t="s">
        <v>464</v>
      </c>
    </row>
    <row r="484" spans="1:2">
      <c r="A484" s="99">
        <v>44475</v>
      </c>
      <c r="B484" s="129" t="s">
        <v>465</v>
      </c>
    </row>
    <row r="485" spans="1:2">
      <c r="A485" s="99">
        <v>44482</v>
      </c>
      <c r="B485" s="129" t="s">
        <v>461</v>
      </c>
    </row>
    <row r="486" spans="1:2">
      <c r="A486" s="99">
        <v>44489</v>
      </c>
      <c r="B486" s="129" t="s">
        <v>463</v>
      </c>
    </row>
    <row r="487" spans="1:2">
      <c r="A487" s="99">
        <v>44497</v>
      </c>
      <c r="B487" s="129" t="s">
        <v>464</v>
      </c>
    </row>
    <row r="488" spans="1:2">
      <c r="A488" s="99">
        <v>44504</v>
      </c>
      <c r="B488" s="129" t="s">
        <v>465</v>
      </c>
    </row>
    <row r="489" spans="1:2">
      <c r="A489" s="99">
        <v>44511</v>
      </c>
      <c r="B489" s="129" t="s">
        <v>461</v>
      </c>
    </row>
    <row r="490" spans="1:2">
      <c r="A490" s="99">
        <v>44519</v>
      </c>
      <c r="B490" s="129" t="s">
        <v>463</v>
      </c>
    </row>
    <row r="491" spans="1:2">
      <c r="A491" s="99">
        <v>44527</v>
      </c>
      <c r="B491" s="129" t="s">
        <v>464</v>
      </c>
    </row>
    <row r="492" spans="1:2">
      <c r="A492" s="99">
        <v>44534</v>
      </c>
      <c r="B492" s="129" t="s">
        <v>465</v>
      </c>
    </row>
    <row r="493" spans="1:2">
      <c r="A493" s="99">
        <v>44541</v>
      </c>
      <c r="B493" s="129" t="s">
        <v>461</v>
      </c>
    </row>
    <row r="494" spans="1:2">
      <c r="A494" s="99">
        <v>44549</v>
      </c>
      <c r="B494" s="129" t="s">
        <v>463</v>
      </c>
    </row>
    <row r="495" spans="1:2">
      <c r="A495" s="99">
        <v>44557</v>
      </c>
      <c r="B495" s="129" t="s">
        <v>464</v>
      </c>
    </row>
    <row r="496" spans="1:2">
      <c r="A496" s="99">
        <v>44563</v>
      </c>
      <c r="B496" s="129" t="s">
        <v>465</v>
      </c>
    </row>
    <row r="497" spans="1:2">
      <c r="A497" s="99">
        <v>44570</v>
      </c>
      <c r="B497" s="129" t="s">
        <v>461</v>
      </c>
    </row>
    <row r="498" spans="1:2">
      <c r="A498" s="99">
        <v>44578</v>
      </c>
      <c r="B498" s="129" t="s">
        <v>463</v>
      </c>
    </row>
    <row r="499" spans="1:2">
      <c r="A499" s="99">
        <v>44586</v>
      </c>
      <c r="B499" s="129" t="s">
        <v>464</v>
      </c>
    </row>
    <row r="500" spans="1:2">
      <c r="A500" s="99">
        <v>44593</v>
      </c>
      <c r="B500" s="129" t="s">
        <v>465</v>
      </c>
    </row>
    <row r="501" spans="1:2">
      <c r="A501" s="99">
        <v>44600</v>
      </c>
      <c r="B501" s="129" t="s">
        <v>461</v>
      </c>
    </row>
    <row r="502" spans="1:2">
      <c r="A502" s="99">
        <v>44608</v>
      </c>
      <c r="B502" s="129" t="s">
        <v>463</v>
      </c>
    </row>
    <row r="503" spans="1:2">
      <c r="A503" s="99">
        <v>44615</v>
      </c>
      <c r="B503" s="129" t="s">
        <v>464</v>
      </c>
    </row>
    <row r="504" spans="1:2">
      <c r="A504" s="99">
        <v>44622</v>
      </c>
      <c r="B504" s="129" t="s">
        <v>465</v>
      </c>
    </row>
    <row r="505" spans="1:2">
      <c r="A505" s="99">
        <v>44630</v>
      </c>
      <c r="B505" s="129" t="s">
        <v>461</v>
      </c>
    </row>
    <row r="506" spans="1:2">
      <c r="A506" s="99">
        <v>44638</v>
      </c>
      <c r="B506" s="129" t="s">
        <v>463</v>
      </c>
    </row>
    <row r="507" spans="1:2">
      <c r="A507" s="99">
        <v>44645</v>
      </c>
      <c r="B507" s="129" t="s">
        <v>464</v>
      </c>
    </row>
    <row r="508" spans="1:2">
      <c r="A508" s="99">
        <v>44652</v>
      </c>
      <c r="B508" s="129" t="s">
        <v>465</v>
      </c>
    </row>
    <row r="509" spans="1:2">
      <c r="A509" s="99">
        <v>44660</v>
      </c>
      <c r="B509" s="129" t="s">
        <v>461</v>
      </c>
    </row>
    <row r="510" spans="1:2">
      <c r="A510" s="99">
        <v>44667</v>
      </c>
      <c r="B510" s="129" t="s">
        <v>463</v>
      </c>
    </row>
    <row r="511" spans="1:2">
      <c r="A511" s="99">
        <v>44674</v>
      </c>
      <c r="B511" s="129" t="s">
        <v>464</v>
      </c>
    </row>
    <row r="512" spans="1:2">
      <c r="A512" s="99">
        <v>44681</v>
      </c>
      <c r="B512" s="129" t="s">
        <v>465</v>
      </c>
    </row>
    <row r="513" spans="1:2">
      <c r="A513" s="99">
        <v>44690</v>
      </c>
      <c r="B513" s="129" t="s">
        <v>461</v>
      </c>
    </row>
    <row r="514" spans="1:2">
      <c r="A514" s="99">
        <v>44697</v>
      </c>
      <c r="B514" s="129" t="s">
        <v>463</v>
      </c>
    </row>
    <row r="515" spans="1:2">
      <c r="A515" s="99">
        <v>44703</v>
      </c>
      <c r="B515" s="129" t="s">
        <v>464</v>
      </c>
    </row>
    <row r="516" spans="1:2">
      <c r="A516" s="99">
        <v>44711</v>
      </c>
      <c r="B516" s="129" t="s">
        <v>465</v>
      </c>
    </row>
    <row r="517" spans="1:2">
      <c r="A517" s="99">
        <v>44719</v>
      </c>
      <c r="B517" s="129" t="s">
        <v>461</v>
      </c>
    </row>
    <row r="518" spans="1:2">
      <c r="A518" s="99">
        <v>44726</v>
      </c>
      <c r="B518" s="129" t="s">
        <v>463</v>
      </c>
    </row>
    <row r="519" spans="1:2">
      <c r="A519" s="99">
        <v>44733</v>
      </c>
      <c r="B519" s="129" t="s">
        <v>464</v>
      </c>
    </row>
    <row r="520" spans="1:2">
      <c r="A520" s="99">
        <v>44741</v>
      </c>
      <c r="B520" s="129" t="s">
        <v>465</v>
      </c>
    </row>
    <row r="521" spans="1:2">
      <c r="A521" s="99">
        <v>44749</v>
      </c>
      <c r="B521" s="129" t="s">
        <v>461</v>
      </c>
    </row>
    <row r="522" spans="1:2">
      <c r="A522" s="99">
        <v>44755</v>
      </c>
      <c r="B522" s="129" t="s">
        <v>463</v>
      </c>
    </row>
    <row r="523" spans="1:2">
      <c r="A523" s="99">
        <v>44762</v>
      </c>
      <c r="B523" s="129" t="s">
        <v>464</v>
      </c>
    </row>
    <row r="524" spans="1:2">
      <c r="A524" s="99">
        <v>44770</v>
      </c>
      <c r="B524" s="129" t="s">
        <v>465</v>
      </c>
    </row>
    <row r="525" spans="1:2">
      <c r="A525" s="99">
        <v>44778</v>
      </c>
      <c r="B525" s="129" t="s">
        <v>461</v>
      </c>
    </row>
    <row r="526" spans="1:2">
      <c r="A526" s="99">
        <v>44785</v>
      </c>
      <c r="B526" s="129" t="s">
        <v>463</v>
      </c>
    </row>
    <row r="527" spans="1:2">
      <c r="A527" s="99">
        <v>44792</v>
      </c>
      <c r="B527" s="129" t="s">
        <v>464</v>
      </c>
    </row>
    <row r="528" spans="1:2">
      <c r="A528" s="99">
        <v>44800</v>
      </c>
      <c r="B528" s="129" t="s">
        <v>465</v>
      </c>
    </row>
    <row r="529" spans="1:2">
      <c r="A529" s="99">
        <v>44807</v>
      </c>
      <c r="B529" s="129" t="s">
        <v>461</v>
      </c>
    </row>
    <row r="530" spans="1:2">
      <c r="A530" s="99">
        <v>44814</v>
      </c>
      <c r="B530" s="129" t="s">
        <v>463</v>
      </c>
    </row>
    <row r="531" spans="1:2">
      <c r="A531" s="99">
        <v>44821</v>
      </c>
      <c r="B531" s="129" t="s">
        <v>464</v>
      </c>
    </row>
    <row r="532" spans="1:2">
      <c r="A532" s="99">
        <v>44829</v>
      </c>
      <c r="B532" s="129" t="s">
        <v>465</v>
      </c>
    </row>
    <row r="533" spans="1:2">
      <c r="A533" s="99">
        <v>44837</v>
      </c>
      <c r="B533" s="129" t="s">
        <v>461</v>
      </c>
    </row>
    <row r="534" spans="1:2">
      <c r="A534" s="99">
        <v>44843</v>
      </c>
      <c r="B534" s="129" t="s">
        <v>463</v>
      </c>
    </row>
    <row r="535" spans="1:2">
      <c r="A535" s="99">
        <v>44851</v>
      </c>
      <c r="B535" s="129" t="s">
        <v>464</v>
      </c>
    </row>
    <row r="536" spans="1:2">
      <c r="A536" s="99">
        <v>44859</v>
      </c>
      <c r="B536" s="129" t="s">
        <v>465</v>
      </c>
    </row>
    <row r="537" spans="1:2">
      <c r="A537" s="99">
        <v>44866</v>
      </c>
      <c r="B537" s="129" t="s">
        <v>461</v>
      </c>
    </row>
    <row r="538" spans="1:2">
      <c r="A538" s="99">
        <v>44873</v>
      </c>
      <c r="B538" s="129" t="s">
        <v>463</v>
      </c>
    </row>
    <row r="539" spans="1:2">
      <c r="A539" s="99">
        <v>44881</v>
      </c>
      <c r="B539" s="129" t="s">
        <v>464</v>
      </c>
    </row>
    <row r="540" spans="1:2">
      <c r="A540" s="99">
        <v>44888</v>
      </c>
      <c r="B540" s="129" t="s">
        <v>465</v>
      </c>
    </row>
    <row r="541" spans="1:2">
      <c r="A541" s="99">
        <v>44895</v>
      </c>
      <c r="B541" s="129" t="s">
        <v>461</v>
      </c>
    </row>
    <row r="542" spans="1:2">
      <c r="A542" s="99">
        <v>44903</v>
      </c>
      <c r="B542" s="129" t="s">
        <v>463</v>
      </c>
    </row>
    <row r="543" spans="1:2">
      <c r="A543" s="99">
        <v>44911</v>
      </c>
      <c r="B543" s="129" t="s">
        <v>464</v>
      </c>
    </row>
    <row r="544" spans="1:2">
      <c r="A544" s="99">
        <v>44918</v>
      </c>
      <c r="B544" s="129" t="s">
        <v>465</v>
      </c>
    </row>
    <row r="545" spans="1:2">
      <c r="A545" s="99">
        <v>44925</v>
      </c>
      <c r="B545" s="129" t="s">
        <v>461</v>
      </c>
    </row>
    <row r="546" spans="1:2">
      <c r="A546" s="99">
        <v>44932</v>
      </c>
      <c r="B546" s="129" t="s">
        <v>463</v>
      </c>
    </row>
    <row r="547" spans="1:2">
      <c r="A547" s="99">
        <v>44941</v>
      </c>
      <c r="B547" s="129" t="s">
        <v>464</v>
      </c>
    </row>
    <row r="548" spans="1:2">
      <c r="A548" s="99">
        <v>44947</v>
      </c>
      <c r="B548" s="129" t="s">
        <v>465</v>
      </c>
    </row>
    <row r="549" spans="1:2">
      <c r="A549" s="99">
        <v>44954</v>
      </c>
      <c r="B549" s="129" t="s">
        <v>461</v>
      </c>
    </row>
    <row r="550" spans="1:2">
      <c r="A550" s="99">
        <v>44962</v>
      </c>
      <c r="B550" s="129" t="s">
        <v>463</v>
      </c>
    </row>
    <row r="551" spans="1:2">
      <c r="A551" s="99">
        <v>44970</v>
      </c>
      <c r="B551" s="129" t="s">
        <v>464</v>
      </c>
    </row>
    <row r="552" spans="1:2">
      <c r="A552" s="99">
        <v>44977</v>
      </c>
      <c r="B552" s="129" t="s">
        <v>465</v>
      </c>
    </row>
    <row r="553" spans="1:2">
      <c r="A553" s="99">
        <v>44984</v>
      </c>
      <c r="B553" s="129" t="s">
        <v>461</v>
      </c>
    </row>
    <row r="554" spans="1:2">
      <c r="A554" s="99">
        <v>44992</v>
      </c>
      <c r="B554" s="129" t="s">
        <v>463</v>
      </c>
    </row>
    <row r="555" spans="1:2">
      <c r="A555" s="99">
        <v>45000</v>
      </c>
      <c r="B555" s="129" t="s">
        <v>464</v>
      </c>
    </row>
    <row r="556" spans="1:2">
      <c r="A556" s="99">
        <v>45006</v>
      </c>
      <c r="B556" s="129" t="s">
        <v>465</v>
      </c>
    </row>
    <row r="557" spans="1:2">
      <c r="A557" s="99">
        <v>45014</v>
      </c>
      <c r="B557" s="129" t="s">
        <v>461</v>
      </c>
    </row>
    <row r="558" spans="1:2">
      <c r="A558" s="99">
        <v>45022</v>
      </c>
      <c r="B558" s="129" t="s">
        <v>463</v>
      </c>
    </row>
    <row r="559" spans="1:2">
      <c r="A559" s="99">
        <v>45029</v>
      </c>
      <c r="B559" s="129" t="s">
        <v>464</v>
      </c>
    </row>
    <row r="560" spans="1:2">
      <c r="A560" s="99">
        <v>45036</v>
      </c>
      <c r="B560" s="129" t="s">
        <v>465</v>
      </c>
    </row>
    <row r="561" spans="1:2">
      <c r="A561" s="99">
        <v>45043</v>
      </c>
      <c r="B561" s="129" t="s">
        <v>461</v>
      </c>
    </row>
    <row r="562" spans="1:2">
      <c r="A562" s="99">
        <v>45051</v>
      </c>
      <c r="B562" s="129" t="s">
        <v>463</v>
      </c>
    </row>
    <row r="563" spans="1:2">
      <c r="A563" s="99">
        <v>45058</v>
      </c>
      <c r="B563" s="129" t="s">
        <v>464</v>
      </c>
    </row>
    <row r="564" spans="1:2">
      <c r="A564" s="99">
        <v>45065</v>
      </c>
      <c r="B564" s="129" t="s">
        <v>465</v>
      </c>
    </row>
    <row r="565" spans="1:2">
      <c r="A565" s="99">
        <v>45073</v>
      </c>
      <c r="B565" s="129" t="s">
        <v>461</v>
      </c>
    </row>
    <row r="566" spans="1:2">
      <c r="A566" s="99">
        <v>45081</v>
      </c>
      <c r="B566" s="129" t="s">
        <v>463</v>
      </c>
    </row>
    <row r="567" spans="1:2">
      <c r="A567" s="99">
        <v>45087</v>
      </c>
      <c r="B567" s="129" t="s">
        <v>464</v>
      </c>
    </row>
    <row r="568" spans="1:2">
      <c r="A568" s="99">
        <v>45095</v>
      </c>
      <c r="B568" s="129" t="s">
        <v>465</v>
      </c>
    </row>
    <row r="569" spans="1:2">
      <c r="A569" s="99">
        <v>45103</v>
      </c>
      <c r="B569" s="129" t="s">
        <v>461</v>
      </c>
    </row>
    <row r="570" spans="1:2">
      <c r="A570" s="99">
        <v>45110</v>
      </c>
      <c r="B570" s="129" t="s">
        <v>463</v>
      </c>
    </row>
    <row r="571" spans="1:2">
      <c r="A571" s="99">
        <v>45117</v>
      </c>
      <c r="B571" s="129" t="s">
        <v>464</v>
      </c>
    </row>
    <row r="572" spans="1:2">
      <c r="A572" s="99">
        <v>45124</v>
      </c>
      <c r="B572" s="129" t="s">
        <v>465</v>
      </c>
    </row>
    <row r="573" spans="1:2">
      <c r="A573" s="99">
        <v>45132</v>
      </c>
      <c r="B573" s="129" t="s">
        <v>461</v>
      </c>
    </row>
    <row r="574" spans="1:2">
      <c r="A574" s="99">
        <v>45139</v>
      </c>
      <c r="B574" s="129" t="s">
        <v>463</v>
      </c>
    </row>
    <row r="575" spans="1:2">
      <c r="A575" s="99">
        <v>45146</v>
      </c>
      <c r="B575" s="129" t="s">
        <v>464</v>
      </c>
    </row>
    <row r="576" spans="1:2">
      <c r="A576" s="99">
        <v>45154</v>
      </c>
      <c r="B576" s="129" t="s">
        <v>465</v>
      </c>
    </row>
    <row r="577" spans="1:2">
      <c r="A577" s="99">
        <v>45162</v>
      </c>
      <c r="B577" s="129" t="s">
        <v>461</v>
      </c>
    </row>
    <row r="578" spans="1:2">
      <c r="A578" s="99">
        <v>45169</v>
      </c>
      <c r="B578" s="129" t="s">
        <v>463</v>
      </c>
    </row>
    <row r="579" spans="1:2">
      <c r="A579" s="99">
        <v>45175</v>
      </c>
      <c r="B579" s="129" t="s">
        <v>464</v>
      </c>
    </row>
    <row r="580" spans="1:2">
      <c r="A580" s="99">
        <v>45184</v>
      </c>
      <c r="B580" s="129" t="s">
        <v>465</v>
      </c>
    </row>
    <row r="581" spans="1:2">
      <c r="A581" s="99">
        <v>45191</v>
      </c>
      <c r="B581" s="129" t="s">
        <v>461</v>
      </c>
    </row>
    <row r="582" spans="1:2">
      <c r="A582" s="99">
        <v>45198</v>
      </c>
      <c r="B582" s="129" t="s">
        <v>463</v>
      </c>
    </row>
    <row r="583" spans="1:2">
      <c r="A583" s="99">
        <v>45205</v>
      </c>
      <c r="B583" s="129" t="s">
        <v>464</v>
      </c>
    </row>
    <row r="584" spans="1:2">
      <c r="A584" s="99">
        <v>45213</v>
      </c>
      <c r="B584" s="129" t="s">
        <v>465</v>
      </c>
    </row>
    <row r="585" spans="1:2">
      <c r="A585" s="99">
        <v>45221</v>
      </c>
      <c r="B585" s="129" t="s">
        <v>461</v>
      </c>
    </row>
    <row r="586" spans="1:2">
      <c r="A586" s="99">
        <v>45227</v>
      </c>
      <c r="B586" s="129" t="s">
        <v>463</v>
      </c>
    </row>
    <row r="587" spans="1:2">
      <c r="A587" s="99">
        <v>45235</v>
      </c>
      <c r="B587" s="129" t="s">
        <v>464</v>
      </c>
    </row>
    <row r="588" spans="1:2">
      <c r="A588" s="99">
        <v>45243</v>
      </c>
      <c r="B588" s="129" t="s">
        <v>465</v>
      </c>
    </row>
    <row r="589" spans="1:2">
      <c r="A589" s="99">
        <v>45250</v>
      </c>
      <c r="B589" s="129" t="s">
        <v>461</v>
      </c>
    </row>
    <row r="590" spans="1:2">
      <c r="A590" s="99">
        <v>45257</v>
      </c>
      <c r="B590" s="129" t="s">
        <v>463</v>
      </c>
    </row>
    <row r="591" spans="1:2">
      <c r="A591" s="99">
        <v>45265</v>
      </c>
      <c r="B591" s="129" t="s">
        <v>464</v>
      </c>
    </row>
    <row r="592" spans="1:2">
      <c r="A592" s="99">
        <v>45272</v>
      </c>
      <c r="B592" s="129" t="s">
        <v>465</v>
      </c>
    </row>
    <row r="593" spans="1:2">
      <c r="A593" s="99">
        <v>45279</v>
      </c>
      <c r="B593" s="129" t="s">
        <v>461</v>
      </c>
    </row>
    <row r="594" spans="1:2">
      <c r="A594" s="99">
        <v>45287</v>
      </c>
      <c r="B594" s="129" t="s">
        <v>463</v>
      </c>
    </row>
    <row r="595" spans="1:2">
      <c r="A595" s="99">
        <v>45295</v>
      </c>
      <c r="B595" s="129" t="s">
        <v>464</v>
      </c>
    </row>
    <row r="596" spans="1:2">
      <c r="A596" s="99">
        <v>45302</v>
      </c>
      <c r="B596" s="129" t="s">
        <v>465</v>
      </c>
    </row>
    <row r="597" spans="1:2">
      <c r="A597" s="99">
        <v>45309</v>
      </c>
      <c r="B597" s="129" t="s">
        <v>461</v>
      </c>
    </row>
    <row r="598" spans="1:2">
      <c r="A598" s="99">
        <v>45316</v>
      </c>
      <c r="B598" s="129" t="s">
        <v>463</v>
      </c>
    </row>
    <row r="599" spans="1:2">
      <c r="A599" s="99">
        <v>45324</v>
      </c>
      <c r="B599" s="129" t="s">
        <v>464</v>
      </c>
    </row>
    <row r="600" spans="1:2">
      <c r="A600" s="99">
        <v>45331</v>
      </c>
      <c r="B600" s="129" t="s">
        <v>465</v>
      </c>
    </row>
    <row r="601" spans="1:2">
      <c r="A601" s="99">
        <v>45338</v>
      </c>
      <c r="B601" s="129" t="s">
        <v>461</v>
      </c>
    </row>
    <row r="602" spans="1:2">
      <c r="A602" s="99">
        <v>45346</v>
      </c>
      <c r="B602" s="129" t="s">
        <v>463</v>
      </c>
    </row>
    <row r="603" spans="1:2">
      <c r="A603" s="99">
        <v>45354</v>
      </c>
      <c r="B603" s="129" t="s">
        <v>464</v>
      </c>
    </row>
    <row r="604" spans="1:2">
      <c r="A604" s="99">
        <v>45361</v>
      </c>
      <c r="B604" s="129" t="s">
        <v>465</v>
      </c>
    </row>
    <row r="605" spans="1:2">
      <c r="A605" s="99">
        <v>45368</v>
      </c>
      <c r="B605" s="129" t="s">
        <v>461</v>
      </c>
    </row>
    <row r="606" spans="1:2">
      <c r="A606" s="99">
        <v>45376</v>
      </c>
      <c r="B606" s="129" t="s">
        <v>463</v>
      </c>
    </row>
    <row r="607" spans="1:2">
      <c r="A607" s="99">
        <v>45384</v>
      </c>
      <c r="B607" s="129" t="s">
        <v>464</v>
      </c>
    </row>
    <row r="608" spans="1:2">
      <c r="A608" s="99">
        <v>45390</v>
      </c>
      <c r="B608" s="129" t="s">
        <v>465</v>
      </c>
    </row>
    <row r="609" spans="1:2">
      <c r="A609" s="99">
        <v>45397</v>
      </c>
      <c r="B609" s="129" t="s">
        <v>461</v>
      </c>
    </row>
    <row r="610" spans="1:2">
      <c r="A610" s="99">
        <v>45405</v>
      </c>
      <c r="B610" s="129" t="s">
        <v>463</v>
      </c>
    </row>
    <row r="611" spans="1:2">
      <c r="A611" s="99">
        <v>45413</v>
      </c>
      <c r="B611" s="129" t="s">
        <v>464</v>
      </c>
    </row>
    <row r="612" spans="1:2">
      <c r="A612" s="99">
        <v>45420</v>
      </c>
      <c r="B612" s="129" t="s">
        <v>465</v>
      </c>
    </row>
    <row r="613" spans="1:2">
      <c r="A613" s="99">
        <v>45427</v>
      </c>
      <c r="B613" s="129" t="s">
        <v>461</v>
      </c>
    </row>
    <row r="614" spans="1:2">
      <c r="A614" s="99">
        <v>45435</v>
      </c>
      <c r="B614" s="129" t="s">
        <v>463</v>
      </c>
    </row>
    <row r="615" spans="1:2">
      <c r="A615" s="99">
        <v>45442</v>
      </c>
      <c r="B615" s="129" t="s">
        <v>464</v>
      </c>
    </row>
    <row r="616" spans="1:2">
      <c r="A616" s="99">
        <v>45449</v>
      </c>
      <c r="B616" s="129" t="s">
        <v>465</v>
      </c>
    </row>
    <row r="617" spans="1:2">
      <c r="A617" s="99">
        <v>45457</v>
      </c>
      <c r="B617" s="129" t="s">
        <v>461</v>
      </c>
    </row>
    <row r="618" spans="1:2">
      <c r="A618" s="99">
        <v>45465</v>
      </c>
      <c r="B618" s="129" t="s">
        <v>463</v>
      </c>
    </row>
    <row r="619" spans="1:2">
      <c r="A619" s="99">
        <v>45471</v>
      </c>
      <c r="B619" s="129" t="s">
        <v>464</v>
      </c>
    </row>
    <row r="620" spans="1:2">
      <c r="A620" s="99">
        <v>45478</v>
      </c>
      <c r="B620" s="129" t="s">
        <v>465</v>
      </c>
    </row>
    <row r="621" spans="1:2">
      <c r="A621" s="99">
        <v>45486</v>
      </c>
      <c r="B621" s="129" t="s">
        <v>461</v>
      </c>
    </row>
    <row r="622" spans="1:2">
      <c r="A622" s="99">
        <v>45494</v>
      </c>
      <c r="B622" s="129" t="s">
        <v>463</v>
      </c>
    </row>
    <row r="623" spans="1:2">
      <c r="A623" s="99">
        <v>45501</v>
      </c>
      <c r="B623" s="129" t="s">
        <v>464</v>
      </c>
    </row>
    <row r="624" spans="1:2">
      <c r="A624" s="99">
        <v>45508</v>
      </c>
      <c r="B624" s="129" t="s">
        <v>465</v>
      </c>
    </row>
    <row r="625" spans="1:2">
      <c r="A625" s="99">
        <v>45516</v>
      </c>
      <c r="B625" s="129" t="s">
        <v>461</v>
      </c>
    </row>
    <row r="626" spans="1:2">
      <c r="A626" s="99">
        <v>45523</v>
      </c>
      <c r="B626" s="129" t="s">
        <v>463</v>
      </c>
    </row>
    <row r="627" spans="1:2">
      <c r="A627" s="99">
        <v>45530</v>
      </c>
      <c r="B627" s="129" t="s">
        <v>464</v>
      </c>
    </row>
    <row r="628" spans="1:2">
      <c r="A628" s="99">
        <v>45538</v>
      </c>
      <c r="B628" s="129" t="s">
        <v>465</v>
      </c>
    </row>
    <row r="629" spans="1:2">
      <c r="A629" s="99">
        <v>45546</v>
      </c>
      <c r="B629" s="129" t="s">
        <v>461</v>
      </c>
    </row>
    <row r="630" spans="1:2">
      <c r="A630" s="99">
        <v>45553</v>
      </c>
      <c r="B630" s="129" t="s">
        <v>463</v>
      </c>
    </row>
    <row r="631" spans="1:2">
      <c r="A631" s="99">
        <v>45559</v>
      </c>
      <c r="B631" s="129" t="s">
        <v>464</v>
      </c>
    </row>
    <row r="632" spans="1:2">
      <c r="A632" s="99">
        <v>45567</v>
      </c>
      <c r="B632" s="129" t="s">
        <v>465</v>
      </c>
    </row>
    <row r="633" spans="1:2">
      <c r="A633" s="99">
        <v>45575</v>
      </c>
      <c r="B633" s="129" t="s">
        <v>461</v>
      </c>
    </row>
    <row r="634" spans="1:2">
      <c r="A634" s="99">
        <v>45582</v>
      </c>
      <c r="B634" s="129" t="s">
        <v>463</v>
      </c>
    </row>
    <row r="635" spans="1:2">
      <c r="A635" s="99">
        <v>45589</v>
      </c>
      <c r="B635" s="129" t="s">
        <v>464</v>
      </c>
    </row>
    <row r="636" spans="1:2">
      <c r="A636" s="99">
        <v>45597</v>
      </c>
      <c r="B636" s="129" t="s">
        <v>465</v>
      </c>
    </row>
    <row r="637" spans="1:2">
      <c r="A637" s="99">
        <v>45605</v>
      </c>
      <c r="B637" s="129" t="s">
        <v>461</v>
      </c>
    </row>
    <row r="638" spans="1:2">
      <c r="A638" s="99">
        <v>45611</v>
      </c>
      <c r="B638" s="129" t="s">
        <v>463</v>
      </c>
    </row>
    <row r="639" spans="1:2">
      <c r="A639" s="99">
        <v>45619</v>
      </c>
      <c r="B639" s="129" t="s">
        <v>464</v>
      </c>
    </row>
    <row r="640" spans="1:2">
      <c r="A640" s="99">
        <v>45627</v>
      </c>
      <c r="B640" s="129" t="s">
        <v>465</v>
      </c>
    </row>
    <row r="641" spans="1:2">
      <c r="A641" s="99">
        <v>45634</v>
      </c>
      <c r="B641" s="129" t="s">
        <v>461</v>
      </c>
    </row>
    <row r="642" spans="1:2">
      <c r="A642" s="99">
        <v>45641</v>
      </c>
      <c r="B642" s="129" t="s">
        <v>463</v>
      </c>
    </row>
    <row r="643" spans="1:2">
      <c r="A643" s="99">
        <v>45648</v>
      </c>
      <c r="B643" s="129" t="s">
        <v>464</v>
      </c>
    </row>
    <row r="644" spans="1:2">
      <c r="A644" s="99">
        <v>45656</v>
      </c>
      <c r="B644" s="129" t="s">
        <v>465</v>
      </c>
    </row>
    <row r="645" spans="1:2">
      <c r="A645" s="99">
        <v>45663</v>
      </c>
      <c r="B645" s="129" t="s">
        <v>461</v>
      </c>
    </row>
    <row r="646" spans="1:2">
      <c r="A646" s="99">
        <v>45670</v>
      </c>
      <c r="B646" s="129" t="s">
        <v>463</v>
      </c>
    </row>
    <row r="647" spans="1:2">
      <c r="A647" s="99">
        <v>45678</v>
      </c>
      <c r="B647" s="129" t="s">
        <v>464</v>
      </c>
    </row>
    <row r="648" spans="1:2">
      <c r="A648" s="99">
        <v>45686</v>
      </c>
      <c r="B648" s="129" t="s">
        <v>465</v>
      </c>
    </row>
    <row r="649" spans="1:2">
      <c r="A649" s="99">
        <v>45693</v>
      </c>
      <c r="B649" s="129" t="s">
        <v>461</v>
      </c>
    </row>
    <row r="650" spans="1:2">
      <c r="A650" s="99">
        <v>45700</v>
      </c>
      <c r="B650" s="129" t="s">
        <v>463</v>
      </c>
    </row>
    <row r="651" spans="1:2">
      <c r="A651" s="99">
        <v>45708</v>
      </c>
      <c r="B651" s="129" t="s">
        <v>464</v>
      </c>
    </row>
    <row r="652" spans="1:2">
      <c r="A652" s="99">
        <v>45716</v>
      </c>
      <c r="B652" s="129" t="s">
        <v>465</v>
      </c>
    </row>
    <row r="653" spans="1:2">
      <c r="A653" s="99">
        <v>45722</v>
      </c>
      <c r="B653" s="129" t="s">
        <v>461</v>
      </c>
    </row>
    <row r="654" spans="1:2">
      <c r="A654" s="99">
        <v>45730</v>
      </c>
      <c r="B654" s="129" t="s">
        <v>463</v>
      </c>
    </row>
    <row r="655" spans="1:2">
      <c r="A655" s="99">
        <v>45738</v>
      </c>
      <c r="B655" s="129" t="s">
        <v>464</v>
      </c>
    </row>
    <row r="656" spans="1:2">
      <c r="A656" s="99">
        <v>45745</v>
      </c>
      <c r="B656" s="129" t="s">
        <v>465</v>
      </c>
    </row>
    <row r="657" spans="1:2">
      <c r="A657" s="99">
        <v>45752</v>
      </c>
      <c r="B657" s="129" t="s">
        <v>461</v>
      </c>
    </row>
    <row r="658" spans="1:2">
      <c r="A658" s="99">
        <v>45760</v>
      </c>
      <c r="B658" s="129" t="s">
        <v>463</v>
      </c>
    </row>
    <row r="659" spans="1:2">
      <c r="A659" s="99">
        <v>45768</v>
      </c>
      <c r="B659" s="129" t="s">
        <v>464</v>
      </c>
    </row>
    <row r="660" spans="1:2">
      <c r="A660" s="99">
        <v>45774</v>
      </c>
      <c r="B660" s="129" t="s">
        <v>465</v>
      </c>
    </row>
    <row r="661" spans="1:2">
      <c r="A661" s="99">
        <v>45781</v>
      </c>
      <c r="B661" s="129" t="s">
        <v>461</v>
      </c>
    </row>
    <row r="662" spans="1:2">
      <c r="A662" s="99">
        <v>45789</v>
      </c>
      <c r="B662" s="129" t="s">
        <v>463</v>
      </c>
    </row>
    <row r="663" spans="1:2">
      <c r="A663" s="99">
        <v>45797</v>
      </c>
      <c r="B663" s="129" t="s">
        <v>464</v>
      </c>
    </row>
    <row r="664" spans="1:2">
      <c r="A664" s="99">
        <v>45804</v>
      </c>
      <c r="B664" s="129" t="s">
        <v>465</v>
      </c>
    </row>
    <row r="665" spans="1:2">
      <c r="A665" s="99">
        <v>45811</v>
      </c>
      <c r="B665" s="129" t="s">
        <v>461</v>
      </c>
    </row>
    <row r="666" spans="1:2">
      <c r="A666" s="99">
        <v>45819</v>
      </c>
      <c r="B666" s="129" t="s">
        <v>463</v>
      </c>
    </row>
    <row r="667" spans="1:2">
      <c r="A667" s="99">
        <v>45826</v>
      </c>
      <c r="B667" s="129" t="s">
        <v>464</v>
      </c>
    </row>
    <row r="668" spans="1:2">
      <c r="A668" s="99">
        <v>45833</v>
      </c>
      <c r="B668" s="129" t="s">
        <v>465</v>
      </c>
    </row>
    <row r="669" spans="1:2">
      <c r="A669" s="99">
        <v>45840</v>
      </c>
      <c r="B669" s="129" t="s">
        <v>461</v>
      </c>
    </row>
    <row r="670" spans="1:2">
      <c r="A670" s="99">
        <v>45848</v>
      </c>
      <c r="B670" s="129" t="s">
        <v>463</v>
      </c>
    </row>
    <row r="671" spans="1:2">
      <c r="A671" s="99">
        <v>45856</v>
      </c>
      <c r="B671" s="129" t="s">
        <v>464</v>
      </c>
    </row>
    <row r="672" spans="1:2">
      <c r="A672" s="99">
        <v>45862</v>
      </c>
      <c r="B672" s="129" t="s">
        <v>465</v>
      </c>
    </row>
    <row r="673" spans="1:2">
      <c r="A673" s="99">
        <v>45870</v>
      </c>
      <c r="B673" s="129" t="s">
        <v>461</v>
      </c>
    </row>
    <row r="674" spans="1:2">
      <c r="A674" s="99">
        <v>45878</v>
      </c>
      <c r="B674" s="129" t="s">
        <v>463</v>
      </c>
    </row>
    <row r="675" spans="1:2">
      <c r="A675" s="99">
        <v>45885</v>
      </c>
      <c r="B675" s="129" t="s">
        <v>464</v>
      </c>
    </row>
    <row r="676" spans="1:2">
      <c r="A676" s="99">
        <v>45892</v>
      </c>
      <c r="B676" s="129" t="s">
        <v>465</v>
      </c>
    </row>
    <row r="677" spans="1:2">
      <c r="A677" s="99">
        <v>45900</v>
      </c>
      <c r="B677" s="129" t="s">
        <v>461</v>
      </c>
    </row>
    <row r="678" spans="1:2">
      <c r="A678" s="99">
        <v>45907</v>
      </c>
      <c r="B678" s="129" t="s">
        <v>463</v>
      </c>
    </row>
    <row r="679" spans="1:2">
      <c r="A679" s="99">
        <v>45914</v>
      </c>
      <c r="B679" s="129" t="s">
        <v>464</v>
      </c>
    </row>
    <row r="680" spans="1:2">
      <c r="A680" s="99">
        <v>45921</v>
      </c>
      <c r="B680" s="129" t="s">
        <v>465</v>
      </c>
    </row>
    <row r="681" spans="1:2">
      <c r="A681" s="99">
        <v>45929</v>
      </c>
      <c r="B681" s="129" t="s">
        <v>461</v>
      </c>
    </row>
    <row r="682" spans="1:2">
      <c r="A682" s="99">
        <v>45937</v>
      </c>
      <c r="B682" s="129" t="s">
        <v>463</v>
      </c>
    </row>
    <row r="683" spans="1:2">
      <c r="A683" s="99">
        <v>45943</v>
      </c>
      <c r="B683" s="129" t="s">
        <v>464</v>
      </c>
    </row>
    <row r="684" spans="1:2">
      <c r="A684" s="99">
        <v>45951</v>
      </c>
      <c r="B684" s="129" t="s">
        <v>465</v>
      </c>
    </row>
    <row r="685" spans="1:2">
      <c r="A685" s="99">
        <v>45959</v>
      </c>
      <c r="B685" s="129" t="s">
        <v>461</v>
      </c>
    </row>
    <row r="686" spans="1:2">
      <c r="A686" s="99">
        <v>45966</v>
      </c>
      <c r="B686" s="129" t="s">
        <v>463</v>
      </c>
    </row>
    <row r="687" spans="1:2">
      <c r="A687" s="99">
        <v>45973</v>
      </c>
      <c r="B687" s="129" t="s">
        <v>464</v>
      </c>
    </row>
    <row r="688" spans="1:2">
      <c r="A688" s="99">
        <v>45981</v>
      </c>
      <c r="B688" s="129" t="s">
        <v>465</v>
      </c>
    </row>
    <row r="689" spans="1:2">
      <c r="A689" s="99">
        <v>45989</v>
      </c>
      <c r="B689" s="129" t="s">
        <v>461</v>
      </c>
    </row>
    <row r="690" spans="1:2">
      <c r="A690" s="99">
        <v>45995</v>
      </c>
      <c r="B690" s="129" t="s">
        <v>463</v>
      </c>
    </row>
    <row r="691" spans="1:2">
      <c r="A691" s="99">
        <v>46002</v>
      </c>
      <c r="B691" s="129" t="s">
        <v>464</v>
      </c>
    </row>
    <row r="692" spans="1:2">
      <c r="A692" s="99">
        <v>46011</v>
      </c>
      <c r="B692" s="129" t="s">
        <v>465</v>
      </c>
    </row>
    <row r="693" spans="1:2">
      <c r="A693" s="99">
        <v>46018</v>
      </c>
      <c r="B693" s="129" t="s">
        <v>461</v>
      </c>
    </row>
    <row r="694" spans="1:2">
      <c r="A694" s="99">
        <v>46025</v>
      </c>
      <c r="B694" s="129" t="s">
        <v>463</v>
      </c>
    </row>
    <row r="695" spans="1:2">
      <c r="A695" s="99">
        <v>46032</v>
      </c>
      <c r="B695" s="129" t="s">
        <v>464</v>
      </c>
    </row>
    <row r="696" spans="1:2">
      <c r="A696" s="99">
        <v>46040</v>
      </c>
      <c r="B696" s="129" t="s">
        <v>465</v>
      </c>
    </row>
    <row r="697" spans="1:2">
      <c r="A697" s="99">
        <v>46048</v>
      </c>
      <c r="B697" s="129" t="s">
        <v>461</v>
      </c>
    </row>
    <row r="698" spans="1:2">
      <c r="A698" s="99">
        <v>46054</v>
      </c>
      <c r="B698" s="129" t="s">
        <v>463</v>
      </c>
    </row>
    <row r="699" spans="1:2">
      <c r="A699" s="99">
        <v>46062</v>
      </c>
      <c r="B699" s="129" t="s">
        <v>464</v>
      </c>
    </row>
    <row r="700" spans="1:2">
      <c r="A700" s="99">
        <v>46070</v>
      </c>
      <c r="B700" s="129" t="s">
        <v>465</v>
      </c>
    </row>
    <row r="701" spans="1:2">
      <c r="A701" s="99">
        <v>46077</v>
      </c>
      <c r="B701" s="129" t="s">
        <v>461</v>
      </c>
    </row>
    <row r="702" spans="1:2">
      <c r="A702" s="99">
        <v>46084</v>
      </c>
      <c r="B702" s="129" t="s">
        <v>463</v>
      </c>
    </row>
    <row r="703" spans="1:2">
      <c r="A703" s="99">
        <v>46092</v>
      </c>
      <c r="B703" s="129" t="s">
        <v>464</v>
      </c>
    </row>
    <row r="704" spans="1:2">
      <c r="A704" s="99">
        <v>46100</v>
      </c>
      <c r="B704" s="129" t="s">
        <v>465</v>
      </c>
    </row>
    <row r="705" spans="1:2">
      <c r="A705" s="99">
        <v>46106</v>
      </c>
      <c r="B705" s="129" t="s">
        <v>461</v>
      </c>
    </row>
    <row r="706" spans="1:2">
      <c r="A706" s="99">
        <v>46114</v>
      </c>
      <c r="B706" s="129" t="s">
        <v>463</v>
      </c>
    </row>
    <row r="707" spans="1:2">
      <c r="A707" s="99">
        <v>46122</v>
      </c>
      <c r="B707" s="129" t="s">
        <v>464</v>
      </c>
    </row>
    <row r="708" spans="1:2">
      <c r="A708" s="99">
        <v>46129</v>
      </c>
      <c r="B708" s="129" t="s">
        <v>465</v>
      </c>
    </row>
    <row r="709" spans="1:2">
      <c r="A709" s="99">
        <v>46136</v>
      </c>
      <c r="B709" s="129" t="s">
        <v>461</v>
      </c>
    </row>
    <row r="710" spans="1:2">
      <c r="A710" s="99">
        <v>46143</v>
      </c>
      <c r="B710" s="129" t="s">
        <v>463</v>
      </c>
    </row>
    <row r="711" spans="1:2">
      <c r="A711" s="99">
        <v>46151</v>
      </c>
      <c r="B711" s="129" t="s">
        <v>464</v>
      </c>
    </row>
    <row r="712" spans="1:2">
      <c r="A712" s="99">
        <v>46158</v>
      </c>
      <c r="B712" s="129" t="s">
        <v>465</v>
      </c>
    </row>
    <row r="713" spans="1:2">
      <c r="A713" s="99">
        <v>46165</v>
      </c>
      <c r="B713" s="129" t="s">
        <v>461</v>
      </c>
    </row>
    <row r="714" spans="1:2">
      <c r="A714" s="99">
        <v>46173</v>
      </c>
      <c r="B714" s="129" t="s">
        <v>463</v>
      </c>
    </row>
    <row r="715" spans="1:2">
      <c r="A715" s="99">
        <v>46181</v>
      </c>
      <c r="B715" s="129" t="s">
        <v>464</v>
      </c>
    </row>
    <row r="716" spans="1:2">
      <c r="A716" s="99">
        <v>46188</v>
      </c>
      <c r="B716" s="129" t="s">
        <v>465</v>
      </c>
    </row>
    <row r="717" spans="1:2">
      <c r="A717" s="99">
        <v>46194</v>
      </c>
      <c r="B717" s="129" t="s">
        <v>461</v>
      </c>
    </row>
    <row r="718" spans="1:2">
      <c r="A718" s="99">
        <v>46202</v>
      </c>
      <c r="B718" s="129" t="s">
        <v>463</v>
      </c>
    </row>
    <row r="719" spans="1:2">
      <c r="A719" s="99">
        <v>46210</v>
      </c>
      <c r="B719" s="129" t="s">
        <v>464</v>
      </c>
    </row>
    <row r="720" spans="1:2">
      <c r="A720" s="99">
        <v>46217</v>
      </c>
      <c r="B720" s="129" t="s">
        <v>465</v>
      </c>
    </row>
    <row r="721" spans="1:2">
      <c r="A721" s="99">
        <v>46224</v>
      </c>
      <c r="B721" s="129" t="s">
        <v>461</v>
      </c>
    </row>
    <row r="722" spans="1:2">
      <c r="A722" s="99">
        <v>46232</v>
      </c>
      <c r="B722" s="129" t="s">
        <v>463</v>
      </c>
    </row>
    <row r="723" spans="1:2">
      <c r="A723" s="99">
        <v>46240</v>
      </c>
      <c r="B723" s="129" t="s">
        <v>464</v>
      </c>
    </row>
    <row r="724" spans="1:2">
      <c r="A724" s="99">
        <v>46246</v>
      </c>
      <c r="B724" s="129" t="s">
        <v>465</v>
      </c>
    </row>
    <row r="725" spans="1:2">
      <c r="A725" s="99">
        <v>46254</v>
      </c>
      <c r="B725" s="129" t="s">
        <v>461</v>
      </c>
    </row>
    <row r="726" spans="1:2">
      <c r="A726" s="99">
        <v>46262</v>
      </c>
      <c r="B726" s="129" t="s">
        <v>463</v>
      </c>
    </row>
    <row r="727" spans="1:2">
      <c r="A727" s="99">
        <v>46269</v>
      </c>
      <c r="B727" s="129" t="s">
        <v>464</v>
      </c>
    </row>
    <row r="728" spans="1:2">
      <c r="A728" s="99">
        <v>46276</v>
      </c>
      <c r="B728" s="129" t="s">
        <v>465</v>
      </c>
    </row>
    <row r="729" spans="1:2">
      <c r="A729" s="99">
        <v>46283</v>
      </c>
      <c r="B729" s="129" t="s">
        <v>461</v>
      </c>
    </row>
    <row r="730" spans="1:2">
      <c r="A730" s="99">
        <v>46291</v>
      </c>
      <c r="B730" s="129" t="s">
        <v>463</v>
      </c>
    </row>
    <row r="731" spans="1:2">
      <c r="A731" s="99">
        <v>46298</v>
      </c>
      <c r="B731" s="129" t="s">
        <v>464</v>
      </c>
    </row>
    <row r="732" spans="1:2">
      <c r="A732" s="99">
        <v>46305</v>
      </c>
      <c r="B732" s="129" t="s">
        <v>465</v>
      </c>
    </row>
    <row r="733" spans="1:2">
      <c r="A733" s="99">
        <v>46313</v>
      </c>
      <c r="B733" s="129" t="s">
        <v>461</v>
      </c>
    </row>
    <row r="734" spans="1:2">
      <c r="A734" s="99">
        <v>46321</v>
      </c>
      <c r="B734" s="129" t="s">
        <v>463</v>
      </c>
    </row>
    <row r="735" spans="1:2">
      <c r="A735" s="99">
        <v>46327</v>
      </c>
      <c r="B735" s="129" t="s">
        <v>464</v>
      </c>
    </row>
    <row r="736" spans="1:2">
      <c r="A736" s="99">
        <v>46335</v>
      </c>
      <c r="B736" s="129" t="s">
        <v>465</v>
      </c>
    </row>
    <row r="737" spans="1:2">
      <c r="A737" s="99">
        <v>46343</v>
      </c>
      <c r="B737" s="129" t="s">
        <v>461</v>
      </c>
    </row>
    <row r="738" spans="1:2">
      <c r="A738" s="99">
        <v>46350</v>
      </c>
      <c r="B738" s="129" t="s">
        <v>463</v>
      </c>
    </row>
    <row r="739" spans="1:2">
      <c r="A739" s="99">
        <v>46357</v>
      </c>
      <c r="B739" s="129" t="s">
        <v>464</v>
      </c>
    </row>
    <row r="740" spans="1:2">
      <c r="A740" s="99">
        <v>46365</v>
      </c>
      <c r="B740" s="129" t="s">
        <v>465</v>
      </c>
    </row>
    <row r="741" spans="1:2">
      <c r="A741" s="99">
        <v>46373</v>
      </c>
      <c r="B741" s="129" t="s">
        <v>461</v>
      </c>
    </row>
    <row r="742" spans="1:2">
      <c r="A742" s="99">
        <v>46380</v>
      </c>
      <c r="B742" s="129" t="s">
        <v>463</v>
      </c>
    </row>
    <row r="743" spans="1:2">
      <c r="A743" s="99">
        <v>46386</v>
      </c>
      <c r="B743" s="129" t="s">
        <v>464</v>
      </c>
    </row>
    <row r="744" spans="1:2">
      <c r="A744" s="99">
        <v>46394</v>
      </c>
      <c r="B744" s="129" t="s">
        <v>465</v>
      </c>
    </row>
    <row r="745" spans="1:2">
      <c r="A745" s="99">
        <v>46402</v>
      </c>
      <c r="B745" s="129" t="s">
        <v>461</v>
      </c>
    </row>
    <row r="746" spans="1:2">
      <c r="A746" s="99">
        <v>46409</v>
      </c>
      <c r="B746" s="129" t="s">
        <v>463</v>
      </c>
    </row>
    <row r="747" spans="1:2">
      <c r="A747" s="99">
        <v>46416</v>
      </c>
      <c r="B747" s="129" t="s">
        <v>464</v>
      </c>
    </row>
    <row r="748" spans="1:2">
      <c r="A748" s="99">
        <v>46424</v>
      </c>
      <c r="B748" s="129" t="s">
        <v>465</v>
      </c>
    </row>
    <row r="749" spans="1:2">
      <c r="A749" s="99">
        <v>46432</v>
      </c>
      <c r="B749" s="129" t="s">
        <v>461</v>
      </c>
    </row>
    <row r="750" spans="1:2">
      <c r="A750" s="99">
        <v>46438</v>
      </c>
      <c r="B750" s="129" t="s">
        <v>463</v>
      </c>
    </row>
    <row r="751" spans="1:2">
      <c r="A751" s="99">
        <v>46446</v>
      </c>
      <c r="B751" s="129" t="s">
        <v>464</v>
      </c>
    </row>
    <row r="752" spans="1:2">
      <c r="A752" s="99">
        <v>46454</v>
      </c>
      <c r="B752" s="129" t="s">
        <v>465</v>
      </c>
    </row>
    <row r="753" spans="1:2">
      <c r="A753" s="99">
        <v>46461</v>
      </c>
      <c r="B753" s="129" t="s">
        <v>461</v>
      </c>
    </row>
    <row r="754" spans="1:2">
      <c r="A754" s="99">
        <v>46468</v>
      </c>
      <c r="B754" s="129" t="s">
        <v>463</v>
      </c>
    </row>
    <row r="755" spans="1:2">
      <c r="A755" s="99">
        <v>46476</v>
      </c>
      <c r="B755" s="129" t="s">
        <v>464</v>
      </c>
    </row>
    <row r="756" spans="1:2">
      <c r="A756" s="99">
        <v>46483</v>
      </c>
      <c r="B756" s="129" t="s">
        <v>465</v>
      </c>
    </row>
    <row r="757" spans="1:2">
      <c r="A757" s="99">
        <v>46490</v>
      </c>
      <c r="B757" s="129" t="s">
        <v>461</v>
      </c>
    </row>
    <row r="758" spans="1:2">
      <c r="A758" s="99">
        <v>46497</v>
      </c>
      <c r="B758" s="129" t="s">
        <v>463</v>
      </c>
    </row>
    <row r="759" spans="1:2">
      <c r="A759" s="99">
        <v>46505</v>
      </c>
      <c r="B759" s="129" t="s">
        <v>464</v>
      </c>
    </row>
    <row r="760" spans="1:2">
      <c r="A760" s="99">
        <v>46513</v>
      </c>
      <c r="B760" s="129" t="s">
        <v>465</v>
      </c>
    </row>
    <row r="761" spans="1:2">
      <c r="A761" s="99">
        <v>46520</v>
      </c>
      <c r="B761" s="129" t="s">
        <v>461</v>
      </c>
    </row>
    <row r="762" spans="1:2">
      <c r="A762" s="99">
        <v>46527</v>
      </c>
      <c r="B762" s="129" t="s">
        <v>463</v>
      </c>
    </row>
    <row r="763" spans="1:2">
      <c r="A763" s="99">
        <v>46535</v>
      </c>
      <c r="B763" s="129" t="s">
        <v>464</v>
      </c>
    </row>
    <row r="764" spans="1:2">
      <c r="A764" s="99">
        <v>46542</v>
      </c>
      <c r="B764" s="129" t="s">
        <v>465</v>
      </c>
    </row>
    <row r="765" spans="1:2">
      <c r="A765" s="99">
        <v>46549</v>
      </c>
      <c r="B765" s="129" t="s">
        <v>461</v>
      </c>
    </row>
    <row r="766" spans="1:2">
      <c r="A766" s="99">
        <v>46557</v>
      </c>
      <c r="B766" s="129" t="s">
        <v>463</v>
      </c>
    </row>
    <row r="767" spans="1:2">
      <c r="A767" s="99">
        <v>46565</v>
      </c>
      <c r="B767" s="129" t="s">
        <v>464</v>
      </c>
    </row>
    <row r="768" spans="1:2">
      <c r="A768" s="99">
        <v>46572</v>
      </c>
      <c r="B768" s="129" t="s">
        <v>465</v>
      </c>
    </row>
    <row r="769" spans="1:2">
      <c r="A769" s="99">
        <v>46578</v>
      </c>
      <c r="B769" s="129" t="s">
        <v>461</v>
      </c>
    </row>
    <row r="770" spans="1:2">
      <c r="A770" s="99">
        <v>46586</v>
      </c>
      <c r="B770" s="129" t="s">
        <v>463</v>
      </c>
    </row>
    <row r="771" spans="1:2">
      <c r="A771" s="99">
        <v>46594</v>
      </c>
      <c r="B771" s="129" t="s">
        <v>464</v>
      </c>
    </row>
    <row r="772" spans="1:2">
      <c r="A772" s="99">
        <v>46601</v>
      </c>
      <c r="B772" s="129" t="s">
        <v>465</v>
      </c>
    </row>
    <row r="773" spans="1:2">
      <c r="A773" s="99">
        <v>46608</v>
      </c>
      <c r="B773" s="129" t="s">
        <v>461</v>
      </c>
    </row>
    <row r="774" spans="1:2">
      <c r="A774" s="99">
        <v>46616</v>
      </c>
      <c r="B774" s="129" t="s">
        <v>463</v>
      </c>
    </row>
    <row r="775" spans="1:2">
      <c r="A775" s="99">
        <v>46624</v>
      </c>
      <c r="B775" s="129" t="s">
        <v>464</v>
      </c>
    </row>
    <row r="776" spans="1:2">
      <c r="A776" s="99">
        <v>46630</v>
      </c>
      <c r="B776" s="129" t="s">
        <v>465</v>
      </c>
    </row>
    <row r="777" spans="1:2">
      <c r="A777" s="99">
        <v>46637</v>
      </c>
      <c r="B777" s="129" t="s">
        <v>461</v>
      </c>
    </row>
    <row r="778" spans="1:2">
      <c r="A778" s="99">
        <v>46645</v>
      </c>
      <c r="B778" s="129" t="s">
        <v>463</v>
      </c>
    </row>
    <row r="779" spans="1:2">
      <c r="A779" s="99">
        <v>46653</v>
      </c>
      <c r="B779" s="129" t="s">
        <v>464</v>
      </c>
    </row>
    <row r="780" spans="1:2">
      <c r="A780" s="99">
        <v>46660</v>
      </c>
      <c r="B780" s="129" t="s">
        <v>465</v>
      </c>
    </row>
    <row r="781" spans="1:2">
      <c r="A781" s="99">
        <v>46667</v>
      </c>
      <c r="B781" s="129" t="s">
        <v>461</v>
      </c>
    </row>
    <row r="782" spans="1:2">
      <c r="A782" s="99">
        <v>46675</v>
      </c>
      <c r="B782" s="129" t="s">
        <v>463</v>
      </c>
    </row>
    <row r="783" spans="1:2">
      <c r="A783" s="99">
        <v>46682</v>
      </c>
      <c r="B783" s="129" t="s">
        <v>464</v>
      </c>
    </row>
    <row r="784" spans="1:2">
      <c r="A784" s="99">
        <v>46689</v>
      </c>
      <c r="B784" s="129" t="s">
        <v>465</v>
      </c>
    </row>
    <row r="785" spans="1:2">
      <c r="A785" s="99">
        <v>46697</v>
      </c>
      <c r="B785" s="129" t="s">
        <v>461</v>
      </c>
    </row>
    <row r="786" spans="1:2">
      <c r="A786" s="99">
        <v>46705</v>
      </c>
      <c r="B786" s="129" t="s">
        <v>463</v>
      </c>
    </row>
    <row r="787" spans="1:2">
      <c r="A787" s="99">
        <v>46712</v>
      </c>
      <c r="B787" s="129" t="s">
        <v>464</v>
      </c>
    </row>
    <row r="788" spans="1:2">
      <c r="A788" s="99">
        <v>46719</v>
      </c>
      <c r="B788" s="129" t="s">
        <v>465</v>
      </c>
    </row>
    <row r="789" spans="1:2">
      <c r="A789" s="99">
        <v>46727</v>
      </c>
      <c r="B789" s="129" t="s">
        <v>461</v>
      </c>
    </row>
    <row r="790" spans="1:2">
      <c r="A790" s="99">
        <v>46734</v>
      </c>
      <c r="B790" s="129" t="s">
        <v>463</v>
      </c>
    </row>
    <row r="791" spans="1:2">
      <c r="A791" s="99">
        <v>46741</v>
      </c>
      <c r="B791" s="129" t="s">
        <v>464</v>
      </c>
    </row>
    <row r="792" spans="1:2">
      <c r="A792" s="99">
        <v>46748</v>
      </c>
      <c r="B792" s="129" t="s">
        <v>465</v>
      </c>
    </row>
    <row r="793" spans="1:2">
      <c r="A793" s="99">
        <v>46757</v>
      </c>
      <c r="B793" s="129" t="s">
        <v>461</v>
      </c>
    </row>
    <row r="794" spans="1:2">
      <c r="A794" s="99">
        <v>46764</v>
      </c>
      <c r="B794" s="129" t="s">
        <v>463</v>
      </c>
    </row>
    <row r="795" spans="1:2">
      <c r="A795" s="99">
        <v>46770</v>
      </c>
      <c r="B795" s="129" t="s">
        <v>464</v>
      </c>
    </row>
    <row r="796" spans="1:2">
      <c r="A796" s="99">
        <v>46778</v>
      </c>
      <c r="B796" s="129" t="s">
        <v>465</v>
      </c>
    </row>
    <row r="797" spans="1:2">
      <c r="A797" s="99">
        <v>46786</v>
      </c>
      <c r="B797" s="129" t="s">
        <v>461</v>
      </c>
    </row>
    <row r="798" spans="1:2">
      <c r="A798" s="99">
        <v>46793</v>
      </c>
      <c r="B798" s="129" t="s">
        <v>463</v>
      </c>
    </row>
    <row r="799" spans="1:2">
      <c r="A799" s="99">
        <v>46800</v>
      </c>
      <c r="B799" s="129" t="s">
        <v>464</v>
      </c>
    </row>
    <row r="800" spans="1:2">
      <c r="A800" s="99">
        <v>46808</v>
      </c>
      <c r="B800" s="129" t="s">
        <v>465</v>
      </c>
    </row>
    <row r="801" spans="1:2">
      <c r="A801" s="99">
        <v>46816</v>
      </c>
      <c r="B801" s="129" t="s">
        <v>461</v>
      </c>
    </row>
    <row r="802" spans="1:2">
      <c r="A802" s="99">
        <v>46823</v>
      </c>
      <c r="B802" s="129" t="s">
        <v>463</v>
      </c>
    </row>
    <row r="803" spans="1:2">
      <c r="A803" s="99">
        <v>46829</v>
      </c>
      <c r="B803" s="129" t="s">
        <v>464</v>
      </c>
    </row>
    <row r="804" spans="1:2">
      <c r="A804" s="99">
        <v>46838</v>
      </c>
      <c r="B804" s="129" t="s">
        <v>465</v>
      </c>
    </row>
    <row r="805" spans="1:2">
      <c r="A805" s="99">
        <v>46845</v>
      </c>
      <c r="B805" s="129" t="s">
        <v>461</v>
      </c>
    </row>
    <row r="806" spans="1:2">
      <c r="A806" s="99">
        <v>46852</v>
      </c>
      <c r="B806" s="129" t="s">
        <v>463</v>
      </c>
    </row>
    <row r="807" spans="1:2">
      <c r="A807" s="99">
        <v>46859</v>
      </c>
      <c r="B807" s="129" t="s">
        <v>464</v>
      </c>
    </row>
    <row r="808" spans="1:2">
      <c r="A808" s="99">
        <v>46867</v>
      </c>
      <c r="B808" s="129" t="s">
        <v>465</v>
      </c>
    </row>
    <row r="809" spans="1:2">
      <c r="A809" s="99">
        <v>46875</v>
      </c>
      <c r="B809" s="129" t="s">
        <v>461</v>
      </c>
    </row>
    <row r="810" spans="1:2">
      <c r="A810" s="99">
        <v>46881</v>
      </c>
      <c r="B810" s="129" t="s">
        <v>463</v>
      </c>
    </row>
    <row r="811" spans="1:2">
      <c r="A811" s="99">
        <v>46889</v>
      </c>
      <c r="B811" s="129" t="s">
        <v>464</v>
      </c>
    </row>
    <row r="812" spans="1:2">
      <c r="A812" s="99">
        <v>46897</v>
      </c>
      <c r="B812" s="129" t="s">
        <v>465</v>
      </c>
    </row>
    <row r="813" spans="1:2">
      <c r="A813" s="99">
        <v>46904</v>
      </c>
      <c r="B813" s="129" t="s">
        <v>461</v>
      </c>
    </row>
    <row r="814" spans="1:2">
      <c r="A814" s="99">
        <v>46911</v>
      </c>
      <c r="B814" s="129" t="s">
        <v>463</v>
      </c>
    </row>
    <row r="815" spans="1:2">
      <c r="A815" s="99">
        <v>46919</v>
      </c>
      <c r="B815" s="129" t="s">
        <v>464</v>
      </c>
    </row>
    <row r="816" spans="1:2">
      <c r="A816" s="99">
        <v>46926</v>
      </c>
      <c r="B816" s="129" t="s">
        <v>465</v>
      </c>
    </row>
    <row r="817" spans="1:2">
      <c r="A817" s="99">
        <v>46933</v>
      </c>
      <c r="B817" s="129" t="s">
        <v>461</v>
      </c>
    </row>
    <row r="818" spans="1:2">
      <c r="A818" s="99">
        <v>46940</v>
      </c>
      <c r="B818" s="129" t="s">
        <v>463</v>
      </c>
    </row>
    <row r="819" spans="1:2">
      <c r="A819" s="99">
        <v>46948</v>
      </c>
      <c r="B819" s="129" t="s">
        <v>464</v>
      </c>
    </row>
    <row r="820" spans="1:2">
      <c r="A820" s="99">
        <v>46956</v>
      </c>
      <c r="B820" s="129" t="s">
        <v>465</v>
      </c>
    </row>
    <row r="821" spans="1:2">
      <c r="A821" s="99">
        <v>46962</v>
      </c>
      <c r="B821" s="129" t="s">
        <v>461</v>
      </c>
    </row>
    <row r="822" spans="1:2">
      <c r="A822" s="99">
        <v>46970</v>
      </c>
      <c r="B822" s="129" t="s">
        <v>463</v>
      </c>
    </row>
    <row r="823" spans="1:2">
      <c r="A823" s="99">
        <v>46978</v>
      </c>
      <c r="B823" s="129" t="s">
        <v>464</v>
      </c>
    </row>
    <row r="824" spans="1:2">
      <c r="A824" s="99">
        <v>46985</v>
      </c>
      <c r="B824" s="129" t="s">
        <v>465</v>
      </c>
    </row>
    <row r="825" spans="1:2">
      <c r="A825" s="99">
        <v>46992</v>
      </c>
      <c r="B825" s="129" t="s">
        <v>461</v>
      </c>
    </row>
    <row r="826" spans="1:2">
      <c r="A826" s="99">
        <v>46999</v>
      </c>
      <c r="B826" s="129" t="s">
        <v>463</v>
      </c>
    </row>
    <row r="827" spans="1:2">
      <c r="A827" s="99">
        <v>47008</v>
      </c>
      <c r="B827" s="129" t="s">
        <v>464</v>
      </c>
    </row>
    <row r="828" spans="1:2">
      <c r="A828" s="99">
        <v>47014</v>
      </c>
      <c r="B828" s="129" t="s">
        <v>465</v>
      </c>
    </row>
    <row r="829" spans="1:2">
      <c r="A829" s="99">
        <v>47021</v>
      </c>
      <c r="B829" s="129" t="s">
        <v>461</v>
      </c>
    </row>
    <row r="830" spans="1:2">
      <c r="A830" s="99">
        <v>47029</v>
      </c>
      <c r="B830" s="129" t="s">
        <v>463</v>
      </c>
    </row>
    <row r="831" spans="1:2">
      <c r="A831" s="99">
        <v>47037</v>
      </c>
      <c r="B831" s="129" t="s">
        <v>464</v>
      </c>
    </row>
    <row r="832" spans="1:2">
      <c r="A832" s="99">
        <v>47044</v>
      </c>
      <c r="B832" s="129" t="s">
        <v>465</v>
      </c>
    </row>
    <row r="833" spans="1:2">
      <c r="A833" s="99">
        <v>47051</v>
      </c>
      <c r="B833" s="129" t="s">
        <v>461</v>
      </c>
    </row>
    <row r="834" spans="1:2">
      <c r="A834" s="99">
        <v>47059</v>
      </c>
      <c r="B834" s="129" t="s">
        <v>463</v>
      </c>
    </row>
    <row r="835" spans="1:2">
      <c r="A835" s="99">
        <v>47066</v>
      </c>
      <c r="B835" s="129" t="s">
        <v>464</v>
      </c>
    </row>
    <row r="836" spans="1:2">
      <c r="A836" s="99">
        <v>47073</v>
      </c>
      <c r="B836" s="129" t="s">
        <v>465</v>
      </c>
    </row>
    <row r="837" spans="1:2">
      <c r="A837" s="99">
        <v>47081</v>
      </c>
      <c r="B837" s="129" t="s">
        <v>461</v>
      </c>
    </row>
    <row r="838" spans="1:2">
      <c r="A838" s="99">
        <v>47089</v>
      </c>
      <c r="B838" s="129" t="s">
        <v>463</v>
      </c>
    </row>
    <row r="839" spans="1:2">
      <c r="A839" s="99">
        <v>47096</v>
      </c>
      <c r="B839" s="129" t="s">
        <v>464</v>
      </c>
    </row>
    <row r="840" spans="1:2">
      <c r="A840" s="99">
        <v>47103</v>
      </c>
      <c r="B840" s="129" t="s">
        <v>465</v>
      </c>
    </row>
    <row r="841" spans="1:2">
      <c r="A841" s="99">
        <v>47110</v>
      </c>
      <c r="B841" s="129" t="s">
        <v>461</v>
      </c>
    </row>
    <row r="842" spans="1:2">
      <c r="A842" s="99">
        <v>47118</v>
      </c>
      <c r="B842" s="129" t="s">
        <v>463</v>
      </c>
    </row>
    <row r="843" spans="1:2">
      <c r="A843" s="99">
        <v>47125</v>
      </c>
      <c r="B843" s="129" t="s">
        <v>464</v>
      </c>
    </row>
    <row r="844" spans="1:2">
      <c r="A844" s="99">
        <v>47132</v>
      </c>
      <c r="B844" s="129" t="s">
        <v>465</v>
      </c>
    </row>
    <row r="845" spans="1:2">
      <c r="A845" s="99">
        <v>47140</v>
      </c>
      <c r="B845" s="129" t="s">
        <v>461</v>
      </c>
    </row>
    <row r="846" spans="1:2">
      <c r="A846" s="99">
        <v>47148</v>
      </c>
      <c r="B846" s="129" t="s">
        <v>463</v>
      </c>
    </row>
    <row r="847" spans="1:2">
      <c r="A847" s="99">
        <v>47154</v>
      </c>
      <c r="B847" s="129" t="s">
        <v>464</v>
      </c>
    </row>
    <row r="848" spans="1:2">
      <c r="A848" s="99">
        <v>47162</v>
      </c>
      <c r="B848" s="129" t="s">
        <v>465</v>
      </c>
    </row>
    <row r="849" spans="1:2">
      <c r="A849" s="99">
        <v>47170</v>
      </c>
      <c r="B849" s="129" t="s">
        <v>461</v>
      </c>
    </row>
    <row r="850" spans="1:2">
      <c r="A850" s="99">
        <v>47177</v>
      </c>
      <c r="B850" s="129" t="s">
        <v>463</v>
      </c>
    </row>
    <row r="851" spans="1:2">
      <c r="A851" s="99">
        <v>47184</v>
      </c>
      <c r="B851" s="129" t="s">
        <v>464</v>
      </c>
    </row>
    <row r="852" spans="1:2">
      <c r="A852" s="99">
        <v>47192</v>
      </c>
      <c r="B852" s="129" t="s">
        <v>465</v>
      </c>
    </row>
    <row r="853" spans="1:2">
      <c r="A853" s="99">
        <v>47200</v>
      </c>
      <c r="B853" s="129" t="s">
        <v>461</v>
      </c>
    </row>
    <row r="854" spans="1:2">
      <c r="A854" s="99">
        <v>47207</v>
      </c>
      <c r="B854" s="129" t="s">
        <v>463</v>
      </c>
    </row>
    <row r="855" spans="1:2">
      <c r="A855" s="99">
        <v>47213</v>
      </c>
      <c r="B855" s="129" t="s">
        <v>464</v>
      </c>
    </row>
    <row r="856" spans="1:2">
      <c r="A856" s="99">
        <v>47221</v>
      </c>
      <c r="B856" s="129" t="s">
        <v>465</v>
      </c>
    </row>
    <row r="857" spans="1:2">
      <c r="A857" s="99">
        <v>47229</v>
      </c>
      <c r="B857" s="129" t="s">
        <v>461</v>
      </c>
    </row>
    <row r="858" spans="1:2">
      <c r="A858" s="99">
        <v>47236</v>
      </c>
      <c r="B858" s="129" t="s">
        <v>463</v>
      </c>
    </row>
    <row r="859" spans="1:2">
      <c r="A859" s="99">
        <v>47243</v>
      </c>
      <c r="B859" s="129" t="s">
        <v>464</v>
      </c>
    </row>
    <row r="860" spans="1:2">
      <c r="A860" s="99">
        <v>47251</v>
      </c>
      <c r="B860" s="129" t="s">
        <v>465</v>
      </c>
    </row>
    <row r="861" spans="1:2">
      <c r="A861" s="99">
        <v>47259</v>
      </c>
      <c r="B861" s="129" t="s">
        <v>461</v>
      </c>
    </row>
    <row r="862" spans="1:2">
      <c r="A862" s="99">
        <v>47265</v>
      </c>
      <c r="B862" s="129" t="s">
        <v>463</v>
      </c>
    </row>
    <row r="863" spans="1:2">
      <c r="A863" s="99">
        <v>47273</v>
      </c>
      <c r="B863" s="129" t="s">
        <v>464</v>
      </c>
    </row>
    <row r="864" spans="1:2">
      <c r="A864" s="99">
        <v>47281</v>
      </c>
      <c r="B864" s="129" t="s">
        <v>465</v>
      </c>
    </row>
    <row r="865" spans="1:2">
      <c r="A865" s="99">
        <v>47288</v>
      </c>
      <c r="B865" s="129" t="s">
        <v>461</v>
      </c>
    </row>
    <row r="866" spans="1:2">
      <c r="A866" s="99">
        <v>47295</v>
      </c>
      <c r="B866" s="129" t="s">
        <v>463</v>
      </c>
    </row>
    <row r="867" spans="1:2">
      <c r="A867" s="99">
        <v>47302</v>
      </c>
      <c r="B867" s="129" t="s">
        <v>464</v>
      </c>
    </row>
    <row r="868" spans="1:2">
      <c r="A868" s="99">
        <v>47310</v>
      </c>
      <c r="B868" s="129" t="s">
        <v>465</v>
      </c>
    </row>
    <row r="869" spans="1:2">
      <c r="A869" s="99">
        <v>47317</v>
      </c>
      <c r="B869" s="129" t="s">
        <v>461</v>
      </c>
    </row>
    <row r="870" spans="1:2">
      <c r="A870" s="99">
        <v>47324</v>
      </c>
      <c r="B870" s="129" t="s">
        <v>463</v>
      </c>
    </row>
    <row r="871" spans="1:2">
      <c r="A871" s="99">
        <v>47332</v>
      </c>
      <c r="B871" s="129" t="s">
        <v>464</v>
      </c>
    </row>
    <row r="872" spans="1:2">
      <c r="A872" s="99">
        <v>47340</v>
      </c>
      <c r="B872" s="129" t="s">
        <v>465</v>
      </c>
    </row>
    <row r="873" spans="1:2">
      <c r="A873" s="99">
        <v>47346</v>
      </c>
      <c r="B873" s="129" t="s">
        <v>461</v>
      </c>
    </row>
    <row r="874" spans="1:2">
      <c r="A874" s="99">
        <v>47354</v>
      </c>
      <c r="B874" s="129" t="s">
        <v>463</v>
      </c>
    </row>
    <row r="875" spans="1:2">
      <c r="A875" s="99">
        <v>47362</v>
      </c>
      <c r="B875" s="129" t="s">
        <v>464</v>
      </c>
    </row>
    <row r="876" spans="1:2">
      <c r="A876" s="99">
        <v>47369</v>
      </c>
      <c r="B876" s="129" t="s">
        <v>465</v>
      </c>
    </row>
    <row r="877" spans="1:2">
      <c r="A877" s="99">
        <v>47376</v>
      </c>
      <c r="B877" s="129" t="s">
        <v>461</v>
      </c>
    </row>
    <row r="878" spans="1:2">
      <c r="A878" s="99">
        <v>47383</v>
      </c>
      <c r="B878" s="129" t="s">
        <v>463</v>
      </c>
    </row>
    <row r="879" spans="1:2">
      <c r="A879" s="99">
        <v>47391</v>
      </c>
      <c r="B879" s="129" t="s">
        <v>464</v>
      </c>
    </row>
    <row r="880" spans="1:2">
      <c r="A880" s="99">
        <v>47398</v>
      </c>
      <c r="B880" s="129" t="s">
        <v>465</v>
      </c>
    </row>
    <row r="881" spans="1:2">
      <c r="A881" s="99">
        <v>47405</v>
      </c>
      <c r="B881" s="129" t="s">
        <v>461</v>
      </c>
    </row>
    <row r="882" spans="1:2">
      <c r="A882" s="99">
        <v>47413</v>
      </c>
      <c r="B882" s="129" t="s">
        <v>463</v>
      </c>
    </row>
    <row r="883" spans="1:2">
      <c r="A883" s="99">
        <v>47421</v>
      </c>
      <c r="B883" s="129" t="s">
        <v>464</v>
      </c>
    </row>
    <row r="884" spans="1:2">
      <c r="A884" s="99">
        <v>47428</v>
      </c>
      <c r="B884" s="129" t="s">
        <v>465</v>
      </c>
    </row>
    <row r="885" spans="1:2">
      <c r="A885" s="99">
        <v>47435</v>
      </c>
      <c r="B885" s="129" t="s">
        <v>461</v>
      </c>
    </row>
    <row r="886" spans="1:2">
      <c r="A886" s="99">
        <v>47443</v>
      </c>
      <c r="B886" s="129" t="s">
        <v>463</v>
      </c>
    </row>
    <row r="887" spans="1:2">
      <c r="A887" s="99">
        <v>47450</v>
      </c>
      <c r="B887" s="129" t="s">
        <v>464</v>
      </c>
    </row>
    <row r="888" spans="1:2">
      <c r="A888" s="99">
        <v>47457</v>
      </c>
      <c r="B888" s="129" t="s">
        <v>465</v>
      </c>
    </row>
    <row r="889" spans="1:2">
      <c r="A889" s="99">
        <v>47464</v>
      </c>
      <c r="B889" s="129" t="s">
        <v>461</v>
      </c>
    </row>
    <row r="890" spans="1:2">
      <c r="A890" s="99">
        <v>47472</v>
      </c>
      <c r="B890" s="129" t="s">
        <v>463</v>
      </c>
    </row>
    <row r="891" spans="1:2">
      <c r="A891" s="99">
        <v>47480</v>
      </c>
      <c r="B891" s="129" t="s">
        <v>464</v>
      </c>
    </row>
    <row r="892" spans="1:2">
      <c r="A892" s="99">
        <v>47487</v>
      </c>
      <c r="B892" s="129" t="s">
        <v>465</v>
      </c>
    </row>
    <row r="893" spans="1:2">
      <c r="A893" s="99">
        <v>47494</v>
      </c>
      <c r="B893" s="129" t="s">
        <v>461</v>
      </c>
    </row>
    <row r="894" spans="1:2">
      <c r="A894" s="99">
        <v>47502</v>
      </c>
      <c r="B894" s="129" t="s">
        <v>463</v>
      </c>
    </row>
    <row r="895" spans="1:2">
      <c r="A895" s="99">
        <v>47509</v>
      </c>
      <c r="B895" s="129" t="s">
        <v>464</v>
      </c>
    </row>
    <row r="896" spans="1:2">
      <c r="A896" s="99">
        <v>47516</v>
      </c>
      <c r="B896" s="129" t="s">
        <v>465</v>
      </c>
    </row>
    <row r="897" spans="1:2">
      <c r="A897" s="99">
        <v>47524</v>
      </c>
      <c r="B897" s="129" t="s">
        <v>461</v>
      </c>
    </row>
    <row r="898" spans="1:2">
      <c r="A898" s="99">
        <v>47532</v>
      </c>
      <c r="B898" s="129" t="s">
        <v>463</v>
      </c>
    </row>
    <row r="899" spans="1:2">
      <c r="A899" s="99">
        <v>47539</v>
      </c>
      <c r="B899" s="129" t="s">
        <v>464</v>
      </c>
    </row>
    <row r="900" spans="1:2">
      <c r="A900" s="99">
        <v>47546</v>
      </c>
      <c r="B900" s="129" t="s">
        <v>465</v>
      </c>
    </row>
    <row r="901" spans="1:2">
      <c r="A901" s="99">
        <v>47554</v>
      </c>
      <c r="B901" s="129" t="s">
        <v>461</v>
      </c>
    </row>
    <row r="902" spans="1:2">
      <c r="A902" s="99">
        <v>47561</v>
      </c>
      <c r="B902" s="129" t="s">
        <v>463</v>
      </c>
    </row>
    <row r="903" spans="1:2">
      <c r="A903" s="99">
        <v>47568</v>
      </c>
      <c r="B903" s="129" t="s">
        <v>464</v>
      </c>
    </row>
    <row r="904" spans="1:2">
      <c r="A904" s="99">
        <v>47575</v>
      </c>
      <c r="B904" s="129" t="s">
        <v>465</v>
      </c>
    </row>
    <row r="905" spans="1:2">
      <c r="A905" s="99">
        <v>47584</v>
      </c>
      <c r="B905" s="129" t="s">
        <v>461</v>
      </c>
    </row>
    <row r="906" spans="1:2">
      <c r="A906" s="99">
        <v>47591</v>
      </c>
      <c r="B906" s="129" t="s">
        <v>463</v>
      </c>
    </row>
    <row r="907" spans="1:2">
      <c r="A907" s="99">
        <v>47597</v>
      </c>
      <c r="B907" s="129" t="s">
        <v>464</v>
      </c>
    </row>
    <row r="908" spans="1:2">
      <c r="A908" s="99">
        <v>47605</v>
      </c>
      <c r="B908" s="129" t="s">
        <v>465</v>
      </c>
    </row>
    <row r="909" spans="1:2">
      <c r="A909" s="99">
        <v>47613</v>
      </c>
      <c r="B909" s="129" t="s">
        <v>461</v>
      </c>
    </row>
    <row r="910" spans="1:2">
      <c r="A910" s="99">
        <v>47620</v>
      </c>
      <c r="B910" s="129" t="s">
        <v>463</v>
      </c>
    </row>
    <row r="911" spans="1:2">
      <c r="A911" s="99">
        <v>47627</v>
      </c>
      <c r="B911" s="129" t="s">
        <v>464</v>
      </c>
    </row>
    <row r="912" spans="1:2">
      <c r="A912" s="99">
        <v>47635</v>
      </c>
      <c r="B912" s="129" t="s">
        <v>465</v>
      </c>
    </row>
    <row r="913" spans="1:2">
      <c r="A913" s="99">
        <v>47643</v>
      </c>
      <c r="B913" s="129" t="s">
        <v>461</v>
      </c>
    </row>
    <row r="914" spans="1:2">
      <c r="A914" s="99">
        <v>47649</v>
      </c>
      <c r="B914" s="129" t="s">
        <v>463</v>
      </c>
    </row>
    <row r="915" spans="1:2">
      <c r="A915" s="99">
        <v>47656</v>
      </c>
      <c r="B915" s="129" t="s">
        <v>464</v>
      </c>
    </row>
    <row r="916" spans="1:2">
      <c r="A916" s="99">
        <v>47664</v>
      </c>
      <c r="B916" s="129" t="s">
        <v>465</v>
      </c>
    </row>
    <row r="917" spans="1:2">
      <c r="A917" s="99">
        <v>47672</v>
      </c>
      <c r="B917" s="129" t="s">
        <v>461</v>
      </c>
    </row>
    <row r="918" spans="1:2">
      <c r="A918" s="99">
        <v>47679</v>
      </c>
      <c r="B918" s="129" t="s">
        <v>463</v>
      </c>
    </row>
    <row r="919" spans="1:2">
      <c r="A919" s="99">
        <v>47686</v>
      </c>
      <c r="B919" s="129" t="s">
        <v>464</v>
      </c>
    </row>
    <row r="920" spans="1:2">
      <c r="A920" s="99">
        <v>47694</v>
      </c>
      <c r="B920" s="129" t="s">
        <v>465</v>
      </c>
    </row>
    <row r="921" spans="1:2">
      <c r="A921" s="99">
        <v>47701</v>
      </c>
      <c r="B921" s="129" t="s">
        <v>461</v>
      </c>
    </row>
    <row r="922" spans="1:2">
      <c r="A922" s="99">
        <v>47708</v>
      </c>
      <c r="B922" s="129" t="s">
        <v>463</v>
      </c>
    </row>
    <row r="923" spans="1:2">
      <c r="A923" s="99">
        <v>47716</v>
      </c>
      <c r="B923" s="129" t="s">
        <v>464</v>
      </c>
    </row>
    <row r="924" spans="1:2">
      <c r="A924" s="99">
        <v>47723</v>
      </c>
      <c r="B924" s="129" t="s">
        <v>465</v>
      </c>
    </row>
    <row r="925" spans="1:2">
      <c r="A925" s="99">
        <v>47730</v>
      </c>
      <c r="B925" s="129" t="s">
        <v>461</v>
      </c>
    </row>
    <row r="926" spans="1:2">
      <c r="A926" s="99">
        <v>47737</v>
      </c>
      <c r="B926" s="129" t="s">
        <v>463</v>
      </c>
    </row>
    <row r="927" spans="1:2">
      <c r="A927" s="99">
        <v>47745</v>
      </c>
      <c r="B927" s="129" t="s">
        <v>464</v>
      </c>
    </row>
    <row r="928" spans="1:2">
      <c r="A928" s="99">
        <v>47753</v>
      </c>
      <c r="B928" s="129" t="s">
        <v>465</v>
      </c>
    </row>
    <row r="929" spans="1:2">
      <c r="A929" s="99">
        <v>47760</v>
      </c>
      <c r="B929" s="129" t="s">
        <v>461</v>
      </c>
    </row>
    <row r="930" spans="1:2">
      <c r="A930" s="99">
        <v>47767</v>
      </c>
      <c r="B930" s="129" t="s">
        <v>463</v>
      </c>
    </row>
    <row r="931" spans="1:2">
      <c r="A931" s="99">
        <v>47775</v>
      </c>
      <c r="B931" s="129" t="s">
        <v>464</v>
      </c>
    </row>
    <row r="932" spans="1:2">
      <c r="A932" s="99">
        <v>47782</v>
      </c>
      <c r="B932" s="129" t="s">
        <v>465</v>
      </c>
    </row>
    <row r="933" spans="1:2">
      <c r="A933" s="99">
        <v>47789</v>
      </c>
      <c r="B933" s="129" t="s">
        <v>461</v>
      </c>
    </row>
    <row r="934" spans="1:2">
      <c r="A934" s="99">
        <v>47797</v>
      </c>
      <c r="B934" s="129" t="s">
        <v>463</v>
      </c>
    </row>
    <row r="935" spans="1:2">
      <c r="A935" s="99">
        <v>47805</v>
      </c>
      <c r="B935" s="129" t="s">
        <v>464</v>
      </c>
    </row>
    <row r="936" spans="1:2">
      <c r="A936" s="99">
        <v>47812</v>
      </c>
      <c r="B936" s="129" t="s">
        <v>465</v>
      </c>
    </row>
    <row r="937" spans="1:2">
      <c r="A937" s="99">
        <v>47818</v>
      </c>
      <c r="B937" s="129" t="s">
        <v>461</v>
      </c>
    </row>
    <row r="938" spans="1:2">
      <c r="A938" s="99">
        <v>47826</v>
      </c>
      <c r="B938" s="129" t="s">
        <v>463</v>
      </c>
    </row>
    <row r="939" spans="1:2">
      <c r="A939" s="99">
        <v>47835</v>
      </c>
      <c r="B939" s="129" t="s">
        <v>464</v>
      </c>
    </row>
    <row r="940" spans="1:2">
      <c r="A940" s="99">
        <v>47841</v>
      </c>
      <c r="B940" s="129" t="s">
        <v>465</v>
      </c>
    </row>
    <row r="941" spans="1:2">
      <c r="A941" s="99">
        <v>47848</v>
      </c>
      <c r="B941" s="129" t="s">
        <v>461</v>
      </c>
    </row>
    <row r="942" spans="1:2">
      <c r="A942" s="99">
        <v>47856</v>
      </c>
      <c r="B942" s="129" t="s">
        <v>463</v>
      </c>
    </row>
    <row r="943" spans="1:2">
      <c r="A943" s="99">
        <v>47864</v>
      </c>
      <c r="B943" s="129" t="s">
        <v>464</v>
      </c>
    </row>
    <row r="944" spans="1:2">
      <c r="A944" s="99">
        <v>47871</v>
      </c>
      <c r="B944" s="129" t="s">
        <v>465</v>
      </c>
    </row>
    <row r="945" spans="1:2">
      <c r="A945" s="99">
        <v>47878</v>
      </c>
      <c r="B945" s="129" t="s">
        <v>461</v>
      </c>
    </row>
    <row r="946" spans="1:2">
      <c r="A946" s="99">
        <v>47886</v>
      </c>
      <c r="B946" s="129" t="s">
        <v>463</v>
      </c>
    </row>
    <row r="947" spans="1:2">
      <c r="A947" s="99">
        <v>47893</v>
      </c>
      <c r="B947" s="129" t="s">
        <v>464</v>
      </c>
    </row>
    <row r="948" spans="1:2">
      <c r="A948" s="99">
        <v>47900</v>
      </c>
      <c r="B948" s="129" t="s">
        <v>465</v>
      </c>
    </row>
    <row r="949" spans="1:2">
      <c r="A949" s="99">
        <v>47908</v>
      </c>
      <c r="B949" s="129" t="s">
        <v>461</v>
      </c>
    </row>
    <row r="950" spans="1:2">
      <c r="A950" s="99">
        <v>47916</v>
      </c>
      <c r="B950" s="129" t="s">
        <v>463</v>
      </c>
    </row>
    <row r="951" spans="1:2">
      <c r="A951" s="99">
        <v>47923</v>
      </c>
      <c r="B951" s="129" t="s">
        <v>464</v>
      </c>
    </row>
    <row r="952" spans="1:2">
      <c r="A952" s="99">
        <v>47930</v>
      </c>
      <c r="B952" s="129" t="s">
        <v>465</v>
      </c>
    </row>
    <row r="953" spans="1:2">
      <c r="A953" s="99">
        <v>47938</v>
      </c>
      <c r="B953" s="129" t="s">
        <v>461</v>
      </c>
    </row>
    <row r="954" spans="1:2">
      <c r="A954" s="99">
        <v>47945</v>
      </c>
      <c r="B954" s="129" t="s">
        <v>463</v>
      </c>
    </row>
    <row r="955" spans="1:2">
      <c r="A955" s="99">
        <v>47952</v>
      </c>
      <c r="B955" s="129" t="s">
        <v>464</v>
      </c>
    </row>
    <row r="956" spans="1:2">
      <c r="A956" s="99">
        <v>47959</v>
      </c>
      <c r="B956" s="129" t="s">
        <v>465</v>
      </c>
    </row>
    <row r="957" spans="1:2">
      <c r="A957" s="99">
        <v>47967</v>
      </c>
      <c r="B957" s="129" t="s">
        <v>461</v>
      </c>
    </row>
    <row r="958" spans="1:2">
      <c r="A958" s="99">
        <v>47975</v>
      </c>
      <c r="B958" s="129" t="s">
        <v>463</v>
      </c>
    </row>
    <row r="959" spans="1:2">
      <c r="A959" s="99">
        <v>47981</v>
      </c>
      <c r="B959" s="129" t="s">
        <v>464</v>
      </c>
    </row>
    <row r="960" spans="1:2">
      <c r="A960" s="99">
        <v>47989</v>
      </c>
      <c r="B960" s="129" t="s">
        <v>465</v>
      </c>
    </row>
    <row r="961" spans="1:2">
      <c r="A961" s="99">
        <v>47997</v>
      </c>
      <c r="B961" s="129" t="s">
        <v>461</v>
      </c>
    </row>
    <row r="962" spans="1:2">
      <c r="A962" s="99">
        <v>48004</v>
      </c>
      <c r="B962" s="129" t="s">
        <v>463</v>
      </c>
    </row>
    <row r="963" spans="1:2">
      <c r="A963" s="99">
        <v>48011</v>
      </c>
      <c r="B963" s="129" t="s">
        <v>464</v>
      </c>
    </row>
    <row r="964" spans="1:2">
      <c r="A964" s="99">
        <v>48018</v>
      </c>
      <c r="B964" s="129" t="s">
        <v>465</v>
      </c>
    </row>
    <row r="965" spans="1:2">
      <c r="A965" s="99">
        <v>48027</v>
      </c>
      <c r="B965" s="129" t="s">
        <v>461</v>
      </c>
    </row>
    <row r="966" spans="1:2">
      <c r="A966" s="99">
        <v>48033</v>
      </c>
      <c r="B966" s="129" t="s">
        <v>463</v>
      </c>
    </row>
    <row r="967" spans="1:2">
      <c r="A967" s="99">
        <v>48040</v>
      </c>
      <c r="B967" s="129" t="s">
        <v>464</v>
      </c>
    </row>
    <row r="968" spans="1:2">
      <c r="A968" s="99">
        <v>48048</v>
      </c>
      <c r="B968" s="129" t="s">
        <v>465</v>
      </c>
    </row>
    <row r="969" spans="1:2">
      <c r="A969" s="99">
        <v>48056</v>
      </c>
      <c r="B969" s="129" t="s">
        <v>461</v>
      </c>
    </row>
    <row r="970" spans="1:2">
      <c r="A970" s="99">
        <v>48063</v>
      </c>
      <c r="B970" s="129" t="s">
        <v>463</v>
      </c>
    </row>
    <row r="971" spans="1:2">
      <c r="A971" s="99">
        <v>48070</v>
      </c>
      <c r="B971" s="129" t="s">
        <v>464</v>
      </c>
    </row>
    <row r="972" spans="1:2">
      <c r="A972" s="99">
        <v>48078</v>
      </c>
      <c r="B972" s="129" t="s">
        <v>465</v>
      </c>
    </row>
    <row r="973" spans="1:2">
      <c r="A973" s="99">
        <v>48085</v>
      </c>
      <c r="B973" s="129" t="s">
        <v>461</v>
      </c>
    </row>
    <row r="974" spans="1:2">
      <c r="A974" s="99">
        <v>48092</v>
      </c>
      <c r="B974" s="129" t="s">
        <v>463</v>
      </c>
    </row>
    <row r="975" spans="1:2">
      <c r="A975" s="99">
        <v>48099</v>
      </c>
      <c r="B975" s="129" t="s">
        <v>464</v>
      </c>
    </row>
    <row r="976" spans="1:2">
      <c r="A976" s="99">
        <v>48107</v>
      </c>
      <c r="B976" s="129" t="s">
        <v>465</v>
      </c>
    </row>
    <row r="977" spans="1:2">
      <c r="A977" s="99">
        <v>48115</v>
      </c>
      <c r="B977" s="129" t="s">
        <v>461</v>
      </c>
    </row>
    <row r="978" spans="1:2">
      <c r="A978" s="99">
        <v>48121</v>
      </c>
      <c r="B978" s="129" t="s">
        <v>463</v>
      </c>
    </row>
    <row r="979" spans="1:2">
      <c r="A979" s="99">
        <v>48129</v>
      </c>
      <c r="B979" s="129" t="s">
        <v>464</v>
      </c>
    </row>
    <row r="980" spans="1:2">
      <c r="A980" s="99">
        <v>48137</v>
      </c>
      <c r="B980" s="129" t="s">
        <v>465</v>
      </c>
    </row>
    <row r="981" spans="1:2">
      <c r="A981" s="99">
        <v>48144</v>
      </c>
      <c r="B981" s="129" t="s">
        <v>461</v>
      </c>
    </row>
    <row r="982" spans="1:2">
      <c r="A982" s="99">
        <v>48151</v>
      </c>
      <c r="B982" s="129" t="s">
        <v>463</v>
      </c>
    </row>
    <row r="983" spans="1:2">
      <c r="A983" s="99">
        <v>48159</v>
      </c>
      <c r="B983" s="129" t="s">
        <v>464</v>
      </c>
    </row>
    <row r="984" spans="1:2">
      <c r="A984" s="99">
        <v>48166</v>
      </c>
      <c r="B984" s="129" t="s">
        <v>465</v>
      </c>
    </row>
    <row r="985" spans="1:2">
      <c r="A985" s="99">
        <v>48173</v>
      </c>
      <c r="B985" s="129" t="s">
        <v>461</v>
      </c>
    </row>
    <row r="986" spans="1:2">
      <c r="A986" s="99">
        <v>48180</v>
      </c>
      <c r="B986" s="129" t="s">
        <v>463</v>
      </c>
    </row>
    <row r="987" spans="1:2">
      <c r="A987" s="99">
        <v>48189</v>
      </c>
      <c r="B987" s="129" t="s">
        <v>464</v>
      </c>
    </row>
    <row r="988" spans="1:2">
      <c r="A988" s="99">
        <v>48196</v>
      </c>
      <c r="B988" s="129" t="s">
        <v>465</v>
      </c>
    </row>
    <row r="989" spans="1:2">
      <c r="A989" s="99">
        <v>48203</v>
      </c>
      <c r="B989" s="129" t="s">
        <v>461</v>
      </c>
    </row>
    <row r="990" spans="1:2">
      <c r="A990" s="99">
        <v>48210</v>
      </c>
      <c r="B990" s="129" t="s">
        <v>463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CW222"/>
  <sheetViews>
    <sheetView workbookViewId="0">
      <pane xSplit="4" ySplit="3" topLeftCell="E10" activePane="bottomRight" state="frozen"/>
      <selection activeCell="F32" sqref="F32"/>
      <selection pane="topRight" activeCell="F32" sqref="F32"/>
      <selection pane="bottomLeft" activeCell="F32" sqref="F32"/>
      <selection pane="bottomRight" activeCell="F32" sqref="F32"/>
    </sheetView>
  </sheetViews>
  <sheetFormatPr baseColWidth="10" defaultColWidth="3" defaultRowHeight="15"/>
  <cols>
    <col min="1" max="1" width="14.42578125" style="97" customWidth="1"/>
    <col min="2" max="2" width="20.85546875" customWidth="1"/>
    <col min="3" max="3" width="13" customWidth="1"/>
    <col min="4" max="4" width="11" style="150" customWidth="1"/>
    <col min="5" max="16384" width="3" style="97"/>
  </cols>
  <sheetData>
    <row r="1" spans="1:45">
      <c r="A1" s="146" t="s">
        <v>481</v>
      </c>
      <c r="B1" s="147" t="s">
        <v>474</v>
      </c>
      <c r="C1" s="148">
        <v>2017</v>
      </c>
      <c r="D1" s="149" t="s">
        <v>475</v>
      </c>
    </row>
    <row r="2" spans="1:45">
      <c r="A2" s="97">
        <f>MATCH($A$1,E$3:BZ$3,0)</f>
        <v>2</v>
      </c>
    </row>
    <row r="3" spans="1:45" s="155" customFormat="1" ht="124.5">
      <c r="A3" s="151" t="s">
        <v>476</v>
      </c>
      <c r="B3" s="152" t="s">
        <v>477</v>
      </c>
      <c r="C3" s="153" t="s">
        <v>478</v>
      </c>
      <c r="D3" s="154" t="s">
        <v>479</v>
      </c>
      <c r="E3" s="155" t="s">
        <v>480</v>
      </c>
      <c r="F3" s="155" t="s">
        <v>481</v>
      </c>
      <c r="G3" s="155" t="s">
        <v>482</v>
      </c>
      <c r="H3" s="155" t="s">
        <v>483</v>
      </c>
      <c r="I3" s="155" t="s">
        <v>484</v>
      </c>
      <c r="J3" s="155" t="s">
        <v>485</v>
      </c>
      <c r="K3" s="155" t="s">
        <v>486</v>
      </c>
      <c r="L3" s="155" t="s">
        <v>487</v>
      </c>
      <c r="M3" s="155" t="s">
        <v>488</v>
      </c>
      <c r="N3" s="155" t="s">
        <v>489</v>
      </c>
      <c r="O3" s="155" t="s">
        <v>490</v>
      </c>
      <c r="P3" s="155" t="s">
        <v>491</v>
      </c>
      <c r="Q3" s="155" t="s">
        <v>492</v>
      </c>
      <c r="R3" s="155" t="s">
        <v>493</v>
      </c>
      <c r="S3" s="155" t="s">
        <v>494</v>
      </c>
      <c r="T3" s="155" t="s">
        <v>495</v>
      </c>
      <c r="U3" s="155" t="s">
        <v>496</v>
      </c>
      <c r="V3" s="155" t="s">
        <v>497</v>
      </c>
      <c r="W3" s="155" t="s">
        <v>498</v>
      </c>
      <c r="X3" s="155" t="s">
        <v>499</v>
      </c>
      <c r="Y3" s="155" t="s">
        <v>500</v>
      </c>
      <c r="Z3" s="155" t="s">
        <v>501</v>
      </c>
      <c r="AA3" s="155" t="s">
        <v>502</v>
      </c>
      <c r="AB3" s="155" t="s">
        <v>503</v>
      </c>
      <c r="AC3" s="155" t="s">
        <v>504</v>
      </c>
      <c r="AD3" s="155" t="s">
        <v>505</v>
      </c>
      <c r="AE3" s="155" t="s">
        <v>506</v>
      </c>
      <c r="AF3" s="155" t="s">
        <v>507</v>
      </c>
      <c r="AG3" s="155" t="s">
        <v>508</v>
      </c>
      <c r="AH3" s="155" t="s">
        <v>509</v>
      </c>
      <c r="AI3" s="155" t="s">
        <v>510</v>
      </c>
      <c r="AJ3" s="155" t="s">
        <v>511</v>
      </c>
      <c r="AK3" s="155" t="s">
        <v>512</v>
      </c>
      <c r="AL3" s="155" t="s">
        <v>513</v>
      </c>
      <c r="AM3" s="155" t="s">
        <v>514</v>
      </c>
      <c r="AN3" s="155" t="s">
        <v>515</v>
      </c>
      <c r="AO3" s="155" t="s">
        <v>516</v>
      </c>
      <c r="AP3" s="155" t="s">
        <v>517</v>
      </c>
      <c r="AQ3" s="155" t="s">
        <v>518</v>
      </c>
      <c r="AR3" s="155" t="s">
        <v>519</v>
      </c>
      <c r="AS3" s="155" t="s">
        <v>520</v>
      </c>
    </row>
    <row r="4" spans="1:45">
      <c r="A4" s="156">
        <f t="array" ref="A4:A203">IF(D4:D203="","",IF(INDEX(E1:BZ203,ROW(D4:D203),$A$2)="","",D4:D203))</f>
        <v>42736</v>
      </c>
      <c r="B4" t="s">
        <v>70</v>
      </c>
      <c r="D4" s="150">
        <f>DATE($C$1,1,1)</f>
        <v>42736</v>
      </c>
      <c r="F4" s="97" t="s">
        <v>521</v>
      </c>
      <c r="G4" s="97" t="s">
        <v>521</v>
      </c>
      <c r="H4" s="97" t="s">
        <v>521</v>
      </c>
      <c r="I4" s="97" t="s">
        <v>521</v>
      </c>
      <c r="J4" s="97" t="s">
        <v>521</v>
      </c>
      <c r="K4" s="97" t="s">
        <v>521</v>
      </c>
      <c r="L4" s="97" t="s">
        <v>521</v>
      </c>
      <c r="M4" s="97" t="s">
        <v>521</v>
      </c>
      <c r="N4" s="97" t="s">
        <v>521</v>
      </c>
      <c r="O4" s="97" t="s">
        <v>521</v>
      </c>
      <c r="P4" s="97" t="s">
        <v>521</v>
      </c>
      <c r="Q4" s="97" t="s">
        <v>521</v>
      </c>
      <c r="R4" s="97" t="s">
        <v>521</v>
      </c>
      <c r="S4" s="97" t="s">
        <v>521</v>
      </c>
      <c r="T4" s="97" t="s">
        <v>521</v>
      </c>
      <c r="U4" s="97" t="s">
        <v>521</v>
      </c>
      <c r="V4" s="97" t="s">
        <v>521</v>
      </c>
      <c r="W4" s="97" t="s">
        <v>521</v>
      </c>
      <c r="X4" s="97" t="s">
        <v>521</v>
      </c>
      <c r="Y4" s="97" t="s">
        <v>521</v>
      </c>
      <c r="Z4" s="97" t="s">
        <v>521</v>
      </c>
      <c r="AA4" s="97" t="s">
        <v>521</v>
      </c>
      <c r="AB4" s="97" t="s">
        <v>521</v>
      </c>
      <c r="AC4" s="97" t="s">
        <v>521</v>
      </c>
      <c r="AD4" s="97" t="s">
        <v>521</v>
      </c>
      <c r="AE4" s="97" t="s">
        <v>521</v>
      </c>
      <c r="AF4" s="97" t="s">
        <v>521</v>
      </c>
      <c r="AG4" s="97" t="s">
        <v>521</v>
      </c>
      <c r="AI4" s="97" t="s">
        <v>521</v>
      </c>
      <c r="AJ4" s="97" t="s">
        <v>521</v>
      </c>
      <c r="AK4" s="97" t="s">
        <v>521</v>
      </c>
      <c r="AL4" s="97" t="s">
        <v>521</v>
      </c>
      <c r="AM4" s="97" t="s">
        <v>521</v>
      </c>
      <c r="AN4" s="97" t="s">
        <v>521</v>
      </c>
      <c r="AO4" s="97" t="s">
        <v>521</v>
      </c>
      <c r="AP4" s="97" t="s">
        <v>521</v>
      </c>
      <c r="AQ4" s="97" t="s">
        <v>521</v>
      </c>
      <c r="AR4" s="97" t="s">
        <v>521</v>
      </c>
      <c r="AS4" s="97" t="s">
        <v>521</v>
      </c>
    </row>
    <row r="5" spans="1:45">
      <c r="A5" s="156" t="str">
        <v/>
      </c>
      <c r="B5" t="s">
        <v>522</v>
      </c>
      <c r="D5" s="150">
        <f>D10-2</f>
        <v>42839</v>
      </c>
      <c r="G5" s="97" t="s">
        <v>521</v>
      </c>
      <c r="I5" s="97" t="s">
        <v>521</v>
      </c>
      <c r="J5" s="97" t="s">
        <v>521</v>
      </c>
      <c r="K5" s="97" t="s">
        <v>521</v>
      </c>
      <c r="L5" s="97" t="s">
        <v>521</v>
      </c>
      <c r="R5" s="97" t="s">
        <v>521</v>
      </c>
      <c r="S5" s="97" t="s">
        <v>521</v>
      </c>
      <c r="T5" s="97" t="s">
        <v>521</v>
      </c>
      <c r="U5" s="97" t="s">
        <v>521</v>
      </c>
      <c r="V5" s="97" t="s">
        <v>521</v>
      </c>
      <c r="W5" s="97" t="s">
        <v>521</v>
      </c>
      <c r="X5" s="97" t="s">
        <v>521</v>
      </c>
      <c r="Y5" s="97" t="s">
        <v>521</v>
      </c>
      <c r="Z5" s="97" t="s">
        <v>521</v>
      </c>
      <c r="AA5" s="97" t="s">
        <v>521</v>
      </c>
      <c r="AB5" s="97" t="s">
        <v>521</v>
      </c>
      <c r="AC5" s="97" t="s">
        <v>521</v>
      </c>
      <c r="AD5" s="97" t="s">
        <v>521</v>
      </c>
      <c r="AE5" s="97" t="s">
        <v>521</v>
      </c>
      <c r="AF5" s="97" t="s">
        <v>521</v>
      </c>
      <c r="AG5" s="97" t="s">
        <v>521</v>
      </c>
      <c r="AH5" s="97" t="s">
        <v>521</v>
      </c>
      <c r="AI5" s="97" t="s">
        <v>521</v>
      </c>
      <c r="AJ5" s="97" t="s">
        <v>521</v>
      </c>
      <c r="AK5" s="97" t="s">
        <v>521</v>
      </c>
      <c r="AL5" s="97" t="s">
        <v>521</v>
      </c>
      <c r="AM5" s="97" t="s">
        <v>521</v>
      </c>
      <c r="AO5" s="97" t="s">
        <v>521</v>
      </c>
      <c r="AP5" s="97" t="s">
        <v>521</v>
      </c>
      <c r="AR5" s="97" t="s">
        <v>521</v>
      </c>
      <c r="AS5" s="97" t="s">
        <v>521</v>
      </c>
    </row>
    <row r="6" spans="1:45">
      <c r="A6" s="156" t="str">
        <v/>
      </c>
      <c r="B6" t="s">
        <v>523</v>
      </c>
      <c r="D6" s="150" t="str">
        <f>IF(D7=D10,D7,"")</f>
        <v/>
      </c>
      <c r="F6" s="97" t="s">
        <v>521</v>
      </c>
      <c r="G6" s="97" t="s">
        <v>521</v>
      </c>
      <c r="P6" s="97" t="s">
        <v>521</v>
      </c>
      <c r="Q6" s="97" t="s">
        <v>521</v>
      </c>
      <c r="S6" s="97" t="s">
        <v>521</v>
      </c>
      <c r="T6" s="97" t="s">
        <v>521</v>
      </c>
      <c r="U6" s="97" t="s">
        <v>521</v>
      </c>
      <c r="V6" s="97" t="s">
        <v>521</v>
      </c>
      <c r="W6" s="97" t="s">
        <v>521</v>
      </c>
      <c r="X6" s="97" t="s">
        <v>521</v>
      </c>
      <c r="Y6" s="97" t="s">
        <v>521</v>
      </c>
      <c r="Z6" s="97" t="s">
        <v>521</v>
      </c>
      <c r="AA6" s="97" t="s">
        <v>521</v>
      </c>
      <c r="AB6" s="97" t="s">
        <v>521</v>
      </c>
      <c r="AC6" s="97" t="s">
        <v>521</v>
      </c>
      <c r="AD6" s="97" t="s">
        <v>521</v>
      </c>
      <c r="AE6" s="97" t="s">
        <v>521</v>
      </c>
      <c r="AF6" s="97" t="s">
        <v>521</v>
      </c>
      <c r="AG6" s="97" t="s">
        <v>521</v>
      </c>
      <c r="AH6" s="97" t="s">
        <v>521</v>
      </c>
      <c r="AI6" s="97" t="s">
        <v>521</v>
      </c>
      <c r="AJ6" s="97" t="s">
        <v>521</v>
      </c>
      <c r="AK6" s="97" t="s">
        <v>521</v>
      </c>
      <c r="AL6" s="97" t="s">
        <v>521</v>
      </c>
      <c r="AM6" s="97" t="s">
        <v>521</v>
      </c>
      <c r="AN6" s="97" t="s">
        <v>521</v>
      </c>
      <c r="AO6" s="97" t="s">
        <v>521</v>
      </c>
      <c r="AP6" s="97" t="s">
        <v>521</v>
      </c>
      <c r="AQ6" s="97" t="s">
        <v>521</v>
      </c>
      <c r="AR6" s="97" t="s">
        <v>521</v>
      </c>
      <c r="AS6" s="97" t="s">
        <v>521</v>
      </c>
    </row>
    <row r="7" spans="1:45">
      <c r="A7" s="156">
        <v>42820</v>
      </c>
      <c r="B7" t="s">
        <v>524</v>
      </c>
      <c r="D7" s="150">
        <f>DATE($C$1,4,1)-WEEKDAY(DATE($C$1,3,31))</f>
        <v>42820</v>
      </c>
      <c r="F7" s="97" t="s">
        <v>521</v>
      </c>
      <c r="G7" s="97" t="s">
        <v>521</v>
      </c>
      <c r="P7" s="97" t="s">
        <v>521</v>
      </c>
      <c r="Q7" s="97" t="s">
        <v>521</v>
      </c>
      <c r="S7" s="97" t="s">
        <v>521</v>
      </c>
      <c r="T7" s="97" t="s">
        <v>521</v>
      </c>
      <c r="U7" s="97" t="s">
        <v>521</v>
      </c>
      <c r="V7" s="97" t="s">
        <v>521</v>
      </c>
      <c r="W7" s="97" t="s">
        <v>521</v>
      </c>
      <c r="X7" s="97" t="s">
        <v>521</v>
      </c>
      <c r="Y7" s="97" t="s">
        <v>521</v>
      </c>
      <c r="Z7" s="97" t="s">
        <v>521</v>
      </c>
      <c r="AA7" s="97" t="s">
        <v>521</v>
      </c>
      <c r="AB7" s="97" t="s">
        <v>521</v>
      </c>
      <c r="AC7" s="97" t="s">
        <v>521</v>
      </c>
      <c r="AD7" s="97" t="s">
        <v>521</v>
      </c>
      <c r="AE7" s="97" t="s">
        <v>521</v>
      </c>
      <c r="AF7" s="97" t="s">
        <v>521</v>
      </c>
      <c r="AG7" s="97" t="s">
        <v>521</v>
      </c>
      <c r="AH7" s="97" t="s">
        <v>521</v>
      </c>
      <c r="AI7" s="97" t="s">
        <v>521</v>
      </c>
      <c r="AJ7" s="97" t="s">
        <v>521</v>
      </c>
      <c r="AK7" s="97" t="s">
        <v>521</v>
      </c>
      <c r="AL7" s="97" t="s">
        <v>521</v>
      </c>
      <c r="AM7" s="97" t="s">
        <v>521</v>
      </c>
      <c r="AN7" s="97" t="s">
        <v>521</v>
      </c>
      <c r="AO7" s="97" t="s">
        <v>521</v>
      </c>
      <c r="AP7" s="97" t="s">
        <v>521</v>
      </c>
      <c r="AQ7" s="97" t="s">
        <v>521</v>
      </c>
      <c r="AR7" s="97" t="s">
        <v>521</v>
      </c>
      <c r="AS7" s="97" t="s">
        <v>521</v>
      </c>
    </row>
    <row r="8" spans="1:45">
      <c r="A8" s="156" t="str">
        <v/>
      </c>
      <c r="B8" t="s">
        <v>523</v>
      </c>
      <c r="C8" t="s">
        <v>525</v>
      </c>
      <c r="D8" s="150" t="str">
        <f>IF(D9=D10,D9,"")</f>
        <v/>
      </c>
      <c r="O8" s="97" t="s">
        <v>521</v>
      </c>
      <c r="R8" s="97" t="s">
        <v>521</v>
      </c>
    </row>
    <row r="9" spans="1:45">
      <c r="A9" s="156" t="str">
        <v/>
      </c>
      <c r="B9" t="s">
        <v>524</v>
      </c>
      <c r="C9" t="s">
        <v>525</v>
      </c>
      <c r="D9" s="150">
        <f>DATE($C$1,3,15)-WEEKDAY(DATE($C$1,3,7))</f>
        <v>42806</v>
      </c>
      <c r="O9" s="97" t="s">
        <v>521</v>
      </c>
      <c r="R9" s="97" t="s">
        <v>521</v>
      </c>
    </row>
    <row r="10" spans="1:45">
      <c r="A10" s="156">
        <v>42841</v>
      </c>
      <c r="B10" t="s">
        <v>526</v>
      </c>
      <c r="D10" s="150">
        <f>C220</f>
        <v>42841</v>
      </c>
      <c r="F10" s="97" t="s">
        <v>521</v>
      </c>
      <c r="G10" s="97" t="s">
        <v>521</v>
      </c>
      <c r="H10" s="97" t="s">
        <v>521</v>
      </c>
      <c r="I10" s="97" t="s">
        <v>521</v>
      </c>
      <c r="J10" s="97" t="s">
        <v>521</v>
      </c>
      <c r="K10" s="97" t="s">
        <v>521</v>
      </c>
      <c r="L10" s="97" t="s">
        <v>521</v>
      </c>
      <c r="M10" s="97" t="s">
        <v>521</v>
      </c>
      <c r="N10" s="97" t="s">
        <v>521</v>
      </c>
      <c r="O10" s="97" t="s">
        <v>521</v>
      </c>
      <c r="P10" s="97" t="s">
        <v>521</v>
      </c>
      <c r="Q10" s="97" t="s">
        <v>521</v>
      </c>
      <c r="R10" s="97" t="s">
        <v>521</v>
      </c>
      <c r="S10" s="97" t="s">
        <v>521</v>
      </c>
      <c r="T10" s="97" t="s">
        <v>521</v>
      </c>
      <c r="U10" s="97" t="s">
        <v>521</v>
      </c>
      <c r="V10" s="97" t="s">
        <v>521</v>
      </c>
      <c r="W10" s="97" t="s">
        <v>521</v>
      </c>
      <c r="X10" s="97" t="s">
        <v>521</v>
      </c>
      <c r="Y10" s="97" t="s">
        <v>521</v>
      </c>
      <c r="Z10" s="97" t="s">
        <v>521</v>
      </c>
      <c r="AA10" s="97" t="s">
        <v>521</v>
      </c>
      <c r="AB10" s="97" t="s">
        <v>521</v>
      </c>
      <c r="AC10" s="97" t="s">
        <v>521</v>
      </c>
      <c r="AD10" s="97" t="s">
        <v>521</v>
      </c>
      <c r="AE10" s="97" t="s">
        <v>521</v>
      </c>
      <c r="AF10" s="97" t="s">
        <v>521</v>
      </c>
      <c r="AG10" s="97" t="s">
        <v>521</v>
      </c>
      <c r="AH10" s="97" t="s">
        <v>521</v>
      </c>
      <c r="AI10" s="97" t="s">
        <v>521</v>
      </c>
      <c r="AJ10" s="97" t="s">
        <v>521</v>
      </c>
      <c r="AK10" s="97" t="s">
        <v>521</v>
      </c>
      <c r="AL10" s="97" t="s">
        <v>521</v>
      </c>
      <c r="AM10" s="97" t="s">
        <v>521</v>
      </c>
      <c r="AN10" s="97" t="s">
        <v>521</v>
      </c>
      <c r="AO10" s="97" t="s">
        <v>521</v>
      </c>
      <c r="AP10" s="97" t="s">
        <v>521</v>
      </c>
      <c r="AQ10" s="97" t="s">
        <v>521</v>
      </c>
      <c r="AR10" s="97" t="s">
        <v>521</v>
      </c>
      <c r="AS10" s="97" t="s">
        <v>521</v>
      </c>
    </row>
    <row r="11" spans="1:45">
      <c r="A11" s="156">
        <v>42842</v>
      </c>
      <c r="B11" s="157" t="s">
        <v>527</v>
      </c>
      <c r="C11" t="s">
        <v>528</v>
      </c>
      <c r="D11" s="150">
        <f>D10+1</f>
        <v>42842</v>
      </c>
      <c r="F11" s="97" t="s">
        <v>521</v>
      </c>
      <c r="G11" s="97" t="s">
        <v>521</v>
      </c>
      <c r="H11" s="97" t="s">
        <v>521</v>
      </c>
      <c r="I11" s="97" t="s">
        <v>521</v>
      </c>
      <c r="J11" s="97" t="s">
        <v>521</v>
      </c>
      <c r="K11" s="97" t="s">
        <v>521</v>
      </c>
      <c r="L11" s="97" t="s">
        <v>521</v>
      </c>
      <c r="M11" s="97" t="s">
        <v>521</v>
      </c>
      <c r="N11" s="97" t="s">
        <v>521</v>
      </c>
      <c r="O11" s="97" t="s">
        <v>521</v>
      </c>
      <c r="P11" s="97" t="s">
        <v>521</v>
      </c>
      <c r="Q11" s="97" t="s">
        <v>521</v>
      </c>
      <c r="R11" s="97" t="s">
        <v>521</v>
      </c>
      <c r="T11" s="97" t="s">
        <v>521</v>
      </c>
      <c r="U11" s="97" t="s">
        <v>521</v>
      </c>
      <c r="V11" s="97" t="s">
        <v>521</v>
      </c>
      <c r="W11" s="97" t="s">
        <v>521</v>
      </c>
      <c r="X11" s="97" t="s">
        <v>521</v>
      </c>
      <c r="Y11" s="97" t="s">
        <v>521</v>
      </c>
      <c r="AA11" s="97" t="s">
        <v>521</v>
      </c>
      <c r="AB11" s="97" t="s">
        <v>521</v>
      </c>
      <c r="AC11" s="97" t="s">
        <v>521</v>
      </c>
      <c r="AD11" s="97" t="s">
        <v>521</v>
      </c>
      <c r="AI11" s="97" t="s">
        <v>521</v>
      </c>
      <c r="AJ11" s="97" t="s">
        <v>521</v>
      </c>
      <c r="AM11" s="97" t="s">
        <v>521</v>
      </c>
      <c r="AN11" s="97" t="s">
        <v>521</v>
      </c>
      <c r="AP11" s="97" t="s">
        <v>521</v>
      </c>
      <c r="AS11" s="97" t="s">
        <v>521</v>
      </c>
    </row>
    <row r="12" spans="1:45">
      <c r="A12" s="156">
        <v>42880</v>
      </c>
      <c r="B12" t="s">
        <v>529</v>
      </c>
      <c r="D12" s="150">
        <f>D13-10</f>
        <v>42880</v>
      </c>
      <c r="F12" s="97" t="s">
        <v>521</v>
      </c>
      <c r="G12" s="97" t="s">
        <v>521</v>
      </c>
      <c r="H12" s="97" t="s">
        <v>521</v>
      </c>
      <c r="I12" s="97" t="s">
        <v>521</v>
      </c>
      <c r="J12" s="97" t="s">
        <v>521</v>
      </c>
      <c r="K12" s="97" t="s">
        <v>521</v>
      </c>
      <c r="L12" s="97" t="s">
        <v>521</v>
      </c>
      <c r="M12" s="97" t="s">
        <v>521</v>
      </c>
      <c r="N12" s="97" t="s">
        <v>521</v>
      </c>
      <c r="O12" s="97" t="s">
        <v>521</v>
      </c>
      <c r="P12" s="97" t="s">
        <v>521</v>
      </c>
      <c r="Q12" s="97" t="s">
        <v>521</v>
      </c>
      <c r="S12" s="97" t="s">
        <v>521</v>
      </c>
      <c r="T12" s="97" t="s">
        <v>521</v>
      </c>
      <c r="U12" s="97" t="s">
        <v>521</v>
      </c>
      <c r="V12" s="97" t="s">
        <v>521</v>
      </c>
      <c r="W12" s="97" t="s">
        <v>521</v>
      </c>
      <c r="X12" s="97" t="s">
        <v>521</v>
      </c>
      <c r="Y12" s="97" t="s">
        <v>521</v>
      </c>
      <c r="Z12" s="97" t="s">
        <v>521</v>
      </c>
      <c r="AA12" s="97" t="s">
        <v>521</v>
      </c>
      <c r="AB12" s="97" t="s">
        <v>521</v>
      </c>
      <c r="AC12" s="97" t="s">
        <v>521</v>
      </c>
      <c r="AD12" s="97" t="s">
        <v>521</v>
      </c>
      <c r="AE12" s="97" t="s">
        <v>521</v>
      </c>
      <c r="AF12" s="97" t="s">
        <v>521</v>
      </c>
      <c r="AG12" s="97" t="s">
        <v>521</v>
      </c>
      <c r="AH12" s="97" t="s">
        <v>521</v>
      </c>
      <c r="AI12" s="97" t="s">
        <v>521</v>
      </c>
      <c r="AJ12" s="97" t="s">
        <v>521</v>
      </c>
      <c r="AK12" s="97" t="s">
        <v>521</v>
      </c>
      <c r="AL12" s="97" t="s">
        <v>521</v>
      </c>
      <c r="AM12" s="97" t="s">
        <v>521</v>
      </c>
      <c r="AN12" s="97" t="s">
        <v>521</v>
      </c>
      <c r="AO12" s="97" t="s">
        <v>521</v>
      </c>
      <c r="AP12" s="97" t="s">
        <v>521</v>
      </c>
      <c r="AQ12" s="97" t="s">
        <v>521</v>
      </c>
      <c r="AR12" s="97" t="s">
        <v>521</v>
      </c>
      <c r="AS12" s="97" t="s">
        <v>521</v>
      </c>
    </row>
    <row r="13" spans="1:45">
      <c r="A13" s="156">
        <v>42890</v>
      </c>
      <c r="B13" t="s">
        <v>530</v>
      </c>
      <c r="D13" s="150">
        <f>D10+49</f>
        <v>42890</v>
      </c>
      <c r="F13" s="97" t="s">
        <v>521</v>
      </c>
      <c r="G13" s="97" t="s">
        <v>521</v>
      </c>
      <c r="H13" s="97" t="s">
        <v>521</v>
      </c>
      <c r="I13" s="97" t="s">
        <v>521</v>
      </c>
      <c r="J13" s="97" t="s">
        <v>521</v>
      </c>
      <c r="K13" s="97" t="s">
        <v>521</v>
      </c>
      <c r="L13" s="97" t="s">
        <v>521</v>
      </c>
      <c r="M13" s="97" t="s">
        <v>521</v>
      </c>
      <c r="N13" s="97" t="s">
        <v>521</v>
      </c>
      <c r="O13" s="97" t="s">
        <v>521</v>
      </c>
      <c r="P13" s="97" t="s">
        <v>521</v>
      </c>
      <c r="Q13" s="97" t="s">
        <v>521</v>
      </c>
      <c r="S13" s="97" t="s">
        <v>521</v>
      </c>
      <c r="T13" s="97" t="s">
        <v>521</v>
      </c>
      <c r="U13" s="97" t="s">
        <v>521</v>
      </c>
      <c r="V13" s="97" t="s">
        <v>521</v>
      </c>
      <c r="W13" s="97" t="s">
        <v>521</v>
      </c>
      <c r="X13" s="97" t="s">
        <v>521</v>
      </c>
      <c r="Y13" s="97" t="s">
        <v>521</v>
      </c>
      <c r="Z13" s="97" t="s">
        <v>521</v>
      </c>
      <c r="AA13" s="97" t="s">
        <v>521</v>
      </c>
      <c r="AB13" s="97" t="s">
        <v>521</v>
      </c>
      <c r="AC13" s="97" t="s">
        <v>521</v>
      </c>
      <c r="AD13" s="97" t="s">
        <v>521</v>
      </c>
      <c r="AE13" s="97" t="s">
        <v>521</v>
      </c>
      <c r="AF13" s="97" t="s">
        <v>521</v>
      </c>
      <c r="AG13" s="97" t="s">
        <v>521</v>
      </c>
      <c r="AH13" s="97" t="s">
        <v>521</v>
      </c>
      <c r="AI13" s="97" t="s">
        <v>521</v>
      </c>
      <c r="AJ13" s="97" t="s">
        <v>521</v>
      </c>
      <c r="AK13" s="97" t="s">
        <v>521</v>
      </c>
      <c r="AL13" s="97" t="s">
        <v>521</v>
      </c>
      <c r="AM13" s="97" t="s">
        <v>521</v>
      </c>
      <c r="AN13" s="97" t="s">
        <v>521</v>
      </c>
      <c r="AO13" s="97" t="s">
        <v>521</v>
      </c>
      <c r="AP13" s="97" t="s">
        <v>521</v>
      </c>
      <c r="AQ13" s="97" t="s">
        <v>521</v>
      </c>
      <c r="AR13" s="97" t="s">
        <v>521</v>
      </c>
      <c r="AS13" s="97" t="s">
        <v>521</v>
      </c>
    </row>
    <row r="14" spans="1:45">
      <c r="A14" s="156">
        <v>42891</v>
      </c>
      <c r="B14" s="157" t="s">
        <v>527</v>
      </c>
      <c r="C14" t="s">
        <v>531</v>
      </c>
      <c r="D14" s="150">
        <f>D13+1</f>
        <v>42891</v>
      </c>
      <c r="F14" s="97" t="s">
        <v>521</v>
      </c>
      <c r="G14" s="97" t="s">
        <v>521</v>
      </c>
      <c r="H14" s="97" t="s">
        <v>521</v>
      </c>
      <c r="I14" s="97" t="s">
        <v>521</v>
      </c>
      <c r="J14" s="97" t="s">
        <v>521</v>
      </c>
      <c r="K14" s="97" t="s">
        <v>521</v>
      </c>
      <c r="L14" s="97" t="s">
        <v>521</v>
      </c>
      <c r="M14" s="97" t="s">
        <v>521</v>
      </c>
      <c r="N14" s="97" t="s">
        <v>521</v>
      </c>
      <c r="O14" s="97" t="s">
        <v>521</v>
      </c>
      <c r="P14" s="97" t="s">
        <v>521</v>
      </c>
      <c r="Q14" s="97" t="s">
        <v>521</v>
      </c>
      <c r="S14" s="97" t="s">
        <v>521</v>
      </c>
      <c r="T14" s="97" t="s">
        <v>521</v>
      </c>
      <c r="U14" s="97" t="s">
        <v>521</v>
      </c>
      <c r="V14" s="97" t="s">
        <v>521</v>
      </c>
      <c r="W14" s="97" t="s">
        <v>521</v>
      </c>
      <c r="X14" s="97" t="s">
        <v>521</v>
      </c>
      <c r="Y14" s="97" t="s">
        <v>521</v>
      </c>
      <c r="AA14" s="97" t="s">
        <v>521</v>
      </c>
      <c r="AC14" s="97" t="s">
        <v>521</v>
      </c>
      <c r="AD14" s="97" t="s">
        <v>521</v>
      </c>
      <c r="AI14" s="97" t="s">
        <v>521</v>
      </c>
      <c r="AJ14" s="97" t="s">
        <v>521</v>
      </c>
      <c r="AM14" s="97" t="s">
        <v>521</v>
      </c>
      <c r="AS14" s="97" t="s">
        <v>521</v>
      </c>
    </row>
    <row r="15" spans="1:45">
      <c r="A15" s="156">
        <v>42856</v>
      </c>
      <c r="B15" t="s">
        <v>532</v>
      </c>
      <c r="D15" s="150">
        <f>DATE($C$1,5,1)</f>
        <v>42856</v>
      </c>
      <c r="F15" s="97" t="s">
        <v>521</v>
      </c>
      <c r="G15" s="97" t="s">
        <v>521</v>
      </c>
      <c r="H15" s="97" t="s">
        <v>521</v>
      </c>
      <c r="I15" s="97" t="s">
        <v>521</v>
      </c>
      <c r="J15" s="97" t="s">
        <v>521</v>
      </c>
      <c r="K15" s="97" t="s">
        <v>521</v>
      </c>
      <c r="L15" s="97" t="s">
        <v>521</v>
      </c>
      <c r="M15" s="97" t="s">
        <v>521</v>
      </c>
      <c r="N15" s="97" t="s">
        <v>521</v>
      </c>
      <c r="O15" s="97" t="s">
        <v>521</v>
      </c>
      <c r="P15" s="97" t="s">
        <v>521</v>
      </c>
      <c r="Q15" s="97" t="s">
        <v>521</v>
      </c>
      <c r="X15" s="97" t="s">
        <v>521</v>
      </c>
      <c r="Y15" s="97" t="s">
        <v>521</v>
      </c>
      <c r="AD15" s="97" t="s">
        <v>521</v>
      </c>
      <c r="AK15" s="97" t="s">
        <v>521</v>
      </c>
      <c r="AS15" s="97" t="s">
        <v>521</v>
      </c>
    </row>
    <row r="16" spans="1:45">
      <c r="A16" s="156">
        <v>42863</v>
      </c>
      <c r="B16" t="s">
        <v>533</v>
      </c>
      <c r="D16" s="150">
        <f>DATE($C$1,5,8)</f>
        <v>42863</v>
      </c>
      <c r="F16" s="97" t="s">
        <v>521</v>
      </c>
      <c r="G16" s="97" t="s">
        <v>521</v>
      </c>
      <c r="H16" s="97" t="s">
        <v>521</v>
      </c>
      <c r="I16" s="97" t="s">
        <v>521</v>
      </c>
      <c r="J16" s="97" t="s">
        <v>521</v>
      </c>
      <c r="K16" s="97" t="s">
        <v>521</v>
      </c>
      <c r="L16" s="97" t="s">
        <v>521</v>
      </c>
      <c r="M16" s="97" t="s">
        <v>521</v>
      </c>
      <c r="N16" s="97" t="s">
        <v>521</v>
      </c>
      <c r="O16" s="97" t="s">
        <v>521</v>
      </c>
    </row>
    <row r="17" spans="1:45">
      <c r="A17" s="156">
        <v>42930</v>
      </c>
      <c r="B17" t="s">
        <v>534</v>
      </c>
      <c r="C17" t="s">
        <v>481</v>
      </c>
      <c r="D17" s="150">
        <f>DATE($C$1,7,14)</f>
        <v>42930</v>
      </c>
      <c r="F17" s="97" t="s">
        <v>521</v>
      </c>
      <c r="G17" s="97" t="s">
        <v>521</v>
      </c>
      <c r="H17" s="97" t="s">
        <v>521</v>
      </c>
      <c r="I17" s="97" t="s">
        <v>521</v>
      </c>
      <c r="J17" s="97" t="s">
        <v>521</v>
      </c>
      <c r="K17" s="97" t="s">
        <v>521</v>
      </c>
      <c r="L17" s="97" t="s">
        <v>521</v>
      </c>
      <c r="M17" s="97" t="s">
        <v>521</v>
      </c>
      <c r="N17" s="97" t="s">
        <v>521</v>
      </c>
      <c r="O17" s="97" t="s">
        <v>521</v>
      </c>
    </row>
    <row r="18" spans="1:45">
      <c r="A18" s="156">
        <v>42962</v>
      </c>
      <c r="B18" t="s">
        <v>294</v>
      </c>
      <c r="D18" s="150">
        <f>DATE($C$1,8,15)</f>
        <v>42962</v>
      </c>
      <c r="F18" s="97" t="s">
        <v>521</v>
      </c>
      <c r="G18" s="97" t="s">
        <v>521</v>
      </c>
      <c r="H18" s="97" t="s">
        <v>521</v>
      </c>
      <c r="I18" s="97" t="s">
        <v>521</v>
      </c>
      <c r="J18" s="97" t="s">
        <v>521</v>
      </c>
      <c r="K18" s="97" t="s">
        <v>521</v>
      </c>
      <c r="L18" s="97" t="s">
        <v>521</v>
      </c>
      <c r="M18" s="97" t="s">
        <v>521</v>
      </c>
      <c r="N18" s="97" t="s">
        <v>521</v>
      </c>
      <c r="O18" s="97" t="s">
        <v>521</v>
      </c>
      <c r="P18" s="97" t="s">
        <v>521</v>
      </c>
      <c r="Q18" s="97" t="s">
        <v>521</v>
      </c>
      <c r="T18" s="97" t="s">
        <v>521</v>
      </c>
      <c r="Z18" s="97" t="s">
        <v>521</v>
      </c>
      <c r="AE18" s="97" t="s">
        <v>521</v>
      </c>
      <c r="AG18" s="97" t="s">
        <v>521</v>
      </c>
      <c r="AH18" s="97" t="s">
        <v>521</v>
      </c>
      <c r="AK18" s="97" t="s">
        <v>521</v>
      </c>
      <c r="AL18" s="97" t="s">
        <v>521</v>
      </c>
      <c r="AN18" s="97" t="s">
        <v>521</v>
      </c>
      <c r="AO18" s="97" t="s">
        <v>521</v>
      </c>
      <c r="AQ18" s="97" t="s">
        <v>521</v>
      </c>
      <c r="AR18" s="97" t="s">
        <v>521</v>
      </c>
    </row>
    <row r="19" spans="1:45">
      <c r="A19" s="156">
        <v>43037</v>
      </c>
      <c r="B19" t="s">
        <v>535</v>
      </c>
      <c r="D19" s="150">
        <f>DATE($C$1,11,1)-WEEKDAY(DATE($C$1,10,31))</f>
        <v>43037</v>
      </c>
      <c r="F19" s="97" t="s">
        <v>521</v>
      </c>
      <c r="G19" s="97" t="s">
        <v>521</v>
      </c>
      <c r="P19" s="97" t="s">
        <v>521</v>
      </c>
      <c r="Q19" s="97" t="s">
        <v>521</v>
      </c>
      <c r="S19" s="97" t="s">
        <v>521</v>
      </c>
      <c r="T19" s="97" t="s">
        <v>521</v>
      </c>
      <c r="U19" s="97" t="s">
        <v>521</v>
      </c>
      <c r="V19" s="97" t="s">
        <v>521</v>
      </c>
      <c r="W19" s="97" t="s">
        <v>521</v>
      </c>
      <c r="X19" s="97" t="s">
        <v>521</v>
      </c>
      <c r="Y19" s="97" t="s">
        <v>521</v>
      </c>
      <c r="Z19" s="97" t="s">
        <v>521</v>
      </c>
      <c r="AA19" s="97" t="s">
        <v>521</v>
      </c>
      <c r="AB19" s="97" t="s">
        <v>521</v>
      </c>
      <c r="AC19" s="97" t="s">
        <v>521</v>
      </c>
      <c r="AD19" s="97" t="s">
        <v>521</v>
      </c>
      <c r="AE19" s="97" t="s">
        <v>521</v>
      </c>
      <c r="AF19" s="97" t="s">
        <v>521</v>
      </c>
      <c r="AG19" s="97" t="s">
        <v>521</v>
      </c>
      <c r="AH19" s="97" t="s">
        <v>521</v>
      </c>
      <c r="AI19" s="97" t="s">
        <v>521</v>
      </c>
      <c r="AJ19" s="97" t="s">
        <v>521</v>
      </c>
      <c r="AK19" s="97" t="s">
        <v>521</v>
      </c>
      <c r="AL19" s="97" t="s">
        <v>521</v>
      </c>
      <c r="AM19" s="97" t="s">
        <v>521</v>
      </c>
      <c r="AN19" s="97" t="s">
        <v>521</v>
      </c>
      <c r="AO19" s="97" t="s">
        <v>521</v>
      </c>
      <c r="AP19" s="97" t="s">
        <v>521</v>
      </c>
      <c r="AQ19" s="97" t="s">
        <v>521</v>
      </c>
      <c r="AR19" s="97" t="s">
        <v>521</v>
      </c>
      <c r="AS19" s="97" t="s">
        <v>521</v>
      </c>
    </row>
    <row r="20" spans="1:45">
      <c r="A20" s="156">
        <v>43040</v>
      </c>
      <c r="B20" t="s">
        <v>21</v>
      </c>
      <c r="D20" s="150">
        <f>DATE($C$1,11,1)</f>
        <v>43040</v>
      </c>
      <c r="F20" s="97" t="s">
        <v>521</v>
      </c>
      <c r="G20" s="97" t="s">
        <v>521</v>
      </c>
      <c r="H20" s="97" t="s">
        <v>521</v>
      </c>
      <c r="I20" s="97" t="s">
        <v>521</v>
      </c>
      <c r="J20" s="97" t="s">
        <v>521</v>
      </c>
      <c r="K20" s="97" t="s">
        <v>521</v>
      </c>
      <c r="L20" s="97" t="s">
        <v>521</v>
      </c>
      <c r="M20" s="97" t="s">
        <v>521</v>
      </c>
      <c r="N20" s="97" t="s">
        <v>521</v>
      </c>
      <c r="O20" s="97" t="s">
        <v>521</v>
      </c>
      <c r="P20" s="97" t="s">
        <v>521</v>
      </c>
      <c r="Q20" s="97" t="s">
        <v>521</v>
      </c>
      <c r="T20" s="97" t="s">
        <v>521</v>
      </c>
      <c r="Z20" s="97" t="s">
        <v>521</v>
      </c>
      <c r="AB20" s="97" t="s">
        <v>521</v>
      </c>
      <c r="AE20" s="97" t="s">
        <v>521</v>
      </c>
      <c r="AG20" s="97" t="s">
        <v>521</v>
      </c>
      <c r="AH20" s="97" t="s">
        <v>521</v>
      </c>
      <c r="AI20" s="97" t="s">
        <v>521</v>
      </c>
      <c r="AK20" s="97" t="s">
        <v>521</v>
      </c>
      <c r="AL20" s="97" t="s">
        <v>521</v>
      </c>
      <c r="AN20" s="97" t="s">
        <v>521</v>
      </c>
      <c r="AO20" s="97" t="s">
        <v>521</v>
      </c>
      <c r="AQ20" s="97" t="s">
        <v>521</v>
      </c>
      <c r="AR20" s="97" t="s">
        <v>521</v>
      </c>
    </row>
    <row r="21" spans="1:45">
      <c r="A21" s="156">
        <v>43050</v>
      </c>
      <c r="B21" t="s">
        <v>380</v>
      </c>
      <c r="D21" s="150">
        <f>DATE($C$1,11,11)</f>
        <v>43050</v>
      </c>
      <c r="F21" s="97" t="s">
        <v>521</v>
      </c>
      <c r="G21" s="97" t="s">
        <v>521</v>
      </c>
      <c r="H21" s="97" t="s">
        <v>521</v>
      </c>
      <c r="I21" s="97" t="s">
        <v>521</v>
      </c>
      <c r="J21" s="97" t="s">
        <v>521</v>
      </c>
      <c r="K21" s="97" t="s">
        <v>521</v>
      </c>
      <c r="L21" s="97" t="s">
        <v>521</v>
      </c>
      <c r="M21" s="97" t="s">
        <v>521</v>
      </c>
      <c r="N21" s="97" t="s">
        <v>521</v>
      </c>
      <c r="O21" s="97" t="s">
        <v>521</v>
      </c>
      <c r="P21" s="97" t="s">
        <v>521</v>
      </c>
    </row>
    <row r="22" spans="1:45">
      <c r="A22" s="156">
        <v>43094</v>
      </c>
      <c r="B22" t="s">
        <v>13</v>
      </c>
      <c r="D22" s="150">
        <f>DATE($C$1,12,25)</f>
        <v>43094</v>
      </c>
      <c r="F22" s="97" t="s">
        <v>521</v>
      </c>
      <c r="G22" s="97" t="s">
        <v>521</v>
      </c>
      <c r="H22" s="97" t="s">
        <v>521</v>
      </c>
      <c r="I22" s="97" t="s">
        <v>521</v>
      </c>
      <c r="J22" s="97" t="s">
        <v>521</v>
      </c>
      <c r="K22" s="97" t="s">
        <v>521</v>
      </c>
      <c r="L22" s="97" t="s">
        <v>521</v>
      </c>
      <c r="M22" s="97" t="s">
        <v>521</v>
      </c>
      <c r="N22" s="97" t="s">
        <v>521</v>
      </c>
      <c r="O22" s="97" t="s">
        <v>521</v>
      </c>
      <c r="P22" s="97" t="s">
        <v>521</v>
      </c>
      <c r="Q22" s="97" t="s">
        <v>521</v>
      </c>
      <c r="R22" s="97" t="s">
        <v>521</v>
      </c>
      <c r="S22" s="97" t="s">
        <v>521</v>
      </c>
      <c r="T22" s="97" t="s">
        <v>521</v>
      </c>
      <c r="U22" s="97" t="s">
        <v>521</v>
      </c>
      <c r="V22" s="97" t="s">
        <v>521</v>
      </c>
      <c r="W22" s="97" t="s">
        <v>521</v>
      </c>
      <c r="X22" s="97" t="s">
        <v>521</v>
      </c>
      <c r="Y22" s="97" t="s">
        <v>521</v>
      </c>
      <c r="Z22" s="97" t="s">
        <v>521</v>
      </c>
      <c r="AA22" s="97" t="s">
        <v>521</v>
      </c>
      <c r="AB22" s="97" t="s">
        <v>521</v>
      </c>
      <c r="AC22" s="97" t="s">
        <v>521</v>
      </c>
      <c r="AD22" s="97" t="s">
        <v>521</v>
      </c>
      <c r="AE22" s="97" t="s">
        <v>521</v>
      </c>
      <c r="AF22" s="97" t="s">
        <v>521</v>
      </c>
      <c r="AG22" s="97" t="s">
        <v>521</v>
      </c>
      <c r="AH22" s="97" t="s">
        <v>521</v>
      </c>
      <c r="AI22" s="97" t="s">
        <v>521</v>
      </c>
      <c r="AJ22" s="97" t="s">
        <v>521</v>
      </c>
      <c r="AK22" s="97" t="s">
        <v>521</v>
      </c>
      <c r="AL22" s="97" t="s">
        <v>521</v>
      </c>
      <c r="AM22" s="97" t="s">
        <v>521</v>
      </c>
      <c r="AN22" s="97" t="s">
        <v>521</v>
      </c>
      <c r="AO22" s="97" t="s">
        <v>521</v>
      </c>
      <c r="AP22" s="97" t="s">
        <v>521</v>
      </c>
      <c r="AQ22" s="97" t="s">
        <v>521</v>
      </c>
      <c r="AR22" s="97" t="s">
        <v>521</v>
      </c>
      <c r="AS22" s="97" t="s">
        <v>521</v>
      </c>
    </row>
    <row r="23" spans="1:45">
      <c r="A23" s="156" t="str">
        <v/>
      </c>
      <c r="B23" t="s">
        <v>536</v>
      </c>
      <c r="D23" s="150">
        <f>D22+1</f>
        <v>43095</v>
      </c>
      <c r="G23" s="97" t="s">
        <v>521</v>
      </c>
      <c r="Q23" s="97" t="s">
        <v>521</v>
      </c>
      <c r="T23" s="97" t="s">
        <v>521</v>
      </c>
      <c r="U23" s="97" t="s">
        <v>521</v>
      </c>
      <c r="V23" s="97" t="s">
        <v>521</v>
      </c>
      <c r="W23" s="97" t="s">
        <v>521</v>
      </c>
      <c r="X23" s="97" t="s">
        <v>521</v>
      </c>
      <c r="Y23" s="97" t="s">
        <v>521</v>
      </c>
      <c r="AB23" s="97" t="s">
        <v>521</v>
      </c>
      <c r="AC23" s="97" t="s">
        <v>521</v>
      </c>
      <c r="AE23" s="97" t="s">
        <v>521</v>
      </c>
      <c r="AF23" s="97" t="s">
        <v>521</v>
      </c>
      <c r="AI23" s="97" t="s">
        <v>521</v>
      </c>
      <c r="AJ23" s="97" t="s">
        <v>521</v>
      </c>
      <c r="AM23" s="97" t="s">
        <v>521</v>
      </c>
      <c r="AN23" s="97" t="s">
        <v>521</v>
      </c>
      <c r="AS23" s="97" t="s">
        <v>521</v>
      </c>
    </row>
    <row r="24" spans="1:45">
      <c r="A24" s="156" t="str">
        <v/>
      </c>
      <c r="B24" t="s">
        <v>537</v>
      </c>
      <c r="C24" t="s">
        <v>483</v>
      </c>
      <c r="D24" s="150">
        <f>DATE($C$1,12,20)</f>
        <v>43089</v>
      </c>
      <c r="H24" s="97" t="s">
        <v>521</v>
      </c>
    </row>
    <row r="25" spans="1:45">
      <c r="A25" s="156" t="str">
        <v/>
      </c>
      <c r="B25" t="s">
        <v>534</v>
      </c>
      <c r="C25" t="s">
        <v>491</v>
      </c>
      <c r="D25" s="150">
        <f>DATE($C$1,7,21)</f>
        <v>42937</v>
      </c>
      <c r="P25" s="97" t="s">
        <v>521</v>
      </c>
    </row>
    <row r="26" spans="1:45">
      <c r="A26" s="156" t="str">
        <v/>
      </c>
      <c r="B26" t="s">
        <v>534</v>
      </c>
      <c r="C26" t="s">
        <v>492</v>
      </c>
      <c r="D26" s="150">
        <f>DATE($C$1,6,23)</f>
        <v>42909</v>
      </c>
      <c r="Q26" s="97" t="s">
        <v>521</v>
      </c>
    </row>
    <row r="27" spans="1:45">
      <c r="A27" s="156" t="str">
        <v/>
      </c>
      <c r="B27" t="s">
        <v>534</v>
      </c>
      <c r="C27" t="s">
        <v>493</v>
      </c>
      <c r="D27" s="150">
        <f>DATE($C$1,6,24)</f>
        <v>42910</v>
      </c>
      <c r="R27" s="97" t="s">
        <v>521</v>
      </c>
    </row>
    <row r="28" spans="1:45">
      <c r="A28" s="156" t="str">
        <v/>
      </c>
      <c r="B28" t="s">
        <v>532</v>
      </c>
      <c r="C28" t="s">
        <v>525</v>
      </c>
      <c r="D28" s="150">
        <f>DATE($C$1,9,8)-WEEKDAY(DATE($C$1,9,6))</f>
        <v>42982</v>
      </c>
      <c r="R28" s="97" t="s">
        <v>521</v>
      </c>
    </row>
    <row r="29" spans="1:45">
      <c r="A29" s="156">
        <v>42883</v>
      </c>
      <c r="B29" t="s">
        <v>538</v>
      </c>
      <c r="D29" s="150">
        <f>DATE($C$1,6,1)-WEEKDAY(DATE($C$1,5,31))</f>
        <v>42883</v>
      </c>
      <c r="F29" s="97" t="s">
        <v>521</v>
      </c>
      <c r="G29" s="97" t="s">
        <v>521</v>
      </c>
      <c r="H29" s="97" t="s">
        <v>521</v>
      </c>
      <c r="I29" s="97" t="s">
        <v>521</v>
      </c>
      <c r="J29" s="97" t="s">
        <v>521</v>
      </c>
      <c r="K29" s="97" t="s">
        <v>521</v>
      </c>
      <c r="L29" s="97" t="s">
        <v>521</v>
      </c>
      <c r="M29" s="97" t="s">
        <v>521</v>
      </c>
      <c r="N29" s="97" t="s">
        <v>521</v>
      </c>
      <c r="O29" s="97" t="s">
        <v>521</v>
      </c>
    </row>
    <row r="30" spans="1:45">
      <c r="A30" s="156" t="str">
        <v/>
      </c>
      <c r="B30" t="s">
        <v>538</v>
      </c>
      <c r="D30" s="150" t="str">
        <f>IF(D29=D13,D29+7,"")</f>
        <v/>
      </c>
      <c r="F30" s="97" t="s">
        <v>521</v>
      </c>
      <c r="G30" s="97" t="s">
        <v>521</v>
      </c>
      <c r="H30" s="97" t="s">
        <v>521</v>
      </c>
      <c r="I30" s="97" t="s">
        <v>521</v>
      </c>
      <c r="J30" s="97" t="s">
        <v>521</v>
      </c>
      <c r="K30" s="97" t="s">
        <v>521</v>
      </c>
      <c r="L30" s="97" t="s">
        <v>521</v>
      </c>
      <c r="M30" s="97" t="s">
        <v>521</v>
      </c>
      <c r="N30" s="97" t="s">
        <v>521</v>
      </c>
      <c r="O30" s="97" t="s">
        <v>521</v>
      </c>
    </row>
    <row r="31" spans="1:45">
      <c r="A31" s="156" t="str">
        <v/>
      </c>
      <c r="B31" t="s">
        <v>539</v>
      </c>
      <c r="D31" s="150">
        <f>DATE($C$1,6,22)-WEEKDAY(DATE($C$1,6,7))</f>
        <v>42904</v>
      </c>
    </row>
    <row r="32" spans="1:45">
      <c r="A32" s="156" t="str">
        <v/>
      </c>
      <c r="B32" t="s">
        <v>540</v>
      </c>
      <c r="D32" s="150">
        <f>DATE($C$1,3,8)-WEEKDAY(DATE($C$1,3,7))</f>
        <v>42799</v>
      </c>
    </row>
    <row r="33" spans="1:44">
      <c r="A33" s="156" t="str">
        <v/>
      </c>
      <c r="B33" t="s">
        <v>541</v>
      </c>
      <c r="C33" t="s">
        <v>542</v>
      </c>
      <c r="D33" s="150">
        <f>DATE($C$1,1,9)-WEEKDAY(DATE($C$1,1,8))</f>
        <v>42743</v>
      </c>
    </row>
    <row r="34" spans="1:44">
      <c r="A34" s="156" t="str">
        <v/>
      </c>
      <c r="B34" t="s">
        <v>541</v>
      </c>
      <c r="C34" t="s">
        <v>543</v>
      </c>
      <c r="D34" s="150">
        <f>DATE($C$1,1,6)</f>
        <v>42741</v>
      </c>
      <c r="AN34" s="97" t="s">
        <v>521</v>
      </c>
    </row>
    <row r="35" spans="1:44">
      <c r="A35" s="156" t="str">
        <v/>
      </c>
      <c r="B35" t="s">
        <v>544</v>
      </c>
      <c r="D35" s="150">
        <f>D10+60</f>
        <v>42901</v>
      </c>
      <c r="T35" s="97" t="s">
        <v>521</v>
      </c>
      <c r="U35" s="97" t="s">
        <v>521</v>
      </c>
      <c r="Z35" s="97" t="s">
        <v>521</v>
      </c>
      <c r="AD35" s="97" t="s">
        <v>521</v>
      </c>
      <c r="AE35" s="97" t="s">
        <v>521</v>
      </c>
      <c r="AG35" s="97" t="s">
        <v>521</v>
      </c>
      <c r="AH35" s="97" t="s">
        <v>521</v>
      </c>
      <c r="AK35" s="97" t="s">
        <v>521</v>
      </c>
      <c r="AL35" s="97" t="s">
        <v>521</v>
      </c>
      <c r="AO35" s="97" t="s">
        <v>521</v>
      </c>
      <c r="AQ35" s="97" t="s">
        <v>521</v>
      </c>
      <c r="AR35" s="97" t="s">
        <v>521</v>
      </c>
    </row>
    <row r="36" spans="1:44">
      <c r="A36" s="156" t="str">
        <v/>
      </c>
      <c r="B36" t="s">
        <v>405</v>
      </c>
      <c r="D36" s="150">
        <f>DATE($C$1,12,8)</f>
        <v>43077</v>
      </c>
      <c r="T36" s="97" t="s">
        <v>521</v>
      </c>
      <c r="Z36" s="97" t="s">
        <v>521</v>
      </c>
      <c r="AG36" s="97" t="s">
        <v>521</v>
      </c>
      <c r="AH36" s="97" t="s">
        <v>521</v>
      </c>
      <c r="AO36" s="97" t="s">
        <v>521</v>
      </c>
      <c r="AQ36" s="97" t="s">
        <v>521</v>
      </c>
      <c r="AR36" s="97" t="s">
        <v>521</v>
      </c>
    </row>
    <row r="37" spans="1:44">
      <c r="A37" s="156" t="str">
        <v/>
      </c>
      <c r="B37" t="s">
        <v>535</v>
      </c>
      <c r="C37" t="s">
        <v>525</v>
      </c>
      <c r="D37" s="150">
        <f>DATE($C$1,11,8)-WEEKDAY(DATE($C$1,11,7))</f>
        <v>43044</v>
      </c>
      <c r="O37" s="97" t="s">
        <v>521</v>
      </c>
      <c r="R37" s="97" t="s">
        <v>521</v>
      </c>
    </row>
    <row r="38" spans="1:44">
      <c r="A38" s="156" t="str">
        <v/>
      </c>
      <c r="B38" t="s">
        <v>545</v>
      </c>
      <c r="D38" s="150">
        <f>D39-1</f>
        <v>42794</v>
      </c>
      <c r="I38" s="97" t="s">
        <v>521</v>
      </c>
      <c r="J38" s="97" t="s">
        <v>521</v>
      </c>
      <c r="K38" s="97" t="s">
        <v>521</v>
      </c>
    </row>
    <row r="39" spans="1:44">
      <c r="A39" s="156" t="str">
        <v/>
      </c>
      <c r="B39" t="s">
        <v>546</v>
      </c>
      <c r="C39" t="s">
        <v>547</v>
      </c>
      <c r="D39" s="150">
        <f>D10-46</f>
        <v>42795</v>
      </c>
      <c r="I39" s="97" t="s">
        <v>521</v>
      </c>
      <c r="J39" s="97" t="s">
        <v>521</v>
      </c>
      <c r="K39" s="97" t="s">
        <v>521</v>
      </c>
    </row>
    <row r="40" spans="1:44">
      <c r="A40" s="156" t="str">
        <v/>
      </c>
      <c r="B40" t="s">
        <v>548</v>
      </c>
      <c r="D40" s="150">
        <f>D10-24</f>
        <v>42817</v>
      </c>
      <c r="I40" s="97" t="s">
        <v>521</v>
      </c>
      <c r="J40" s="97" t="s">
        <v>521</v>
      </c>
      <c r="K40" s="97" t="s">
        <v>521</v>
      </c>
    </row>
    <row r="41" spans="1:44">
      <c r="A41" s="156" t="str">
        <v/>
      </c>
      <c r="B41" t="s">
        <v>537</v>
      </c>
      <c r="C41" t="s">
        <v>484</v>
      </c>
      <c r="D41" s="150">
        <f>DATE($C$1,5,22)</f>
        <v>42877</v>
      </c>
      <c r="I41" s="97" t="s">
        <v>521</v>
      </c>
    </row>
    <row r="42" spans="1:44">
      <c r="A42" s="156" t="str">
        <v/>
      </c>
      <c r="B42" t="s">
        <v>537</v>
      </c>
      <c r="C42" t="s">
        <v>485</v>
      </c>
      <c r="D42" s="150">
        <f>DATE($C$1,5,27)</f>
        <v>42882</v>
      </c>
      <c r="J42" s="97" t="s">
        <v>521</v>
      </c>
    </row>
    <row r="43" spans="1:44">
      <c r="A43" s="156" t="str">
        <v/>
      </c>
      <c r="B43" t="s">
        <v>537</v>
      </c>
      <c r="C43" t="s">
        <v>549</v>
      </c>
      <c r="D43" s="150">
        <f>DATE($C$1,6,10)</f>
        <v>42896</v>
      </c>
      <c r="K43" s="97" t="s">
        <v>521</v>
      </c>
    </row>
    <row r="44" spans="1:44">
      <c r="A44" s="156" t="str">
        <v/>
      </c>
      <c r="B44" t="s">
        <v>550</v>
      </c>
      <c r="D44" s="150">
        <f>D20+1</f>
        <v>43041</v>
      </c>
      <c r="I44" s="97" t="s">
        <v>521</v>
      </c>
      <c r="J44" s="97" t="s">
        <v>521</v>
      </c>
      <c r="K44" s="97" t="s">
        <v>521</v>
      </c>
    </row>
    <row r="45" spans="1:44">
      <c r="A45" s="156" t="str">
        <v/>
      </c>
      <c r="B45" t="s">
        <v>551</v>
      </c>
      <c r="C45" t="s">
        <v>493</v>
      </c>
      <c r="D45" s="150">
        <f>DATE($C$1,5,25)-WEEKDAY(DATE($C$1,5,23))</f>
        <v>42877</v>
      </c>
      <c r="R45" s="97" t="s">
        <v>521</v>
      </c>
    </row>
    <row r="46" spans="1:44">
      <c r="A46" s="156" t="str">
        <v/>
      </c>
      <c r="B46" s="157" t="s">
        <v>527</v>
      </c>
      <c r="C46" t="s">
        <v>493</v>
      </c>
      <c r="D46" s="150" t="str">
        <f>IF(WEEKDAY(D27)=1,D27+1,"")</f>
        <v/>
      </c>
      <c r="R46" s="97" t="s">
        <v>521</v>
      </c>
    </row>
    <row r="47" spans="1:44">
      <c r="A47" s="156" t="str">
        <v/>
      </c>
      <c r="B47" t="s">
        <v>552</v>
      </c>
      <c r="C47" t="s">
        <v>493</v>
      </c>
      <c r="D47" s="150">
        <f>DATE($C$1,7,1)</f>
        <v>42917</v>
      </c>
      <c r="R47" s="97" t="s">
        <v>521</v>
      </c>
    </row>
    <row r="48" spans="1:44">
      <c r="A48" s="156" t="str">
        <v/>
      </c>
      <c r="B48" s="157" t="s">
        <v>527</v>
      </c>
      <c r="C48" t="s">
        <v>493</v>
      </c>
      <c r="D48" s="150" t="str">
        <f>IF(WEEKDAY(D47)=1,D47+1,"")</f>
        <v/>
      </c>
      <c r="R48" s="97" t="s">
        <v>521</v>
      </c>
    </row>
    <row r="49" spans="1:45">
      <c r="A49" s="156" t="str">
        <v/>
      </c>
      <c r="B49" t="s">
        <v>553</v>
      </c>
      <c r="C49" t="s">
        <v>493</v>
      </c>
      <c r="D49" s="150">
        <f>DATE($C$1,10,15)-WEEKDAY(DATE($C$1,10,13))</f>
        <v>43017</v>
      </c>
      <c r="R49" s="97" t="s">
        <v>521</v>
      </c>
    </row>
    <row r="50" spans="1:45">
      <c r="A50" s="156" t="str">
        <v/>
      </c>
      <c r="B50" t="s">
        <v>554</v>
      </c>
      <c r="C50" t="s">
        <v>494</v>
      </c>
      <c r="D50" s="150">
        <f>DATE($C$1,1,2)</f>
        <v>42737</v>
      </c>
      <c r="T50" s="97" t="s">
        <v>521</v>
      </c>
      <c r="W50" s="97" t="s">
        <v>521</v>
      </c>
      <c r="AF50" s="97" t="s">
        <v>521</v>
      </c>
      <c r="AM50" s="97" t="s">
        <v>521</v>
      </c>
    </row>
    <row r="51" spans="1:45">
      <c r="A51" s="156" t="str">
        <v/>
      </c>
      <c r="B51" t="s">
        <v>555</v>
      </c>
      <c r="C51" t="s">
        <v>494</v>
      </c>
      <c r="D51" s="150">
        <f>DATE($C$1,3,1)</f>
        <v>42795</v>
      </c>
      <c r="AF51" s="97" t="s">
        <v>521</v>
      </c>
    </row>
    <row r="52" spans="1:45">
      <c r="A52" s="156" t="str">
        <v/>
      </c>
      <c r="B52" t="s">
        <v>556</v>
      </c>
      <c r="C52" t="s">
        <v>494</v>
      </c>
      <c r="D52" s="150">
        <f>DATE($C$1,3,19)</f>
        <v>42813</v>
      </c>
      <c r="AI52" s="97" t="s">
        <v>521</v>
      </c>
      <c r="AQ52" s="97" t="s">
        <v>521</v>
      </c>
    </row>
    <row r="53" spans="1:45">
      <c r="A53" s="156" t="str">
        <v/>
      </c>
      <c r="B53" t="s">
        <v>557</v>
      </c>
      <c r="C53" t="s">
        <v>494</v>
      </c>
      <c r="D53" s="150">
        <f>DATE($C$1,4,8)-WEEKDAY(DATE($C$1,4,3))</f>
        <v>42831</v>
      </c>
      <c r="AB53" s="97" t="s">
        <v>521</v>
      </c>
    </row>
    <row r="54" spans="1:45">
      <c r="A54" s="156" t="str">
        <v/>
      </c>
      <c r="B54" t="s">
        <v>534</v>
      </c>
      <c r="C54" t="s">
        <v>494</v>
      </c>
      <c r="D54" s="150">
        <f>DATE($C$1,8,1)</f>
        <v>42948</v>
      </c>
      <c r="S54" s="97" t="s">
        <v>521</v>
      </c>
      <c r="T54" s="97" t="s">
        <v>521</v>
      </c>
      <c r="U54" s="97" t="s">
        <v>521</v>
      </c>
      <c r="V54" s="97" t="s">
        <v>521</v>
      </c>
      <c r="W54" s="97" t="s">
        <v>521</v>
      </c>
      <c r="X54" s="97" t="s">
        <v>521</v>
      </c>
      <c r="Y54" s="97" t="s">
        <v>521</v>
      </c>
      <c r="Z54" s="97" t="s">
        <v>521</v>
      </c>
      <c r="AA54" s="97" t="s">
        <v>521</v>
      </c>
      <c r="AB54" s="97" t="s">
        <v>521</v>
      </c>
      <c r="AC54" s="97" t="s">
        <v>521</v>
      </c>
      <c r="AD54" s="97" t="s">
        <v>521</v>
      </c>
      <c r="AE54" s="97" t="s">
        <v>521</v>
      </c>
      <c r="AF54" s="97" t="s">
        <v>521</v>
      </c>
      <c r="AG54" s="97" t="s">
        <v>521</v>
      </c>
      <c r="AH54" s="97" t="s">
        <v>521</v>
      </c>
      <c r="AI54" s="97" t="s">
        <v>521</v>
      </c>
      <c r="AJ54" s="97" t="s">
        <v>521</v>
      </c>
      <c r="AK54" s="97" t="s">
        <v>521</v>
      </c>
      <c r="AL54" s="97" t="s">
        <v>521</v>
      </c>
      <c r="AM54" s="97" t="s">
        <v>521</v>
      </c>
      <c r="AN54" s="97" t="s">
        <v>521</v>
      </c>
      <c r="AO54" s="97" t="s">
        <v>521</v>
      </c>
      <c r="AP54" s="97" t="s">
        <v>521</v>
      </c>
      <c r="AQ54" s="97" t="s">
        <v>521</v>
      </c>
      <c r="AR54" s="97" t="s">
        <v>521</v>
      </c>
      <c r="AS54" s="97" t="s">
        <v>521</v>
      </c>
    </row>
    <row r="55" spans="1:45">
      <c r="A55" s="156" t="str">
        <v/>
      </c>
      <c r="B55" t="s">
        <v>558</v>
      </c>
      <c r="C55" t="s">
        <v>494</v>
      </c>
      <c r="D55" s="150">
        <f>DATE($C$1,9,22)-WEEKDAY(DATE($C$1,9,7))</f>
        <v>42995</v>
      </c>
      <c r="T55" s="97" t="s">
        <v>521</v>
      </c>
      <c r="U55" s="97" t="s">
        <v>521</v>
      </c>
      <c r="V55" s="97" t="s">
        <v>521</v>
      </c>
      <c r="W55" s="97" t="s">
        <v>521</v>
      </c>
      <c r="X55" s="97" t="s">
        <v>521</v>
      </c>
      <c r="Y55" s="97" t="s">
        <v>521</v>
      </c>
      <c r="Z55" s="97" t="s">
        <v>521</v>
      </c>
      <c r="AB55" s="97" t="s">
        <v>521</v>
      </c>
      <c r="AC55" s="97" t="s">
        <v>521</v>
      </c>
      <c r="AD55" s="97" t="s">
        <v>521</v>
      </c>
      <c r="AE55" s="97" t="s">
        <v>521</v>
      </c>
      <c r="AF55" s="97" t="s">
        <v>521</v>
      </c>
      <c r="AG55" s="97" t="s">
        <v>521</v>
      </c>
      <c r="AH55" s="97" t="s">
        <v>521</v>
      </c>
      <c r="AI55" s="97" t="s">
        <v>521</v>
      </c>
      <c r="AJ55" s="97" t="s">
        <v>521</v>
      </c>
      <c r="AK55" s="97" t="s">
        <v>521</v>
      </c>
      <c r="AL55" s="97" t="s">
        <v>521</v>
      </c>
      <c r="AM55" s="97" t="s">
        <v>521</v>
      </c>
      <c r="AN55" s="97" t="s">
        <v>521</v>
      </c>
      <c r="AO55" s="97" t="s">
        <v>521</v>
      </c>
      <c r="AP55" s="97" t="s">
        <v>521</v>
      </c>
      <c r="AQ55" s="97" t="s">
        <v>521</v>
      </c>
      <c r="AR55" s="97" t="s">
        <v>521</v>
      </c>
      <c r="AS55" s="97" t="s">
        <v>521</v>
      </c>
    </row>
    <row r="56" spans="1:45">
      <c r="A56" s="156" t="str">
        <v/>
      </c>
      <c r="B56" t="s">
        <v>559</v>
      </c>
      <c r="C56" t="s">
        <v>494</v>
      </c>
      <c r="D56" s="150">
        <f>DATE($C$1,9,8)-WEEKDAY(DATE($C$1,9,7))+4</f>
        <v>42985</v>
      </c>
      <c r="AA56" s="97" t="s">
        <v>521</v>
      </c>
    </row>
    <row r="57" spans="1:45">
      <c r="A57" s="156" t="str">
        <v/>
      </c>
      <c r="B57" t="s">
        <v>560</v>
      </c>
      <c r="C57" t="s">
        <v>561</v>
      </c>
      <c r="D57" s="150">
        <f>D55+1</f>
        <v>42996</v>
      </c>
      <c r="AP57" s="97" t="s">
        <v>521</v>
      </c>
    </row>
    <row r="58" spans="1:45">
      <c r="A58" s="156" t="str">
        <v/>
      </c>
      <c r="B58" t="s">
        <v>562</v>
      </c>
      <c r="C58" t="s">
        <v>494</v>
      </c>
      <c r="D58" s="150">
        <f>DATE($C$1,9,25)</f>
        <v>43003</v>
      </c>
      <c r="AH58" s="97" t="s">
        <v>521</v>
      </c>
    </row>
    <row r="59" spans="1:45">
      <c r="A59" s="156" t="str">
        <v/>
      </c>
      <c r="B59" t="s">
        <v>563</v>
      </c>
      <c r="C59" t="s">
        <v>494</v>
      </c>
      <c r="D59" s="150">
        <f>DATE($C$1,12,31)</f>
        <v>43100</v>
      </c>
      <c r="AA59" s="97" t="s">
        <v>521</v>
      </c>
    </row>
    <row r="60" spans="1:45">
      <c r="A60" s="156" t="str">
        <v/>
      </c>
      <c r="B60" t="s">
        <v>564</v>
      </c>
      <c r="C60" t="s">
        <v>565</v>
      </c>
      <c r="D60" s="150">
        <f>DATE($C$1,3,5)</f>
        <v>42799</v>
      </c>
      <c r="L60" s="97" t="s">
        <v>521</v>
      </c>
    </row>
    <row r="61" spans="1:45">
      <c r="A61" s="156" t="str">
        <v/>
      </c>
      <c r="B61" t="s">
        <v>566</v>
      </c>
      <c r="C61" t="s">
        <v>565</v>
      </c>
      <c r="D61" s="150">
        <f>DATE($C$1,6,29)</f>
        <v>42915</v>
      </c>
      <c r="L61" s="97" t="s">
        <v>521</v>
      </c>
    </row>
    <row r="62" spans="1:45">
      <c r="A62" s="156" t="str">
        <v/>
      </c>
      <c r="B62" t="s">
        <v>567</v>
      </c>
      <c r="C62" s="157" t="s">
        <v>488</v>
      </c>
      <c r="D62" s="150">
        <f>DATE($C$1,9,24)</f>
        <v>43002</v>
      </c>
      <c r="M62" s="97" t="s">
        <v>521</v>
      </c>
    </row>
    <row r="63" spans="1:45">
      <c r="A63" s="156" t="str">
        <v/>
      </c>
      <c r="B63" t="s">
        <v>537</v>
      </c>
      <c r="C63" t="s">
        <v>489</v>
      </c>
      <c r="D63" s="150">
        <f>DATE($C$1,4,27)</f>
        <v>42852</v>
      </c>
      <c r="N63" s="97" t="s">
        <v>521</v>
      </c>
    </row>
    <row r="64" spans="1:45">
      <c r="A64" s="156" t="str">
        <v/>
      </c>
      <c r="B64" t="s">
        <v>568</v>
      </c>
      <c r="C64" t="s">
        <v>490</v>
      </c>
      <c r="D64" s="150">
        <f>DATE($C$1,12,24)</f>
        <v>43093</v>
      </c>
      <c r="O64" s="97" t="s">
        <v>521</v>
      </c>
    </row>
    <row r="65" spans="1:1">
      <c r="A65" s="156" t="str">
        <v/>
      </c>
    </row>
    <row r="66" spans="1:1">
      <c r="A66" s="156" t="str">
        <v/>
      </c>
    </row>
    <row r="67" spans="1:1">
      <c r="A67" s="156" t="str">
        <v/>
      </c>
    </row>
    <row r="68" spans="1:1">
      <c r="A68" s="156" t="str">
        <v/>
      </c>
    </row>
    <row r="69" spans="1:1">
      <c r="A69" s="156" t="str">
        <v/>
      </c>
    </row>
    <row r="70" spans="1:1">
      <c r="A70" s="156" t="str">
        <v/>
      </c>
    </row>
    <row r="71" spans="1:1">
      <c r="A71" s="156" t="str">
        <v/>
      </c>
    </row>
    <row r="72" spans="1:1">
      <c r="A72" s="156" t="str">
        <v/>
      </c>
    </row>
    <row r="73" spans="1:1">
      <c r="A73" s="156" t="str">
        <v/>
      </c>
    </row>
    <row r="74" spans="1:1">
      <c r="A74" s="156" t="str">
        <v/>
      </c>
    </row>
    <row r="75" spans="1:1">
      <c r="A75" s="156" t="str">
        <v/>
      </c>
    </row>
    <row r="76" spans="1:1">
      <c r="A76" s="156" t="str">
        <v/>
      </c>
    </row>
    <row r="77" spans="1:1">
      <c r="A77" s="156" t="str">
        <v/>
      </c>
    </row>
    <row r="78" spans="1:1">
      <c r="A78" s="156" t="str">
        <v/>
      </c>
    </row>
    <row r="79" spans="1:1">
      <c r="A79" s="156" t="str">
        <v/>
      </c>
    </row>
    <row r="80" spans="1:1">
      <c r="A80" s="156" t="str">
        <v/>
      </c>
    </row>
    <row r="81" spans="1:1">
      <c r="A81" s="156" t="str">
        <v/>
      </c>
    </row>
    <row r="82" spans="1:1">
      <c r="A82" s="156" t="str">
        <v/>
      </c>
    </row>
    <row r="83" spans="1:1">
      <c r="A83" s="156" t="str">
        <v/>
      </c>
    </row>
    <row r="84" spans="1:1">
      <c r="A84" s="156" t="str">
        <v/>
      </c>
    </row>
    <row r="85" spans="1:1">
      <c r="A85" s="156" t="str">
        <v/>
      </c>
    </row>
    <row r="86" spans="1:1">
      <c r="A86" s="156" t="str">
        <v/>
      </c>
    </row>
    <row r="87" spans="1:1">
      <c r="A87" s="156" t="str">
        <v/>
      </c>
    </row>
    <row r="88" spans="1:1">
      <c r="A88" s="156" t="str">
        <v/>
      </c>
    </row>
    <row r="89" spans="1:1">
      <c r="A89" s="156" t="str">
        <v/>
      </c>
    </row>
    <row r="90" spans="1:1">
      <c r="A90" s="156" t="str">
        <v/>
      </c>
    </row>
    <row r="91" spans="1:1">
      <c r="A91" s="156" t="str">
        <v/>
      </c>
    </row>
    <row r="92" spans="1:1">
      <c r="A92" s="156" t="str">
        <v/>
      </c>
    </row>
    <row r="93" spans="1:1">
      <c r="A93" s="156" t="str">
        <v/>
      </c>
    </row>
    <row r="94" spans="1:1">
      <c r="A94" s="156" t="str">
        <v/>
      </c>
    </row>
    <row r="95" spans="1:1">
      <c r="A95" s="156" t="str">
        <v/>
      </c>
    </row>
    <row r="96" spans="1:1">
      <c r="A96" s="156" t="str">
        <v/>
      </c>
    </row>
    <row r="97" spans="1:45">
      <c r="A97" s="156" t="str">
        <v/>
      </c>
    </row>
    <row r="98" spans="1:45">
      <c r="A98" s="156" t="str">
        <v/>
      </c>
    </row>
    <row r="99" spans="1:45">
      <c r="A99" s="156" t="str">
        <v/>
      </c>
    </row>
    <row r="100" spans="1:45">
      <c r="A100" s="156" t="str">
        <v/>
      </c>
    </row>
    <row r="101" spans="1:45">
      <c r="A101" s="156" t="str">
        <v/>
      </c>
    </row>
    <row r="102" spans="1:45">
      <c r="A102" s="156" t="str">
        <v/>
      </c>
    </row>
    <row r="103" spans="1:45">
      <c r="A103" s="156" t="str">
        <v/>
      </c>
    </row>
    <row r="104" spans="1:45">
      <c r="A104" s="156">
        <v>43101</v>
      </c>
      <c r="B104" t="s">
        <v>70</v>
      </c>
      <c r="D104" s="150">
        <f>DATE($C$1+1,1,1)</f>
        <v>43101</v>
      </c>
      <c r="F104" s="97" t="s">
        <v>521</v>
      </c>
      <c r="G104" s="97" t="s">
        <v>521</v>
      </c>
      <c r="H104" s="97" t="s">
        <v>521</v>
      </c>
      <c r="I104" s="97" t="s">
        <v>521</v>
      </c>
      <c r="J104" s="97" t="s">
        <v>521</v>
      </c>
      <c r="K104" s="97" t="s">
        <v>521</v>
      </c>
      <c r="L104" s="97" t="s">
        <v>521</v>
      </c>
      <c r="M104" s="97" t="s">
        <v>521</v>
      </c>
      <c r="N104" s="97" t="s">
        <v>521</v>
      </c>
      <c r="O104" s="97" t="s">
        <v>521</v>
      </c>
      <c r="P104" s="97" t="s">
        <v>521</v>
      </c>
      <c r="Q104" s="97" t="s">
        <v>521</v>
      </c>
      <c r="R104" s="97" t="s">
        <v>521</v>
      </c>
      <c r="S104" s="97" t="s">
        <v>521</v>
      </c>
      <c r="T104" s="97" t="s">
        <v>521</v>
      </c>
      <c r="U104" s="97" t="s">
        <v>521</v>
      </c>
      <c r="V104" s="97" t="s">
        <v>521</v>
      </c>
      <c r="W104" s="97" t="s">
        <v>521</v>
      </c>
      <c r="X104" s="97" t="s">
        <v>521</v>
      </c>
      <c r="Y104" s="97" t="s">
        <v>521</v>
      </c>
      <c r="Z104" s="97" t="s">
        <v>521</v>
      </c>
      <c r="AA104" s="97" t="s">
        <v>521</v>
      </c>
      <c r="AB104" s="97" t="s">
        <v>521</v>
      </c>
      <c r="AC104" s="97" t="s">
        <v>521</v>
      </c>
      <c r="AD104" s="97" t="s">
        <v>521</v>
      </c>
      <c r="AE104" s="97" t="s">
        <v>521</v>
      </c>
      <c r="AF104" s="97" t="s">
        <v>521</v>
      </c>
      <c r="AG104" s="97" t="s">
        <v>521</v>
      </c>
      <c r="AI104" s="97" t="s">
        <v>521</v>
      </c>
      <c r="AJ104" s="97" t="s">
        <v>521</v>
      </c>
      <c r="AK104" s="97" t="s">
        <v>521</v>
      </c>
      <c r="AL104" s="97" t="s">
        <v>521</v>
      </c>
      <c r="AM104" s="97" t="s">
        <v>521</v>
      </c>
      <c r="AN104" s="97" t="s">
        <v>521</v>
      </c>
      <c r="AO104" s="97" t="s">
        <v>521</v>
      </c>
      <c r="AP104" s="97" t="s">
        <v>521</v>
      </c>
      <c r="AQ104" s="97" t="s">
        <v>521</v>
      </c>
      <c r="AR104" s="97" t="s">
        <v>521</v>
      </c>
      <c r="AS104" s="97" t="s">
        <v>521</v>
      </c>
    </row>
    <row r="105" spans="1:45">
      <c r="A105" s="156" t="str">
        <v/>
      </c>
      <c r="B105" t="s">
        <v>522</v>
      </c>
      <c r="D105" s="150">
        <f>D110-2</f>
        <v>43189</v>
      </c>
      <c r="G105" s="97" t="s">
        <v>521</v>
      </c>
      <c r="I105" s="97" t="s">
        <v>521</v>
      </c>
      <c r="J105" s="97" t="s">
        <v>521</v>
      </c>
      <c r="K105" s="97" t="s">
        <v>521</v>
      </c>
      <c r="L105" s="97" t="s">
        <v>521</v>
      </c>
      <c r="R105" s="97" t="s">
        <v>521</v>
      </c>
      <c r="S105" s="97" t="s">
        <v>521</v>
      </c>
      <c r="T105" s="97" t="s">
        <v>521</v>
      </c>
      <c r="U105" s="97" t="s">
        <v>521</v>
      </c>
      <c r="V105" s="97" t="s">
        <v>521</v>
      </c>
      <c r="W105" s="97" t="s">
        <v>521</v>
      </c>
      <c r="X105" s="97" t="s">
        <v>521</v>
      </c>
      <c r="Y105" s="97" t="s">
        <v>521</v>
      </c>
      <c r="Z105" s="97" t="s">
        <v>521</v>
      </c>
      <c r="AA105" s="97" t="s">
        <v>521</v>
      </c>
      <c r="AB105" s="97" t="s">
        <v>521</v>
      </c>
      <c r="AC105" s="97" t="s">
        <v>521</v>
      </c>
      <c r="AD105" s="97" t="s">
        <v>521</v>
      </c>
      <c r="AE105" s="97" t="s">
        <v>521</v>
      </c>
      <c r="AF105" s="97" t="s">
        <v>521</v>
      </c>
      <c r="AG105" s="97" t="s">
        <v>521</v>
      </c>
      <c r="AH105" s="97" t="s">
        <v>521</v>
      </c>
      <c r="AI105" s="97" t="s">
        <v>521</v>
      </c>
      <c r="AJ105" s="97" t="s">
        <v>521</v>
      </c>
      <c r="AK105" s="97" t="s">
        <v>521</v>
      </c>
      <c r="AL105" s="97" t="s">
        <v>521</v>
      </c>
      <c r="AM105" s="97" t="s">
        <v>521</v>
      </c>
      <c r="AO105" s="97" t="s">
        <v>521</v>
      </c>
      <c r="AP105" s="97" t="s">
        <v>521</v>
      </c>
      <c r="AR105" s="97" t="s">
        <v>521</v>
      </c>
      <c r="AS105" s="97" t="s">
        <v>521</v>
      </c>
    </row>
    <row r="106" spans="1:45">
      <c r="A106" s="156" t="str">
        <v/>
      </c>
      <c r="B106" t="s">
        <v>523</v>
      </c>
      <c r="D106" s="150" t="str">
        <f>IF(D107=D110,D107,"")</f>
        <v/>
      </c>
      <c r="F106" s="97" t="s">
        <v>521</v>
      </c>
      <c r="G106" s="97" t="s">
        <v>521</v>
      </c>
      <c r="O106" s="97" t="s">
        <v>521</v>
      </c>
      <c r="P106" s="97" t="s">
        <v>521</v>
      </c>
      <c r="Q106" s="97" t="s">
        <v>521</v>
      </c>
      <c r="S106" s="97" t="s">
        <v>521</v>
      </c>
      <c r="T106" s="97" t="s">
        <v>521</v>
      </c>
      <c r="U106" s="97" t="s">
        <v>521</v>
      </c>
      <c r="V106" s="97" t="s">
        <v>521</v>
      </c>
      <c r="W106" s="97" t="s">
        <v>521</v>
      </c>
      <c r="X106" s="97" t="s">
        <v>521</v>
      </c>
      <c r="Y106" s="97" t="s">
        <v>521</v>
      </c>
      <c r="Z106" s="97" t="s">
        <v>521</v>
      </c>
      <c r="AA106" s="97" t="s">
        <v>521</v>
      </c>
      <c r="AB106" s="97" t="s">
        <v>521</v>
      </c>
      <c r="AC106" s="97" t="s">
        <v>521</v>
      </c>
      <c r="AD106" s="97" t="s">
        <v>521</v>
      </c>
      <c r="AE106" s="97" t="s">
        <v>521</v>
      </c>
      <c r="AF106" s="97" t="s">
        <v>521</v>
      </c>
      <c r="AG106" s="97" t="s">
        <v>521</v>
      </c>
      <c r="AH106" s="97" t="s">
        <v>521</v>
      </c>
      <c r="AI106" s="97" t="s">
        <v>521</v>
      </c>
      <c r="AJ106" s="97" t="s">
        <v>521</v>
      </c>
      <c r="AK106" s="97" t="s">
        <v>521</v>
      </c>
      <c r="AL106" s="97" t="s">
        <v>521</v>
      </c>
      <c r="AM106" s="97" t="s">
        <v>521</v>
      </c>
      <c r="AN106" s="97" t="s">
        <v>521</v>
      </c>
      <c r="AO106" s="97" t="s">
        <v>521</v>
      </c>
      <c r="AP106" s="97" t="s">
        <v>521</v>
      </c>
      <c r="AQ106" s="97" t="s">
        <v>521</v>
      </c>
      <c r="AR106" s="97" t="s">
        <v>521</v>
      </c>
      <c r="AS106" s="97" t="s">
        <v>521</v>
      </c>
    </row>
    <row r="107" spans="1:45">
      <c r="A107" s="156">
        <v>43184</v>
      </c>
      <c r="B107" t="s">
        <v>524</v>
      </c>
      <c r="D107" s="150">
        <f>DATE($C$1+1,4,1)-WEEKDAY(DATE($C$1+1,3,31))</f>
        <v>43184</v>
      </c>
      <c r="F107" s="97" t="s">
        <v>521</v>
      </c>
      <c r="G107" s="97" t="s">
        <v>521</v>
      </c>
      <c r="O107" s="97" t="s">
        <v>521</v>
      </c>
      <c r="P107" s="97" t="s">
        <v>521</v>
      </c>
      <c r="Q107" s="97" t="s">
        <v>521</v>
      </c>
      <c r="S107" s="97" t="s">
        <v>521</v>
      </c>
      <c r="T107" s="97" t="s">
        <v>521</v>
      </c>
      <c r="U107" s="97" t="s">
        <v>521</v>
      </c>
      <c r="V107" s="97" t="s">
        <v>521</v>
      </c>
      <c r="W107" s="97" t="s">
        <v>521</v>
      </c>
      <c r="X107" s="97" t="s">
        <v>521</v>
      </c>
      <c r="Y107" s="97" t="s">
        <v>521</v>
      </c>
      <c r="Z107" s="97" t="s">
        <v>521</v>
      </c>
      <c r="AA107" s="97" t="s">
        <v>521</v>
      </c>
      <c r="AB107" s="97" t="s">
        <v>521</v>
      </c>
      <c r="AC107" s="97" t="s">
        <v>521</v>
      </c>
      <c r="AD107" s="97" t="s">
        <v>521</v>
      </c>
      <c r="AE107" s="97" t="s">
        <v>521</v>
      </c>
      <c r="AF107" s="97" t="s">
        <v>521</v>
      </c>
      <c r="AG107" s="97" t="s">
        <v>521</v>
      </c>
      <c r="AH107" s="97" t="s">
        <v>521</v>
      </c>
      <c r="AI107" s="97" t="s">
        <v>521</v>
      </c>
      <c r="AJ107" s="97" t="s">
        <v>521</v>
      </c>
      <c r="AK107" s="97" t="s">
        <v>521</v>
      </c>
      <c r="AL107" s="97" t="s">
        <v>521</v>
      </c>
      <c r="AM107" s="97" t="s">
        <v>521</v>
      </c>
      <c r="AN107" s="97" t="s">
        <v>521</v>
      </c>
      <c r="AO107" s="97" t="s">
        <v>521</v>
      </c>
      <c r="AP107" s="97" t="s">
        <v>521</v>
      </c>
      <c r="AQ107" s="97" t="s">
        <v>521</v>
      </c>
      <c r="AR107" s="97" t="s">
        <v>521</v>
      </c>
      <c r="AS107" s="97" t="s">
        <v>521</v>
      </c>
    </row>
    <row r="108" spans="1:45">
      <c r="A108" s="156" t="str">
        <v/>
      </c>
      <c r="B108" t="s">
        <v>523</v>
      </c>
      <c r="C108" t="s">
        <v>525</v>
      </c>
      <c r="D108" s="150" t="str">
        <f>IF(D109=D110,D109,"")</f>
        <v/>
      </c>
      <c r="R108" s="97" t="s">
        <v>521</v>
      </c>
    </row>
    <row r="109" spans="1:45">
      <c r="A109" s="156" t="str">
        <v/>
      </c>
      <c r="B109" t="s">
        <v>524</v>
      </c>
      <c r="C109" t="s">
        <v>525</v>
      </c>
      <c r="D109" s="150">
        <f>DATE($C$1+1,3,15)-WEEKDAY(DATE($C$1+1,3,7))</f>
        <v>43170</v>
      </c>
      <c r="R109" s="97" t="s">
        <v>521</v>
      </c>
    </row>
    <row r="110" spans="1:45">
      <c r="A110" s="156">
        <v>43191</v>
      </c>
      <c r="B110" t="s">
        <v>526</v>
      </c>
      <c r="D110" s="150">
        <f>D220</f>
        <v>43191</v>
      </c>
      <c r="F110" s="97" t="s">
        <v>521</v>
      </c>
      <c r="G110" s="97" t="s">
        <v>521</v>
      </c>
      <c r="H110" s="97" t="s">
        <v>521</v>
      </c>
      <c r="I110" s="97" t="s">
        <v>521</v>
      </c>
      <c r="J110" s="97" t="s">
        <v>521</v>
      </c>
      <c r="K110" s="97" t="s">
        <v>521</v>
      </c>
      <c r="L110" s="97" t="s">
        <v>521</v>
      </c>
      <c r="M110" s="97" t="s">
        <v>521</v>
      </c>
      <c r="N110" s="97" t="s">
        <v>521</v>
      </c>
      <c r="O110" s="97" t="s">
        <v>521</v>
      </c>
      <c r="P110" s="97" t="s">
        <v>521</v>
      </c>
      <c r="Q110" s="97" t="s">
        <v>521</v>
      </c>
      <c r="R110" s="97" t="s">
        <v>521</v>
      </c>
      <c r="S110" s="97" t="s">
        <v>521</v>
      </c>
      <c r="T110" s="97" t="s">
        <v>521</v>
      </c>
      <c r="U110" s="97" t="s">
        <v>521</v>
      </c>
      <c r="V110" s="97" t="s">
        <v>521</v>
      </c>
      <c r="W110" s="97" t="s">
        <v>521</v>
      </c>
      <c r="X110" s="97" t="s">
        <v>521</v>
      </c>
      <c r="Y110" s="97" t="s">
        <v>521</v>
      </c>
      <c r="Z110" s="97" t="s">
        <v>521</v>
      </c>
      <c r="AA110" s="97" t="s">
        <v>521</v>
      </c>
      <c r="AB110" s="97" t="s">
        <v>521</v>
      </c>
      <c r="AC110" s="97" t="s">
        <v>521</v>
      </c>
      <c r="AD110" s="97" t="s">
        <v>521</v>
      </c>
      <c r="AE110" s="97" t="s">
        <v>521</v>
      </c>
      <c r="AF110" s="97" t="s">
        <v>521</v>
      </c>
      <c r="AG110" s="97" t="s">
        <v>521</v>
      </c>
      <c r="AH110" s="97" t="s">
        <v>521</v>
      </c>
      <c r="AI110" s="97" t="s">
        <v>521</v>
      </c>
      <c r="AJ110" s="97" t="s">
        <v>521</v>
      </c>
      <c r="AK110" s="97" t="s">
        <v>521</v>
      </c>
      <c r="AL110" s="97" t="s">
        <v>521</v>
      </c>
      <c r="AM110" s="97" t="s">
        <v>521</v>
      </c>
      <c r="AN110" s="97" t="s">
        <v>521</v>
      </c>
      <c r="AO110" s="97" t="s">
        <v>521</v>
      </c>
      <c r="AP110" s="97" t="s">
        <v>521</v>
      </c>
      <c r="AQ110" s="97" t="s">
        <v>521</v>
      </c>
      <c r="AR110" s="97" t="s">
        <v>521</v>
      </c>
      <c r="AS110" s="97" t="s">
        <v>521</v>
      </c>
    </row>
    <row r="111" spans="1:45">
      <c r="A111" s="156">
        <v>43192</v>
      </c>
      <c r="B111" s="157" t="s">
        <v>527</v>
      </c>
      <c r="C111" t="s">
        <v>528</v>
      </c>
      <c r="D111" s="150">
        <f>D110+1</f>
        <v>43192</v>
      </c>
      <c r="F111" s="97" t="s">
        <v>521</v>
      </c>
      <c r="G111" s="97" t="s">
        <v>521</v>
      </c>
      <c r="H111" s="97" t="s">
        <v>521</v>
      </c>
      <c r="I111" s="97" t="s">
        <v>521</v>
      </c>
      <c r="J111" s="97" t="s">
        <v>521</v>
      </c>
      <c r="K111" s="97" t="s">
        <v>521</v>
      </c>
      <c r="L111" s="97" t="s">
        <v>521</v>
      </c>
      <c r="M111" s="97" t="s">
        <v>521</v>
      </c>
      <c r="N111" s="97" t="s">
        <v>521</v>
      </c>
      <c r="O111" s="97" t="s">
        <v>521</v>
      </c>
      <c r="P111" s="97" t="s">
        <v>521</v>
      </c>
      <c r="Q111" s="97" t="s">
        <v>521</v>
      </c>
      <c r="R111" s="97" t="s">
        <v>521</v>
      </c>
      <c r="T111" s="97" t="s">
        <v>521</v>
      </c>
      <c r="U111" s="97" t="s">
        <v>521</v>
      </c>
      <c r="V111" s="97" t="s">
        <v>521</v>
      </c>
      <c r="W111" s="97" t="s">
        <v>521</v>
      </c>
      <c r="X111" s="97" t="s">
        <v>521</v>
      </c>
      <c r="Y111" s="97" t="s">
        <v>521</v>
      </c>
      <c r="AA111" s="97" t="s">
        <v>521</v>
      </c>
      <c r="AB111" s="97" t="s">
        <v>521</v>
      </c>
      <c r="AC111" s="97" t="s">
        <v>521</v>
      </c>
      <c r="AD111" s="97" t="s">
        <v>521</v>
      </c>
      <c r="AI111" s="97" t="s">
        <v>521</v>
      </c>
      <c r="AJ111" s="97" t="s">
        <v>521</v>
      </c>
      <c r="AM111" s="97" t="s">
        <v>521</v>
      </c>
      <c r="AN111" s="97" t="s">
        <v>521</v>
      </c>
      <c r="AP111" s="97" t="s">
        <v>521</v>
      </c>
      <c r="AS111" s="97" t="s">
        <v>521</v>
      </c>
    </row>
    <row r="112" spans="1:45">
      <c r="A112" s="156">
        <v>43230</v>
      </c>
      <c r="B112" t="s">
        <v>529</v>
      </c>
      <c r="D112" s="150">
        <f>D113-10</f>
        <v>43230</v>
      </c>
      <c r="F112" s="97" t="s">
        <v>521</v>
      </c>
      <c r="G112" s="97" t="s">
        <v>521</v>
      </c>
      <c r="H112" s="97" t="s">
        <v>521</v>
      </c>
      <c r="I112" s="97" t="s">
        <v>521</v>
      </c>
      <c r="J112" s="97" t="s">
        <v>521</v>
      </c>
      <c r="K112" s="97" t="s">
        <v>521</v>
      </c>
      <c r="L112" s="97" t="s">
        <v>521</v>
      </c>
      <c r="M112" s="97" t="s">
        <v>521</v>
      </c>
      <c r="N112" s="97" t="s">
        <v>521</v>
      </c>
      <c r="O112" s="97" t="s">
        <v>521</v>
      </c>
      <c r="P112" s="97" t="s">
        <v>521</v>
      </c>
      <c r="Q112" s="97" t="s">
        <v>521</v>
      </c>
      <c r="S112" s="97" t="s">
        <v>521</v>
      </c>
      <c r="T112" s="97" t="s">
        <v>521</v>
      </c>
      <c r="U112" s="97" t="s">
        <v>521</v>
      </c>
      <c r="V112" s="97" t="s">
        <v>521</v>
      </c>
      <c r="W112" s="97" t="s">
        <v>521</v>
      </c>
      <c r="X112" s="97" t="s">
        <v>521</v>
      </c>
      <c r="Y112" s="97" t="s">
        <v>521</v>
      </c>
      <c r="Z112" s="97" t="s">
        <v>521</v>
      </c>
      <c r="AA112" s="97" t="s">
        <v>521</v>
      </c>
      <c r="AB112" s="97" t="s">
        <v>521</v>
      </c>
      <c r="AC112" s="97" t="s">
        <v>521</v>
      </c>
      <c r="AD112" s="97" t="s">
        <v>521</v>
      </c>
      <c r="AE112" s="97" t="s">
        <v>521</v>
      </c>
      <c r="AF112" s="97" t="s">
        <v>521</v>
      </c>
      <c r="AG112" s="97" t="s">
        <v>521</v>
      </c>
      <c r="AH112" s="97" t="s">
        <v>521</v>
      </c>
      <c r="AI112" s="97" t="s">
        <v>521</v>
      </c>
      <c r="AJ112" s="97" t="s">
        <v>521</v>
      </c>
      <c r="AK112" s="97" t="s">
        <v>521</v>
      </c>
      <c r="AL112" s="97" t="s">
        <v>521</v>
      </c>
      <c r="AM112" s="97" t="s">
        <v>521</v>
      </c>
      <c r="AN112" s="97" t="s">
        <v>521</v>
      </c>
      <c r="AO112" s="97" t="s">
        <v>521</v>
      </c>
      <c r="AP112" s="97" t="s">
        <v>521</v>
      </c>
      <c r="AQ112" s="97" t="s">
        <v>521</v>
      </c>
      <c r="AR112" s="97" t="s">
        <v>521</v>
      </c>
      <c r="AS112" s="97" t="s">
        <v>521</v>
      </c>
    </row>
    <row r="113" spans="1:45">
      <c r="A113" s="156">
        <v>43240</v>
      </c>
      <c r="B113" t="s">
        <v>530</v>
      </c>
      <c r="D113" s="150">
        <f>D110+49</f>
        <v>43240</v>
      </c>
      <c r="F113" s="97" t="s">
        <v>521</v>
      </c>
      <c r="G113" s="97" t="s">
        <v>521</v>
      </c>
      <c r="H113" s="97" t="s">
        <v>521</v>
      </c>
      <c r="I113" s="97" t="s">
        <v>521</v>
      </c>
      <c r="J113" s="97" t="s">
        <v>521</v>
      </c>
      <c r="K113" s="97" t="s">
        <v>521</v>
      </c>
      <c r="L113" s="97" t="s">
        <v>521</v>
      </c>
      <c r="M113" s="97" t="s">
        <v>521</v>
      </c>
      <c r="N113" s="97" t="s">
        <v>521</v>
      </c>
      <c r="O113" s="97" t="s">
        <v>521</v>
      </c>
      <c r="P113" s="97" t="s">
        <v>521</v>
      </c>
      <c r="Q113" s="97" t="s">
        <v>521</v>
      </c>
      <c r="S113" s="97" t="s">
        <v>521</v>
      </c>
      <c r="T113" s="97" t="s">
        <v>521</v>
      </c>
      <c r="U113" s="97" t="s">
        <v>521</v>
      </c>
      <c r="V113" s="97" t="s">
        <v>521</v>
      </c>
      <c r="W113" s="97" t="s">
        <v>521</v>
      </c>
      <c r="X113" s="97" t="s">
        <v>521</v>
      </c>
      <c r="Y113" s="97" t="s">
        <v>521</v>
      </c>
      <c r="Z113" s="97" t="s">
        <v>521</v>
      </c>
      <c r="AA113" s="97" t="s">
        <v>521</v>
      </c>
      <c r="AB113" s="97" t="s">
        <v>521</v>
      </c>
      <c r="AC113" s="97" t="s">
        <v>521</v>
      </c>
      <c r="AD113" s="97" t="s">
        <v>521</v>
      </c>
      <c r="AE113" s="97" t="s">
        <v>521</v>
      </c>
      <c r="AF113" s="97" t="s">
        <v>521</v>
      </c>
      <c r="AG113" s="97" t="s">
        <v>521</v>
      </c>
      <c r="AH113" s="97" t="s">
        <v>521</v>
      </c>
      <c r="AI113" s="97" t="s">
        <v>521</v>
      </c>
      <c r="AJ113" s="97" t="s">
        <v>521</v>
      </c>
      <c r="AK113" s="97" t="s">
        <v>521</v>
      </c>
      <c r="AL113" s="97" t="s">
        <v>521</v>
      </c>
      <c r="AM113" s="97" t="s">
        <v>521</v>
      </c>
      <c r="AN113" s="97" t="s">
        <v>521</v>
      </c>
      <c r="AO113" s="97" t="s">
        <v>521</v>
      </c>
      <c r="AP113" s="97" t="s">
        <v>521</v>
      </c>
      <c r="AQ113" s="97" t="s">
        <v>521</v>
      </c>
      <c r="AR113" s="97" t="s">
        <v>521</v>
      </c>
      <c r="AS113" s="97" t="s">
        <v>521</v>
      </c>
    </row>
    <row r="114" spans="1:45">
      <c r="A114" s="156">
        <v>43241</v>
      </c>
      <c r="B114" s="157" t="s">
        <v>527</v>
      </c>
      <c r="C114" t="s">
        <v>531</v>
      </c>
      <c r="D114" s="150">
        <f>D113+1</f>
        <v>43241</v>
      </c>
      <c r="F114" s="97" t="s">
        <v>521</v>
      </c>
      <c r="G114" s="97" t="s">
        <v>521</v>
      </c>
      <c r="H114" s="97" t="s">
        <v>521</v>
      </c>
      <c r="I114" s="97" t="s">
        <v>521</v>
      </c>
      <c r="J114" s="97" t="s">
        <v>521</v>
      </c>
      <c r="K114" s="97" t="s">
        <v>521</v>
      </c>
      <c r="L114" s="97" t="s">
        <v>521</v>
      </c>
      <c r="M114" s="97" t="s">
        <v>521</v>
      </c>
      <c r="N114" s="97" t="s">
        <v>521</v>
      </c>
      <c r="O114" s="97" t="s">
        <v>521</v>
      </c>
      <c r="P114" s="97" t="s">
        <v>521</v>
      </c>
      <c r="Q114" s="97" t="s">
        <v>521</v>
      </c>
      <c r="S114" s="97" t="s">
        <v>521</v>
      </c>
      <c r="T114" s="97" t="s">
        <v>521</v>
      </c>
      <c r="U114" s="97" t="s">
        <v>521</v>
      </c>
      <c r="V114" s="97" t="s">
        <v>521</v>
      </c>
      <c r="W114" s="97" t="s">
        <v>521</v>
      </c>
      <c r="X114" s="97" t="s">
        <v>521</v>
      </c>
      <c r="Y114" s="97" t="s">
        <v>521</v>
      </c>
      <c r="AA114" s="97" t="s">
        <v>521</v>
      </c>
      <c r="AC114" s="97" t="s">
        <v>521</v>
      </c>
      <c r="AD114" s="97" t="s">
        <v>521</v>
      </c>
      <c r="AI114" s="97" t="s">
        <v>521</v>
      </c>
      <c r="AJ114" s="97" t="s">
        <v>521</v>
      </c>
      <c r="AM114" s="97" t="s">
        <v>521</v>
      </c>
      <c r="AS114" s="97" t="s">
        <v>521</v>
      </c>
    </row>
    <row r="115" spans="1:45">
      <c r="A115" s="156">
        <v>43221</v>
      </c>
      <c r="B115" t="s">
        <v>532</v>
      </c>
      <c r="D115" s="150">
        <f>DATE($C$1+1,5,1)</f>
        <v>43221</v>
      </c>
      <c r="F115" s="97" t="s">
        <v>521</v>
      </c>
      <c r="G115" s="97" t="s">
        <v>521</v>
      </c>
      <c r="H115" s="97" t="s">
        <v>521</v>
      </c>
      <c r="I115" s="97" t="s">
        <v>521</v>
      </c>
      <c r="J115" s="97" t="s">
        <v>521</v>
      </c>
      <c r="K115" s="97" t="s">
        <v>521</v>
      </c>
      <c r="L115" s="97" t="s">
        <v>521</v>
      </c>
      <c r="M115" s="97" t="s">
        <v>521</v>
      </c>
      <c r="N115" s="97" t="s">
        <v>521</v>
      </c>
      <c r="O115" s="97" t="s">
        <v>521</v>
      </c>
      <c r="P115" s="97" t="s">
        <v>521</v>
      </c>
      <c r="Q115" s="97" t="s">
        <v>521</v>
      </c>
      <c r="X115" s="97" t="s">
        <v>521</v>
      </c>
      <c r="Y115" s="97" t="s">
        <v>521</v>
      </c>
      <c r="AD115" s="97" t="s">
        <v>521</v>
      </c>
      <c r="AK115" s="97" t="s">
        <v>521</v>
      </c>
      <c r="AS115" s="97" t="s">
        <v>521</v>
      </c>
    </row>
    <row r="116" spans="1:45">
      <c r="A116" s="156">
        <v>43228</v>
      </c>
      <c r="B116" t="s">
        <v>533</v>
      </c>
      <c r="D116" s="150">
        <f>DATE($C$1+1,5,8)</f>
        <v>43228</v>
      </c>
      <c r="F116" s="97" t="s">
        <v>521</v>
      </c>
      <c r="G116" s="97" t="s">
        <v>521</v>
      </c>
      <c r="H116" s="97" t="s">
        <v>521</v>
      </c>
      <c r="I116" s="97" t="s">
        <v>521</v>
      </c>
      <c r="J116" s="97" t="s">
        <v>521</v>
      </c>
      <c r="K116" s="97" t="s">
        <v>521</v>
      </c>
      <c r="L116" s="97" t="s">
        <v>521</v>
      </c>
      <c r="M116" s="97" t="s">
        <v>521</v>
      </c>
      <c r="N116" s="97" t="s">
        <v>521</v>
      </c>
      <c r="O116" s="97" t="s">
        <v>521</v>
      </c>
    </row>
    <row r="117" spans="1:45">
      <c r="A117" s="156">
        <v>43295</v>
      </c>
      <c r="B117" t="s">
        <v>534</v>
      </c>
      <c r="C117" t="s">
        <v>481</v>
      </c>
      <c r="D117" s="150">
        <f>DATE($C$1+1,7,14)</f>
        <v>43295</v>
      </c>
      <c r="F117" s="97" t="s">
        <v>521</v>
      </c>
      <c r="G117" s="97" t="s">
        <v>521</v>
      </c>
      <c r="H117" s="97" t="s">
        <v>521</v>
      </c>
      <c r="I117" s="97" t="s">
        <v>521</v>
      </c>
      <c r="J117" s="97" t="s">
        <v>521</v>
      </c>
      <c r="K117" s="97" t="s">
        <v>521</v>
      </c>
      <c r="L117" s="97" t="s">
        <v>521</v>
      </c>
      <c r="M117" s="97" t="s">
        <v>521</v>
      </c>
      <c r="N117" s="97" t="s">
        <v>521</v>
      </c>
      <c r="O117" s="97" t="s">
        <v>521</v>
      </c>
    </row>
    <row r="118" spans="1:45">
      <c r="A118" s="156">
        <v>43327</v>
      </c>
      <c r="B118" t="s">
        <v>294</v>
      </c>
      <c r="D118" s="150">
        <f>DATE($C$1+1,8,15)</f>
        <v>43327</v>
      </c>
      <c r="F118" s="97" t="s">
        <v>521</v>
      </c>
      <c r="G118" s="97" t="s">
        <v>521</v>
      </c>
      <c r="H118" s="97" t="s">
        <v>521</v>
      </c>
      <c r="I118" s="97" t="s">
        <v>521</v>
      </c>
      <c r="J118" s="97" t="s">
        <v>521</v>
      </c>
      <c r="K118" s="97" t="s">
        <v>521</v>
      </c>
      <c r="L118" s="97" t="s">
        <v>521</v>
      </c>
      <c r="M118" s="97" t="s">
        <v>521</v>
      </c>
      <c r="N118" s="97" t="s">
        <v>521</v>
      </c>
      <c r="O118" s="97" t="s">
        <v>521</v>
      </c>
      <c r="P118" s="97" t="s">
        <v>521</v>
      </c>
      <c r="Q118" s="97" t="s">
        <v>521</v>
      </c>
      <c r="T118" s="97" t="s">
        <v>521</v>
      </c>
      <c r="Z118" s="97" t="s">
        <v>521</v>
      </c>
      <c r="AE118" s="97" t="s">
        <v>521</v>
      </c>
      <c r="AG118" s="97" t="s">
        <v>521</v>
      </c>
      <c r="AH118" s="97" t="s">
        <v>521</v>
      </c>
      <c r="AK118" s="97" t="s">
        <v>521</v>
      </c>
      <c r="AL118" s="97" t="s">
        <v>521</v>
      </c>
      <c r="AN118" s="97" t="s">
        <v>521</v>
      </c>
      <c r="AO118" s="97" t="s">
        <v>521</v>
      </c>
      <c r="AQ118" s="97" t="s">
        <v>521</v>
      </c>
      <c r="AR118" s="97" t="s">
        <v>521</v>
      </c>
    </row>
    <row r="119" spans="1:45">
      <c r="A119" s="156">
        <v>43401</v>
      </c>
      <c r="B119" t="s">
        <v>535</v>
      </c>
      <c r="D119" s="150">
        <f>DATE($C$1+1,11,1)-WEEKDAY(DATE($C$1+1,10,31))</f>
        <v>43401</v>
      </c>
      <c r="F119" s="97" t="s">
        <v>521</v>
      </c>
      <c r="G119" s="97" t="s">
        <v>521</v>
      </c>
      <c r="P119" s="97" t="s">
        <v>521</v>
      </c>
      <c r="Q119" s="97" t="s">
        <v>521</v>
      </c>
      <c r="S119" s="97" t="s">
        <v>521</v>
      </c>
      <c r="T119" s="97" t="s">
        <v>521</v>
      </c>
      <c r="U119" s="97" t="s">
        <v>521</v>
      </c>
      <c r="V119" s="97" t="s">
        <v>521</v>
      </c>
      <c r="W119" s="97" t="s">
        <v>521</v>
      </c>
      <c r="X119" s="97" t="s">
        <v>521</v>
      </c>
      <c r="Y119" s="97" t="s">
        <v>521</v>
      </c>
      <c r="Z119" s="97" t="s">
        <v>521</v>
      </c>
      <c r="AA119" s="97" t="s">
        <v>521</v>
      </c>
      <c r="AB119" s="97" t="s">
        <v>521</v>
      </c>
      <c r="AC119" s="97" t="s">
        <v>521</v>
      </c>
      <c r="AD119" s="97" t="s">
        <v>521</v>
      </c>
      <c r="AE119" s="97" t="s">
        <v>521</v>
      </c>
      <c r="AF119" s="97" t="s">
        <v>521</v>
      </c>
      <c r="AG119" s="97" t="s">
        <v>521</v>
      </c>
      <c r="AH119" s="97" t="s">
        <v>521</v>
      </c>
      <c r="AI119" s="97" t="s">
        <v>521</v>
      </c>
      <c r="AJ119" s="97" t="s">
        <v>521</v>
      </c>
      <c r="AK119" s="97" t="s">
        <v>521</v>
      </c>
      <c r="AL119" s="97" t="s">
        <v>521</v>
      </c>
      <c r="AM119" s="97" t="s">
        <v>521</v>
      </c>
      <c r="AN119" s="97" t="s">
        <v>521</v>
      </c>
      <c r="AO119" s="97" t="s">
        <v>521</v>
      </c>
      <c r="AP119" s="97" t="s">
        <v>521</v>
      </c>
      <c r="AQ119" s="97" t="s">
        <v>521</v>
      </c>
      <c r="AR119" s="97" t="s">
        <v>521</v>
      </c>
      <c r="AS119" s="97" t="s">
        <v>521</v>
      </c>
    </row>
    <row r="120" spans="1:45">
      <c r="A120" s="156">
        <v>43405</v>
      </c>
      <c r="B120" t="s">
        <v>21</v>
      </c>
      <c r="D120" s="150">
        <f>DATE($C$1+1,11,1)</f>
        <v>43405</v>
      </c>
      <c r="F120" s="97" t="s">
        <v>521</v>
      </c>
      <c r="G120" s="97" t="s">
        <v>521</v>
      </c>
      <c r="H120" s="97" t="s">
        <v>521</v>
      </c>
      <c r="I120" s="97" t="s">
        <v>521</v>
      </c>
      <c r="J120" s="97" t="s">
        <v>521</v>
      </c>
      <c r="K120" s="97" t="s">
        <v>521</v>
      </c>
      <c r="L120" s="97" t="s">
        <v>521</v>
      </c>
      <c r="M120" s="97" t="s">
        <v>521</v>
      </c>
      <c r="N120" s="97" t="s">
        <v>521</v>
      </c>
      <c r="O120" s="97" t="s">
        <v>521</v>
      </c>
      <c r="P120" s="97" t="s">
        <v>521</v>
      </c>
      <c r="Q120" s="97" t="s">
        <v>521</v>
      </c>
      <c r="T120" s="97" t="s">
        <v>521</v>
      </c>
      <c r="Z120" s="97" t="s">
        <v>521</v>
      </c>
      <c r="AB120" s="97" t="s">
        <v>521</v>
      </c>
      <c r="AE120" s="97" t="s">
        <v>521</v>
      </c>
      <c r="AG120" s="97" t="s">
        <v>521</v>
      </c>
      <c r="AH120" s="97" t="s">
        <v>521</v>
      </c>
      <c r="AI120" s="97" t="s">
        <v>521</v>
      </c>
      <c r="AK120" s="97" t="s">
        <v>521</v>
      </c>
      <c r="AL120" s="97" t="s">
        <v>521</v>
      </c>
      <c r="AN120" s="97" t="s">
        <v>521</v>
      </c>
      <c r="AO120" s="97" t="s">
        <v>521</v>
      </c>
      <c r="AQ120" s="97" t="s">
        <v>521</v>
      </c>
      <c r="AR120" s="97" t="s">
        <v>521</v>
      </c>
    </row>
    <row r="121" spans="1:45">
      <c r="A121" s="156">
        <v>43415</v>
      </c>
      <c r="B121" t="s">
        <v>380</v>
      </c>
      <c r="D121" s="150">
        <f>DATE($C$1+1,11,11)</f>
        <v>43415</v>
      </c>
      <c r="F121" s="97" t="s">
        <v>521</v>
      </c>
      <c r="G121" s="97" t="s">
        <v>521</v>
      </c>
      <c r="H121" s="97" t="s">
        <v>521</v>
      </c>
      <c r="I121" s="97" t="s">
        <v>521</v>
      </c>
      <c r="J121" s="97" t="s">
        <v>521</v>
      </c>
      <c r="K121" s="97" t="s">
        <v>521</v>
      </c>
      <c r="L121" s="97" t="s">
        <v>521</v>
      </c>
      <c r="M121" s="97" t="s">
        <v>521</v>
      </c>
      <c r="N121" s="97" t="s">
        <v>521</v>
      </c>
      <c r="O121" s="97" t="s">
        <v>521</v>
      </c>
      <c r="P121" s="97" t="s">
        <v>521</v>
      </c>
    </row>
    <row r="122" spans="1:45">
      <c r="A122" s="156">
        <v>42729</v>
      </c>
      <c r="B122" t="s">
        <v>13</v>
      </c>
      <c r="D122" s="150">
        <f>DATE($C$1-1,12,25)</f>
        <v>42729</v>
      </c>
      <c r="F122" s="97" t="s">
        <v>521</v>
      </c>
      <c r="G122" s="97" t="s">
        <v>521</v>
      </c>
      <c r="H122" s="97" t="s">
        <v>521</v>
      </c>
      <c r="I122" s="97" t="s">
        <v>521</v>
      </c>
      <c r="J122" s="97" t="s">
        <v>521</v>
      </c>
      <c r="K122" s="97" t="s">
        <v>521</v>
      </c>
      <c r="L122" s="97" t="s">
        <v>521</v>
      </c>
      <c r="M122" s="97" t="s">
        <v>521</v>
      </c>
      <c r="N122" s="97" t="s">
        <v>521</v>
      </c>
      <c r="O122" s="97" t="s">
        <v>521</v>
      </c>
      <c r="P122" s="97" t="s">
        <v>521</v>
      </c>
      <c r="Q122" s="97" t="s">
        <v>521</v>
      </c>
      <c r="R122" s="97" t="s">
        <v>521</v>
      </c>
      <c r="S122" s="97" t="s">
        <v>521</v>
      </c>
      <c r="T122" s="97" t="s">
        <v>521</v>
      </c>
      <c r="U122" s="97" t="s">
        <v>521</v>
      </c>
      <c r="V122" s="97" t="s">
        <v>521</v>
      </c>
      <c r="W122" s="97" t="s">
        <v>521</v>
      </c>
      <c r="X122" s="97" t="s">
        <v>521</v>
      </c>
      <c r="Y122" s="97" t="s">
        <v>521</v>
      </c>
      <c r="Z122" s="97" t="s">
        <v>521</v>
      </c>
      <c r="AA122" s="97" t="s">
        <v>521</v>
      </c>
      <c r="AB122" s="97" t="s">
        <v>521</v>
      </c>
      <c r="AC122" s="97" t="s">
        <v>521</v>
      </c>
      <c r="AD122" s="97" t="s">
        <v>521</v>
      </c>
      <c r="AE122" s="97" t="s">
        <v>521</v>
      </c>
      <c r="AF122" s="97" t="s">
        <v>521</v>
      </c>
      <c r="AG122" s="97" t="s">
        <v>521</v>
      </c>
      <c r="AH122" s="97" t="s">
        <v>521</v>
      </c>
      <c r="AI122" s="97" t="s">
        <v>521</v>
      </c>
      <c r="AJ122" s="97" t="s">
        <v>521</v>
      </c>
      <c r="AK122" s="97" t="s">
        <v>521</v>
      </c>
      <c r="AL122" s="97" t="s">
        <v>521</v>
      </c>
      <c r="AM122" s="97" t="s">
        <v>521</v>
      </c>
      <c r="AN122" s="97" t="s">
        <v>521</v>
      </c>
      <c r="AO122" s="97" t="s">
        <v>521</v>
      </c>
      <c r="AP122" s="97" t="s">
        <v>521</v>
      </c>
      <c r="AQ122" s="97" t="s">
        <v>521</v>
      </c>
      <c r="AR122" s="97" t="s">
        <v>521</v>
      </c>
      <c r="AS122" s="97" t="s">
        <v>521</v>
      </c>
    </row>
    <row r="123" spans="1:45">
      <c r="A123" s="156" t="str">
        <v/>
      </c>
      <c r="B123" t="s">
        <v>536</v>
      </c>
      <c r="D123" s="150">
        <f>D122+1</f>
        <v>42730</v>
      </c>
      <c r="G123" s="97" t="s">
        <v>521</v>
      </c>
      <c r="Q123" s="97" t="s">
        <v>521</v>
      </c>
      <c r="T123" s="97" t="s">
        <v>521</v>
      </c>
      <c r="U123" s="97" t="s">
        <v>521</v>
      </c>
      <c r="V123" s="97" t="s">
        <v>521</v>
      </c>
      <c r="W123" s="97" t="s">
        <v>521</v>
      </c>
      <c r="X123" s="97" t="s">
        <v>521</v>
      </c>
      <c r="Y123" s="97" t="s">
        <v>521</v>
      </c>
      <c r="AB123" s="97" t="s">
        <v>521</v>
      </c>
      <c r="AC123" s="97" t="s">
        <v>521</v>
      </c>
      <c r="AE123" s="97" t="s">
        <v>521</v>
      </c>
      <c r="AF123" s="97" t="s">
        <v>521</v>
      </c>
      <c r="AI123" s="97" t="s">
        <v>521</v>
      </c>
      <c r="AJ123" s="97" t="s">
        <v>521</v>
      </c>
      <c r="AM123" s="97" t="s">
        <v>521</v>
      </c>
      <c r="AN123" s="97" t="s">
        <v>521</v>
      </c>
      <c r="AS123" s="97" t="s">
        <v>521</v>
      </c>
    </row>
    <row r="124" spans="1:45">
      <c r="A124" s="156" t="str">
        <v/>
      </c>
      <c r="B124" t="s">
        <v>537</v>
      </c>
      <c r="C124" t="s">
        <v>483</v>
      </c>
      <c r="D124" s="150">
        <f>DATE($C$1-1,12,20)</f>
        <v>42724</v>
      </c>
      <c r="H124" s="97" t="s">
        <v>521</v>
      </c>
    </row>
    <row r="125" spans="1:45">
      <c r="A125" s="156" t="str">
        <v/>
      </c>
      <c r="B125" t="s">
        <v>534</v>
      </c>
      <c r="C125" t="s">
        <v>491</v>
      </c>
      <c r="D125" s="150">
        <f>DATE($C$1+1,7,21)</f>
        <v>43302</v>
      </c>
      <c r="P125" s="97" t="s">
        <v>521</v>
      </c>
    </row>
    <row r="126" spans="1:45">
      <c r="A126" s="156" t="str">
        <v/>
      </c>
      <c r="B126" t="s">
        <v>534</v>
      </c>
      <c r="C126" t="s">
        <v>492</v>
      </c>
      <c r="D126" s="150">
        <f>DATE($C$1+1,6,23)</f>
        <v>43274</v>
      </c>
      <c r="Q126" s="97" t="s">
        <v>521</v>
      </c>
    </row>
    <row r="127" spans="1:45">
      <c r="A127" s="156" t="str">
        <v/>
      </c>
      <c r="B127" t="s">
        <v>534</v>
      </c>
      <c r="C127" t="s">
        <v>493</v>
      </c>
      <c r="D127" s="150">
        <f>DATE($C$1+1,6,24)</f>
        <v>43275</v>
      </c>
      <c r="R127" s="97" t="s">
        <v>521</v>
      </c>
    </row>
    <row r="128" spans="1:45">
      <c r="A128" s="156" t="str">
        <v/>
      </c>
      <c r="B128" t="s">
        <v>532</v>
      </c>
      <c r="C128" t="s">
        <v>525</v>
      </c>
      <c r="D128" s="150">
        <f>DATE($C$1+1,9,8)-WEEKDAY(DATE($C$1+1,9,6))</f>
        <v>43346</v>
      </c>
      <c r="R128" s="97" t="s">
        <v>521</v>
      </c>
    </row>
    <row r="129" spans="1:44">
      <c r="A129" s="156">
        <v>43247</v>
      </c>
      <c r="B129" t="s">
        <v>538</v>
      </c>
      <c r="D129" s="150">
        <f>DATE($C$1+1,6,1)-WEEKDAY(DATE($C$1+1,5,31))</f>
        <v>43247</v>
      </c>
      <c r="F129" s="97" t="s">
        <v>521</v>
      </c>
      <c r="G129" s="97" t="s">
        <v>521</v>
      </c>
      <c r="H129" s="97" t="s">
        <v>521</v>
      </c>
      <c r="I129" s="97" t="s">
        <v>521</v>
      </c>
      <c r="J129" s="97" t="s">
        <v>521</v>
      </c>
      <c r="K129" s="97" t="s">
        <v>521</v>
      </c>
      <c r="L129" s="97" t="s">
        <v>521</v>
      </c>
      <c r="M129" s="97" t="s">
        <v>521</v>
      </c>
      <c r="N129" s="97" t="s">
        <v>521</v>
      </c>
      <c r="O129" s="97" t="s">
        <v>521</v>
      </c>
    </row>
    <row r="130" spans="1:44">
      <c r="A130" s="156" t="str">
        <v/>
      </c>
      <c r="B130" t="s">
        <v>538</v>
      </c>
      <c r="D130" s="150" t="str">
        <f>IF(D129=D115,D129+7,"")</f>
        <v/>
      </c>
      <c r="F130" s="97" t="s">
        <v>521</v>
      </c>
      <c r="G130" s="97" t="s">
        <v>521</v>
      </c>
      <c r="H130" s="97" t="s">
        <v>521</v>
      </c>
      <c r="I130" s="97" t="s">
        <v>521</v>
      </c>
      <c r="J130" s="97" t="s">
        <v>521</v>
      </c>
      <c r="K130" s="97" t="s">
        <v>521</v>
      </c>
      <c r="L130" s="97" t="s">
        <v>521</v>
      </c>
      <c r="M130" s="97" t="s">
        <v>521</v>
      </c>
      <c r="N130" s="97" t="s">
        <v>521</v>
      </c>
      <c r="O130" s="97" t="s">
        <v>521</v>
      </c>
    </row>
    <row r="131" spans="1:44">
      <c r="A131" s="156" t="str">
        <v/>
      </c>
      <c r="B131" t="s">
        <v>539</v>
      </c>
      <c r="D131" s="150">
        <f>DATE($C$1+1,6,22)-WEEKDAY(DATE($C$1+1,6,7))</f>
        <v>43268</v>
      </c>
    </row>
    <row r="132" spans="1:44">
      <c r="A132" s="156" t="str">
        <v/>
      </c>
      <c r="B132" t="s">
        <v>540</v>
      </c>
      <c r="D132" s="150">
        <f>DATE($C$1+1,3,8)-WEEKDAY(DATE($C$1+1,3,7))</f>
        <v>43163</v>
      </c>
    </row>
    <row r="133" spans="1:44">
      <c r="A133" s="156" t="str">
        <v/>
      </c>
      <c r="B133" t="s">
        <v>541</v>
      </c>
      <c r="C133" t="s">
        <v>542</v>
      </c>
      <c r="D133" s="150">
        <f>DATE($C$1+1,1,9)-WEEKDAY(DATE($C$1+1,1,8))</f>
        <v>43107</v>
      </c>
    </row>
    <row r="134" spans="1:44">
      <c r="A134" s="156" t="str">
        <v/>
      </c>
      <c r="B134" t="s">
        <v>541</v>
      </c>
      <c r="C134" t="s">
        <v>543</v>
      </c>
      <c r="D134" s="150">
        <f>DATE($C$1+1,1,6)</f>
        <v>43106</v>
      </c>
      <c r="AN134" s="97" t="s">
        <v>521</v>
      </c>
    </row>
    <row r="135" spans="1:44">
      <c r="A135" s="156" t="str">
        <v/>
      </c>
      <c r="B135" t="s">
        <v>544</v>
      </c>
      <c r="D135" s="150">
        <f>D110+60</f>
        <v>43251</v>
      </c>
      <c r="T135" s="97" t="s">
        <v>521</v>
      </c>
      <c r="U135" s="97" t="s">
        <v>521</v>
      </c>
      <c r="Z135" s="97" t="s">
        <v>521</v>
      </c>
      <c r="AD135" s="97" t="s">
        <v>521</v>
      </c>
      <c r="AE135" s="97" t="s">
        <v>521</v>
      </c>
      <c r="AG135" s="97" t="s">
        <v>521</v>
      </c>
      <c r="AH135" s="97" t="s">
        <v>521</v>
      </c>
      <c r="AK135" s="97" t="s">
        <v>521</v>
      </c>
      <c r="AL135" s="97" t="s">
        <v>521</v>
      </c>
      <c r="AO135" s="97" t="s">
        <v>521</v>
      </c>
      <c r="AQ135" s="97" t="s">
        <v>521</v>
      </c>
      <c r="AR135" s="97" t="s">
        <v>521</v>
      </c>
    </row>
    <row r="136" spans="1:44">
      <c r="A136" s="156" t="str">
        <v/>
      </c>
      <c r="B136" t="s">
        <v>405</v>
      </c>
      <c r="D136" s="150">
        <f>DATE($C$1-1,12,8)</f>
        <v>42712</v>
      </c>
      <c r="T136" s="97" t="s">
        <v>521</v>
      </c>
      <c r="Z136" s="97" t="s">
        <v>521</v>
      </c>
      <c r="AG136" s="97" t="s">
        <v>521</v>
      </c>
      <c r="AH136" s="97" t="s">
        <v>521</v>
      </c>
      <c r="AO136" s="97" t="s">
        <v>521</v>
      </c>
      <c r="AQ136" s="97" t="s">
        <v>521</v>
      </c>
      <c r="AR136" s="97" t="s">
        <v>521</v>
      </c>
    </row>
    <row r="137" spans="1:44">
      <c r="A137" s="156" t="str">
        <v/>
      </c>
      <c r="B137" t="s">
        <v>535</v>
      </c>
      <c r="C137" t="s">
        <v>525</v>
      </c>
      <c r="D137" s="150">
        <f>DATE($C$1+1,11,8)-WEEKDAY(DATE($C$1+1,11,7))</f>
        <v>43408</v>
      </c>
      <c r="O137" s="97" t="s">
        <v>521</v>
      </c>
      <c r="R137" s="97" t="s">
        <v>521</v>
      </c>
    </row>
    <row r="138" spans="1:44">
      <c r="A138" s="156" t="str">
        <v/>
      </c>
      <c r="B138" t="s">
        <v>545</v>
      </c>
      <c r="D138" s="150">
        <f>D139-1</f>
        <v>43144</v>
      </c>
      <c r="I138" s="97" t="s">
        <v>521</v>
      </c>
      <c r="J138" s="97" t="s">
        <v>521</v>
      </c>
      <c r="K138" s="97" t="s">
        <v>521</v>
      </c>
    </row>
    <row r="139" spans="1:44">
      <c r="A139" s="156" t="str">
        <v/>
      </c>
      <c r="B139" t="s">
        <v>546</v>
      </c>
      <c r="C139" t="s">
        <v>547</v>
      </c>
      <c r="D139" s="150">
        <f>D110-46</f>
        <v>43145</v>
      </c>
      <c r="I139" s="97" t="s">
        <v>521</v>
      </c>
      <c r="J139" s="97" t="s">
        <v>521</v>
      </c>
      <c r="K139" s="97" t="s">
        <v>521</v>
      </c>
    </row>
    <row r="140" spans="1:44">
      <c r="A140" s="156" t="str">
        <v/>
      </c>
      <c r="B140" t="s">
        <v>548</v>
      </c>
      <c r="D140" s="150">
        <f>D110-24</f>
        <v>43167</v>
      </c>
      <c r="I140" s="97" t="s">
        <v>521</v>
      </c>
      <c r="J140" s="97" t="s">
        <v>521</v>
      </c>
      <c r="K140" s="97" t="s">
        <v>521</v>
      </c>
    </row>
    <row r="141" spans="1:44">
      <c r="A141" s="156" t="str">
        <v/>
      </c>
      <c r="B141" t="s">
        <v>537</v>
      </c>
      <c r="C141" t="s">
        <v>484</v>
      </c>
      <c r="D141" s="150">
        <f>DATE($C$1+1,5,22)</f>
        <v>43242</v>
      </c>
      <c r="I141" s="97" t="s">
        <v>521</v>
      </c>
    </row>
    <row r="142" spans="1:44">
      <c r="A142" s="156" t="str">
        <v/>
      </c>
      <c r="B142" t="s">
        <v>537</v>
      </c>
      <c r="C142" t="s">
        <v>485</v>
      </c>
      <c r="D142" s="150">
        <f>DATE($C$1+1,5,27)</f>
        <v>43247</v>
      </c>
      <c r="J142" s="97" t="s">
        <v>521</v>
      </c>
    </row>
    <row r="143" spans="1:44">
      <c r="A143" s="156" t="str">
        <v/>
      </c>
      <c r="B143" t="s">
        <v>537</v>
      </c>
      <c r="C143" t="s">
        <v>549</v>
      </c>
      <c r="D143" s="150">
        <f>DATE($C$1+1,6,10)</f>
        <v>43261</v>
      </c>
      <c r="K143" s="97" t="s">
        <v>521</v>
      </c>
    </row>
    <row r="144" spans="1:44">
      <c r="A144" s="156" t="str">
        <v/>
      </c>
      <c r="B144" t="s">
        <v>550</v>
      </c>
      <c r="D144" s="150">
        <f>D120+1</f>
        <v>43406</v>
      </c>
      <c r="I144" s="97" t="s">
        <v>521</v>
      </c>
      <c r="J144" s="97" t="s">
        <v>521</v>
      </c>
      <c r="K144" s="97" t="s">
        <v>521</v>
      </c>
    </row>
    <row r="145" spans="1:45">
      <c r="A145" s="156" t="str">
        <v/>
      </c>
      <c r="B145" t="s">
        <v>551</v>
      </c>
      <c r="C145" t="s">
        <v>493</v>
      </c>
      <c r="D145" s="150">
        <f>DATE($C$1+1,5,25)-WEEKDAY(DATE($C$1+1,5,23))</f>
        <v>43241</v>
      </c>
      <c r="R145" s="97" t="s">
        <v>521</v>
      </c>
    </row>
    <row r="146" spans="1:45">
      <c r="A146" s="156" t="str">
        <v/>
      </c>
      <c r="B146" s="157" t="s">
        <v>527</v>
      </c>
      <c r="C146" t="s">
        <v>493</v>
      </c>
      <c r="D146" s="150">
        <f>IF(WEEKDAY(D127)=1,D127+1,"")</f>
        <v>43276</v>
      </c>
      <c r="R146" s="97" t="s">
        <v>521</v>
      </c>
    </row>
    <row r="147" spans="1:45">
      <c r="A147" s="156" t="str">
        <v/>
      </c>
      <c r="B147" t="s">
        <v>552</v>
      </c>
      <c r="C147" t="s">
        <v>493</v>
      </c>
      <c r="D147" s="150">
        <f>DATE($C$1+1,7,1)</f>
        <v>43282</v>
      </c>
      <c r="R147" s="97" t="s">
        <v>521</v>
      </c>
    </row>
    <row r="148" spans="1:45">
      <c r="A148" s="156" t="str">
        <v/>
      </c>
      <c r="B148" s="157" t="s">
        <v>527</v>
      </c>
      <c r="C148" t="s">
        <v>493</v>
      </c>
      <c r="D148" s="150">
        <f>IF(WEEKDAY(D147)=1,D147+1,"")</f>
        <v>43283</v>
      </c>
      <c r="R148" s="97" t="s">
        <v>521</v>
      </c>
    </row>
    <row r="149" spans="1:45">
      <c r="A149" s="156" t="str">
        <v/>
      </c>
      <c r="B149" t="s">
        <v>553</v>
      </c>
      <c r="C149" t="s">
        <v>493</v>
      </c>
      <c r="D149" s="150">
        <f>DATE($C$1+1,10,15)-WEEKDAY(DATE($C$1+1,10,13))</f>
        <v>43381</v>
      </c>
      <c r="R149" s="97" t="s">
        <v>521</v>
      </c>
    </row>
    <row r="150" spans="1:45">
      <c r="A150" s="156" t="str">
        <v/>
      </c>
      <c r="B150" t="s">
        <v>554</v>
      </c>
      <c r="C150" t="s">
        <v>494</v>
      </c>
      <c r="D150" s="150">
        <f>DATE($C$1+1,1,2)</f>
        <v>43102</v>
      </c>
      <c r="T150" s="97" t="s">
        <v>521</v>
      </c>
      <c r="W150" s="97" t="s">
        <v>521</v>
      </c>
      <c r="AF150" s="97" t="s">
        <v>521</v>
      </c>
      <c r="AM150" s="97" t="s">
        <v>521</v>
      </c>
    </row>
    <row r="151" spans="1:45">
      <c r="A151" s="156" t="str">
        <v/>
      </c>
      <c r="B151" t="s">
        <v>555</v>
      </c>
      <c r="C151" t="s">
        <v>494</v>
      </c>
      <c r="D151" s="150">
        <f>DATE($C$1+1,3,1)</f>
        <v>43160</v>
      </c>
      <c r="AF151" s="97" t="s">
        <v>521</v>
      </c>
    </row>
    <row r="152" spans="1:45">
      <c r="A152" s="156" t="str">
        <v/>
      </c>
      <c r="B152" t="s">
        <v>556</v>
      </c>
      <c r="C152" t="s">
        <v>494</v>
      </c>
      <c r="D152" s="150">
        <f>DATE($C$1+1,3,19)</f>
        <v>43178</v>
      </c>
      <c r="AI152" s="97" t="s">
        <v>521</v>
      </c>
      <c r="AQ152" s="97" t="s">
        <v>521</v>
      </c>
    </row>
    <row r="153" spans="1:45">
      <c r="A153" s="156" t="str">
        <v/>
      </c>
      <c r="B153" t="s">
        <v>557</v>
      </c>
      <c r="C153" t="s">
        <v>494</v>
      </c>
      <c r="D153" s="150">
        <f>DATE($C$1+1,4,8)-WEEKDAY(DATE($C$1+1,4,3))</f>
        <v>43195</v>
      </c>
      <c r="AB153" s="97" t="s">
        <v>521</v>
      </c>
    </row>
    <row r="154" spans="1:45">
      <c r="A154" s="156" t="str">
        <v/>
      </c>
      <c r="B154" t="s">
        <v>534</v>
      </c>
      <c r="C154" t="s">
        <v>494</v>
      </c>
      <c r="D154" s="150">
        <f>DATE($C$1+1,8,1)</f>
        <v>43313</v>
      </c>
      <c r="S154" s="97" t="s">
        <v>521</v>
      </c>
      <c r="T154" s="97" t="s">
        <v>521</v>
      </c>
      <c r="U154" s="97" t="s">
        <v>521</v>
      </c>
      <c r="V154" s="97" t="s">
        <v>521</v>
      </c>
      <c r="W154" s="97" t="s">
        <v>521</v>
      </c>
      <c r="X154" s="97" t="s">
        <v>521</v>
      </c>
      <c r="Y154" s="97" t="s">
        <v>521</v>
      </c>
      <c r="Z154" s="97" t="s">
        <v>521</v>
      </c>
      <c r="AA154" s="97" t="s">
        <v>521</v>
      </c>
      <c r="AB154" s="97" t="s">
        <v>521</v>
      </c>
      <c r="AC154" s="97" t="s">
        <v>521</v>
      </c>
      <c r="AD154" s="97" t="s">
        <v>521</v>
      </c>
      <c r="AE154" s="97" t="s">
        <v>521</v>
      </c>
      <c r="AF154" s="97" t="s">
        <v>521</v>
      </c>
      <c r="AG154" s="97" t="s">
        <v>521</v>
      </c>
      <c r="AH154" s="97" t="s">
        <v>521</v>
      </c>
      <c r="AI154" s="97" t="s">
        <v>521</v>
      </c>
      <c r="AJ154" s="97" t="s">
        <v>521</v>
      </c>
      <c r="AK154" s="97" t="s">
        <v>521</v>
      </c>
      <c r="AL154" s="97" t="s">
        <v>521</v>
      </c>
      <c r="AM154" s="97" t="s">
        <v>521</v>
      </c>
      <c r="AN154" s="97" t="s">
        <v>521</v>
      </c>
      <c r="AO154" s="97" t="s">
        <v>521</v>
      </c>
      <c r="AP154" s="97" t="s">
        <v>521</v>
      </c>
      <c r="AQ154" s="97" t="s">
        <v>521</v>
      </c>
      <c r="AR154" s="97" t="s">
        <v>521</v>
      </c>
      <c r="AS154" s="97" t="s">
        <v>521</v>
      </c>
    </row>
    <row r="155" spans="1:45">
      <c r="A155" s="156" t="str">
        <v/>
      </c>
      <c r="B155" t="s">
        <v>558</v>
      </c>
      <c r="C155" t="s">
        <v>494</v>
      </c>
      <c r="D155" s="150">
        <f>DATE($C$1+1,9,22)-WEEKDAY(DATE($C$1+1,9,7))</f>
        <v>43359</v>
      </c>
      <c r="T155" s="97" t="s">
        <v>521</v>
      </c>
      <c r="U155" s="97" t="s">
        <v>521</v>
      </c>
      <c r="V155" s="97" t="s">
        <v>521</v>
      </c>
      <c r="W155" s="97" t="s">
        <v>521</v>
      </c>
      <c r="X155" s="97" t="s">
        <v>521</v>
      </c>
      <c r="Y155" s="97" t="s">
        <v>521</v>
      </c>
      <c r="Z155" s="97" t="s">
        <v>521</v>
      </c>
      <c r="AB155" s="97" t="s">
        <v>521</v>
      </c>
      <c r="AC155" s="97" t="s">
        <v>521</v>
      </c>
      <c r="AD155" s="97" t="s">
        <v>521</v>
      </c>
      <c r="AE155" s="97" t="s">
        <v>521</v>
      </c>
      <c r="AF155" s="97" t="s">
        <v>521</v>
      </c>
      <c r="AG155" s="97" t="s">
        <v>521</v>
      </c>
      <c r="AH155" s="97" t="s">
        <v>521</v>
      </c>
      <c r="AI155" s="97" t="s">
        <v>521</v>
      </c>
      <c r="AJ155" s="97" t="s">
        <v>521</v>
      </c>
      <c r="AK155" s="97" t="s">
        <v>521</v>
      </c>
      <c r="AL155" s="97" t="s">
        <v>521</v>
      </c>
      <c r="AM155" s="97" t="s">
        <v>521</v>
      </c>
      <c r="AN155" s="97" t="s">
        <v>521</v>
      </c>
      <c r="AO155" s="97" t="s">
        <v>521</v>
      </c>
      <c r="AP155" s="97" t="s">
        <v>521</v>
      </c>
      <c r="AQ155" s="97" t="s">
        <v>521</v>
      </c>
      <c r="AR155" s="97" t="s">
        <v>521</v>
      </c>
      <c r="AS155" s="97" t="s">
        <v>521</v>
      </c>
    </row>
    <row r="156" spans="1:45">
      <c r="A156" s="156" t="str">
        <v/>
      </c>
      <c r="B156" t="s">
        <v>559</v>
      </c>
      <c r="C156" t="s">
        <v>494</v>
      </c>
      <c r="D156" s="150">
        <f>DATE($C$1+1,9,8)-WEEKDAY(DATE($C$1+1,9,7))+4</f>
        <v>43349</v>
      </c>
      <c r="AA156" s="97" t="s">
        <v>521</v>
      </c>
    </row>
    <row r="157" spans="1:45">
      <c r="A157" s="156" t="str">
        <v/>
      </c>
      <c r="B157" t="s">
        <v>560</v>
      </c>
      <c r="C157" t="s">
        <v>561</v>
      </c>
      <c r="D157" s="150">
        <f>D155+1</f>
        <v>43360</v>
      </c>
      <c r="AP157" s="97" t="s">
        <v>521</v>
      </c>
    </row>
    <row r="158" spans="1:45">
      <c r="A158" s="156" t="str">
        <v/>
      </c>
      <c r="B158" t="s">
        <v>562</v>
      </c>
      <c r="C158" t="s">
        <v>494</v>
      </c>
      <c r="D158" s="150">
        <f>DATE($C$1+1,9,25)</f>
        <v>43368</v>
      </c>
      <c r="AH158" s="97" t="s">
        <v>521</v>
      </c>
    </row>
    <row r="159" spans="1:45">
      <c r="A159" s="156" t="str">
        <v/>
      </c>
      <c r="B159" t="s">
        <v>563</v>
      </c>
      <c r="C159" t="s">
        <v>494</v>
      </c>
      <c r="D159" s="150">
        <f>DATE($C$1-1,12,31)</f>
        <v>42735</v>
      </c>
      <c r="AA159" s="97" t="s">
        <v>521</v>
      </c>
    </row>
    <row r="160" spans="1:45">
      <c r="A160" s="156" t="str">
        <v/>
      </c>
      <c r="B160" t="s">
        <v>564</v>
      </c>
      <c r="C160" t="s">
        <v>565</v>
      </c>
      <c r="D160" s="150">
        <f>DATE($C$1+1,3,5)</f>
        <v>43164</v>
      </c>
      <c r="L160" s="97" t="s">
        <v>521</v>
      </c>
    </row>
    <row r="161" spans="1:15">
      <c r="A161" s="156" t="str">
        <v/>
      </c>
      <c r="B161" t="s">
        <v>566</v>
      </c>
      <c r="C161" t="s">
        <v>565</v>
      </c>
      <c r="D161" s="150">
        <f>DATE($C$1+1,6,29)</f>
        <v>43280</v>
      </c>
      <c r="L161" s="97" t="s">
        <v>521</v>
      </c>
    </row>
    <row r="162" spans="1:15">
      <c r="A162" s="156" t="str">
        <v/>
      </c>
      <c r="B162" t="s">
        <v>567</v>
      </c>
      <c r="C162" s="157" t="s">
        <v>488</v>
      </c>
      <c r="D162" s="150">
        <f>DATE($C$1+1,9,24)</f>
        <v>43367</v>
      </c>
      <c r="M162" s="97" t="s">
        <v>521</v>
      </c>
    </row>
    <row r="163" spans="1:15">
      <c r="A163" s="156" t="str">
        <v/>
      </c>
      <c r="B163" t="s">
        <v>537</v>
      </c>
      <c r="C163" t="s">
        <v>489</v>
      </c>
      <c r="D163" s="150">
        <f>DATE($C$1+1,4,27)</f>
        <v>43217</v>
      </c>
      <c r="N163" s="97" t="s">
        <v>521</v>
      </c>
    </row>
    <row r="164" spans="1:15">
      <c r="A164" s="156" t="str">
        <v/>
      </c>
      <c r="B164" t="s">
        <v>568</v>
      </c>
      <c r="C164" t="s">
        <v>490</v>
      </c>
      <c r="D164" s="150">
        <f>DATE($C$1-1,12,24)</f>
        <v>42728</v>
      </c>
      <c r="O164" s="97" t="s">
        <v>521</v>
      </c>
    </row>
    <row r="165" spans="1:15">
      <c r="A165" s="156" t="str">
        <v/>
      </c>
    </row>
    <row r="166" spans="1:15">
      <c r="A166" s="156" t="str">
        <v/>
      </c>
    </row>
    <row r="167" spans="1:15">
      <c r="A167" s="156" t="str">
        <v/>
      </c>
    </row>
    <row r="168" spans="1:15">
      <c r="A168" s="156" t="str">
        <v/>
      </c>
    </row>
    <row r="169" spans="1:15">
      <c r="A169" s="156" t="str">
        <v/>
      </c>
    </row>
    <row r="170" spans="1:15">
      <c r="A170" s="156" t="str">
        <v/>
      </c>
    </row>
    <row r="171" spans="1:15">
      <c r="A171" s="156" t="str">
        <v/>
      </c>
    </row>
    <row r="172" spans="1:15">
      <c r="A172" s="156" t="str">
        <v/>
      </c>
    </row>
    <row r="173" spans="1:15">
      <c r="A173" s="156" t="str">
        <v/>
      </c>
    </row>
    <row r="174" spans="1:15">
      <c r="A174" s="156" t="str">
        <v/>
      </c>
    </row>
    <row r="175" spans="1:15">
      <c r="A175" s="156" t="str">
        <v/>
      </c>
    </row>
    <row r="176" spans="1:15">
      <c r="A176" s="156" t="str">
        <v/>
      </c>
    </row>
    <row r="177" spans="1:1">
      <c r="A177" s="156" t="str">
        <v/>
      </c>
    </row>
    <row r="178" spans="1:1">
      <c r="A178" s="156" t="str">
        <v/>
      </c>
    </row>
    <row r="179" spans="1:1">
      <c r="A179" s="156" t="str">
        <v/>
      </c>
    </row>
    <row r="180" spans="1:1">
      <c r="A180" s="156" t="str">
        <v/>
      </c>
    </row>
    <row r="181" spans="1:1">
      <c r="A181" s="156" t="str">
        <v/>
      </c>
    </row>
    <row r="182" spans="1:1">
      <c r="A182" s="156" t="str">
        <v/>
      </c>
    </row>
    <row r="183" spans="1:1">
      <c r="A183" s="156" t="str">
        <v/>
      </c>
    </row>
    <row r="184" spans="1:1">
      <c r="A184" s="156" t="str">
        <v/>
      </c>
    </row>
    <row r="185" spans="1:1">
      <c r="A185" s="156" t="str">
        <v/>
      </c>
    </row>
    <row r="186" spans="1:1">
      <c r="A186" s="156" t="str">
        <v/>
      </c>
    </row>
    <row r="187" spans="1:1">
      <c r="A187" s="156" t="str">
        <v/>
      </c>
    </row>
    <row r="188" spans="1:1">
      <c r="A188" s="156" t="str">
        <v/>
      </c>
    </row>
    <row r="189" spans="1:1">
      <c r="A189" s="156" t="str">
        <v/>
      </c>
    </row>
    <row r="190" spans="1:1">
      <c r="A190" s="156" t="str">
        <v/>
      </c>
    </row>
    <row r="191" spans="1:1">
      <c r="A191" s="156" t="str">
        <v/>
      </c>
    </row>
    <row r="192" spans="1:1">
      <c r="A192" s="156" t="str">
        <v/>
      </c>
    </row>
    <row r="193" spans="1:101">
      <c r="A193" s="156" t="str">
        <v/>
      </c>
    </row>
    <row r="194" spans="1:101">
      <c r="A194" s="156" t="str">
        <v/>
      </c>
    </row>
    <row r="195" spans="1:101">
      <c r="A195" s="156" t="str">
        <v/>
      </c>
    </row>
    <row r="196" spans="1:101">
      <c r="A196" s="156" t="str">
        <v/>
      </c>
    </row>
    <row r="197" spans="1:101">
      <c r="A197" s="156" t="str">
        <v/>
      </c>
    </row>
    <row r="198" spans="1:101">
      <c r="A198" s="156" t="str">
        <v/>
      </c>
    </row>
    <row r="199" spans="1:101">
      <c r="A199" s="156" t="str">
        <v/>
      </c>
    </row>
    <row r="200" spans="1:101">
      <c r="A200" s="156" t="str">
        <v/>
      </c>
    </row>
    <row r="201" spans="1:101">
      <c r="A201" s="156" t="str">
        <v/>
      </c>
    </row>
    <row r="202" spans="1:101">
      <c r="A202" s="156" t="str">
        <v/>
      </c>
    </row>
    <row r="203" spans="1:101">
      <c r="A203" s="156" t="str">
        <v/>
      </c>
    </row>
    <row r="205" spans="1:101">
      <c r="B205" t="s">
        <v>569</v>
      </c>
    </row>
    <row r="206" spans="1:101">
      <c r="C206" s="70">
        <f>C1</f>
        <v>2017</v>
      </c>
      <c r="D206" s="70">
        <f>C206+1</f>
        <v>2018</v>
      </c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  <c r="AA206" s="70"/>
      <c r="AB206" s="70"/>
      <c r="AC206" s="70"/>
      <c r="AD206" s="70"/>
      <c r="AE206" s="70"/>
      <c r="AF206" s="70"/>
      <c r="AG206" s="70"/>
      <c r="AH206" s="70"/>
      <c r="AI206" s="70"/>
      <c r="AJ206" s="70"/>
      <c r="AK206" s="70"/>
      <c r="AL206" s="70"/>
      <c r="AM206" s="70"/>
      <c r="AN206" s="70"/>
      <c r="AO206" s="70"/>
      <c r="AP206" s="70"/>
      <c r="AQ206" s="70"/>
      <c r="AR206" s="70"/>
      <c r="AS206" s="70"/>
      <c r="AT206" s="70"/>
      <c r="AU206" s="70"/>
      <c r="AV206" s="70"/>
      <c r="AW206" s="70"/>
      <c r="AX206" s="70"/>
      <c r="AY206" s="70"/>
      <c r="AZ206" s="70"/>
      <c r="BA206" s="70"/>
      <c r="BB206" s="70"/>
      <c r="BC206" s="70"/>
      <c r="BD206" s="70"/>
      <c r="BE206" s="70"/>
      <c r="BF206" s="70"/>
      <c r="BG206" s="70"/>
      <c r="BH206" s="70"/>
      <c r="BI206" s="70"/>
      <c r="BJ206" s="70"/>
      <c r="BK206" s="70"/>
      <c r="BL206" s="70"/>
      <c r="BM206" s="70"/>
      <c r="BN206" s="70"/>
      <c r="BO206" s="70"/>
      <c r="BP206" s="70"/>
      <c r="BQ206" s="70"/>
      <c r="BR206" s="70"/>
      <c r="BS206" s="70"/>
      <c r="BT206" s="70"/>
      <c r="BU206" s="70"/>
      <c r="BV206" s="70"/>
      <c r="BW206" s="70"/>
      <c r="BX206" s="70"/>
      <c r="BY206" s="70"/>
      <c r="BZ206" s="70"/>
      <c r="CA206" s="70"/>
      <c r="CB206" s="70"/>
      <c r="CC206" s="70"/>
      <c r="CD206" s="70"/>
      <c r="CE206" s="70"/>
      <c r="CF206" s="70"/>
      <c r="CG206" s="70"/>
      <c r="CH206" s="70"/>
      <c r="CI206" s="70"/>
      <c r="CJ206" s="70"/>
      <c r="CK206" s="70"/>
      <c r="CL206" s="70"/>
      <c r="CM206" s="70"/>
      <c r="CN206" s="70"/>
      <c r="CO206" s="70"/>
      <c r="CP206" s="70"/>
      <c r="CQ206" s="70"/>
      <c r="CR206" s="70"/>
      <c r="CS206" s="70"/>
      <c r="CT206" s="70"/>
      <c r="CU206" s="70"/>
      <c r="CV206" s="70"/>
      <c r="CW206" s="70"/>
    </row>
    <row r="207" spans="1:101">
      <c r="B207" t="s">
        <v>570</v>
      </c>
      <c r="C207">
        <f>MOD(C206,19)</f>
        <v>3</v>
      </c>
      <c r="D207">
        <f>MOD(D206,19)</f>
        <v>4</v>
      </c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</row>
    <row r="208" spans="1:101">
      <c r="B208" t="s">
        <v>571</v>
      </c>
      <c r="C208">
        <f>ROUNDDOWN(C206/100,0)</f>
        <v>20</v>
      </c>
      <c r="D208">
        <f>ROUNDDOWN(D206/100,0)</f>
        <v>20</v>
      </c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</row>
    <row r="209" spans="2:101">
      <c r="B209" t="s">
        <v>572</v>
      </c>
      <c r="C209">
        <f>ROUNDDOWN(C208/4,0)</f>
        <v>5</v>
      </c>
      <c r="D209">
        <f>ROUNDDOWN(D208/4,0)</f>
        <v>5</v>
      </c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</row>
    <row r="210" spans="2:101">
      <c r="B210" t="s">
        <v>573</v>
      </c>
      <c r="C210">
        <f>ROUNDDOWN((8*C208+13)/25,0)</f>
        <v>6</v>
      </c>
      <c r="D210">
        <f>ROUNDDOWN((8*D208+13)/25,0)</f>
        <v>6</v>
      </c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</row>
    <row r="211" spans="2:101">
      <c r="B211" t="s">
        <v>574</v>
      </c>
      <c r="C211">
        <f>MOD((19*C207+C208-C209-C210+15),30)</f>
        <v>21</v>
      </c>
      <c r="D211">
        <f>MOD((19*D207+D208-D209-D210+15),30)</f>
        <v>10</v>
      </c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</row>
    <row r="212" spans="2:101">
      <c r="B212" t="s">
        <v>575</v>
      </c>
      <c r="C212">
        <f>ROUNDDOWN(C211/28,0)</f>
        <v>0</v>
      </c>
      <c r="D212">
        <f>ROUNDDOWN(D211/28,0)</f>
        <v>0</v>
      </c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</row>
    <row r="213" spans="2:101">
      <c r="B213" t="s">
        <v>576</v>
      </c>
      <c r="C213">
        <f>ROUNDDOWN(29/(C211+1),0)</f>
        <v>1</v>
      </c>
      <c r="D213">
        <f>ROUNDDOWN(29/(D211+1),0)</f>
        <v>2</v>
      </c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</row>
    <row r="214" spans="2:101">
      <c r="B214" t="s">
        <v>577</v>
      </c>
      <c r="C214">
        <f>ROUNDDOWN((21-C207)/11,0)</f>
        <v>1</v>
      </c>
      <c r="D214">
        <f>ROUNDDOWN((21-D207)/11,0)</f>
        <v>1</v>
      </c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</row>
    <row r="215" spans="2:101">
      <c r="B215" t="s">
        <v>578</v>
      </c>
      <c r="C215">
        <f>(C212*C213*C214-1)*C212+C211</f>
        <v>21</v>
      </c>
      <c r="D215">
        <f>(D212*D213*D214-1)*D212+D211</f>
        <v>10</v>
      </c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</row>
    <row r="216" spans="2:101">
      <c r="B216" t="s">
        <v>579</v>
      </c>
      <c r="C216">
        <f>ROUNDDOWN(C206/4,0)+C206</f>
        <v>2521</v>
      </c>
      <c r="D216">
        <f>ROUNDDOWN(D206/4,0)+D206</f>
        <v>2522</v>
      </c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</row>
    <row r="217" spans="2:101">
      <c r="B217" t="s">
        <v>580</v>
      </c>
      <c r="C217">
        <f>(C216+C215+2+C209)-C208</f>
        <v>2529</v>
      </c>
      <c r="D217">
        <f>(D216+D215+2+D209)-D208</f>
        <v>2519</v>
      </c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</row>
    <row r="218" spans="2:101">
      <c r="B218" t="s">
        <v>581</v>
      </c>
      <c r="C218">
        <f>MOD(C217,7)</f>
        <v>2</v>
      </c>
      <c r="D218">
        <f>MOD(D217,7)</f>
        <v>6</v>
      </c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</row>
    <row r="219" spans="2:101">
      <c r="B219" t="s">
        <v>582</v>
      </c>
      <c r="C219">
        <f>28+C215-C218</f>
        <v>47</v>
      </c>
      <c r="D219">
        <f>28+D215-D218</f>
        <v>32</v>
      </c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</row>
    <row r="220" spans="2:101">
      <c r="C220" s="99">
        <f>IF(C219&gt;31,DATE(C206,4,C219-31),DATE(C206,3,C219))</f>
        <v>42841</v>
      </c>
      <c r="D220" s="99">
        <f>IF(D219&gt;31,DATE(D206,4,D219-31),DATE(D206,3,D219))</f>
        <v>43191</v>
      </c>
      <c r="E220" s="99"/>
      <c r="F220" s="99"/>
      <c r="G220" s="99"/>
      <c r="H220" s="99"/>
      <c r="I220" s="99"/>
      <c r="J220" s="99"/>
      <c r="K220" s="99"/>
      <c r="L220" s="99"/>
      <c r="M220" s="99"/>
      <c r="N220" s="99"/>
      <c r="O220" s="99"/>
      <c r="P220" s="99"/>
      <c r="Q220" s="99"/>
      <c r="R220" s="99"/>
      <c r="S220" s="99"/>
      <c r="T220" s="99"/>
      <c r="U220" s="99"/>
      <c r="V220" s="99"/>
      <c r="W220" s="99"/>
      <c r="X220" s="99"/>
      <c r="Y220" s="99"/>
      <c r="Z220" s="99"/>
      <c r="AA220" s="99"/>
      <c r="AB220" s="99"/>
      <c r="AC220" s="99"/>
      <c r="AD220" s="99"/>
      <c r="AE220" s="99"/>
      <c r="AF220" s="99"/>
      <c r="AG220" s="99"/>
      <c r="AH220" s="99"/>
      <c r="AI220" s="99"/>
      <c r="AJ220" s="99"/>
      <c r="AK220" s="99"/>
      <c r="AL220" s="99"/>
      <c r="AM220" s="99"/>
      <c r="AN220" s="99"/>
      <c r="AO220" s="99"/>
      <c r="AP220" s="99"/>
      <c r="AQ220" s="99"/>
      <c r="AR220" s="99"/>
      <c r="AS220" s="99"/>
      <c r="AT220" s="99"/>
      <c r="AU220" s="99"/>
      <c r="AV220" s="99"/>
      <c r="AW220" s="99"/>
      <c r="AX220" s="99"/>
      <c r="AY220" s="99"/>
      <c r="AZ220" s="99"/>
      <c r="BA220" s="99"/>
      <c r="BB220" s="99"/>
      <c r="BC220" s="99"/>
      <c r="BD220" s="99"/>
      <c r="BE220" s="99"/>
      <c r="BF220" s="99"/>
      <c r="BG220" s="99"/>
      <c r="BH220" s="99"/>
      <c r="BI220" s="99"/>
      <c r="BJ220" s="99"/>
      <c r="BK220" s="99"/>
      <c r="BL220" s="99"/>
      <c r="BM220" s="99"/>
      <c r="BN220" s="99"/>
      <c r="BO220" s="99"/>
      <c r="BP220" s="99"/>
      <c r="BQ220" s="99"/>
      <c r="BR220" s="99"/>
      <c r="BS220" s="99"/>
      <c r="BT220" s="99"/>
      <c r="BU220" s="99"/>
      <c r="BV220" s="99"/>
      <c r="BW220" s="99"/>
      <c r="BX220" s="99"/>
      <c r="BY220" s="99"/>
      <c r="BZ220" s="99"/>
      <c r="CA220" s="99"/>
      <c r="CB220" s="99"/>
      <c r="CC220" s="99"/>
      <c r="CD220" s="99"/>
      <c r="CE220" s="99"/>
      <c r="CF220" s="99"/>
      <c r="CG220" s="99"/>
      <c r="CH220" s="99"/>
      <c r="CI220" s="99"/>
      <c r="CJ220" s="99"/>
      <c r="CK220" s="99"/>
      <c r="CL220" s="99"/>
      <c r="CM220" s="99"/>
      <c r="CN220" s="99"/>
      <c r="CO220" s="99"/>
      <c r="CP220" s="99"/>
      <c r="CQ220" s="99"/>
      <c r="CR220" s="99"/>
      <c r="CS220" s="99"/>
      <c r="CT220" s="99"/>
      <c r="CU220" s="99"/>
      <c r="CV220" s="99"/>
      <c r="CW220" s="99"/>
    </row>
    <row r="221" spans="2:101">
      <c r="C221" s="150"/>
      <c r="E221" s="150"/>
      <c r="F221" s="150"/>
      <c r="G221" s="150"/>
      <c r="H221" s="150"/>
      <c r="I221" s="150"/>
      <c r="J221" s="150"/>
      <c r="K221" s="150"/>
      <c r="L221" s="150"/>
      <c r="M221" s="150"/>
      <c r="N221" s="150"/>
      <c r="O221" s="150"/>
      <c r="P221" s="150"/>
      <c r="Q221" s="150"/>
      <c r="R221" s="150"/>
      <c r="S221" s="150"/>
      <c r="T221" s="150"/>
      <c r="U221" s="150"/>
      <c r="V221" s="150"/>
      <c r="W221" s="150"/>
      <c r="X221" s="150"/>
      <c r="Y221" s="150"/>
      <c r="Z221" s="150"/>
      <c r="AA221" s="150"/>
      <c r="AB221" s="150"/>
      <c r="AC221" s="150"/>
      <c r="AD221" s="150"/>
      <c r="AE221" s="150"/>
      <c r="AF221" s="150"/>
      <c r="AG221" s="150"/>
      <c r="AH221" s="150"/>
      <c r="AI221" s="150"/>
      <c r="AJ221" s="150"/>
      <c r="AK221" s="150"/>
      <c r="AL221" s="150"/>
      <c r="AM221" s="150"/>
      <c r="AN221" s="150"/>
      <c r="AO221" s="150"/>
      <c r="AP221" s="150"/>
      <c r="AQ221" s="150"/>
      <c r="AR221" s="150"/>
      <c r="AS221" s="150"/>
      <c r="AT221" s="150"/>
      <c r="AU221" s="150"/>
      <c r="AV221" s="150"/>
      <c r="AW221" s="150"/>
      <c r="AX221" s="150"/>
      <c r="AY221" s="150"/>
      <c r="AZ221" s="150"/>
      <c r="BA221" s="150"/>
      <c r="BB221" s="150"/>
      <c r="BC221" s="150"/>
      <c r="BD221" s="150"/>
      <c r="BE221" s="150"/>
      <c r="BF221" s="150"/>
      <c r="BG221" s="150"/>
      <c r="BH221" s="150"/>
      <c r="BI221" s="150"/>
      <c r="BJ221" s="150"/>
      <c r="BK221" s="150"/>
      <c r="BL221" s="150"/>
      <c r="BM221" s="150"/>
      <c r="BN221" s="150"/>
      <c r="BO221" s="150"/>
      <c r="BP221" s="150"/>
      <c r="BQ221" s="150"/>
      <c r="BR221" s="150"/>
      <c r="BS221" s="150"/>
      <c r="BT221" s="150"/>
      <c r="BU221" s="150"/>
      <c r="BV221" s="150"/>
      <c r="BW221" s="150"/>
      <c r="BX221" s="150"/>
      <c r="BY221" s="150"/>
      <c r="BZ221" s="150"/>
      <c r="CA221" s="150"/>
      <c r="CB221" s="150"/>
      <c r="CC221" s="150"/>
      <c r="CD221" s="150"/>
      <c r="CE221" s="150"/>
      <c r="CF221" s="150"/>
      <c r="CG221" s="150"/>
      <c r="CH221" s="150"/>
      <c r="CI221" s="150"/>
      <c r="CJ221" s="150"/>
      <c r="CK221" s="150"/>
      <c r="CL221" s="150"/>
      <c r="CM221" s="150"/>
      <c r="CN221" s="150"/>
      <c r="CO221" s="150"/>
      <c r="CP221" s="150"/>
      <c r="CQ221" s="150"/>
      <c r="CR221" s="150"/>
      <c r="CS221" s="150"/>
      <c r="CT221" s="150"/>
      <c r="CU221" s="150"/>
      <c r="CV221" s="150"/>
      <c r="CW221" s="150"/>
    </row>
    <row r="222" spans="2:101"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</row>
  </sheetData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368"/>
  <sheetViews>
    <sheetView workbookViewId="0">
      <pane xSplit="1" ySplit="3" topLeftCell="B4" activePane="bottomRight" state="frozen"/>
      <selection activeCell="F32" sqref="F32"/>
      <selection pane="topRight" activeCell="F32" sqref="F32"/>
      <selection pane="bottomLeft" activeCell="F32" sqref="F32"/>
      <selection pane="bottomRight" activeCell="G15" sqref="G15"/>
    </sheetView>
  </sheetViews>
  <sheetFormatPr baseColWidth="10" defaultRowHeight="15"/>
  <cols>
    <col min="1" max="1" width="11.42578125" style="103"/>
    <col min="2" max="2" width="10.7109375" bestFit="1" customWidth="1"/>
    <col min="3" max="3" width="30" customWidth="1"/>
  </cols>
  <sheetData>
    <row r="1" spans="1:3">
      <c r="A1" s="102" t="s">
        <v>68</v>
      </c>
      <c r="B1" s="97">
        <f>calendriers!An</f>
        <v>2017</v>
      </c>
      <c r="C1" s="98" t="s">
        <v>69</v>
      </c>
    </row>
    <row r="2" spans="1:3" ht="15" customHeight="1">
      <c r="A2" s="101">
        <v>42736</v>
      </c>
      <c r="B2" s="99">
        <f>DATE($B$1,MONTH(A2),DAY(A2))</f>
        <v>42736</v>
      </c>
      <c r="C2" s="100" t="s">
        <v>70</v>
      </c>
    </row>
    <row r="3" spans="1:3" ht="15" customHeight="1">
      <c r="A3" s="101">
        <v>42737</v>
      </c>
      <c r="B3" s="99">
        <f>DATE($B$1,MONTH(A3),DAY(A3))</f>
        <v>42737</v>
      </c>
      <c r="C3" s="100" t="s">
        <v>71</v>
      </c>
    </row>
    <row r="4" spans="1:3" ht="15" customHeight="1">
      <c r="A4" s="101">
        <v>42738</v>
      </c>
      <c r="B4" s="99">
        <f>DATE($B$1,MONTH(A4),DAY(A4))</f>
        <v>42738</v>
      </c>
      <c r="C4" s="100" t="s">
        <v>72</v>
      </c>
    </row>
    <row r="5" spans="1:3" ht="15" customHeight="1">
      <c r="A5" s="101">
        <v>42739</v>
      </c>
      <c r="B5" s="99">
        <f>DATE($B$1,MONTH(A5),DAY(A5))</f>
        <v>42739</v>
      </c>
      <c r="C5" s="100" t="s">
        <v>73</v>
      </c>
    </row>
    <row r="6" spans="1:3" ht="15" customHeight="1">
      <c r="A6" s="101">
        <v>42740</v>
      </c>
      <c r="B6" s="99">
        <f>DATE($B$1,MONTH(A6),DAY(A6))</f>
        <v>42740</v>
      </c>
      <c r="C6" s="100" t="s">
        <v>74</v>
      </c>
    </row>
    <row r="7" spans="1:3" ht="15" customHeight="1">
      <c r="A7" s="101">
        <v>42741</v>
      </c>
      <c r="B7" s="99">
        <f t="shared" ref="B7:B70" si="0">DATE($B$1,MONTH(A7),DAY(A7))</f>
        <v>42741</v>
      </c>
      <c r="C7" s="100" t="s">
        <v>75</v>
      </c>
    </row>
    <row r="8" spans="1:3" ht="15" customHeight="1">
      <c r="A8" s="101">
        <v>42742</v>
      </c>
      <c r="B8" s="99">
        <f t="shared" si="0"/>
        <v>42742</v>
      </c>
      <c r="C8" s="100" t="s">
        <v>76</v>
      </c>
    </row>
    <row r="9" spans="1:3" ht="15" customHeight="1">
      <c r="A9" s="101">
        <v>42743</v>
      </c>
      <c r="B9" s="99">
        <f t="shared" si="0"/>
        <v>42743</v>
      </c>
      <c r="C9" s="100" t="s">
        <v>77</v>
      </c>
    </row>
    <row r="10" spans="1:3" ht="15" customHeight="1">
      <c r="A10" s="101">
        <v>42744</v>
      </c>
      <c r="B10" s="99">
        <f t="shared" si="0"/>
        <v>42744</v>
      </c>
      <c r="C10" s="100" t="s">
        <v>78</v>
      </c>
    </row>
    <row r="11" spans="1:3" ht="15" customHeight="1">
      <c r="A11" s="101">
        <v>42745</v>
      </c>
      <c r="B11" s="99">
        <f t="shared" si="0"/>
        <v>42745</v>
      </c>
      <c r="C11" s="100" t="s">
        <v>79</v>
      </c>
    </row>
    <row r="12" spans="1:3" ht="15" customHeight="1">
      <c r="A12" s="101">
        <v>42746</v>
      </c>
      <c r="B12" s="99">
        <f t="shared" si="0"/>
        <v>42746</v>
      </c>
      <c r="C12" s="100" t="s">
        <v>80</v>
      </c>
    </row>
    <row r="13" spans="1:3" ht="15" customHeight="1">
      <c r="A13" s="101">
        <v>42747</v>
      </c>
      <c r="B13" s="99">
        <f t="shared" si="0"/>
        <v>42747</v>
      </c>
      <c r="C13" s="100" t="s">
        <v>81</v>
      </c>
    </row>
    <row r="14" spans="1:3" ht="15" customHeight="1">
      <c r="A14" s="101">
        <v>42748</v>
      </c>
      <c r="B14" s="99">
        <f t="shared" si="0"/>
        <v>42748</v>
      </c>
      <c r="C14" s="100" t="s">
        <v>82</v>
      </c>
    </row>
    <row r="15" spans="1:3" ht="15" customHeight="1">
      <c r="A15" s="101">
        <v>42749</v>
      </c>
      <c r="B15" s="99">
        <f t="shared" si="0"/>
        <v>42749</v>
      </c>
      <c r="C15" s="100" t="s">
        <v>83</v>
      </c>
    </row>
    <row r="16" spans="1:3" ht="15" customHeight="1">
      <c r="A16" s="101">
        <v>42750</v>
      </c>
      <c r="B16" s="99">
        <f t="shared" si="0"/>
        <v>42750</v>
      </c>
      <c r="C16" s="100" t="s">
        <v>84</v>
      </c>
    </row>
    <row r="17" spans="1:3" ht="15" customHeight="1">
      <c r="A17" s="101">
        <v>42751</v>
      </c>
      <c r="B17" s="99">
        <f t="shared" si="0"/>
        <v>42751</v>
      </c>
      <c r="C17" s="100" t="s">
        <v>85</v>
      </c>
    </row>
    <row r="18" spans="1:3" ht="15" customHeight="1">
      <c r="A18" s="101">
        <v>42752</v>
      </c>
      <c r="B18" s="99">
        <f t="shared" si="0"/>
        <v>42752</v>
      </c>
      <c r="C18" s="100" t="s">
        <v>86</v>
      </c>
    </row>
    <row r="19" spans="1:3" ht="15" customHeight="1">
      <c r="A19" s="101">
        <v>42753</v>
      </c>
      <c r="B19" s="99">
        <f t="shared" si="0"/>
        <v>42753</v>
      </c>
      <c r="C19" s="100" t="s">
        <v>87</v>
      </c>
    </row>
    <row r="20" spans="1:3" ht="15" customHeight="1">
      <c r="A20" s="101">
        <v>42754</v>
      </c>
      <c r="B20" s="99">
        <f t="shared" si="0"/>
        <v>42754</v>
      </c>
      <c r="C20" s="100" t="s">
        <v>88</v>
      </c>
    </row>
    <row r="21" spans="1:3" ht="15" customHeight="1">
      <c r="A21" s="101">
        <v>42755</v>
      </c>
      <c r="B21" s="99">
        <f t="shared" si="0"/>
        <v>42755</v>
      </c>
      <c r="C21" s="100" t="s">
        <v>89</v>
      </c>
    </row>
    <row r="22" spans="1:3" ht="15" customHeight="1">
      <c r="A22" s="101">
        <v>42756</v>
      </c>
      <c r="B22" s="99">
        <f t="shared" si="0"/>
        <v>42756</v>
      </c>
      <c r="C22" s="100" t="s">
        <v>90</v>
      </c>
    </row>
    <row r="23" spans="1:3" ht="15" customHeight="1">
      <c r="A23" s="101">
        <v>42757</v>
      </c>
      <c r="B23" s="99">
        <f t="shared" si="0"/>
        <v>42757</v>
      </c>
      <c r="C23" s="100" t="s">
        <v>91</v>
      </c>
    </row>
    <row r="24" spans="1:3" ht="15" customHeight="1">
      <c r="A24" s="101">
        <v>42758</v>
      </c>
      <c r="B24" s="99">
        <f t="shared" si="0"/>
        <v>42758</v>
      </c>
      <c r="C24" s="100" t="s">
        <v>92</v>
      </c>
    </row>
    <row r="25" spans="1:3" ht="15" customHeight="1">
      <c r="A25" s="101">
        <v>42759</v>
      </c>
      <c r="B25" s="99">
        <f t="shared" si="0"/>
        <v>42759</v>
      </c>
      <c r="C25" s="100" t="s">
        <v>93</v>
      </c>
    </row>
    <row r="26" spans="1:3" ht="15" customHeight="1">
      <c r="A26" s="101">
        <v>42760</v>
      </c>
      <c r="B26" s="99">
        <f t="shared" si="0"/>
        <v>42760</v>
      </c>
      <c r="C26" s="100" t="s">
        <v>94</v>
      </c>
    </row>
    <row r="27" spans="1:3" ht="15" customHeight="1">
      <c r="A27" s="101">
        <v>42761</v>
      </c>
      <c r="B27" s="99">
        <f t="shared" si="0"/>
        <v>42761</v>
      </c>
      <c r="C27" s="100" t="s">
        <v>95</v>
      </c>
    </row>
    <row r="28" spans="1:3" ht="15" customHeight="1">
      <c r="A28" s="101">
        <v>42762</v>
      </c>
      <c r="B28" s="99">
        <f t="shared" si="0"/>
        <v>42762</v>
      </c>
      <c r="C28" s="100" t="s">
        <v>96</v>
      </c>
    </row>
    <row r="29" spans="1:3" ht="15" customHeight="1">
      <c r="A29" s="101">
        <v>42763</v>
      </c>
      <c r="B29" s="99">
        <f t="shared" si="0"/>
        <v>42763</v>
      </c>
      <c r="C29" s="100" t="s">
        <v>97</v>
      </c>
    </row>
    <row r="30" spans="1:3" ht="15" customHeight="1">
      <c r="A30" s="101">
        <v>42764</v>
      </c>
      <c r="B30" s="99">
        <f t="shared" si="0"/>
        <v>42764</v>
      </c>
      <c r="C30" s="100" t="s">
        <v>98</v>
      </c>
    </row>
    <row r="31" spans="1:3" ht="15" customHeight="1">
      <c r="A31" s="101">
        <v>42765</v>
      </c>
      <c r="B31" s="99">
        <f t="shared" si="0"/>
        <v>42765</v>
      </c>
      <c r="C31" s="100" t="s">
        <v>99</v>
      </c>
    </row>
    <row r="32" spans="1:3" ht="15" customHeight="1">
      <c r="A32" s="101">
        <v>42766</v>
      </c>
      <c r="B32" s="99">
        <f t="shared" si="0"/>
        <v>42766</v>
      </c>
      <c r="C32" s="100" t="s">
        <v>100</v>
      </c>
    </row>
    <row r="33" spans="1:3" ht="15" customHeight="1">
      <c r="A33" s="101">
        <v>42767</v>
      </c>
      <c r="B33" s="99">
        <f t="shared" si="0"/>
        <v>42767</v>
      </c>
      <c r="C33" s="100" t="s">
        <v>101</v>
      </c>
    </row>
    <row r="34" spans="1:3" ht="15" customHeight="1">
      <c r="A34" s="101">
        <v>42768</v>
      </c>
      <c r="B34" s="99">
        <f t="shared" si="0"/>
        <v>42768</v>
      </c>
      <c r="C34" s="100" t="s">
        <v>102</v>
      </c>
    </row>
    <row r="35" spans="1:3" ht="15" customHeight="1">
      <c r="A35" s="101">
        <v>42769</v>
      </c>
      <c r="B35" s="99">
        <f t="shared" si="0"/>
        <v>42769</v>
      </c>
      <c r="C35" s="100" t="s">
        <v>103</v>
      </c>
    </row>
    <row r="36" spans="1:3" ht="15" customHeight="1">
      <c r="A36" s="101">
        <v>42770</v>
      </c>
      <c r="B36" s="99">
        <f t="shared" si="0"/>
        <v>42770</v>
      </c>
      <c r="C36" s="100" t="s">
        <v>104</v>
      </c>
    </row>
    <row r="37" spans="1:3" ht="15" customHeight="1">
      <c r="A37" s="101">
        <v>42771</v>
      </c>
      <c r="B37" s="99">
        <f t="shared" si="0"/>
        <v>42771</v>
      </c>
      <c r="C37" s="100" t="s">
        <v>105</v>
      </c>
    </row>
    <row r="38" spans="1:3" ht="15" customHeight="1">
      <c r="A38" s="101">
        <v>42772</v>
      </c>
      <c r="B38" s="99">
        <f t="shared" si="0"/>
        <v>42772</v>
      </c>
      <c r="C38" s="100" t="s">
        <v>106</v>
      </c>
    </row>
    <row r="39" spans="1:3" ht="15" customHeight="1">
      <c r="A39" s="101">
        <v>42773</v>
      </c>
      <c r="B39" s="99">
        <f t="shared" si="0"/>
        <v>42773</v>
      </c>
      <c r="C39" s="100" t="s">
        <v>107</v>
      </c>
    </row>
    <row r="40" spans="1:3" ht="15" customHeight="1">
      <c r="A40" s="101">
        <v>42774</v>
      </c>
      <c r="B40" s="99">
        <f t="shared" si="0"/>
        <v>42774</v>
      </c>
      <c r="C40" s="100" t="s">
        <v>108</v>
      </c>
    </row>
    <row r="41" spans="1:3" ht="15" customHeight="1">
      <c r="A41" s="101">
        <v>42775</v>
      </c>
      <c r="B41" s="99">
        <f t="shared" si="0"/>
        <v>42775</v>
      </c>
      <c r="C41" s="100" t="s">
        <v>109</v>
      </c>
    </row>
    <row r="42" spans="1:3" ht="15" customHeight="1">
      <c r="A42" s="101">
        <v>42776</v>
      </c>
      <c r="B42" s="99">
        <f t="shared" si="0"/>
        <v>42776</v>
      </c>
      <c r="C42" s="100" t="s">
        <v>110</v>
      </c>
    </row>
    <row r="43" spans="1:3" ht="15" customHeight="1">
      <c r="A43" s="101">
        <v>42777</v>
      </c>
      <c r="B43" s="99">
        <f t="shared" si="0"/>
        <v>42777</v>
      </c>
      <c r="C43" s="100" t="s">
        <v>111</v>
      </c>
    </row>
    <row r="44" spans="1:3" ht="15" customHeight="1">
      <c r="A44" s="101">
        <v>42778</v>
      </c>
      <c r="B44" s="99">
        <f t="shared" si="0"/>
        <v>42778</v>
      </c>
      <c r="C44" s="100" t="s">
        <v>112</v>
      </c>
    </row>
    <row r="45" spans="1:3" ht="15" customHeight="1">
      <c r="A45" s="101">
        <v>42779</v>
      </c>
      <c r="B45" s="99">
        <f t="shared" si="0"/>
        <v>42779</v>
      </c>
      <c r="C45" s="100" t="s">
        <v>113</v>
      </c>
    </row>
    <row r="46" spans="1:3" ht="15" customHeight="1">
      <c r="A46" s="101">
        <v>42780</v>
      </c>
      <c r="B46" s="99">
        <f t="shared" si="0"/>
        <v>42780</v>
      </c>
      <c r="C46" s="100" t="s">
        <v>114</v>
      </c>
    </row>
    <row r="47" spans="1:3" ht="15" customHeight="1">
      <c r="A47" s="101">
        <v>42781</v>
      </c>
      <c r="B47" s="99">
        <f t="shared" si="0"/>
        <v>42781</v>
      </c>
      <c r="C47" s="100" t="s">
        <v>115</v>
      </c>
    </row>
    <row r="48" spans="1:3" ht="15" customHeight="1">
      <c r="A48" s="101">
        <v>42782</v>
      </c>
      <c r="B48" s="99">
        <f t="shared" si="0"/>
        <v>42782</v>
      </c>
      <c r="C48" s="100" t="s">
        <v>116</v>
      </c>
    </row>
    <row r="49" spans="1:3" ht="15" customHeight="1">
      <c r="A49" s="101">
        <v>42783</v>
      </c>
      <c r="B49" s="99">
        <f t="shared" si="0"/>
        <v>42783</v>
      </c>
      <c r="C49" s="100" t="s">
        <v>117</v>
      </c>
    </row>
    <row r="50" spans="1:3" ht="15" customHeight="1">
      <c r="A50" s="101">
        <v>42784</v>
      </c>
      <c r="B50" s="99">
        <f t="shared" si="0"/>
        <v>42784</v>
      </c>
      <c r="C50" s="100" t="s">
        <v>118</v>
      </c>
    </row>
    <row r="51" spans="1:3" ht="15" customHeight="1">
      <c r="A51" s="101">
        <v>42785</v>
      </c>
      <c r="B51" s="99">
        <f t="shared" si="0"/>
        <v>42785</v>
      </c>
      <c r="C51" s="100" t="s">
        <v>119</v>
      </c>
    </row>
    <row r="52" spans="1:3" ht="15" customHeight="1">
      <c r="A52" s="101">
        <v>42786</v>
      </c>
      <c r="B52" s="99">
        <f t="shared" si="0"/>
        <v>42786</v>
      </c>
      <c r="C52" s="100" t="s">
        <v>120</v>
      </c>
    </row>
    <row r="53" spans="1:3" ht="15" customHeight="1">
      <c r="A53" s="101">
        <v>42787</v>
      </c>
      <c r="B53" s="99">
        <f t="shared" si="0"/>
        <v>42787</v>
      </c>
      <c r="C53" s="100" t="s">
        <v>121</v>
      </c>
    </row>
    <row r="54" spans="1:3" ht="15" customHeight="1">
      <c r="A54" s="101">
        <v>42788</v>
      </c>
      <c r="B54" s="99">
        <f t="shared" si="0"/>
        <v>42788</v>
      </c>
      <c r="C54" s="100" t="s">
        <v>122</v>
      </c>
    </row>
    <row r="55" spans="1:3" ht="15" customHeight="1">
      <c r="A55" s="101">
        <v>42789</v>
      </c>
      <c r="B55" s="99">
        <f t="shared" si="0"/>
        <v>42789</v>
      </c>
      <c r="C55" s="100" t="s">
        <v>123</v>
      </c>
    </row>
    <row r="56" spans="1:3" ht="15" customHeight="1">
      <c r="A56" s="101">
        <v>42790</v>
      </c>
      <c r="B56" s="99">
        <f t="shared" si="0"/>
        <v>42790</v>
      </c>
      <c r="C56" s="100" t="s">
        <v>124</v>
      </c>
    </row>
    <row r="57" spans="1:3" ht="15" customHeight="1">
      <c r="A57" s="101">
        <v>42791</v>
      </c>
      <c r="B57" s="99">
        <f t="shared" si="0"/>
        <v>42791</v>
      </c>
      <c r="C57" s="100" t="s">
        <v>125</v>
      </c>
    </row>
    <row r="58" spans="1:3" ht="15" customHeight="1">
      <c r="A58" s="101">
        <v>42792</v>
      </c>
      <c r="B58" s="99">
        <f t="shared" si="0"/>
        <v>42792</v>
      </c>
      <c r="C58" s="100" t="s">
        <v>126</v>
      </c>
    </row>
    <row r="59" spans="1:3" ht="15" customHeight="1">
      <c r="A59" s="101">
        <v>42793</v>
      </c>
      <c r="B59" s="99">
        <f t="shared" si="0"/>
        <v>42793</v>
      </c>
      <c r="C59" s="100" t="s">
        <v>127</v>
      </c>
    </row>
    <row r="60" spans="1:3" ht="15" customHeight="1">
      <c r="A60" s="101">
        <v>42794</v>
      </c>
      <c r="B60" s="99">
        <f t="shared" si="0"/>
        <v>42794</v>
      </c>
      <c r="C60" s="100" t="s">
        <v>128</v>
      </c>
    </row>
    <row r="61" spans="1:3" ht="15" customHeight="1">
      <c r="A61" s="101">
        <v>43890</v>
      </c>
      <c r="B61" s="99">
        <f t="shared" si="0"/>
        <v>42795</v>
      </c>
      <c r="C61" s="100" t="s">
        <v>129</v>
      </c>
    </row>
    <row r="62" spans="1:3" ht="15" customHeight="1">
      <c r="A62" s="101">
        <v>42795</v>
      </c>
      <c r="B62" s="99">
        <f t="shared" si="0"/>
        <v>42795</v>
      </c>
      <c r="C62" s="100" t="s">
        <v>130</v>
      </c>
    </row>
    <row r="63" spans="1:3" ht="15" customHeight="1">
      <c r="A63" s="101">
        <v>42796</v>
      </c>
      <c r="B63" s="99">
        <f t="shared" si="0"/>
        <v>42796</v>
      </c>
      <c r="C63" s="100" t="s">
        <v>131</v>
      </c>
    </row>
    <row r="64" spans="1:3" ht="15" customHeight="1">
      <c r="A64" s="101">
        <v>42797</v>
      </c>
      <c r="B64" s="99">
        <f t="shared" si="0"/>
        <v>42797</v>
      </c>
      <c r="C64" s="100" t="s">
        <v>132</v>
      </c>
    </row>
    <row r="65" spans="1:3" ht="15" customHeight="1">
      <c r="A65" s="101">
        <v>42798</v>
      </c>
      <c r="B65" s="99">
        <f t="shared" si="0"/>
        <v>42798</v>
      </c>
      <c r="C65" s="100" t="s">
        <v>133</v>
      </c>
    </row>
    <row r="66" spans="1:3" ht="15" customHeight="1">
      <c r="A66" s="101">
        <v>42799</v>
      </c>
      <c r="B66" s="99">
        <f t="shared" si="0"/>
        <v>42799</v>
      </c>
      <c r="C66" s="100" t="s">
        <v>134</v>
      </c>
    </row>
    <row r="67" spans="1:3" ht="15" customHeight="1">
      <c r="A67" s="101">
        <v>42800</v>
      </c>
      <c r="B67" s="99">
        <f t="shared" si="0"/>
        <v>42800</v>
      </c>
      <c r="C67" s="100" t="s">
        <v>135</v>
      </c>
    </row>
    <row r="68" spans="1:3" ht="15" customHeight="1">
      <c r="A68" s="101">
        <v>42801</v>
      </c>
      <c r="B68" s="99">
        <f t="shared" si="0"/>
        <v>42801</v>
      </c>
      <c r="C68" s="100" t="s">
        <v>136</v>
      </c>
    </row>
    <row r="69" spans="1:3" ht="15" customHeight="1">
      <c r="A69" s="101">
        <v>42802</v>
      </c>
      <c r="B69" s="99">
        <f t="shared" si="0"/>
        <v>42802</v>
      </c>
      <c r="C69" s="100" t="s">
        <v>137</v>
      </c>
    </row>
    <row r="70" spans="1:3" ht="15" customHeight="1">
      <c r="A70" s="101">
        <v>42803</v>
      </c>
      <c r="B70" s="99">
        <f t="shared" si="0"/>
        <v>42803</v>
      </c>
      <c r="C70" s="100" t="s">
        <v>138</v>
      </c>
    </row>
    <row r="71" spans="1:3" ht="15" customHeight="1">
      <c r="A71" s="101">
        <v>42804</v>
      </c>
      <c r="B71" s="99">
        <f t="shared" ref="B71:B134" si="1">DATE($B$1,MONTH(A71),DAY(A71))</f>
        <v>42804</v>
      </c>
      <c r="C71" s="100" t="s">
        <v>139</v>
      </c>
    </row>
    <row r="72" spans="1:3" ht="15" customHeight="1">
      <c r="A72" s="101">
        <v>42805</v>
      </c>
      <c r="B72" s="99">
        <f t="shared" si="1"/>
        <v>42805</v>
      </c>
      <c r="C72" s="100" t="s">
        <v>140</v>
      </c>
    </row>
    <row r="73" spans="1:3" ht="15" customHeight="1">
      <c r="A73" s="101">
        <v>42806</v>
      </c>
      <c r="B73" s="99">
        <f t="shared" si="1"/>
        <v>42806</v>
      </c>
      <c r="C73" s="100" t="s">
        <v>141</v>
      </c>
    </row>
    <row r="74" spans="1:3" ht="15" customHeight="1">
      <c r="A74" s="101">
        <v>42807</v>
      </c>
      <c r="B74" s="99">
        <f t="shared" si="1"/>
        <v>42807</v>
      </c>
      <c r="C74" s="100" t="s">
        <v>142</v>
      </c>
    </row>
    <row r="75" spans="1:3" ht="15" customHeight="1">
      <c r="A75" s="101">
        <v>42808</v>
      </c>
      <c r="B75" s="99">
        <f t="shared" si="1"/>
        <v>42808</v>
      </c>
      <c r="C75" s="100" t="s">
        <v>143</v>
      </c>
    </row>
    <row r="76" spans="1:3" ht="15" customHeight="1">
      <c r="A76" s="101">
        <v>42809</v>
      </c>
      <c r="B76" s="99">
        <f t="shared" si="1"/>
        <v>42809</v>
      </c>
      <c r="C76" s="100" t="s">
        <v>144</v>
      </c>
    </row>
    <row r="77" spans="1:3" ht="15" customHeight="1">
      <c r="A77" s="101">
        <v>42810</v>
      </c>
      <c r="B77" s="99">
        <f t="shared" si="1"/>
        <v>42810</v>
      </c>
      <c r="C77" s="100" t="s">
        <v>145</v>
      </c>
    </row>
    <row r="78" spans="1:3" ht="15" customHeight="1">
      <c r="A78" s="101">
        <v>42811</v>
      </c>
      <c r="B78" s="99">
        <f t="shared" si="1"/>
        <v>42811</v>
      </c>
      <c r="C78" s="100" t="s">
        <v>146</v>
      </c>
    </row>
    <row r="79" spans="1:3" ht="15" customHeight="1">
      <c r="A79" s="101">
        <v>42812</v>
      </c>
      <c r="B79" s="99">
        <f t="shared" si="1"/>
        <v>42812</v>
      </c>
      <c r="C79" s="100" t="s">
        <v>147</v>
      </c>
    </row>
    <row r="80" spans="1:3" ht="15" customHeight="1">
      <c r="A80" s="101">
        <v>42813</v>
      </c>
      <c r="B80" s="99">
        <f t="shared" si="1"/>
        <v>42813</v>
      </c>
      <c r="C80" s="100" t="s">
        <v>148</v>
      </c>
    </row>
    <row r="81" spans="1:3" ht="15" customHeight="1">
      <c r="A81" s="101">
        <v>42814</v>
      </c>
      <c r="B81" s="99">
        <f t="shared" si="1"/>
        <v>42814</v>
      </c>
      <c r="C81" s="100" t="s">
        <v>149</v>
      </c>
    </row>
    <row r="82" spans="1:3" ht="15" customHeight="1">
      <c r="A82" s="101">
        <v>42815</v>
      </c>
      <c r="B82" s="99">
        <f t="shared" si="1"/>
        <v>42815</v>
      </c>
      <c r="C82" s="100" t="s">
        <v>150</v>
      </c>
    </row>
    <row r="83" spans="1:3" ht="15" customHeight="1">
      <c r="A83" s="101">
        <v>42816</v>
      </c>
      <c r="B83" s="99">
        <f t="shared" si="1"/>
        <v>42816</v>
      </c>
      <c r="C83" s="100" t="s">
        <v>151</v>
      </c>
    </row>
    <row r="84" spans="1:3" ht="15" customHeight="1">
      <c r="A84" s="101">
        <v>42817</v>
      </c>
      <c r="B84" s="99">
        <f t="shared" si="1"/>
        <v>42817</v>
      </c>
      <c r="C84" s="100" t="s">
        <v>152</v>
      </c>
    </row>
    <row r="85" spans="1:3" ht="15" customHeight="1">
      <c r="A85" s="101">
        <v>42818</v>
      </c>
      <c r="B85" s="99">
        <f t="shared" si="1"/>
        <v>42818</v>
      </c>
      <c r="C85" s="100" t="s">
        <v>153</v>
      </c>
    </row>
    <row r="86" spans="1:3" ht="15" customHeight="1">
      <c r="A86" s="101">
        <v>42819</v>
      </c>
      <c r="B86" s="99">
        <f t="shared" si="1"/>
        <v>42819</v>
      </c>
      <c r="C86" s="100" t="s">
        <v>154</v>
      </c>
    </row>
    <row r="87" spans="1:3" ht="15" customHeight="1">
      <c r="A87" s="101">
        <v>42820</v>
      </c>
      <c r="B87" s="99">
        <f t="shared" si="1"/>
        <v>42820</v>
      </c>
      <c r="C87" s="100" t="s">
        <v>155</v>
      </c>
    </row>
    <row r="88" spans="1:3" ht="15" customHeight="1">
      <c r="A88" s="101">
        <v>42821</v>
      </c>
      <c r="B88" s="99">
        <f t="shared" si="1"/>
        <v>42821</v>
      </c>
      <c r="C88" s="100" t="s">
        <v>156</v>
      </c>
    </row>
    <row r="89" spans="1:3" ht="15" customHeight="1">
      <c r="A89" s="101">
        <v>42822</v>
      </c>
      <c r="B89" s="99">
        <f t="shared" si="1"/>
        <v>42822</v>
      </c>
      <c r="C89" s="100" t="s">
        <v>157</v>
      </c>
    </row>
    <row r="90" spans="1:3" ht="15" customHeight="1">
      <c r="A90" s="101">
        <v>42823</v>
      </c>
      <c r="B90" s="99">
        <f t="shared" si="1"/>
        <v>42823</v>
      </c>
      <c r="C90" s="100" t="s">
        <v>158</v>
      </c>
    </row>
    <row r="91" spans="1:3" ht="15" customHeight="1">
      <c r="A91" s="101">
        <v>42824</v>
      </c>
      <c r="B91" s="99">
        <f t="shared" si="1"/>
        <v>42824</v>
      </c>
      <c r="C91" s="100" t="s">
        <v>159</v>
      </c>
    </row>
    <row r="92" spans="1:3" ht="15" customHeight="1">
      <c r="A92" s="101">
        <v>42825</v>
      </c>
      <c r="B92" s="99">
        <f t="shared" si="1"/>
        <v>42825</v>
      </c>
      <c r="C92" s="100" t="s">
        <v>160</v>
      </c>
    </row>
    <row r="93" spans="1:3" ht="15" customHeight="1">
      <c r="A93" s="101">
        <v>42826</v>
      </c>
      <c r="B93" s="99">
        <f t="shared" si="1"/>
        <v>42826</v>
      </c>
      <c r="C93" s="100" t="s">
        <v>161</v>
      </c>
    </row>
    <row r="94" spans="1:3" ht="15" customHeight="1">
      <c r="A94" s="101">
        <v>42827</v>
      </c>
      <c r="B94" s="99">
        <f t="shared" si="1"/>
        <v>42827</v>
      </c>
      <c r="C94" s="100" t="s">
        <v>162</v>
      </c>
    </row>
    <row r="95" spans="1:3" ht="15" customHeight="1">
      <c r="A95" s="101">
        <v>42828</v>
      </c>
      <c r="B95" s="99">
        <f t="shared" si="1"/>
        <v>42828</v>
      </c>
      <c r="C95" s="100" t="s">
        <v>163</v>
      </c>
    </row>
    <row r="96" spans="1:3" ht="15" customHeight="1">
      <c r="A96" s="101">
        <v>42829</v>
      </c>
      <c r="B96" s="99">
        <f t="shared" si="1"/>
        <v>42829</v>
      </c>
      <c r="C96" s="100" t="s">
        <v>164</v>
      </c>
    </row>
    <row r="97" spans="1:3" ht="15" customHeight="1">
      <c r="A97" s="101">
        <v>42830</v>
      </c>
      <c r="B97" s="99">
        <f t="shared" si="1"/>
        <v>42830</v>
      </c>
      <c r="C97" s="100" t="s">
        <v>165</v>
      </c>
    </row>
    <row r="98" spans="1:3" ht="15" customHeight="1">
      <c r="A98" s="101">
        <v>42831</v>
      </c>
      <c r="B98" s="99">
        <f t="shared" si="1"/>
        <v>42831</v>
      </c>
      <c r="C98" s="100" t="s">
        <v>166</v>
      </c>
    </row>
    <row r="99" spans="1:3" ht="15" customHeight="1">
      <c r="A99" s="101">
        <v>42832</v>
      </c>
      <c r="B99" s="99">
        <f t="shared" si="1"/>
        <v>42832</v>
      </c>
      <c r="C99" s="100" t="s">
        <v>167</v>
      </c>
    </row>
    <row r="100" spans="1:3" ht="15" customHeight="1">
      <c r="A100" s="101">
        <v>42833</v>
      </c>
      <c r="B100" s="99">
        <f t="shared" si="1"/>
        <v>42833</v>
      </c>
      <c r="C100" s="100" t="s">
        <v>168</v>
      </c>
    </row>
    <row r="101" spans="1:3" ht="15" customHeight="1">
      <c r="A101" s="101">
        <v>42834</v>
      </c>
      <c r="B101" s="99">
        <f t="shared" si="1"/>
        <v>42834</v>
      </c>
      <c r="C101" s="100" t="s">
        <v>169</v>
      </c>
    </row>
    <row r="102" spans="1:3" ht="15" customHeight="1">
      <c r="A102" s="101">
        <v>42835</v>
      </c>
      <c r="B102" s="99">
        <f t="shared" si="1"/>
        <v>42835</v>
      </c>
      <c r="C102" s="100" t="s">
        <v>170</v>
      </c>
    </row>
    <row r="103" spans="1:3" ht="15" customHeight="1">
      <c r="A103" s="101">
        <v>42836</v>
      </c>
      <c r="B103" s="99">
        <f t="shared" si="1"/>
        <v>42836</v>
      </c>
      <c r="C103" s="100" t="s">
        <v>171</v>
      </c>
    </row>
    <row r="104" spans="1:3" ht="15" customHeight="1">
      <c r="A104" s="101">
        <v>42837</v>
      </c>
      <c r="B104" s="99">
        <f t="shared" si="1"/>
        <v>42837</v>
      </c>
      <c r="C104" s="100" t="s">
        <v>172</v>
      </c>
    </row>
    <row r="105" spans="1:3" ht="15" customHeight="1">
      <c r="A105" s="101">
        <v>42838</v>
      </c>
      <c r="B105" s="99">
        <f t="shared" si="1"/>
        <v>42838</v>
      </c>
      <c r="C105" s="100" t="s">
        <v>173</v>
      </c>
    </row>
    <row r="106" spans="1:3" ht="15" customHeight="1">
      <c r="A106" s="101">
        <v>42839</v>
      </c>
      <c r="B106" s="99">
        <f t="shared" si="1"/>
        <v>42839</v>
      </c>
      <c r="C106" s="100" t="s">
        <v>174</v>
      </c>
    </row>
    <row r="107" spans="1:3" ht="15" customHeight="1">
      <c r="A107" s="101">
        <v>42840</v>
      </c>
      <c r="B107" s="99">
        <f t="shared" si="1"/>
        <v>42840</v>
      </c>
      <c r="C107" s="100" t="s">
        <v>175</v>
      </c>
    </row>
    <row r="108" spans="1:3" ht="15" customHeight="1">
      <c r="A108" s="101">
        <v>42841</v>
      </c>
      <c r="B108" s="99">
        <f t="shared" si="1"/>
        <v>42841</v>
      </c>
      <c r="C108" s="100" t="s">
        <v>176</v>
      </c>
    </row>
    <row r="109" spans="1:3" ht="15" customHeight="1">
      <c r="A109" s="101">
        <v>42842</v>
      </c>
      <c r="B109" s="99">
        <f t="shared" si="1"/>
        <v>42842</v>
      </c>
      <c r="C109" s="100" t="s">
        <v>177</v>
      </c>
    </row>
    <row r="110" spans="1:3" ht="15" customHeight="1">
      <c r="A110" s="101">
        <v>42843</v>
      </c>
      <c r="B110" s="99">
        <f t="shared" si="1"/>
        <v>42843</v>
      </c>
      <c r="C110" s="100" t="s">
        <v>178</v>
      </c>
    </row>
    <row r="111" spans="1:3" ht="15" customHeight="1">
      <c r="A111" s="101">
        <v>42844</v>
      </c>
      <c r="B111" s="99">
        <f t="shared" si="1"/>
        <v>42844</v>
      </c>
      <c r="C111" s="100" t="s">
        <v>179</v>
      </c>
    </row>
    <row r="112" spans="1:3" ht="15" customHeight="1">
      <c r="A112" s="101">
        <v>42845</v>
      </c>
      <c r="B112" s="99">
        <f t="shared" si="1"/>
        <v>42845</v>
      </c>
      <c r="C112" s="100" t="s">
        <v>180</v>
      </c>
    </row>
    <row r="113" spans="1:3" ht="15" customHeight="1">
      <c r="A113" s="101">
        <v>42846</v>
      </c>
      <c r="B113" s="99">
        <f t="shared" si="1"/>
        <v>42846</v>
      </c>
      <c r="C113" s="100" t="s">
        <v>181</v>
      </c>
    </row>
    <row r="114" spans="1:3" ht="15" customHeight="1">
      <c r="A114" s="101">
        <v>42847</v>
      </c>
      <c r="B114" s="99">
        <f t="shared" si="1"/>
        <v>42847</v>
      </c>
      <c r="C114" s="100" t="s">
        <v>66</v>
      </c>
    </row>
    <row r="115" spans="1:3" ht="15" customHeight="1">
      <c r="A115" s="101">
        <v>42848</v>
      </c>
      <c r="B115" s="99">
        <f t="shared" si="1"/>
        <v>42848</v>
      </c>
      <c r="C115" s="100" t="s">
        <v>182</v>
      </c>
    </row>
    <row r="116" spans="1:3" ht="15" customHeight="1">
      <c r="A116" s="101">
        <v>42849</v>
      </c>
      <c r="B116" s="99">
        <f t="shared" si="1"/>
        <v>42849</v>
      </c>
      <c r="C116" s="100" t="s">
        <v>183</v>
      </c>
    </row>
    <row r="117" spans="1:3" ht="15" customHeight="1">
      <c r="A117" s="101">
        <v>42850</v>
      </c>
      <c r="B117" s="99">
        <f t="shared" si="1"/>
        <v>42850</v>
      </c>
      <c r="C117" s="100" t="s">
        <v>184</v>
      </c>
    </row>
    <row r="118" spans="1:3" ht="15" customHeight="1">
      <c r="A118" s="101">
        <v>42851</v>
      </c>
      <c r="B118" s="99">
        <f t="shared" si="1"/>
        <v>42851</v>
      </c>
      <c r="C118" s="100" t="s">
        <v>185</v>
      </c>
    </row>
    <row r="119" spans="1:3" ht="15" customHeight="1">
      <c r="A119" s="101">
        <v>42852</v>
      </c>
      <c r="B119" s="99">
        <f t="shared" si="1"/>
        <v>42852</v>
      </c>
      <c r="C119" s="100" t="s">
        <v>186</v>
      </c>
    </row>
    <row r="120" spans="1:3" ht="15" customHeight="1">
      <c r="A120" s="101">
        <v>42853</v>
      </c>
      <c r="B120" s="99">
        <f t="shared" si="1"/>
        <v>42853</v>
      </c>
      <c r="C120" s="100" t="s">
        <v>187</v>
      </c>
    </row>
    <row r="121" spans="1:3" ht="15" customHeight="1">
      <c r="A121" s="101">
        <v>42854</v>
      </c>
      <c r="B121" s="99">
        <f t="shared" si="1"/>
        <v>42854</v>
      </c>
      <c r="C121" s="100" t="s">
        <v>188</v>
      </c>
    </row>
    <row r="122" spans="1:3" ht="15" customHeight="1">
      <c r="A122" s="101">
        <v>42855</v>
      </c>
      <c r="B122" s="99">
        <f t="shared" si="1"/>
        <v>42855</v>
      </c>
      <c r="C122" s="100" t="s">
        <v>189</v>
      </c>
    </row>
    <row r="123" spans="1:3" ht="15" customHeight="1">
      <c r="A123" s="101">
        <v>42856</v>
      </c>
      <c r="B123" s="99">
        <f t="shared" si="1"/>
        <v>42856</v>
      </c>
      <c r="C123" s="100" t="s">
        <v>190</v>
      </c>
    </row>
    <row r="124" spans="1:3" ht="15" customHeight="1">
      <c r="A124" s="101">
        <v>42857</v>
      </c>
      <c r="B124" s="99">
        <f t="shared" si="1"/>
        <v>42857</v>
      </c>
      <c r="C124" s="100" t="s">
        <v>191</v>
      </c>
    </row>
    <row r="125" spans="1:3" ht="15" customHeight="1">
      <c r="A125" s="101">
        <v>42858</v>
      </c>
      <c r="B125" s="99">
        <f t="shared" si="1"/>
        <v>42858</v>
      </c>
      <c r="C125" s="100" t="s">
        <v>192</v>
      </c>
    </row>
    <row r="126" spans="1:3" ht="15" customHeight="1">
      <c r="A126" s="101">
        <v>42859</v>
      </c>
      <c r="B126" s="99">
        <f t="shared" si="1"/>
        <v>42859</v>
      </c>
      <c r="C126" s="100" t="s">
        <v>193</v>
      </c>
    </row>
    <row r="127" spans="1:3" ht="15" customHeight="1">
      <c r="A127" s="101">
        <v>42860</v>
      </c>
      <c r="B127" s="99">
        <f t="shared" si="1"/>
        <v>42860</v>
      </c>
      <c r="C127" s="100" t="s">
        <v>194</v>
      </c>
    </row>
    <row r="128" spans="1:3" ht="15" customHeight="1">
      <c r="A128" s="101">
        <v>42861</v>
      </c>
      <c r="B128" s="99">
        <f t="shared" si="1"/>
        <v>42861</v>
      </c>
      <c r="C128" s="100" t="s">
        <v>195</v>
      </c>
    </row>
    <row r="129" spans="1:3" ht="15" customHeight="1">
      <c r="A129" s="101">
        <v>42862</v>
      </c>
      <c r="B129" s="99">
        <f t="shared" si="1"/>
        <v>42862</v>
      </c>
      <c r="C129" s="100" t="s">
        <v>196</v>
      </c>
    </row>
    <row r="130" spans="1:3" ht="15" customHeight="1">
      <c r="A130" s="101">
        <v>42863</v>
      </c>
      <c r="B130" s="99">
        <f t="shared" si="1"/>
        <v>42863</v>
      </c>
      <c r="C130" s="100" t="s">
        <v>197</v>
      </c>
    </row>
    <row r="131" spans="1:3" ht="15" customHeight="1">
      <c r="A131" s="101">
        <v>42864</v>
      </c>
      <c r="B131" s="99">
        <f t="shared" si="1"/>
        <v>42864</v>
      </c>
      <c r="C131" s="100" t="s">
        <v>198</v>
      </c>
    </row>
    <row r="132" spans="1:3" ht="15" customHeight="1">
      <c r="A132" s="101">
        <v>42865</v>
      </c>
      <c r="B132" s="99">
        <f t="shared" si="1"/>
        <v>42865</v>
      </c>
      <c r="C132" s="100" t="s">
        <v>199</v>
      </c>
    </row>
    <row r="133" spans="1:3" ht="15" customHeight="1">
      <c r="A133" s="101">
        <v>42866</v>
      </c>
      <c r="B133" s="99">
        <f t="shared" si="1"/>
        <v>42866</v>
      </c>
      <c r="C133" s="100" t="s">
        <v>200</v>
      </c>
    </row>
    <row r="134" spans="1:3" ht="15" customHeight="1">
      <c r="A134" s="101">
        <v>42867</v>
      </c>
      <c r="B134" s="99">
        <f t="shared" si="1"/>
        <v>42867</v>
      </c>
      <c r="C134" s="100" t="s">
        <v>201</v>
      </c>
    </row>
    <row r="135" spans="1:3" ht="15" customHeight="1">
      <c r="A135" s="101">
        <v>42868</v>
      </c>
      <c r="B135" s="99">
        <f t="shared" ref="B135:B198" si="2">DATE($B$1,MONTH(A135),DAY(A135))</f>
        <v>42868</v>
      </c>
      <c r="C135" s="100" t="s">
        <v>202</v>
      </c>
    </row>
    <row r="136" spans="1:3" ht="15" customHeight="1">
      <c r="A136" s="101">
        <v>42869</v>
      </c>
      <c r="B136" s="99">
        <f t="shared" si="2"/>
        <v>42869</v>
      </c>
      <c r="C136" s="100" t="s">
        <v>203</v>
      </c>
    </row>
    <row r="137" spans="1:3" ht="15" customHeight="1">
      <c r="A137" s="101">
        <v>42870</v>
      </c>
      <c r="B137" s="99">
        <f t="shared" si="2"/>
        <v>42870</v>
      </c>
      <c r="C137" s="100" t="s">
        <v>204</v>
      </c>
    </row>
    <row r="138" spans="1:3" ht="15" customHeight="1">
      <c r="A138" s="101">
        <v>42871</v>
      </c>
      <c r="B138" s="99">
        <f t="shared" si="2"/>
        <v>42871</v>
      </c>
      <c r="C138" s="100" t="s">
        <v>205</v>
      </c>
    </row>
    <row r="139" spans="1:3" ht="15" customHeight="1">
      <c r="A139" s="101">
        <v>42872</v>
      </c>
      <c r="B139" s="99">
        <f t="shared" si="2"/>
        <v>42872</v>
      </c>
      <c r="C139" s="100" t="s">
        <v>206</v>
      </c>
    </row>
    <row r="140" spans="1:3" ht="15" customHeight="1">
      <c r="A140" s="101">
        <v>42873</v>
      </c>
      <c r="B140" s="99">
        <f t="shared" si="2"/>
        <v>42873</v>
      </c>
      <c r="C140" s="100" t="s">
        <v>207</v>
      </c>
    </row>
    <row r="141" spans="1:3" ht="15" customHeight="1">
      <c r="A141" s="101">
        <v>42874</v>
      </c>
      <c r="B141" s="99">
        <f t="shared" si="2"/>
        <v>42874</v>
      </c>
      <c r="C141" s="100" t="s">
        <v>208</v>
      </c>
    </row>
    <row r="142" spans="1:3" ht="15" customHeight="1">
      <c r="A142" s="101">
        <v>42875</v>
      </c>
      <c r="B142" s="99">
        <f t="shared" si="2"/>
        <v>42875</v>
      </c>
      <c r="C142" s="100" t="s">
        <v>209</v>
      </c>
    </row>
    <row r="143" spans="1:3" ht="15" customHeight="1">
      <c r="A143" s="101">
        <v>42876</v>
      </c>
      <c r="B143" s="99">
        <f t="shared" si="2"/>
        <v>42876</v>
      </c>
      <c r="C143" s="100" t="s">
        <v>210</v>
      </c>
    </row>
    <row r="144" spans="1:3" ht="15" customHeight="1">
      <c r="A144" s="101">
        <v>42877</v>
      </c>
      <c r="B144" s="99">
        <f t="shared" si="2"/>
        <v>42877</v>
      </c>
      <c r="C144" s="100" t="s">
        <v>211</v>
      </c>
    </row>
    <row r="145" spans="1:3" ht="15" customHeight="1">
      <c r="A145" s="101">
        <v>42878</v>
      </c>
      <c r="B145" s="99">
        <f t="shared" si="2"/>
        <v>42878</v>
      </c>
      <c r="C145" s="100" t="s">
        <v>212</v>
      </c>
    </row>
    <row r="146" spans="1:3" ht="15" customHeight="1">
      <c r="A146" s="101">
        <v>42879</v>
      </c>
      <c r="B146" s="99">
        <f t="shared" si="2"/>
        <v>42879</v>
      </c>
      <c r="C146" s="100" t="s">
        <v>213</v>
      </c>
    </row>
    <row r="147" spans="1:3" ht="15" customHeight="1">
      <c r="A147" s="101">
        <v>42880</v>
      </c>
      <c r="B147" s="99">
        <f t="shared" si="2"/>
        <v>42880</v>
      </c>
      <c r="C147" s="100" t="s">
        <v>214</v>
      </c>
    </row>
    <row r="148" spans="1:3" ht="15" customHeight="1">
      <c r="A148" s="101">
        <v>42881</v>
      </c>
      <c r="B148" s="99">
        <f t="shared" si="2"/>
        <v>42881</v>
      </c>
      <c r="C148" s="100" t="s">
        <v>215</v>
      </c>
    </row>
    <row r="149" spans="1:3" ht="15" customHeight="1">
      <c r="A149" s="101">
        <v>42882</v>
      </c>
      <c r="B149" s="99">
        <f t="shared" si="2"/>
        <v>42882</v>
      </c>
      <c r="C149" s="100" t="s">
        <v>216</v>
      </c>
    </row>
    <row r="150" spans="1:3" ht="15" customHeight="1">
      <c r="A150" s="101">
        <v>42883</v>
      </c>
      <c r="B150" s="99">
        <f t="shared" si="2"/>
        <v>42883</v>
      </c>
      <c r="C150" s="100" t="s">
        <v>217</v>
      </c>
    </row>
    <row r="151" spans="1:3" ht="15" customHeight="1">
      <c r="A151" s="101">
        <v>42884</v>
      </c>
      <c r="B151" s="99">
        <f t="shared" si="2"/>
        <v>42884</v>
      </c>
      <c r="C151" s="100" t="s">
        <v>218</v>
      </c>
    </row>
    <row r="152" spans="1:3" ht="15" customHeight="1">
      <c r="A152" s="101">
        <v>42885</v>
      </c>
      <c r="B152" s="99">
        <f t="shared" si="2"/>
        <v>42885</v>
      </c>
      <c r="C152" s="100" t="s">
        <v>219</v>
      </c>
    </row>
    <row r="153" spans="1:3" ht="15" customHeight="1">
      <c r="A153" s="101">
        <v>42886</v>
      </c>
      <c r="B153" s="99">
        <f t="shared" si="2"/>
        <v>42886</v>
      </c>
      <c r="C153" s="100" t="s">
        <v>220</v>
      </c>
    </row>
    <row r="154" spans="1:3" ht="15" customHeight="1">
      <c r="A154" s="101">
        <v>42887</v>
      </c>
      <c r="B154" s="99">
        <f t="shared" si="2"/>
        <v>42887</v>
      </c>
      <c r="C154" s="100" t="s">
        <v>221</v>
      </c>
    </row>
    <row r="155" spans="1:3" ht="15" customHeight="1">
      <c r="A155" s="101">
        <v>42888</v>
      </c>
      <c r="B155" s="99">
        <f t="shared" si="2"/>
        <v>42888</v>
      </c>
      <c r="C155" s="100" t="s">
        <v>222</v>
      </c>
    </row>
    <row r="156" spans="1:3" ht="15" customHeight="1">
      <c r="A156" s="101">
        <v>42889</v>
      </c>
      <c r="B156" s="99">
        <f t="shared" si="2"/>
        <v>42889</v>
      </c>
      <c r="C156" s="100" t="s">
        <v>223</v>
      </c>
    </row>
    <row r="157" spans="1:3" ht="15" customHeight="1">
      <c r="A157" s="101">
        <v>42890</v>
      </c>
      <c r="B157" s="99">
        <f t="shared" si="2"/>
        <v>42890</v>
      </c>
      <c r="C157" s="100" t="s">
        <v>224</v>
      </c>
    </row>
    <row r="158" spans="1:3" ht="15" customHeight="1">
      <c r="A158" s="101">
        <v>42891</v>
      </c>
      <c r="B158" s="99">
        <f t="shared" si="2"/>
        <v>42891</v>
      </c>
      <c r="C158" s="100" t="s">
        <v>225</v>
      </c>
    </row>
    <row r="159" spans="1:3" ht="15" customHeight="1">
      <c r="A159" s="101">
        <v>42892</v>
      </c>
      <c r="B159" s="99">
        <f t="shared" si="2"/>
        <v>42892</v>
      </c>
      <c r="C159" s="100" t="s">
        <v>226</v>
      </c>
    </row>
    <row r="160" spans="1:3" ht="15" customHeight="1">
      <c r="A160" s="101">
        <v>42893</v>
      </c>
      <c r="B160" s="99">
        <f t="shared" si="2"/>
        <v>42893</v>
      </c>
      <c r="C160" s="100" t="s">
        <v>227</v>
      </c>
    </row>
    <row r="161" spans="1:3" ht="15" customHeight="1">
      <c r="A161" s="101">
        <v>42894</v>
      </c>
      <c r="B161" s="99">
        <f t="shared" si="2"/>
        <v>42894</v>
      </c>
      <c r="C161" s="100" t="s">
        <v>228</v>
      </c>
    </row>
    <row r="162" spans="1:3" ht="15" customHeight="1">
      <c r="A162" s="101">
        <v>42895</v>
      </c>
      <c r="B162" s="99">
        <f t="shared" si="2"/>
        <v>42895</v>
      </c>
      <c r="C162" s="100" t="s">
        <v>229</v>
      </c>
    </row>
    <row r="163" spans="1:3" ht="15" customHeight="1">
      <c r="A163" s="101">
        <v>42896</v>
      </c>
      <c r="B163" s="99">
        <f t="shared" si="2"/>
        <v>42896</v>
      </c>
      <c r="C163" s="100" t="s">
        <v>230</v>
      </c>
    </row>
    <row r="164" spans="1:3" ht="15" customHeight="1">
      <c r="A164" s="101">
        <v>42897</v>
      </c>
      <c r="B164" s="99">
        <f t="shared" si="2"/>
        <v>42897</v>
      </c>
      <c r="C164" s="100" t="s">
        <v>231</v>
      </c>
    </row>
    <row r="165" spans="1:3" ht="15" customHeight="1">
      <c r="A165" s="101">
        <v>42898</v>
      </c>
      <c r="B165" s="99">
        <f t="shared" si="2"/>
        <v>42898</v>
      </c>
      <c r="C165" s="100" t="s">
        <v>232</v>
      </c>
    </row>
    <row r="166" spans="1:3" ht="15" customHeight="1">
      <c r="A166" s="101">
        <v>42899</v>
      </c>
      <c r="B166" s="99">
        <f t="shared" si="2"/>
        <v>42899</v>
      </c>
      <c r="C166" s="100" t="s">
        <v>233</v>
      </c>
    </row>
    <row r="167" spans="1:3" ht="15" customHeight="1">
      <c r="A167" s="101">
        <v>42900</v>
      </c>
      <c r="B167" s="99">
        <f t="shared" si="2"/>
        <v>42900</v>
      </c>
      <c r="C167" s="100" t="s">
        <v>234</v>
      </c>
    </row>
    <row r="168" spans="1:3" ht="15" customHeight="1">
      <c r="A168" s="101">
        <v>42901</v>
      </c>
      <c r="B168" s="99">
        <f t="shared" si="2"/>
        <v>42901</v>
      </c>
      <c r="C168" s="100" t="s">
        <v>235</v>
      </c>
    </row>
    <row r="169" spans="1:3" ht="15" customHeight="1">
      <c r="A169" s="101">
        <v>42902</v>
      </c>
      <c r="B169" s="99">
        <f t="shared" si="2"/>
        <v>42902</v>
      </c>
      <c r="C169" s="100" t="s">
        <v>236</v>
      </c>
    </row>
    <row r="170" spans="1:3" ht="15" customHeight="1">
      <c r="A170" s="101">
        <v>42903</v>
      </c>
      <c r="B170" s="99">
        <f t="shared" si="2"/>
        <v>42903</v>
      </c>
      <c r="C170" s="100" t="s">
        <v>50</v>
      </c>
    </row>
    <row r="171" spans="1:3" ht="15" customHeight="1">
      <c r="A171" s="101">
        <v>42904</v>
      </c>
      <c r="B171" s="99">
        <f t="shared" si="2"/>
        <v>42904</v>
      </c>
      <c r="C171" s="100" t="s">
        <v>237</v>
      </c>
    </row>
    <row r="172" spans="1:3" ht="15" customHeight="1">
      <c r="A172" s="101">
        <v>42905</v>
      </c>
      <c r="B172" s="99">
        <f t="shared" si="2"/>
        <v>42905</v>
      </c>
      <c r="C172" s="100" t="s">
        <v>238</v>
      </c>
    </row>
    <row r="173" spans="1:3" ht="15" customHeight="1">
      <c r="A173" s="101">
        <v>42906</v>
      </c>
      <c r="B173" s="99">
        <f t="shared" si="2"/>
        <v>42906</v>
      </c>
      <c r="C173" s="100" t="s">
        <v>239</v>
      </c>
    </row>
    <row r="174" spans="1:3" ht="15" customHeight="1">
      <c r="A174" s="101">
        <v>42907</v>
      </c>
      <c r="B174" s="99">
        <f t="shared" si="2"/>
        <v>42907</v>
      </c>
      <c r="C174" s="100" t="s">
        <v>19</v>
      </c>
    </row>
    <row r="175" spans="1:3" ht="15" customHeight="1">
      <c r="A175" s="101">
        <v>42908</v>
      </c>
      <c r="B175" s="99">
        <f t="shared" si="2"/>
        <v>42908</v>
      </c>
      <c r="C175" s="100" t="s">
        <v>240</v>
      </c>
    </row>
    <row r="176" spans="1:3" ht="15" customHeight="1">
      <c r="A176" s="101">
        <v>42909</v>
      </c>
      <c r="B176" s="99">
        <f t="shared" si="2"/>
        <v>42909</v>
      </c>
      <c r="C176" s="100" t="s">
        <v>241</v>
      </c>
    </row>
    <row r="177" spans="1:3" ht="15" customHeight="1">
      <c r="A177" s="101">
        <v>42910</v>
      </c>
      <c r="B177" s="99">
        <f t="shared" si="2"/>
        <v>42910</v>
      </c>
      <c r="C177" s="100" t="s">
        <v>242</v>
      </c>
    </row>
    <row r="178" spans="1:3" ht="15" customHeight="1">
      <c r="A178" s="101">
        <v>42911</v>
      </c>
      <c r="B178" s="99">
        <f t="shared" si="2"/>
        <v>42911</v>
      </c>
      <c r="C178" s="100" t="s">
        <v>243</v>
      </c>
    </row>
    <row r="179" spans="1:3" ht="15" customHeight="1">
      <c r="A179" s="101">
        <v>42912</v>
      </c>
      <c r="B179" s="99">
        <f t="shared" si="2"/>
        <v>42912</v>
      </c>
      <c r="C179" s="100" t="s">
        <v>244</v>
      </c>
    </row>
    <row r="180" spans="1:3" ht="15" customHeight="1">
      <c r="A180" s="101">
        <v>42913</v>
      </c>
      <c r="B180" s="99">
        <f t="shared" si="2"/>
        <v>42913</v>
      </c>
      <c r="C180" s="100" t="s">
        <v>245</v>
      </c>
    </row>
    <row r="181" spans="1:3" ht="15" customHeight="1">
      <c r="A181" s="101">
        <v>42914</v>
      </c>
      <c r="B181" s="99">
        <f t="shared" si="2"/>
        <v>42914</v>
      </c>
      <c r="C181" s="100" t="s">
        <v>246</v>
      </c>
    </row>
    <row r="182" spans="1:3" ht="15" customHeight="1">
      <c r="A182" s="101">
        <v>42915</v>
      </c>
      <c r="B182" s="99">
        <f t="shared" si="2"/>
        <v>42915</v>
      </c>
      <c r="C182" s="100" t="s">
        <v>247</v>
      </c>
    </row>
    <row r="183" spans="1:3" ht="15" customHeight="1">
      <c r="A183" s="101">
        <v>42916</v>
      </c>
      <c r="B183" s="99">
        <f t="shared" si="2"/>
        <v>42916</v>
      </c>
      <c r="C183" s="100" t="s">
        <v>248</v>
      </c>
    </row>
    <row r="184" spans="1:3" ht="15" customHeight="1">
      <c r="A184" s="101">
        <v>42917</v>
      </c>
      <c r="B184" s="99">
        <f t="shared" si="2"/>
        <v>42917</v>
      </c>
      <c r="C184" s="100" t="s">
        <v>249</v>
      </c>
    </row>
    <row r="185" spans="1:3" ht="15" customHeight="1">
      <c r="A185" s="101">
        <v>42918</v>
      </c>
      <c r="B185" s="99">
        <f t="shared" si="2"/>
        <v>42918</v>
      </c>
      <c r="C185" s="100" t="s">
        <v>250</v>
      </c>
    </row>
    <row r="186" spans="1:3" ht="15" customHeight="1">
      <c r="A186" s="101">
        <v>42919</v>
      </c>
      <c r="B186" s="99">
        <f t="shared" si="2"/>
        <v>42919</v>
      </c>
      <c r="C186" s="100" t="s">
        <v>251</v>
      </c>
    </row>
    <row r="187" spans="1:3" ht="15" customHeight="1">
      <c r="A187" s="101">
        <v>42920</v>
      </c>
      <c r="B187" s="99">
        <f t="shared" si="2"/>
        <v>42920</v>
      </c>
      <c r="C187" s="100" t="s">
        <v>252</v>
      </c>
    </row>
    <row r="188" spans="1:3" ht="15" customHeight="1">
      <c r="A188" s="101">
        <v>42921</v>
      </c>
      <c r="B188" s="99">
        <f t="shared" si="2"/>
        <v>42921</v>
      </c>
      <c r="C188" s="100" t="s">
        <v>253</v>
      </c>
    </row>
    <row r="189" spans="1:3" ht="15" customHeight="1">
      <c r="A189" s="101">
        <v>42922</v>
      </c>
      <c r="B189" s="99">
        <f t="shared" si="2"/>
        <v>42922</v>
      </c>
      <c r="C189" s="100" t="s">
        <v>254</v>
      </c>
    </row>
    <row r="190" spans="1:3" ht="15" customHeight="1">
      <c r="A190" s="101">
        <v>42923</v>
      </c>
      <c r="B190" s="99">
        <f t="shared" si="2"/>
        <v>42923</v>
      </c>
      <c r="C190" s="100" t="s">
        <v>255</v>
      </c>
    </row>
    <row r="191" spans="1:3" ht="15" customHeight="1">
      <c r="A191" s="101">
        <v>42924</v>
      </c>
      <c r="B191" s="99">
        <f t="shared" si="2"/>
        <v>42924</v>
      </c>
      <c r="C191" s="100" t="s">
        <v>256</v>
      </c>
    </row>
    <row r="192" spans="1:3" ht="15" customHeight="1">
      <c r="A192" s="101">
        <v>42925</v>
      </c>
      <c r="B192" s="99">
        <f t="shared" si="2"/>
        <v>42925</v>
      </c>
      <c r="C192" s="100" t="s">
        <v>257</v>
      </c>
    </row>
    <row r="193" spans="1:3" ht="15" customHeight="1">
      <c r="A193" s="101">
        <v>42926</v>
      </c>
      <c r="B193" s="99">
        <f t="shared" si="2"/>
        <v>42926</v>
      </c>
      <c r="C193" s="100" t="s">
        <v>258</v>
      </c>
    </row>
    <row r="194" spans="1:3" ht="15" customHeight="1">
      <c r="A194" s="101">
        <v>42927</v>
      </c>
      <c r="B194" s="99">
        <f t="shared" si="2"/>
        <v>42927</v>
      </c>
      <c r="C194" s="100" t="s">
        <v>259</v>
      </c>
    </row>
    <row r="195" spans="1:3" ht="15" customHeight="1">
      <c r="A195" s="101">
        <v>42928</v>
      </c>
      <c r="B195" s="99">
        <f t="shared" si="2"/>
        <v>42928</v>
      </c>
      <c r="C195" s="100" t="s">
        <v>260</v>
      </c>
    </row>
    <row r="196" spans="1:3" ht="15" customHeight="1">
      <c r="A196" s="101">
        <v>42929</v>
      </c>
      <c r="B196" s="99">
        <f t="shared" si="2"/>
        <v>42929</v>
      </c>
      <c r="C196" s="100" t="s">
        <v>261</v>
      </c>
    </row>
    <row r="197" spans="1:3" ht="15" customHeight="1">
      <c r="A197" s="101">
        <v>42930</v>
      </c>
      <c r="B197" s="99">
        <f t="shared" si="2"/>
        <v>42930</v>
      </c>
      <c r="C197" s="100" t="s">
        <v>262</v>
      </c>
    </row>
    <row r="198" spans="1:3" ht="15" customHeight="1">
      <c r="A198" s="101">
        <v>42931</v>
      </c>
      <c r="B198" s="99">
        <f t="shared" si="2"/>
        <v>42931</v>
      </c>
      <c r="C198" s="100" t="s">
        <v>263</v>
      </c>
    </row>
    <row r="199" spans="1:3" ht="15" customHeight="1">
      <c r="A199" s="101">
        <v>42932</v>
      </c>
      <c r="B199" s="99">
        <f t="shared" ref="B199:B262" si="3">DATE($B$1,MONTH(A199),DAY(A199))</f>
        <v>42932</v>
      </c>
      <c r="C199" s="100" t="s">
        <v>264</v>
      </c>
    </row>
    <row r="200" spans="1:3" ht="15" customHeight="1">
      <c r="A200" s="101">
        <v>42933</v>
      </c>
      <c r="B200" s="99">
        <f t="shared" si="3"/>
        <v>42933</v>
      </c>
      <c r="C200" s="100" t="s">
        <v>265</v>
      </c>
    </row>
    <row r="201" spans="1:3" ht="15" customHeight="1">
      <c r="A201" s="101">
        <v>42934</v>
      </c>
      <c r="B201" s="99">
        <f t="shared" si="3"/>
        <v>42934</v>
      </c>
      <c r="C201" s="100" t="s">
        <v>266</v>
      </c>
    </row>
    <row r="202" spans="1:3" ht="15" customHeight="1">
      <c r="A202" s="101">
        <v>42935</v>
      </c>
      <c r="B202" s="99">
        <f t="shared" si="3"/>
        <v>42935</v>
      </c>
      <c r="C202" s="100" t="s">
        <v>267</v>
      </c>
    </row>
    <row r="203" spans="1:3" ht="15" customHeight="1">
      <c r="A203" s="101">
        <v>42936</v>
      </c>
      <c r="B203" s="99">
        <f t="shared" si="3"/>
        <v>42936</v>
      </c>
      <c r="C203" s="100" t="s">
        <v>268</v>
      </c>
    </row>
    <row r="204" spans="1:3" ht="15" customHeight="1">
      <c r="A204" s="101">
        <v>42937</v>
      </c>
      <c r="B204" s="99">
        <f t="shared" si="3"/>
        <v>42937</v>
      </c>
      <c r="C204" s="100" t="s">
        <v>269</v>
      </c>
    </row>
    <row r="205" spans="1:3" ht="15" customHeight="1">
      <c r="A205" s="101">
        <v>42938</v>
      </c>
      <c r="B205" s="99">
        <f t="shared" si="3"/>
        <v>42938</v>
      </c>
      <c r="C205" s="100" t="s">
        <v>270</v>
      </c>
    </row>
    <row r="206" spans="1:3" ht="15" customHeight="1">
      <c r="A206" s="101">
        <v>42939</v>
      </c>
      <c r="B206" s="99">
        <f t="shared" si="3"/>
        <v>42939</v>
      </c>
      <c r="C206" s="100" t="s">
        <v>271</v>
      </c>
    </row>
    <row r="207" spans="1:3" ht="15" customHeight="1">
      <c r="A207" s="101">
        <v>42940</v>
      </c>
      <c r="B207" s="99">
        <f t="shared" si="3"/>
        <v>42940</v>
      </c>
      <c r="C207" s="100" t="s">
        <v>272</v>
      </c>
    </row>
    <row r="208" spans="1:3" ht="15" customHeight="1">
      <c r="A208" s="101">
        <v>42941</v>
      </c>
      <c r="B208" s="99">
        <f t="shared" si="3"/>
        <v>42941</v>
      </c>
      <c r="C208" s="100" t="s">
        <v>273</v>
      </c>
    </row>
    <row r="209" spans="1:3" ht="15" customHeight="1">
      <c r="A209" s="101">
        <v>42942</v>
      </c>
      <c r="B209" s="99">
        <f t="shared" si="3"/>
        <v>42942</v>
      </c>
      <c r="C209" s="100" t="s">
        <v>274</v>
      </c>
    </row>
    <row r="210" spans="1:3" ht="15" customHeight="1">
      <c r="A210" s="101">
        <v>42943</v>
      </c>
      <c r="B210" s="99">
        <f t="shared" si="3"/>
        <v>42943</v>
      </c>
      <c r="C210" s="100" t="s">
        <v>275</v>
      </c>
    </row>
    <row r="211" spans="1:3" ht="15" customHeight="1">
      <c r="A211" s="101">
        <v>42944</v>
      </c>
      <c r="B211" s="99">
        <f t="shared" si="3"/>
        <v>42944</v>
      </c>
      <c r="C211" s="100" t="s">
        <v>276</v>
      </c>
    </row>
    <row r="212" spans="1:3" ht="15" customHeight="1">
      <c r="A212" s="101">
        <v>42945</v>
      </c>
      <c r="B212" s="99">
        <f t="shared" si="3"/>
        <v>42945</v>
      </c>
      <c r="C212" s="100" t="s">
        <v>277</v>
      </c>
    </row>
    <row r="213" spans="1:3" ht="15" customHeight="1">
      <c r="A213" s="101">
        <v>42946</v>
      </c>
      <c r="B213" s="99">
        <f t="shared" si="3"/>
        <v>42946</v>
      </c>
      <c r="C213" s="100" t="s">
        <v>278</v>
      </c>
    </row>
    <row r="214" spans="1:3" ht="15" customHeight="1">
      <c r="A214" s="101">
        <v>42947</v>
      </c>
      <c r="B214" s="99">
        <f t="shared" si="3"/>
        <v>42947</v>
      </c>
      <c r="C214" s="100" t="s">
        <v>279</v>
      </c>
    </row>
    <row r="215" spans="1:3" ht="15" customHeight="1">
      <c r="A215" s="101">
        <v>42948</v>
      </c>
      <c r="B215" s="99">
        <f t="shared" si="3"/>
        <v>42948</v>
      </c>
      <c r="C215" s="100" t="s">
        <v>280</v>
      </c>
    </row>
    <row r="216" spans="1:3" ht="15" customHeight="1">
      <c r="A216" s="101">
        <v>42949</v>
      </c>
      <c r="B216" s="99">
        <f t="shared" si="3"/>
        <v>42949</v>
      </c>
      <c r="C216" s="100" t="s">
        <v>281</v>
      </c>
    </row>
    <row r="217" spans="1:3" ht="15" customHeight="1">
      <c r="A217" s="101">
        <v>42950</v>
      </c>
      <c r="B217" s="99">
        <f t="shared" si="3"/>
        <v>42950</v>
      </c>
      <c r="C217" s="100" t="s">
        <v>282</v>
      </c>
    </row>
    <row r="218" spans="1:3" ht="15" customHeight="1">
      <c r="A218" s="101">
        <v>42951</v>
      </c>
      <c r="B218" s="99">
        <f t="shared" si="3"/>
        <v>42951</v>
      </c>
      <c r="C218" s="100" t="s">
        <v>283</v>
      </c>
    </row>
    <row r="219" spans="1:3" ht="15" customHeight="1">
      <c r="A219" s="101">
        <v>42952</v>
      </c>
      <c r="B219" s="99">
        <f t="shared" si="3"/>
        <v>42952</v>
      </c>
      <c r="C219" s="100" t="s">
        <v>284</v>
      </c>
    </row>
    <row r="220" spans="1:3" ht="15" customHeight="1">
      <c r="A220" s="101">
        <v>42953</v>
      </c>
      <c r="B220" s="99">
        <f t="shared" si="3"/>
        <v>42953</v>
      </c>
      <c r="C220" s="100" t="s">
        <v>285</v>
      </c>
    </row>
    <row r="221" spans="1:3" ht="15" customHeight="1">
      <c r="A221" s="101">
        <v>42954</v>
      </c>
      <c r="B221" s="99">
        <f t="shared" si="3"/>
        <v>42954</v>
      </c>
      <c r="C221" s="100" t="s">
        <v>286</v>
      </c>
    </row>
    <row r="222" spans="1:3" ht="15" customHeight="1">
      <c r="A222" s="101">
        <v>42955</v>
      </c>
      <c r="B222" s="99">
        <f t="shared" si="3"/>
        <v>42955</v>
      </c>
      <c r="C222" s="100" t="s">
        <v>287</v>
      </c>
    </row>
    <row r="223" spans="1:3" ht="15" customHeight="1">
      <c r="A223" s="101">
        <v>42956</v>
      </c>
      <c r="B223" s="99">
        <f t="shared" si="3"/>
        <v>42956</v>
      </c>
      <c r="C223" s="100" t="s">
        <v>288</v>
      </c>
    </row>
    <row r="224" spans="1:3" ht="15" customHeight="1">
      <c r="A224" s="101">
        <v>42957</v>
      </c>
      <c r="B224" s="99">
        <f t="shared" si="3"/>
        <v>42957</v>
      </c>
      <c r="C224" s="100" t="s">
        <v>289</v>
      </c>
    </row>
    <row r="225" spans="1:3" ht="15" customHeight="1">
      <c r="A225" s="101">
        <v>42958</v>
      </c>
      <c r="B225" s="99">
        <f t="shared" si="3"/>
        <v>42958</v>
      </c>
      <c r="C225" s="100" t="s">
        <v>290</v>
      </c>
    </row>
    <row r="226" spans="1:3" ht="15" customHeight="1">
      <c r="A226" s="101">
        <v>42959</v>
      </c>
      <c r="B226" s="99">
        <f t="shared" si="3"/>
        <v>42959</v>
      </c>
      <c r="C226" s="100" t="s">
        <v>291</v>
      </c>
    </row>
    <row r="227" spans="1:3" ht="15" customHeight="1">
      <c r="A227" s="101">
        <v>42960</v>
      </c>
      <c r="B227" s="99">
        <f t="shared" si="3"/>
        <v>42960</v>
      </c>
      <c r="C227" s="100" t="s">
        <v>292</v>
      </c>
    </row>
    <row r="228" spans="1:3" ht="15" customHeight="1">
      <c r="A228" s="101">
        <v>42961</v>
      </c>
      <c r="B228" s="99">
        <f t="shared" si="3"/>
        <v>42961</v>
      </c>
      <c r="C228" s="100" t="s">
        <v>293</v>
      </c>
    </row>
    <row r="229" spans="1:3" ht="15" customHeight="1">
      <c r="A229" s="101">
        <v>42962</v>
      </c>
      <c r="B229" s="99">
        <f t="shared" si="3"/>
        <v>42962</v>
      </c>
      <c r="C229" s="100" t="s">
        <v>294</v>
      </c>
    </row>
    <row r="230" spans="1:3" ht="15" customHeight="1">
      <c r="A230" s="101">
        <v>42963</v>
      </c>
      <c r="B230" s="99">
        <f t="shared" si="3"/>
        <v>42963</v>
      </c>
      <c r="C230" s="100" t="s">
        <v>295</v>
      </c>
    </row>
    <row r="231" spans="1:3" ht="15" customHeight="1">
      <c r="A231" s="101">
        <v>42964</v>
      </c>
      <c r="B231" s="99">
        <f t="shared" si="3"/>
        <v>42964</v>
      </c>
      <c r="C231" s="100" t="s">
        <v>296</v>
      </c>
    </row>
    <row r="232" spans="1:3" ht="15" customHeight="1">
      <c r="A232" s="101">
        <v>42965</v>
      </c>
      <c r="B232" s="99">
        <f t="shared" si="3"/>
        <v>42965</v>
      </c>
      <c r="C232" s="100" t="s">
        <v>297</v>
      </c>
    </row>
    <row r="233" spans="1:3" ht="15" customHeight="1">
      <c r="A233" s="101">
        <v>42966</v>
      </c>
      <c r="B233" s="99">
        <f t="shared" si="3"/>
        <v>42966</v>
      </c>
      <c r="C233" s="100" t="s">
        <v>298</v>
      </c>
    </row>
    <row r="234" spans="1:3" ht="15" customHeight="1">
      <c r="A234" s="101">
        <v>42967</v>
      </c>
      <c r="B234" s="99">
        <f t="shared" si="3"/>
        <v>42967</v>
      </c>
      <c r="C234" s="100" t="s">
        <v>299</v>
      </c>
    </row>
    <row r="235" spans="1:3" ht="15" customHeight="1">
      <c r="A235" s="101">
        <v>42968</v>
      </c>
      <c r="B235" s="99">
        <f t="shared" si="3"/>
        <v>42968</v>
      </c>
      <c r="C235" s="100" t="s">
        <v>300</v>
      </c>
    </row>
    <row r="236" spans="1:3" ht="15" customHeight="1">
      <c r="A236" s="101">
        <v>42969</v>
      </c>
      <c r="B236" s="99">
        <f t="shared" si="3"/>
        <v>42969</v>
      </c>
      <c r="C236" s="100" t="s">
        <v>301</v>
      </c>
    </row>
    <row r="237" spans="1:3" ht="15" customHeight="1">
      <c r="A237" s="101">
        <v>42970</v>
      </c>
      <c r="B237" s="99">
        <f t="shared" si="3"/>
        <v>42970</v>
      </c>
      <c r="C237" s="100" t="s">
        <v>302</v>
      </c>
    </row>
    <row r="238" spans="1:3" ht="15" customHeight="1">
      <c r="A238" s="101">
        <v>42971</v>
      </c>
      <c r="B238" s="99">
        <f t="shared" si="3"/>
        <v>42971</v>
      </c>
      <c r="C238" s="100" t="s">
        <v>303</v>
      </c>
    </row>
    <row r="239" spans="1:3" ht="15" customHeight="1">
      <c r="A239" s="101">
        <v>42972</v>
      </c>
      <c r="B239" s="99">
        <f t="shared" si="3"/>
        <v>42972</v>
      </c>
      <c r="C239" s="100" t="s">
        <v>304</v>
      </c>
    </row>
    <row r="240" spans="1:3" ht="15" customHeight="1">
      <c r="A240" s="101">
        <v>42973</v>
      </c>
      <c r="B240" s="99">
        <f t="shared" si="3"/>
        <v>42973</v>
      </c>
      <c r="C240" s="100" t="s">
        <v>305</v>
      </c>
    </row>
    <row r="241" spans="1:3" ht="15" customHeight="1">
      <c r="A241" s="101">
        <v>42974</v>
      </c>
      <c r="B241" s="99">
        <f t="shared" si="3"/>
        <v>42974</v>
      </c>
      <c r="C241" s="100" t="s">
        <v>306</v>
      </c>
    </row>
    <row r="242" spans="1:3" ht="15" customHeight="1">
      <c r="A242" s="101">
        <v>42975</v>
      </c>
      <c r="B242" s="99">
        <f t="shared" si="3"/>
        <v>42975</v>
      </c>
      <c r="C242" s="100" t="s">
        <v>216</v>
      </c>
    </row>
    <row r="243" spans="1:3" ht="15" customHeight="1">
      <c r="A243" s="101">
        <v>42976</v>
      </c>
      <c r="B243" s="99">
        <f t="shared" si="3"/>
        <v>42976</v>
      </c>
      <c r="C243" s="100" t="s">
        <v>307</v>
      </c>
    </row>
    <row r="244" spans="1:3" ht="15" customHeight="1">
      <c r="A244" s="101">
        <v>42977</v>
      </c>
      <c r="B244" s="99">
        <f t="shared" si="3"/>
        <v>42977</v>
      </c>
      <c r="C244" s="100" t="s">
        <v>308</v>
      </c>
    </row>
    <row r="245" spans="1:3" ht="15" customHeight="1">
      <c r="A245" s="101">
        <v>42978</v>
      </c>
      <c r="B245" s="99">
        <f t="shared" si="3"/>
        <v>42978</v>
      </c>
      <c r="C245" s="100" t="s">
        <v>309</v>
      </c>
    </row>
    <row r="246" spans="1:3" ht="15" customHeight="1">
      <c r="A246" s="101">
        <v>42979</v>
      </c>
      <c r="B246" s="99">
        <f t="shared" si="3"/>
        <v>42979</v>
      </c>
      <c r="C246" s="100" t="s">
        <v>310</v>
      </c>
    </row>
    <row r="247" spans="1:3" ht="15" customHeight="1">
      <c r="A247" s="101">
        <v>42980</v>
      </c>
      <c r="B247" s="99">
        <f t="shared" si="3"/>
        <v>42980</v>
      </c>
      <c r="C247" s="100" t="s">
        <v>311</v>
      </c>
    </row>
    <row r="248" spans="1:3" ht="15" customHeight="1">
      <c r="A248" s="101">
        <v>42981</v>
      </c>
      <c r="B248" s="99">
        <f t="shared" si="3"/>
        <v>42981</v>
      </c>
      <c r="C248" s="100" t="s">
        <v>312</v>
      </c>
    </row>
    <row r="249" spans="1:3" ht="15" customHeight="1">
      <c r="A249" s="101">
        <v>42982</v>
      </c>
      <c r="B249" s="99">
        <f t="shared" si="3"/>
        <v>42982</v>
      </c>
      <c r="C249" s="100" t="s">
        <v>313</v>
      </c>
    </row>
    <row r="250" spans="1:3" ht="15" customHeight="1">
      <c r="A250" s="101">
        <v>42983</v>
      </c>
      <c r="B250" s="99">
        <f t="shared" si="3"/>
        <v>42983</v>
      </c>
      <c r="C250" s="100" t="s">
        <v>314</v>
      </c>
    </row>
    <row r="251" spans="1:3" ht="15" customHeight="1">
      <c r="A251" s="101">
        <v>42984</v>
      </c>
      <c r="B251" s="99">
        <f t="shared" si="3"/>
        <v>42984</v>
      </c>
      <c r="C251" s="100" t="s">
        <v>315</v>
      </c>
    </row>
    <row r="252" spans="1:3" ht="15" customHeight="1">
      <c r="A252" s="101">
        <v>42985</v>
      </c>
      <c r="B252" s="99">
        <f t="shared" si="3"/>
        <v>42985</v>
      </c>
      <c r="C252" s="100" t="s">
        <v>316</v>
      </c>
    </row>
    <row r="253" spans="1:3" ht="15" customHeight="1">
      <c r="A253" s="101">
        <v>42986</v>
      </c>
      <c r="B253" s="99">
        <f t="shared" si="3"/>
        <v>42986</v>
      </c>
      <c r="C253" s="100" t="s">
        <v>317</v>
      </c>
    </row>
    <row r="254" spans="1:3" ht="15" customHeight="1">
      <c r="A254" s="101">
        <v>42987</v>
      </c>
      <c r="B254" s="99">
        <f t="shared" si="3"/>
        <v>42987</v>
      </c>
      <c r="C254" s="100" t="s">
        <v>318</v>
      </c>
    </row>
    <row r="255" spans="1:3" ht="15" customHeight="1">
      <c r="A255" s="101">
        <v>42988</v>
      </c>
      <c r="B255" s="99">
        <f t="shared" si="3"/>
        <v>42988</v>
      </c>
      <c r="C255" s="100" t="s">
        <v>319</v>
      </c>
    </row>
    <row r="256" spans="1:3" ht="15" customHeight="1">
      <c r="A256" s="101">
        <v>42989</v>
      </c>
      <c r="B256" s="99">
        <f t="shared" si="3"/>
        <v>42989</v>
      </c>
      <c r="C256" s="100" t="s">
        <v>320</v>
      </c>
    </row>
    <row r="257" spans="1:3" ht="15" customHeight="1">
      <c r="A257" s="101">
        <v>42990</v>
      </c>
      <c r="B257" s="99">
        <f t="shared" si="3"/>
        <v>42990</v>
      </c>
      <c r="C257" s="100" t="s">
        <v>321</v>
      </c>
    </row>
    <row r="258" spans="1:3" ht="15" customHeight="1">
      <c r="A258" s="101">
        <v>42991</v>
      </c>
      <c r="B258" s="99">
        <f t="shared" si="3"/>
        <v>42991</v>
      </c>
      <c r="C258" s="100" t="s">
        <v>322</v>
      </c>
    </row>
    <row r="259" spans="1:3" ht="15" customHeight="1">
      <c r="A259" s="101">
        <v>42992</v>
      </c>
      <c r="B259" s="99">
        <f t="shared" si="3"/>
        <v>42992</v>
      </c>
      <c r="C259" s="100" t="s">
        <v>323</v>
      </c>
    </row>
    <row r="260" spans="1:3" ht="15" customHeight="1">
      <c r="A260" s="101">
        <v>42993</v>
      </c>
      <c r="B260" s="99">
        <f t="shared" si="3"/>
        <v>42993</v>
      </c>
      <c r="C260" s="100" t="s">
        <v>324</v>
      </c>
    </row>
    <row r="261" spans="1:3" ht="15" customHeight="1">
      <c r="A261" s="101">
        <v>42994</v>
      </c>
      <c r="B261" s="99">
        <f t="shared" si="3"/>
        <v>42994</v>
      </c>
      <c r="C261" s="100" t="s">
        <v>325</v>
      </c>
    </row>
    <row r="262" spans="1:3" ht="15" customHeight="1">
      <c r="A262" s="101">
        <v>42995</v>
      </c>
      <c r="B262" s="99">
        <f t="shared" si="3"/>
        <v>42995</v>
      </c>
      <c r="C262" s="100" t="s">
        <v>326</v>
      </c>
    </row>
    <row r="263" spans="1:3" ht="15" customHeight="1">
      <c r="A263" s="101">
        <v>42996</v>
      </c>
      <c r="B263" s="99">
        <f t="shared" ref="B263:B326" si="4">DATE($B$1,MONTH(A263),DAY(A263))</f>
        <v>42996</v>
      </c>
      <c r="C263" s="100" t="s">
        <v>327</v>
      </c>
    </row>
    <row r="264" spans="1:3" ht="15" customHeight="1">
      <c r="A264" s="101">
        <v>42997</v>
      </c>
      <c r="B264" s="99">
        <f t="shared" si="4"/>
        <v>42997</v>
      </c>
      <c r="C264" s="100" t="s">
        <v>328</v>
      </c>
    </row>
    <row r="265" spans="1:3" ht="15" customHeight="1">
      <c r="A265" s="101">
        <v>42998</v>
      </c>
      <c r="B265" s="99">
        <f t="shared" si="4"/>
        <v>42998</v>
      </c>
      <c r="C265" s="100" t="s">
        <v>329</v>
      </c>
    </row>
    <row r="266" spans="1:3" ht="15" customHeight="1">
      <c r="A266" s="101">
        <v>42999</v>
      </c>
      <c r="B266" s="99">
        <f t="shared" si="4"/>
        <v>42999</v>
      </c>
      <c r="C266" s="100" t="s">
        <v>330</v>
      </c>
    </row>
    <row r="267" spans="1:3" ht="15" customHeight="1">
      <c r="A267" s="101">
        <v>43000</v>
      </c>
      <c r="B267" s="99">
        <f t="shared" si="4"/>
        <v>43000</v>
      </c>
      <c r="C267" s="100" t="s">
        <v>331</v>
      </c>
    </row>
    <row r="268" spans="1:3" ht="15" customHeight="1">
      <c r="A268" s="101">
        <v>43001</v>
      </c>
      <c r="B268" s="99">
        <f t="shared" si="4"/>
        <v>43001</v>
      </c>
      <c r="C268" s="100" t="s">
        <v>332</v>
      </c>
    </row>
    <row r="269" spans="1:3" ht="15" customHeight="1">
      <c r="A269" s="101">
        <v>43002</v>
      </c>
      <c r="B269" s="99">
        <f t="shared" si="4"/>
        <v>43002</v>
      </c>
      <c r="C269" s="100" t="s">
        <v>333</v>
      </c>
    </row>
    <row r="270" spans="1:3" ht="15" customHeight="1">
      <c r="A270" s="101">
        <v>43003</v>
      </c>
      <c r="B270" s="99">
        <f t="shared" si="4"/>
        <v>43003</v>
      </c>
      <c r="C270" s="100" t="s">
        <v>334</v>
      </c>
    </row>
    <row r="271" spans="1:3" ht="15" customHeight="1">
      <c r="A271" s="101">
        <v>43004</v>
      </c>
      <c r="B271" s="99">
        <f t="shared" si="4"/>
        <v>43004</v>
      </c>
      <c r="C271" s="100" t="s">
        <v>335</v>
      </c>
    </row>
    <row r="272" spans="1:3" ht="15" customHeight="1">
      <c r="A272" s="101">
        <v>43005</v>
      </c>
      <c r="B272" s="99">
        <f t="shared" si="4"/>
        <v>43005</v>
      </c>
      <c r="C272" s="100" t="s">
        <v>336</v>
      </c>
    </row>
    <row r="273" spans="1:3" ht="15" customHeight="1">
      <c r="A273" s="101">
        <v>43006</v>
      </c>
      <c r="B273" s="99">
        <f t="shared" si="4"/>
        <v>43006</v>
      </c>
      <c r="C273" s="100" t="s">
        <v>337</v>
      </c>
    </row>
    <row r="274" spans="1:3" ht="15" customHeight="1">
      <c r="A274" s="101">
        <v>43007</v>
      </c>
      <c r="B274" s="99">
        <f t="shared" si="4"/>
        <v>43007</v>
      </c>
      <c r="C274" s="100" t="s">
        <v>338</v>
      </c>
    </row>
    <row r="275" spans="1:3" ht="15" customHeight="1">
      <c r="A275" s="101">
        <v>43008</v>
      </c>
      <c r="B275" s="99">
        <f t="shared" si="4"/>
        <v>43008</v>
      </c>
      <c r="C275" s="100" t="s">
        <v>339</v>
      </c>
    </row>
    <row r="276" spans="1:3" ht="15" customHeight="1">
      <c r="A276" s="101">
        <v>43009</v>
      </c>
      <c r="B276" s="99">
        <f t="shared" si="4"/>
        <v>43009</v>
      </c>
      <c r="C276" s="100" t="s">
        <v>340</v>
      </c>
    </row>
    <row r="277" spans="1:3" ht="15" customHeight="1">
      <c r="A277" s="101">
        <v>43010</v>
      </c>
      <c r="B277" s="99">
        <f t="shared" si="4"/>
        <v>43010</v>
      </c>
      <c r="C277" s="100" t="s">
        <v>341</v>
      </c>
    </row>
    <row r="278" spans="1:3" ht="15" customHeight="1">
      <c r="A278" s="101">
        <v>43011</v>
      </c>
      <c r="B278" s="99">
        <f t="shared" si="4"/>
        <v>43011</v>
      </c>
      <c r="C278" s="100" t="s">
        <v>342</v>
      </c>
    </row>
    <row r="279" spans="1:3" ht="15" customHeight="1">
      <c r="A279" s="101">
        <v>43012</v>
      </c>
      <c r="B279" s="99">
        <f t="shared" si="4"/>
        <v>43012</v>
      </c>
      <c r="C279" s="100" t="s">
        <v>343</v>
      </c>
    </row>
    <row r="280" spans="1:3" ht="15" customHeight="1">
      <c r="A280" s="101">
        <v>43013</v>
      </c>
      <c r="B280" s="99">
        <f t="shared" si="4"/>
        <v>43013</v>
      </c>
      <c r="C280" s="100" t="s">
        <v>344</v>
      </c>
    </row>
    <row r="281" spans="1:3" ht="15" customHeight="1">
      <c r="A281" s="101">
        <v>43014</v>
      </c>
      <c r="B281" s="99">
        <f t="shared" si="4"/>
        <v>43014</v>
      </c>
      <c r="C281" s="100" t="s">
        <v>345</v>
      </c>
    </row>
    <row r="282" spans="1:3" ht="15" customHeight="1">
      <c r="A282" s="101">
        <v>43015</v>
      </c>
      <c r="B282" s="99">
        <f t="shared" si="4"/>
        <v>43015</v>
      </c>
      <c r="C282" s="100" t="s">
        <v>346</v>
      </c>
    </row>
    <row r="283" spans="1:3" ht="15" customHeight="1">
      <c r="A283" s="101">
        <v>43016</v>
      </c>
      <c r="B283" s="99">
        <f t="shared" si="4"/>
        <v>43016</v>
      </c>
      <c r="C283" s="100" t="s">
        <v>347</v>
      </c>
    </row>
    <row r="284" spans="1:3" ht="15" customHeight="1">
      <c r="A284" s="101">
        <v>43017</v>
      </c>
      <c r="B284" s="99">
        <f t="shared" si="4"/>
        <v>43017</v>
      </c>
      <c r="C284" s="100" t="s">
        <v>348</v>
      </c>
    </row>
    <row r="285" spans="1:3" ht="15" customHeight="1">
      <c r="A285" s="101">
        <v>43018</v>
      </c>
      <c r="B285" s="99">
        <f t="shared" si="4"/>
        <v>43018</v>
      </c>
      <c r="C285" s="100" t="s">
        <v>349</v>
      </c>
    </row>
    <row r="286" spans="1:3" ht="15" customHeight="1">
      <c r="A286" s="101">
        <v>43019</v>
      </c>
      <c r="B286" s="99">
        <f t="shared" si="4"/>
        <v>43019</v>
      </c>
      <c r="C286" s="100" t="s">
        <v>350</v>
      </c>
    </row>
    <row r="287" spans="1:3" ht="15" customHeight="1">
      <c r="A287" s="101">
        <v>43020</v>
      </c>
      <c r="B287" s="99">
        <f t="shared" si="4"/>
        <v>43020</v>
      </c>
      <c r="C287" s="100" t="s">
        <v>351</v>
      </c>
    </row>
    <row r="288" spans="1:3" ht="15" customHeight="1">
      <c r="A288" s="101">
        <v>43021</v>
      </c>
      <c r="B288" s="99">
        <f t="shared" si="4"/>
        <v>43021</v>
      </c>
      <c r="C288" s="100" t="s">
        <v>352</v>
      </c>
    </row>
    <row r="289" spans="1:3" ht="15" customHeight="1">
      <c r="A289" s="101">
        <v>43022</v>
      </c>
      <c r="B289" s="99">
        <f t="shared" si="4"/>
        <v>43022</v>
      </c>
      <c r="C289" s="100" t="s">
        <v>353</v>
      </c>
    </row>
    <row r="290" spans="1:3" ht="15" customHeight="1">
      <c r="A290" s="101">
        <v>43023</v>
      </c>
      <c r="B290" s="99">
        <f t="shared" si="4"/>
        <v>43023</v>
      </c>
      <c r="C290" s="100" t="s">
        <v>354</v>
      </c>
    </row>
    <row r="291" spans="1:3" ht="15" customHeight="1">
      <c r="A291" s="101">
        <v>43024</v>
      </c>
      <c r="B291" s="99">
        <f t="shared" si="4"/>
        <v>43024</v>
      </c>
      <c r="C291" s="100" t="s">
        <v>355</v>
      </c>
    </row>
    <row r="292" spans="1:3" ht="15" customHeight="1">
      <c r="A292" s="101">
        <v>43025</v>
      </c>
      <c r="B292" s="99">
        <f t="shared" si="4"/>
        <v>43025</v>
      </c>
      <c r="C292" s="100" t="s">
        <v>356</v>
      </c>
    </row>
    <row r="293" spans="1:3" ht="15" customHeight="1">
      <c r="A293" s="101">
        <v>43026</v>
      </c>
      <c r="B293" s="99">
        <f t="shared" si="4"/>
        <v>43026</v>
      </c>
      <c r="C293" s="100" t="s">
        <v>357</v>
      </c>
    </row>
    <row r="294" spans="1:3" ht="15" customHeight="1">
      <c r="A294" s="101">
        <v>43027</v>
      </c>
      <c r="B294" s="99">
        <f t="shared" si="4"/>
        <v>43027</v>
      </c>
      <c r="C294" s="100" t="s">
        <v>358</v>
      </c>
    </row>
    <row r="295" spans="1:3" ht="15" customHeight="1">
      <c r="A295" s="101">
        <v>43028</v>
      </c>
      <c r="B295" s="99">
        <f t="shared" si="4"/>
        <v>43028</v>
      </c>
      <c r="C295" s="100" t="s">
        <v>359</v>
      </c>
    </row>
    <row r="296" spans="1:3" ht="15" customHeight="1">
      <c r="A296" s="101">
        <v>43029</v>
      </c>
      <c r="B296" s="99">
        <f t="shared" si="4"/>
        <v>43029</v>
      </c>
      <c r="C296" s="100" t="s">
        <v>360</v>
      </c>
    </row>
    <row r="297" spans="1:3" ht="15" customHeight="1">
      <c r="A297" s="101">
        <v>43030</v>
      </c>
      <c r="B297" s="99">
        <f t="shared" si="4"/>
        <v>43030</v>
      </c>
      <c r="C297" s="100" t="s">
        <v>361</v>
      </c>
    </row>
    <row r="298" spans="1:3" ht="15" customHeight="1">
      <c r="A298" s="101">
        <v>43031</v>
      </c>
      <c r="B298" s="99">
        <f t="shared" si="4"/>
        <v>43031</v>
      </c>
      <c r="C298" s="100" t="s">
        <v>362</v>
      </c>
    </row>
    <row r="299" spans="1:3" ht="15" customHeight="1">
      <c r="A299" s="101">
        <v>43032</v>
      </c>
      <c r="B299" s="99">
        <f t="shared" si="4"/>
        <v>43032</v>
      </c>
      <c r="C299" s="100" t="s">
        <v>363</v>
      </c>
    </row>
    <row r="300" spans="1:3" ht="15" customHeight="1">
      <c r="A300" s="101">
        <v>43033</v>
      </c>
      <c r="B300" s="99">
        <f t="shared" si="4"/>
        <v>43033</v>
      </c>
      <c r="C300" s="100" t="s">
        <v>364</v>
      </c>
    </row>
    <row r="301" spans="1:3" ht="15" customHeight="1">
      <c r="A301" s="101">
        <v>43034</v>
      </c>
      <c r="B301" s="99">
        <f t="shared" si="4"/>
        <v>43034</v>
      </c>
      <c r="C301" s="100" t="s">
        <v>365</v>
      </c>
    </row>
    <row r="302" spans="1:3" ht="15" customHeight="1">
      <c r="A302" s="101">
        <v>43035</v>
      </c>
      <c r="B302" s="99">
        <f t="shared" si="4"/>
        <v>43035</v>
      </c>
      <c r="C302" s="100" t="s">
        <v>366</v>
      </c>
    </row>
    <row r="303" spans="1:3" ht="15" customHeight="1">
      <c r="A303" s="101">
        <v>43036</v>
      </c>
      <c r="B303" s="99">
        <f t="shared" si="4"/>
        <v>43036</v>
      </c>
      <c r="C303" s="100" t="s">
        <v>367</v>
      </c>
    </row>
    <row r="304" spans="1:3" ht="15" customHeight="1">
      <c r="A304" s="101">
        <v>43037</v>
      </c>
      <c r="B304" s="99">
        <f t="shared" si="4"/>
        <v>43037</v>
      </c>
      <c r="C304" s="100" t="s">
        <v>368</v>
      </c>
    </row>
    <row r="305" spans="1:3" ht="15" customHeight="1">
      <c r="A305" s="101">
        <v>43038</v>
      </c>
      <c r="B305" s="99">
        <f t="shared" si="4"/>
        <v>43038</v>
      </c>
      <c r="C305" s="100" t="s">
        <v>369</v>
      </c>
    </row>
    <row r="306" spans="1:3" ht="15" customHeight="1">
      <c r="A306" s="101">
        <v>43039</v>
      </c>
      <c r="B306" s="99">
        <f t="shared" si="4"/>
        <v>43039</v>
      </c>
      <c r="C306" s="100" t="s">
        <v>370</v>
      </c>
    </row>
    <row r="307" spans="1:3" ht="15" customHeight="1">
      <c r="A307" s="101">
        <v>43040</v>
      </c>
      <c r="B307" s="99">
        <f t="shared" si="4"/>
        <v>43040</v>
      </c>
      <c r="C307" s="100" t="s">
        <v>21</v>
      </c>
    </row>
    <row r="308" spans="1:3" ht="15" customHeight="1">
      <c r="A308" s="101">
        <v>43041</v>
      </c>
      <c r="B308" s="99">
        <f t="shared" si="4"/>
        <v>43041</v>
      </c>
      <c r="C308" s="100" t="s">
        <v>371</v>
      </c>
    </row>
    <row r="309" spans="1:3" ht="15" customHeight="1">
      <c r="A309" s="101">
        <v>43042</v>
      </c>
      <c r="B309" s="99">
        <f t="shared" si="4"/>
        <v>43042</v>
      </c>
      <c r="C309" s="100" t="s">
        <v>372</v>
      </c>
    </row>
    <row r="310" spans="1:3" ht="15" customHeight="1">
      <c r="A310" s="101">
        <v>43043</v>
      </c>
      <c r="B310" s="99">
        <f t="shared" si="4"/>
        <v>43043</v>
      </c>
      <c r="C310" s="100" t="s">
        <v>373</v>
      </c>
    </row>
    <row r="311" spans="1:3" ht="15" customHeight="1">
      <c r="A311" s="101">
        <v>43044</v>
      </c>
      <c r="B311" s="99">
        <f t="shared" si="4"/>
        <v>43044</v>
      </c>
      <c r="C311" s="100" t="s">
        <v>374</v>
      </c>
    </row>
    <row r="312" spans="1:3" ht="15" customHeight="1">
      <c r="A312" s="101">
        <v>43045</v>
      </c>
      <c r="B312" s="99">
        <f t="shared" si="4"/>
        <v>43045</v>
      </c>
      <c r="C312" s="100" t="s">
        <v>375</v>
      </c>
    </row>
    <row r="313" spans="1:3" ht="15" customHeight="1">
      <c r="A313" s="101">
        <v>43046</v>
      </c>
      <c r="B313" s="99">
        <f t="shared" si="4"/>
        <v>43046</v>
      </c>
      <c r="C313" s="100" t="s">
        <v>376</v>
      </c>
    </row>
    <row r="314" spans="1:3" ht="15" customHeight="1">
      <c r="A314" s="101">
        <v>43047</v>
      </c>
      <c r="B314" s="99">
        <f t="shared" si="4"/>
        <v>43047</v>
      </c>
      <c r="C314" s="100" t="s">
        <v>377</v>
      </c>
    </row>
    <row r="315" spans="1:3" ht="15" customHeight="1">
      <c r="A315" s="101">
        <v>43048</v>
      </c>
      <c r="B315" s="99">
        <f t="shared" si="4"/>
        <v>43048</v>
      </c>
      <c r="C315" s="100" t="s">
        <v>378</v>
      </c>
    </row>
    <row r="316" spans="1:3" ht="15" customHeight="1">
      <c r="A316" s="101">
        <v>43049</v>
      </c>
      <c r="B316" s="99">
        <f t="shared" si="4"/>
        <v>43049</v>
      </c>
      <c r="C316" s="100" t="s">
        <v>379</v>
      </c>
    </row>
    <row r="317" spans="1:3" ht="15" customHeight="1">
      <c r="A317" s="101">
        <v>43050</v>
      </c>
      <c r="B317" s="99">
        <f t="shared" si="4"/>
        <v>43050</v>
      </c>
      <c r="C317" s="100" t="s">
        <v>380</v>
      </c>
    </row>
    <row r="318" spans="1:3" ht="15" customHeight="1">
      <c r="A318" s="101">
        <v>43051</v>
      </c>
      <c r="B318" s="99">
        <f t="shared" si="4"/>
        <v>43051</v>
      </c>
      <c r="C318" s="100" t="s">
        <v>381</v>
      </c>
    </row>
    <row r="319" spans="1:3" ht="15" customHeight="1">
      <c r="A319" s="101">
        <v>43052</v>
      </c>
      <c r="B319" s="99">
        <f t="shared" si="4"/>
        <v>43052</v>
      </c>
      <c r="C319" s="100" t="s">
        <v>382</v>
      </c>
    </row>
    <row r="320" spans="1:3" ht="15" customHeight="1">
      <c r="A320" s="101">
        <v>43053</v>
      </c>
      <c r="B320" s="99">
        <f t="shared" si="4"/>
        <v>43053</v>
      </c>
      <c r="C320" s="100" t="s">
        <v>383</v>
      </c>
    </row>
    <row r="321" spans="1:3" ht="15" customHeight="1">
      <c r="A321" s="101">
        <v>43054</v>
      </c>
      <c r="B321" s="99">
        <f t="shared" si="4"/>
        <v>43054</v>
      </c>
      <c r="C321" s="100" t="s">
        <v>384</v>
      </c>
    </row>
    <row r="322" spans="1:3" ht="15" customHeight="1">
      <c r="A322" s="101">
        <v>43055</v>
      </c>
      <c r="B322" s="99">
        <f t="shared" si="4"/>
        <v>43055</v>
      </c>
      <c r="C322" s="100" t="s">
        <v>385</v>
      </c>
    </row>
    <row r="323" spans="1:3" ht="15" customHeight="1">
      <c r="A323" s="101">
        <v>43056</v>
      </c>
      <c r="B323" s="99">
        <f t="shared" si="4"/>
        <v>43056</v>
      </c>
      <c r="C323" s="100" t="s">
        <v>386</v>
      </c>
    </row>
    <row r="324" spans="1:3" ht="15" customHeight="1">
      <c r="A324" s="101">
        <v>43057</v>
      </c>
      <c r="B324" s="99">
        <f t="shared" si="4"/>
        <v>43057</v>
      </c>
      <c r="C324" s="100" t="s">
        <v>387</v>
      </c>
    </row>
    <row r="325" spans="1:3" ht="15" customHeight="1">
      <c r="A325" s="101">
        <v>43058</v>
      </c>
      <c r="B325" s="99">
        <f t="shared" si="4"/>
        <v>43058</v>
      </c>
      <c r="C325" s="100" t="s">
        <v>388</v>
      </c>
    </row>
    <row r="326" spans="1:3" ht="15" customHeight="1">
      <c r="A326" s="101">
        <v>43059</v>
      </c>
      <c r="B326" s="99">
        <f t="shared" si="4"/>
        <v>43059</v>
      </c>
      <c r="C326" s="100" t="s">
        <v>389</v>
      </c>
    </row>
    <row r="327" spans="1:3" ht="15" customHeight="1">
      <c r="A327" s="101">
        <v>43060</v>
      </c>
      <c r="B327" s="99">
        <f t="shared" ref="B327:B367" si="5">DATE($B$1,MONTH(A327),DAY(A327))</f>
        <v>43060</v>
      </c>
      <c r="C327" s="100" t="s">
        <v>390</v>
      </c>
    </row>
    <row r="328" spans="1:3" ht="15" customHeight="1">
      <c r="A328" s="101">
        <v>43061</v>
      </c>
      <c r="B328" s="99">
        <f t="shared" si="5"/>
        <v>43061</v>
      </c>
      <c r="C328" s="100" t="s">
        <v>391</v>
      </c>
    </row>
    <row r="329" spans="1:3" ht="15" customHeight="1">
      <c r="A329" s="101">
        <v>43062</v>
      </c>
      <c r="B329" s="99">
        <f t="shared" si="5"/>
        <v>43062</v>
      </c>
      <c r="C329" s="100" t="s">
        <v>64</v>
      </c>
    </row>
    <row r="330" spans="1:3" ht="15" customHeight="1">
      <c r="A330" s="101">
        <v>43063</v>
      </c>
      <c r="B330" s="99">
        <f t="shared" si="5"/>
        <v>43063</v>
      </c>
      <c r="C330" s="100" t="s">
        <v>392</v>
      </c>
    </row>
    <row r="331" spans="1:3" ht="15" customHeight="1">
      <c r="A331" s="101">
        <v>43064</v>
      </c>
      <c r="B331" s="99">
        <f t="shared" si="5"/>
        <v>43064</v>
      </c>
      <c r="C331" s="100" t="s">
        <v>153</v>
      </c>
    </row>
    <row r="332" spans="1:3" ht="15" customHeight="1">
      <c r="A332" s="101">
        <v>43065</v>
      </c>
      <c r="B332" s="99">
        <f t="shared" si="5"/>
        <v>43065</v>
      </c>
      <c r="C332" s="100" t="s">
        <v>393</v>
      </c>
    </row>
    <row r="333" spans="1:3" ht="15" customHeight="1">
      <c r="A333" s="101">
        <v>43066</v>
      </c>
      <c r="B333" s="99">
        <f t="shared" si="5"/>
        <v>43066</v>
      </c>
      <c r="C333" s="100" t="s">
        <v>394</v>
      </c>
    </row>
    <row r="334" spans="1:3" ht="15" customHeight="1">
      <c r="A334" s="101">
        <v>43067</v>
      </c>
      <c r="B334" s="99">
        <f t="shared" si="5"/>
        <v>43067</v>
      </c>
      <c r="C334" s="100" t="s">
        <v>395</v>
      </c>
    </row>
    <row r="335" spans="1:3" ht="15" customHeight="1">
      <c r="A335" s="101">
        <v>43068</v>
      </c>
      <c r="B335" s="99">
        <f t="shared" si="5"/>
        <v>43068</v>
      </c>
      <c r="C335" s="100" t="s">
        <v>396</v>
      </c>
    </row>
    <row r="336" spans="1:3" ht="15" customHeight="1">
      <c r="A336" s="101">
        <v>43069</v>
      </c>
      <c r="B336" s="99">
        <f t="shared" si="5"/>
        <v>43069</v>
      </c>
      <c r="C336" s="100" t="s">
        <v>397</v>
      </c>
    </row>
    <row r="337" spans="1:3" ht="15" customHeight="1">
      <c r="A337" s="101">
        <v>43070</v>
      </c>
      <c r="B337" s="99">
        <f t="shared" si="5"/>
        <v>43070</v>
      </c>
      <c r="C337" s="100" t="s">
        <v>398</v>
      </c>
    </row>
    <row r="338" spans="1:3" ht="15" customHeight="1">
      <c r="A338" s="101">
        <v>43071</v>
      </c>
      <c r="B338" s="99">
        <f t="shared" si="5"/>
        <v>43071</v>
      </c>
      <c r="C338" s="100" t="s">
        <v>399</v>
      </c>
    </row>
    <row r="339" spans="1:3" ht="15" customHeight="1">
      <c r="A339" s="101">
        <v>43072</v>
      </c>
      <c r="B339" s="99">
        <f t="shared" si="5"/>
        <v>43072</v>
      </c>
      <c r="C339" s="100" t="s">
        <v>400</v>
      </c>
    </row>
    <row r="340" spans="1:3" ht="15" customHeight="1">
      <c r="A340" s="101">
        <v>43073</v>
      </c>
      <c r="B340" s="99">
        <f t="shared" si="5"/>
        <v>43073</v>
      </c>
      <c r="C340" s="100" t="s">
        <v>401</v>
      </c>
    </row>
    <row r="341" spans="1:3" ht="15" customHeight="1">
      <c r="A341" s="101">
        <v>43074</v>
      </c>
      <c r="B341" s="99">
        <f t="shared" si="5"/>
        <v>43074</v>
      </c>
      <c r="C341" s="100" t="s">
        <v>402</v>
      </c>
    </row>
    <row r="342" spans="1:3" ht="15" customHeight="1">
      <c r="A342" s="101">
        <v>43075</v>
      </c>
      <c r="B342" s="99">
        <f t="shared" si="5"/>
        <v>43075</v>
      </c>
      <c r="C342" s="100" t="s">
        <v>403</v>
      </c>
    </row>
    <row r="343" spans="1:3" ht="15" customHeight="1">
      <c r="A343" s="101">
        <v>43076</v>
      </c>
      <c r="B343" s="99">
        <f t="shared" si="5"/>
        <v>43076</v>
      </c>
      <c r="C343" s="100" t="s">
        <v>404</v>
      </c>
    </row>
    <row r="344" spans="1:3" ht="15" customHeight="1">
      <c r="A344" s="101">
        <v>43077</v>
      </c>
      <c r="B344" s="99">
        <f t="shared" si="5"/>
        <v>43077</v>
      </c>
      <c r="C344" s="100" t="s">
        <v>405</v>
      </c>
    </row>
    <row r="345" spans="1:3" ht="15" customHeight="1">
      <c r="A345" s="101">
        <v>43078</v>
      </c>
      <c r="B345" s="99">
        <f t="shared" si="5"/>
        <v>43078</v>
      </c>
      <c r="C345" s="100" t="s">
        <v>406</v>
      </c>
    </row>
    <row r="346" spans="1:3" ht="15" customHeight="1">
      <c r="A346" s="101">
        <v>43079</v>
      </c>
      <c r="B346" s="99">
        <f t="shared" si="5"/>
        <v>43079</v>
      </c>
      <c r="C346" s="100" t="s">
        <v>407</v>
      </c>
    </row>
    <row r="347" spans="1:3" ht="15" customHeight="1">
      <c r="A347" s="101">
        <v>43080</v>
      </c>
      <c r="B347" s="99">
        <f t="shared" si="5"/>
        <v>43080</v>
      </c>
      <c r="C347" s="100" t="s">
        <v>408</v>
      </c>
    </row>
    <row r="348" spans="1:3" ht="15" customHeight="1">
      <c r="A348" s="101">
        <v>43081</v>
      </c>
      <c r="B348" s="99">
        <f t="shared" si="5"/>
        <v>43081</v>
      </c>
      <c r="C348" s="100" t="s">
        <v>409</v>
      </c>
    </row>
    <row r="349" spans="1:3" ht="15" customHeight="1">
      <c r="A349" s="101">
        <v>43082</v>
      </c>
      <c r="B349" s="99">
        <f t="shared" si="5"/>
        <v>43082</v>
      </c>
      <c r="C349" s="100" t="s">
        <v>410</v>
      </c>
    </row>
    <row r="350" spans="1:3" ht="15" customHeight="1">
      <c r="A350" s="101">
        <v>43083</v>
      </c>
      <c r="B350" s="99">
        <f t="shared" si="5"/>
        <v>43083</v>
      </c>
      <c r="C350" s="100" t="s">
        <v>411</v>
      </c>
    </row>
    <row r="351" spans="1:3" ht="15" customHeight="1">
      <c r="A351" s="101">
        <v>43084</v>
      </c>
      <c r="B351" s="99">
        <f t="shared" si="5"/>
        <v>43084</v>
      </c>
      <c r="C351" s="100" t="s">
        <v>412</v>
      </c>
    </row>
    <row r="352" spans="1:3" ht="15" customHeight="1">
      <c r="A352" s="101">
        <v>43085</v>
      </c>
      <c r="B352" s="99">
        <f t="shared" si="5"/>
        <v>43085</v>
      </c>
      <c r="C352" s="100" t="s">
        <v>413</v>
      </c>
    </row>
    <row r="353" spans="1:3" ht="15" customHeight="1">
      <c r="A353" s="101">
        <v>43086</v>
      </c>
      <c r="B353" s="99">
        <f t="shared" si="5"/>
        <v>43086</v>
      </c>
      <c r="C353" s="100" t="s">
        <v>414</v>
      </c>
    </row>
    <row r="354" spans="1:3" ht="15" customHeight="1">
      <c r="A354" s="101">
        <v>43087</v>
      </c>
      <c r="B354" s="99">
        <f t="shared" si="5"/>
        <v>43087</v>
      </c>
      <c r="C354" s="100" t="s">
        <v>415</v>
      </c>
    </row>
    <row r="355" spans="1:3" ht="15" customHeight="1">
      <c r="A355" s="101">
        <v>43088</v>
      </c>
      <c r="B355" s="99">
        <f t="shared" si="5"/>
        <v>43088</v>
      </c>
      <c r="C355" s="100" t="s">
        <v>416</v>
      </c>
    </row>
    <row r="356" spans="1:3" ht="15" customHeight="1">
      <c r="A356" s="101">
        <v>43089</v>
      </c>
      <c r="B356" s="99">
        <f t="shared" si="5"/>
        <v>43089</v>
      </c>
      <c r="C356" s="100" t="s">
        <v>417</v>
      </c>
    </row>
    <row r="357" spans="1:3" ht="15" customHeight="1">
      <c r="A357" s="101">
        <v>43090</v>
      </c>
      <c r="B357" s="99">
        <f t="shared" si="5"/>
        <v>43090</v>
      </c>
      <c r="C357" s="100" t="s">
        <v>15</v>
      </c>
    </row>
    <row r="358" spans="1:3" ht="15" customHeight="1">
      <c r="A358" s="101">
        <v>43091</v>
      </c>
      <c r="B358" s="99">
        <f t="shared" si="5"/>
        <v>43091</v>
      </c>
      <c r="C358" s="100" t="s">
        <v>418</v>
      </c>
    </row>
    <row r="359" spans="1:3" ht="15" customHeight="1">
      <c r="A359" s="101">
        <v>43092</v>
      </c>
      <c r="B359" s="99">
        <f t="shared" si="5"/>
        <v>43092</v>
      </c>
      <c r="C359" s="100" t="s">
        <v>419</v>
      </c>
    </row>
    <row r="360" spans="1:3" ht="15" customHeight="1">
      <c r="A360" s="101">
        <v>43093</v>
      </c>
      <c r="B360" s="99">
        <f t="shared" si="5"/>
        <v>43093</v>
      </c>
      <c r="C360" s="100" t="s">
        <v>420</v>
      </c>
    </row>
    <row r="361" spans="1:3" ht="15" customHeight="1">
      <c r="A361" s="101">
        <v>43094</v>
      </c>
      <c r="B361" s="99">
        <f t="shared" si="5"/>
        <v>43094</v>
      </c>
      <c r="C361" s="100" t="s">
        <v>13</v>
      </c>
    </row>
    <row r="362" spans="1:3" ht="15" customHeight="1">
      <c r="A362" s="101">
        <v>43095</v>
      </c>
      <c r="B362" s="99">
        <f t="shared" si="5"/>
        <v>43095</v>
      </c>
      <c r="C362" s="100" t="s">
        <v>421</v>
      </c>
    </row>
    <row r="363" spans="1:3" ht="15" customHeight="1">
      <c r="A363" s="101">
        <v>43096</v>
      </c>
      <c r="B363" s="99">
        <f t="shared" si="5"/>
        <v>43096</v>
      </c>
      <c r="C363" s="100" t="s">
        <v>422</v>
      </c>
    </row>
    <row r="364" spans="1:3" ht="15" customHeight="1">
      <c r="A364" s="101">
        <v>43097</v>
      </c>
      <c r="B364" s="99">
        <f t="shared" si="5"/>
        <v>43097</v>
      </c>
      <c r="C364" s="100" t="s">
        <v>423</v>
      </c>
    </row>
    <row r="365" spans="1:3" ht="15" customHeight="1">
      <c r="A365" s="101">
        <v>43098</v>
      </c>
      <c r="B365" s="99">
        <f t="shared" si="5"/>
        <v>43098</v>
      </c>
      <c r="C365" s="100" t="s">
        <v>424</v>
      </c>
    </row>
    <row r="366" spans="1:3" ht="15" customHeight="1">
      <c r="A366" s="101">
        <v>43099</v>
      </c>
      <c r="B366" s="99">
        <f t="shared" si="5"/>
        <v>43099</v>
      </c>
      <c r="C366" s="100" t="s">
        <v>425</v>
      </c>
    </row>
    <row r="367" spans="1:3" ht="15" customHeight="1">
      <c r="A367" s="101">
        <v>43100</v>
      </c>
      <c r="B367" s="99">
        <f t="shared" si="5"/>
        <v>43100</v>
      </c>
      <c r="C367" s="100" t="s">
        <v>426</v>
      </c>
    </row>
    <row r="368" spans="1:3" ht="15" customHeight="1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Q44"/>
  <sheetViews>
    <sheetView showGridLines="0" topLeftCell="A4" zoomScaleNormal="100" workbookViewId="0">
      <selection activeCell="J27" sqref="J27"/>
    </sheetView>
  </sheetViews>
  <sheetFormatPr baseColWidth="10" defaultColWidth="10.7109375" defaultRowHeight="15"/>
  <cols>
    <col min="8" max="8" width="12.42578125" customWidth="1"/>
    <col min="9" max="9" width="10.7109375" customWidth="1"/>
  </cols>
  <sheetData>
    <row r="1" spans="1:8" ht="15.75" thickBot="1">
      <c r="G1" s="55" t="s">
        <v>26</v>
      </c>
      <c r="H1" s="56" t="s">
        <v>27</v>
      </c>
    </row>
    <row r="2" spans="1:8" ht="15.75" thickBot="1">
      <c r="G2" s="57" t="s">
        <v>14</v>
      </c>
      <c r="H2" s="57">
        <f>calendriers!An</f>
        <v>2017</v>
      </c>
    </row>
    <row r="3" spans="1:8">
      <c r="A3" s="335" t="str">
        <f>CONCATENATE(G2," ",H2)</f>
        <v>Mai 2017</v>
      </c>
      <c r="B3" s="335"/>
    </row>
    <row r="4" spans="1:8" ht="15.75" customHeight="1" thickBot="1"/>
    <row r="5" spans="1:8" ht="15.75" thickBot="1">
      <c r="C5" s="332" t="s">
        <v>34</v>
      </c>
      <c r="D5" s="333"/>
      <c r="E5" s="334"/>
      <c r="G5" s="99"/>
    </row>
    <row r="6" spans="1:8" ht="15.75" thickBot="1"/>
    <row r="7" spans="1:8" ht="15.75" customHeight="1" thickBot="1">
      <c r="B7" s="58" t="s">
        <v>28</v>
      </c>
      <c r="C7" s="58" t="s">
        <v>29</v>
      </c>
      <c r="D7" s="59" t="s">
        <v>30</v>
      </c>
      <c r="E7" s="59" t="s">
        <v>31</v>
      </c>
      <c r="F7" s="59" t="s">
        <v>30</v>
      </c>
      <c r="G7" s="59" t="s">
        <v>31</v>
      </c>
      <c r="H7" s="59" t="s">
        <v>32</v>
      </c>
    </row>
    <row r="8" spans="1:8" ht="15.75" thickBot="1">
      <c r="B8" s="71">
        <f>DATE(calendriers!An,MONTH("1/"&amp;$G$2),1)</f>
        <v>42856</v>
      </c>
      <c r="C8" s="72">
        <f>B8</f>
        <v>42856</v>
      </c>
      <c r="D8" s="63"/>
      <c r="E8" s="73"/>
      <c r="F8" s="63"/>
      <c r="G8" s="63"/>
      <c r="H8" s="63">
        <f>SUM(E8-D8,G8-F8)</f>
        <v>0</v>
      </c>
    </row>
    <row r="9" spans="1:8" ht="15.75" thickBot="1">
      <c r="B9" s="64">
        <f>B8+1</f>
        <v>42857</v>
      </c>
      <c r="C9" s="60">
        <f t="shared" ref="C9:C35" si="0">B9</f>
        <v>42857</v>
      </c>
      <c r="D9" s="61">
        <v>0.33333333333333331</v>
      </c>
      <c r="E9" s="62">
        <v>0.5</v>
      </c>
      <c r="F9" s="61">
        <v>0.58333333333333337</v>
      </c>
      <c r="G9" s="61">
        <v>0.70833333333333337</v>
      </c>
      <c r="H9" s="63">
        <f t="shared" ref="H9:H38" si="1">SUM(E9-D9,G9-F9)</f>
        <v>0.29166666666666669</v>
      </c>
    </row>
    <row r="10" spans="1:8" ht="15.75" thickBot="1">
      <c r="B10" s="64">
        <f t="shared" ref="B10:B32" si="2">B9+1</f>
        <v>42858</v>
      </c>
      <c r="C10" s="60">
        <f t="shared" si="0"/>
        <v>42858</v>
      </c>
      <c r="D10" s="61">
        <v>0.33333333333333331</v>
      </c>
      <c r="E10" s="62">
        <v>0.5</v>
      </c>
      <c r="F10" s="61">
        <v>0.58333333333333337</v>
      </c>
      <c r="G10" s="61">
        <v>0.70833333333333337</v>
      </c>
      <c r="H10" s="63">
        <f t="shared" si="1"/>
        <v>0.29166666666666669</v>
      </c>
    </row>
    <row r="11" spans="1:8" ht="15.75" thickBot="1">
      <c r="B11" s="64">
        <f t="shared" si="2"/>
        <v>42859</v>
      </c>
      <c r="C11" s="60">
        <f t="shared" si="0"/>
        <v>42859</v>
      </c>
      <c r="D11" s="61">
        <v>0.33333333333333331</v>
      </c>
      <c r="E11" s="62">
        <v>0.5</v>
      </c>
      <c r="F11" s="61">
        <v>0.58333333333333337</v>
      </c>
      <c r="G11" s="61">
        <v>0.70833333333333337</v>
      </c>
      <c r="H11" s="63">
        <f t="shared" si="1"/>
        <v>0.29166666666666669</v>
      </c>
    </row>
    <row r="12" spans="1:8" ht="15.75" thickBot="1">
      <c r="B12" s="64">
        <f t="shared" si="2"/>
        <v>42860</v>
      </c>
      <c r="C12" s="60">
        <f t="shared" si="0"/>
        <v>42860</v>
      </c>
      <c r="D12" s="61"/>
      <c r="E12" s="62"/>
      <c r="F12" s="61">
        <v>0.58333333333333337</v>
      </c>
      <c r="G12" s="61">
        <v>0.70833333333333337</v>
      </c>
      <c r="H12" s="63">
        <f t="shared" si="1"/>
        <v>0.125</v>
      </c>
    </row>
    <row r="13" spans="1:8" ht="15.75" thickBot="1">
      <c r="B13" s="64">
        <f t="shared" si="2"/>
        <v>42861</v>
      </c>
      <c r="C13" s="60">
        <f t="shared" si="0"/>
        <v>42861</v>
      </c>
      <c r="D13" s="61"/>
      <c r="E13" s="62"/>
      <c r="F13" s="61"/>
      <c r="G13" s="61"/>
      <c r="H13" s="63">
        <f t="shared" si="1"/>
        <v>0</v>
      </c>
    </row>
    <row r="14" spans="1:8" ht="15.75" thickBot="1">
      <c r="B14" s="64">
        <f t="shared" si="2"/>
        <v>42862</v>
      </c>
      <c r="C14" s="60">
        <f t="shared" si="0"/>
        <v>42862</v>
      </c>
      <c r="D14" s="61"/>
      <c r="E14" s="62"/>
      <c r="F14" s="61"/>
      <c r="G14" s="61"/>
      <c r="H14" s="63">
        <f t="shared" si="1"/>
        <v>0</v>
      </c>
    </row>
    <row r="15" spans="1:8" ht="15.75" thickBot="1">
      <c r="B15" s="64">
        <f>B14+1</f>
        <v>42863</v>
      </c>
      <c r="C15" s="60">
        <f t="shared" si="0"/>
        <v>42863</v>
      </c>
      <c r="D15" s="61"/>
      <c r="E15" s="62"/>
      <c r="F15" s="61"/>
      <c r="G15" s="61"/>
      <c r="H15" s="63">
        <f t="shared" si="1"/>
        <v>0</v>
      </c>
    </row>
    <row r="16" spans="1:8" ht="15.75" thickBot="1">
      <c r="B16" s="64">
        <f t="shared" si="2"/>
        <v>42864</v>
      </c>
      <c r="C16" s="60">
        <f t="shared" si="0"/>
        <v>42864</v>
      </c>
      <c r="D16" s="61">
        <v>0.33333333333333331</v>
      </c>
      <c r="E16" s="62">
        <v>0.5</v>
      </c>
      <c r="F16" s="61">
        <v>0.58333333333333337</v>
      </c>
      <c r="G16" s="61">
        <v>0.70833333333333337</v>
      </c>
      <c r="H16" s="63">
        <f t="shared" si="1"/>
        <v>0.29166666666666669</v>
      </c>
    </row>
    <row r="17" spans="2:17" ht="15.75" thickBot="1">
      <c r="B17" s="64">
        <f t="shared" si="2"/>
        <v>42865</v>
      </c>
      <c r="C17" s="60">
        <f t="shared" si="0"/>
        <v>42865</v>
      </c>
      <c r="D17" s="61">
        <v>0.33333333333333331</v>
      </c>
      <c r="E17" s="62">
        <v>0.5</v>
      </c>
      <c r="F17" s="61">
        <v>0.58333333333333337</v>
      </c>
      <c r="G17" s="61">
        <v>0.70833333333333337</v>
      </c>
      <c r="H17" s="63">
        <f t="shared" si="1"/>
        <v>0.29166666666666669</v>
      </c>
    </row>
    <row r="18" spans="2:17" ht="15.75" thickBot="1">
      <c r="B18" s="64">
        <f t="shared" si="2"/>
        <v>42866</v>
      </c>
      <c r="C18" s="60">
        <f t="shared" si="0"/>
        <v>42866</v>
      </c>
      <c r="D18" s="61">
        <v>0.33333333333333331</v>
      </c>
      <c r="E18" s="62">
        <v>0.5</v>
      </c>
      <c r="F18" s="61">
        <v>0.58333333333333337</v>
      </c>
      <c r="G18" s="61">
        <v>0.70833333333333337</v>
      </c>
      <c r="H18" s="63">
        <f t="shared" si="1"/>
        <v>0.29166666666666669</v>
      </c>
    </row>
    <row r="19" spans="2:17" ht="15.75" thickBot="1">
      <c r="B19" s="64">
        <f t="shared" si="2"/>
        <v>42867</v>
      </c>
      <c r="C19" s="60">
        <f t="shared" si="0"/>
        <v>42867</v>
      </c>
      <c r="D19" s="61">
        <v>0.33333333333333331</v>
      </c>
      <c r="E19" s="62">
        <v>0.5</v>
      </c>
      <c r="F19" s="61">
        <v>0.58333333333333337</v>
      </c>
      <c r="G19" s="61">
        <v>0.70833333333333337</v>
      </c>
      <c r="H19" s="63">
        <f t="shared" si="1"/>
        <v>0.29166666666666669</v>
      </c>
    </row>
    <row r="20" spans="2:17" ht="15.75" thickBot="1">
      <c r="B20" s="64">
        <f t="shared" si="2"/>
        <v>42868</v>
      </c>
      <c r="C20" s="60">
        <f t="shared" si="0"/>
        <v>42868</v>
      </c>
      <c r="D20" s="61"/>
      <c r="E20" s="62"/>
      <c r="F20" s="61"/>
      <c r="G20" s="61"/>
      <c r="H20" s="63">
        <f t="shared" si="1"/>
        <v>0</v>
      </c>
    </row>
    <row r="21" spans="2:17" ht="15.75" thickBot="1">
      <c r="B21" s="64">
        <f t="shared" si="2"/>
        <v>42869</v>
      </c>
      <c r="C21" s="60">
        <f t="shared" si="0"/>
        <v>42869</v>
      </c>
      <c r="D21" s="61"/>
      <c r="E21" s="62"/>
      <c r="F21" s="61"/>
      <c r="G21" s="61"/>
      <c r="H21" s="63">
        <f t="shared" si="1"/>
        <v>0</v>
      </c>
    </row>
    <row r="22" spans="2:17" ht="15.75" thickBot="1">
      <c r="B22" s="64">
        <f>B21+1</f>
        <v>42870</v>
      </c>
      <c r="C22" s="60">
        <f t="shared" si="0"/>
        <v>42870</v>
      </c>
      <c r="D22" s="61">
        <v>0.33333333333333331</v>
      </c>
      <c r="E22" s="62">
        <v>0.5</v>
      </c>
      <c r="F22" s="61">
        <v>0.58333333333333337</v>
      </c>
      <c r="G22" s="61">
        <v>0.70833333333333337</v>
      </c>
      <c r="H22" s="63">
        <f t="shared" si="1"/>
        <v>0.29166666666666669</v>
      </c>
    </row>
    <row r="23" spans="2:17" ht="15.75" thickBot="1">
      <c r="B23" s="64">
        <f t="shared" si="2"/>
        <v>42871</v>
      </c>
      <c r="C23" s="60">
        <f t="shared" si="0"/>
        <v>42871</v>
      </c>
      <c r="D23" s="61">
        <v>0.33333333333333331</v>
      </c>
      <c r="E23" s="62">
        <v>0.5</v>
      </c>
      <c r="F23" s="61">
        <v>0.58333333333333337</v>
      </c>
      <c r="G23" s="61">
        <v>0.70833333333333337</v>
      </c>
      <c r="H23" s="63">
        <f t="shared" si="1"/>
        <v>0.29166666666666669</v>
      </c>
    </row>
    <row r="24" spans="2:17" ht="15.75" thickBot="1">
      <c r="B24" s="64">
        <f t="shared" si="2"/>
        <v>42872</v>
      </c>
      <c r="C24" s="60">
        <f t="shared" si="0"/>
        <v>42872</v>
      </c>
      <c r="D24" s="61">
        <v>0.33333333333333331</v>
      </c>
      <c r="E24" s="62">
        <v>0.5</v>
      </c>
      <c r="F24" s="61">
        <v>0.58333333333333337</v>
      </c>
      <c r="G24" s="61">
        <v>0.70833333333333337</v>
      </c>
      <c r="H24" s="63">
        <f t="shared" si="1"/>
        <v>0.29166666666666669</v>
      </c>
    </row>
    <row r="25" spans="2:17" ht="15.75" thickBot="1">
      <c r="B25" s="64">
        <f t="shared" si="2"/>
        <v>42873</v>
      </c>
      <c r="C25" s="60">
        <f t="shared" si="0"/>
        <v>42873</v>
      </c>
      <c r="D25" s="61">
        <v>0.33333333333333331</v>
      </c>
      <c r="E25" s="62">
        <v>0.5</v>
      </c>
      <c r="F25" s="61">
        <v>0.58333333333333337</v>
      </c>
      <c r="G25" s="61">
        <v>0.70833333333333337</v>
      </c>
      <c r="H25" s="63">
        <f t="shared" si="1"/>
        <v>0.29166666666666669</v>
      </c>
      <c r="P25" s="70"/>
      <c r="Q25" s="70"/>
    </row>
    <row r="26" spans="2:17" ht="15.75" thickBot="1">
      <c r="B26" s="64">
        <f t="shared" si="2"/>
        <v>42874</v>
      </c>
      <c r="C26" s="60">
        <f t="shared" si="0"/>
        <v>42874</v>
      </c>
      <c r="D26" s="61">
        <v>0.33333333333333331</v>
      </c>
      <c r="E26" s="62">
        <v>0.5</v>
      </c>
      <c r="F26" s="61">
        <v>0.58333333333333337</v>
      </c>
      <c r="G26" s="61">
        <v>0.70833333333333337</v>
      </c>
      <c r="H26" s="63">
        <f t="shared" si="1"/>
        <v>0.29166666666666669</v>
      </c>
      <c r="P26" s="68"/>
      <c r="Q26" s="68"/>
    </row>
    <row r="27" spans="2:17" ht="15.75" thickBot="1">
      <c r="B27" s="64">
        <f t="shared" si="2"/>
        <v>42875</v>
      </c>
      <c r="C27" s="60">
        <f t="shared" si="0"/>
        <v>42875</v>
      </c>
      <c r="D27" s="61"/>
      <c r="E27" s="62"/>
      <c r="F27" s="61"/>
      <c r="G27" s="61"/>
      <c r="H27" s="63">
        <f t="shared" si="1"/>
        <v>0</v>
      </c>
    </row>
    <row r="28" spans="2:17" ht="15.75" thickBot="1">
      <c r="B28" s="64">
        <f t="shared" si="2"/>
        <v>42876</v>
      </c>
      <c r="C28" s="60">
        <f t="shared" si="0"/>
        <v>42876</v>
      </c>
      <c r="D28" s="61"/>
      <c r="E28" s="62"/>
      <c r="F28" s="61"/>
      <c r="G28" s="61"/>
      <c r="H28" s="63">
        <f t="shared" si="1"/>
        <v>0</v>
      </c>
    </row>
    <row r="29" spans="2:17" ht="15.75" thickBot="1">
      <c r="B29" s="64">
        <f>B28+1</f>
        <v>42877</v>
      </c>
      <c r="C29" s="60">
        <f t="shared" si="0"/>
        <v>42877</v>
      </c>
      <c r="D29" s="61"/>
      <c r="E29" s="62"/>
      <c r="F29" s="61"/>
      <c r="G29" s="61"/>
      <c r="H29" s="63">
        <f t="shared" si="1"/>
        <v>0</v>
      </c>
    </row>
    <row r="30" spans="2:17" ht="15.75" thickBot="1">
      <c r="B30" s="64">
        <f t="shared" si="2"/>
        <v>42878</v>
      </c>
      <c r="C30" s="60">
        <f t="shared" si="0"/>
        <v>42878</v>
      </c>
      <c r="D30" s="61"/>
      <c r="E30" s="62"/>
      <c r="F30" s="61"/>
      <c r="G30" s="61"/>
      <c r="H30" s="63">
        <f t="shared" si="1"/>
        <v>0</v>
      </c>
    </row>
    <row r="31" spans="2:17" ht="15.75" thickBot="1">
      <c r="B31" s="64">
        <f t="shared" si="2"/>
        <v>42879</v>
      </c>
      <c r="C31" s="60">
        <f t="shared" si="0"/>
        <v>42879</v>
      </c>
      <c r="D31" s="61"/>
      <c r="E31" s="62"/>
      <c r="F31" s="61"/>
      <c r="G31" s="61"/>
      <c r="H31" s="63">
        <f t="shared" si="1"/>
        <v>0</v>
      </c>
    </row>
    <row r="32" spans="2:17" ht="15.75" thickBot="1">
      <c r="B32" s="64">
        <f t="shared" si="2"/>
        <v>42880</v>
      </c>
      <c r="C32" s="60">
        <f t="shared" si="0"/>
        <v>42880</v>
      </c>
      <c r="D32" s="61"/>
      <c r="E32" s="62"/>
      <c r="F32" s="61"/>
      <c r="G32" s="61"/>
      <c r="H32" s="63">
        <f t="shared" si="1"/>
        <v>0</v>
      </c>
    </row>
    <row r="33" spans="2:12" ht="15.75" thickBot="1">
      <c r="B33" s="64">
        <f>B32+1</f>
        <v>42881</v>
      </c>
      <c r="C33" s="60">
        <f t="shared" si="0"/>
        <v>42881</v>
      </c>
      <c r="D33" s="61"/>
      <c r="E33" s="62"/>
      <c r="F33" s="61"/>
      <c r="G33" s="61"/>
      <c r="H33" s="63">
        <f t="shared" si="1"/>
        <v>0</v>
      </c>
    </row>
    <row r="34" spans="2:12" ht="15.75" thickBot="1">
      <c r="B34" s="64">
        <f>B33+1</f>
        <v>42882</v>
      </c>
      <c r="C34" s="60">
        <f t="shared" si="0"/>
        <v>42882</v>
      </c>
      <c r="D34" s="61"/>
      <c r="E34" s="62"/>
      <c r="F34" s="61"/>
      <c r="G34" s="61"/>
      <c r="H34" s="63">
        <f t="shared" si="1"/>
        <v>0</v>
      </c>
    </row>
    <row r="35" spans="2:12" ht="15.75" thickBot="1">
      <c r="B35" s="64">
        <f>B34+1</f>
        <v>42883</v>
      </c>
      <c r="C35" s="60">
        <f t="shared" si="0"/>
        <v>42883</v>
      </c>
      <c r="D35" s="61"/>
      <c r="E35" s="62"/>
      <c r="F35" s="61"/>
      <c r="G35" s="61"/>
      <c r="H35" s="63">
        <f t="shared" si="1"/>
        <v>0</v>
      </c>
    </row>
    <row r="36" spans="2:12" ht="15.75" thickBot="1">
      <c r="B36" s="64">
        <f>IF(MONTH($B$35+1)=MONTH($B$35),$B$35+1,"")</f>
        <v>42884</v>
      </c>
      <c r="C36" s="60">
        <f>IF(B36="","",C35+1)</f>
        <v>42884</v>
      </c>
      <c r="D36" s="61"/>
      <c r="E36" s="62"/>
      <c r="F36" s="61"/>
      <c r="G36" s="61"/>
      <c r="H36" s="63">
        <f t="shared" si="1"/>
        <v>0</v>
      </c>
    </row>
    <row r="37" spans="2:12" ht="15.75" thickBot="1">
      <c r="B37" s="64">
        <f>IF(MONTH($B$35+2)=MONTH($B$35),$B$35+2,"")</f>
        <v>42885</v>
      </c>
      <c r="C37" s="60">
        <f>IF(B37="","",C36+1)</f>
        <v>42885</v>
      </c>
      <c r="D37" s="61"/>
      <c r="E37" s="62"/>
      <c r="F37" s="61"/>
      <c r="G37" s="61"/>
      <c r="H37" s="63">
        <f t="shared" si="1"/>
        <v>0</v>
      </c>
    </row>
    <row r="38" spans="2:12" ht="15.75" thickBot="1">
      <c r="B38" s="64">
        <f>IF(MONTH($B$35+3)=MONTH($B$35),$B$35+3,"")</f>
        <v>42886</v>
      </c>
      <c r="C38" s="60">
        <f>IF(B38="","",C37+1)</f>
        <v>42886</v>
      </c>
      <c r="D38" s="61"/>
      <c r="E38" s="62"/>
      <c r="F38" s="61"/>
      <c r="G38" s="61"/>
      <c r="H38" s="63">
        <f t="shared" si="1"/>
        <v>0</v>
      </c>
    </row>
    <row r="39" spans="2:12" ht="15.75" thickBot="1">
      <c r="B39" s="65"/>
      <c r="C39" s="65"/>
      <c r="D39" s="67"/>
      <c r="E39" s="52"/>
      <c r="F39" s="67"/>
      <c r="G39" s="59" t="s">
        <v>33</v>
      </c>
      <c r="H39" s="66">
        <f>SUM(H8:H38)</f>
        <v>3.6249999999999996</v>
      </c>
    </row>
    <row r="41" spans="2:12">
      <c r="G41" s="69"/>
      <c r="H41" s="69"/>
    </row>
    <row r="42" spans="2:12">
      <c r="K42" s="104"/>
      <c r="L42" s="68"/>
    </row>
    <row r="43" spans="2:12">
      <c r="H43" s="69"/>
      <c r="K43" s="70"/>
      <c r="L43" s="70"/>
    </row>
    <row r="44" spans="2:12">
      <c r="K44" s="70"/>
      <c r="L44" s="70"/>
    </row>
  </sheetData>
  <mergeCells count="2">
    <mergeCell ref="C5:E5"/>
    <mergeCell ref="A3:B3"/>
  </mergeCells>
  <conditionalFormatting sqref="B32:H32 B29:C31 H29:H31 B34:H35 B33:C33 H33 B36:C38 H36:H38 B27:H28 B8:H8 B9:C26 H9:H26">
    <cfRule type="expression" dxfId="40" priority="134" stopIfTrue="1">
      <formula>COUNTIF(Fériés,$B8)&gt;0</formula>
    </cfRule>
    <cfRule type="expression" dxfId="39" priority="135" stopIfTrue="1">
      <formula>WEEKDAY($B8,2)&gt;5</formula>
    </cfRule>
  </conditionalFormatting>
  <conditionalFormatting sqref="D34:G35">
    <cfRule type="expression" dxfId="38" priority="54" stopIfTrue="1">
      <formula>COUNTIF(Fériés,$B34)&gt;0</formula>
    </cfRule>
    <cfRule type="expression" dxfId="37" priority="55" stopIfTrue="1">
      <formula>WEEKDAY($B34,2)&gt;5</formula>
    </cfRule>
  </conditionalFormatting>
  <conditionalFormatting sqref="E34:F34">
    <cfRule type="expression" dxfId="36" priority="56" stopIfTrue="1">
      <formula>COUNTIF(Fériés,$B34)&gt;0</formula>
    </cfRule>
    <cfRule type="expression" dxfId="35" priority="57" stopIfTrue="1">
      <formula>WEEKDAY($B34,2)&gt;5</formula>
    </cfRule>
  </conditionalFormatting>
  <conditionalFormatting sqref="E35:F35">
    <cfRule type="expression" dxfId="34" priority="52" stopIfTrue="1">
      <formula>COUNTIF(Fériés,$B35)&gt;0</formula>
    </cfRule>
    <cfRule type="expression" dxfId="33" priority="53" stopIfTrue="1">
      <formula>WEEKDAY($B35,2)&gt;5</formula>
    </cfRule>
  </conditionalFormatting>
  <conditionalFormatting sqref="E8:F8">
    <cfRule type="expression" dxfId="32" priority="46" stopIfTrue="1">
      <formula>COUNTIF(Fériés,$B8)&gt;0</formula>
    </cfRule>
    <cfRule type="expression" dxfId="31" priority="47" stopIfTrue="1">
      <formula>WEEKDAY($B8,2)&gt;5</formula>
    </cfRule>
  </conditionalFormatting>
  <conditionalFormatting sqref="D13:G15">
    <cfRule type="expression" dxfId="30" priority="42" stopIfTrue="1">
      <formula>COUNTIF(Fériés,$B13)&gt;0</formula>
    </cfRule>
    <cfRule type="expression" dxfId="29" priority="43" stopIfTrue="1">
      <formula>WEEKDAY($B13,2)&gt;5</formula>
    </cfRule>
  </conditionalFormatting>
  <conditionalFormatting sqref="E13:F15">
    <cfRule type="expression" dxfId="28" priority="44" stopIfTrue="1">
      <formula>COUNTIF(Fériés,$B13)&gt;0</formula>
    </cfRule>
    <cfRule type="expression" dxfId="27" priority="45" stopIfTrue="1">
      <formula>WEEKDAY($B13,2)&gt;5</formula>
    </cfRule>
  </conditionalFormatting>
  <conditionalFormatting sqref="D20:G21">
    <cfRule type="expression" dxfId="26" priority="38" stopIfTrue="1">
      <formula>COUNTIF(Fériés,$B20)&gt;0</formula>
    </cfRule>
    <cfRule type="expression" dxfId="25" priority="39" stopIfTrue="1">
      <formula>WEEKDAY($B20,2)&gt;5</formula>
    </cfRule>
  </conditionalFormatting>
  <conditionalFormatting sqref="E20:F21">
    <cfRule type="expression" dxfId="24" priority="40" stopIfTrue="1">
      <formula>COUNTIF(Fériés,$B20)&gt;0</formula>
    </cfRule>
    <cfRule type="expression" dxfId="23" priority="41" stopIfTrue="1">
      <formula>WEEKDAY($B20,2)&gt;5</formula>
    </cfRule>
  </conditionalFormatting>
  <conditionalFormatting sqref="E27:F28">
    <cfRule type="expression" dxfId="22" priority="36" stopIfTrue="1">
      <formula>COUNTIF(Fériés,$B27)&gt;0</formula>
    </cfRule>
    <cfRule type="expression" dxfId="21" priority="37" stopIfTrue="1">
      <formula>WEEKDAY($B27,2)&gt;5</formula>
    </cfRule>
  </conditionalFormatting>
  <conditionalFormatting sqref="B8:C38">
    <cfRule type="cellIs" dxfId="20" priority="29" operator="equal">
      <formula>TODAY()</formula>
    </cfRule>
  </conditionalFormatting>
  <conditionalFormatting sqref="D36:G38 D33:G33 D29:G31 D22:G26">
    <cfRule type="expression" dxfId="19" priority="25" stopIfTrue="1">
      <formula>COUNTIF(Fériés,$B22)&gt;0</formula>
    </cfRule>
    <cfRule type="expression" dxfId="18" priority="26" stopIfTrue="1">
      <formula>WEEKDAY($B22,2)&gt;5</formula>
    </cfRule>
  </conditionalFormatting>
  <conditionalFormatting sqref="E29:F31 E33:F33 E36:F38 E22:F26">
    <cfRule type="expression" dxfId="17" priority="27" stopIfTrue="1">
      <formula>COUNTIF(Fériés,$B22)&gt;0</formula>
    </cfRule>
    <cfRule type="expression" dxfId="16" priority="28" stopIfTrue="1">
      <formula>WEEKDAY($B22,2)&gt;5</formula>
    </cfRule>
  </conditionalFormatting>
  <conditionalFormatting sqref="D12:E12">
    <cfRule type="expression" dxfId="15" priority="21" stopIfTrue="1">
      <formula>COUNTIF(Fériés,$B12)&gt;0</formula>
    </cfRule>
    <cfRule type="expression" dxfId="14" priority="22" stopIfTrue="1">
      <formula>WEEKDAY($B12,2)&gt;5</formula>
    </cfRule>
  </conditionalFormatting>
  <conditionalFormatting sqref="E12">
    <cfRule type="expression" dxfId="13" priority="23" stopIfTrue="1">
      <formula>COUNTIF(Fériés,$B12)&gt;0</formula>
    </cfRule>
    <cfRule type="expression" dxfId="12" priority="24" stopIfTrue="1">
      <formula>WEEKDAY($B12,2)&gt;5</formula>
    </cfRule>
  </conditionalFormatting>
  <conditionalFormatting sqref="D9:G11">
    <cfRule type="expression" dxfId="11" priority="5" stopIfTrue="1">
      <formula>COUNTIF(Fériés,$B9)&gt;0</formula>
    </cfRule>
    <cfRule type="expression" dxfId="10" priority="6" stopIfTrue="1">
      <formula>WEEKDAY($B9,2)&gt;5</formula>
    </cfRule>
  </conditionalFormatting>
  <conditionalFormatting sqref="E9:F11">
    <cfRule type="expression" dxfId="9" priority="7" stopIfTrue="1">
      <formula>COUNTIF(Fériés,$B9)&gt;0</formula>
    </cfRule>
    <cfRule type="expression" dxfId="8" priority="8" stopIfTrue="1">
      <formula>WEEKDAY($B9,2)&gt;5</formula>
    </cfRule>
  </conditionalFormatting>
  <conditionalFormatting sqref="F12:G12">
    <cfRule type="expression" dxfId="7" priority="1" stopIfTrue="1">
      <formula>COUNTIF(Fériés,$B12)&gt;0</formula>
    </cfRule>
    <cfRule type="expression" dxfId="6" priority="2" stopIfTrue="1">
      <formula>WEEKDAY($B12,2)&gt;5</formula>
    </cfRule>
  </conditionalFormatting>
  <conditionalFormatting sqref="F12">
    <cfRule type="expression" dxfId="5" priority="3" stopIfTrue="1">
      <formula>COUNTIF(Fériés,$B12)&gt;0</formula>
    </cfRule>
    <cfRule type="expression" dxfId="4" priority="4" stopIfTrue="1">
      <formula>WEEKDAY($B12,2)&gt;5</formula>
    </cfRule>
  </conditionalFormatting>
  <conditionalFormatting sqref="D16:G19">
    <cfRule type="expression" dxfId="3" priority="9" stopIfTrue="1">
      <formula>COUNTIF(Fériés,$B16)&gt;0</formula>
    </cfRule>
    <cfRule type="expression" dxfId="2" priority="10" stopIfTrue="1">
      <formula>WEEKDAY($B16,2)&gt;5</formula>
    </cfRule>
  </conditionalFormatting>
  <conditionalFormatting sqref="E16:F19">
    <cfRule type="expression" dxfId="1" priority="11" stopIfTrue="1">
      <formula>COUNTIF(Fériés,$B16)&gt;0</formula>
    </cfRule>
    <cfRule type="expression" dxfId="0" priority="12" stopIfTrue="1">
      <formula>WEEKDAY($B16,2)&gt;5</formula>
    </cfRule>
  </conditionalFormatting>
  <dataValidations disablePrompts="1" count="1">
    <dataValidation type="list" allowBlank="1" showInputMessage="1" showErrorMessage="1" sqref="G2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18</vt:i4>
      </vt:variant>
    </vt:vector>
  </HeadingPairs>
  <TitlesOfParts>
    <vt:vector size="28" baseType="lpstr">
      <vt:lpstr>BD_CAL</vt:lpstr>
      <vt:lpstr>calendriers</vt:lpstr>
      <vt:lpstr>Mensuel</vt:lpstr>
      <vt:lpstr>anniversaire</vt:lpstr>
      <vt:lpstr>évènements</vt:lpstr>
      <vt:lpstr>Événements</vt:lpstr>
      <vt:lpstr>Lune</vt:lpstr>
      <vt:lpstr>Jours fériés</vt:lpstr>
      <vt:lpstr>fête</vt:lpstr>
      <vt:lpstr>horaires mois</vt:lpstr>
      <vt:lpstr>calendriers!An</vt:lpstr>
      <vt:lpstr>Datedebut</vt:lpstr>
      <vt:lpstr>Datefin</vt:lpstr>
      <vt:lpstr>Dbut</vt:lpstr>
      <vt:lpstr>Ddebut</vt:lpstr>
      <vt:lpstr>début</vt:lpstr>
      <vt:lpstr>débutm</vt:lpstr>
      <vt:lpstr>Dfin</vt:lpstr>
      <vt:lpstr>DVac</vt:lpstr>
      <vt:lpstr>F</vt:lpstr>
      <vt:lpstr>Fériés</vt:lpstr>
      <vt:lpstr>fin</vt:lpstr>
      <vt:lpstr>finm</vt:lpstr>
      <vt:lpstr>FVac</vt:lpstr>
      <vt:lpstr>onglets</vt:lpstr>
      <vt:lpstr>calendriers!Zone_d_impression</vt:lpstr>
      <vt:lpstr>'horaires mois'!Zone_d_impression</vt:lpstr>
      <vt:lpstr>Mensuel!Zone_d_impression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Leakim</dc:creator>
  <cp:keywords/>
  <dc:description/>
  <cp:lastModifiedBy>Attente INTERIMAIRE Util089</cp:lastModifiedBy>
  <cp:revision/>
  <dcterms:created xsi:type="dcterms:W3CDTF">2012-06-21T15:41:37Z</dcterms:created>
  <dcterms:modified xsi:type="dcterms:W3CDTF">2017-05-19T09:44:48Z</dcterms:modified>
  <cp:category/>
  <cp:contentStatus/>
</cp:coreProperties>
</file>