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updateLinks="never" codeName="ThisWorkbook" defaultThemeVersion="124226"/>
  <bookViews>
    <workbookView xWindow="0" yWindow="0" windowWidth="25200" windowHeight="11385" tabRatio="658" firstSheet="1" activeTab="1"/>
  </bookViews>
  <sheets>
    <sheet name="BD_CAL" sheetId="5" r:id="rId1"/>
    <sheet name="calendriers" sheetId="14" r:id="rId2"/>
    <sheet name="Mensuel" sheetId="28" r:id="rId3"/>
    <sheet name="anniversaire" sheetId="11" r:id="rId4"/>
    <sheet name="évènements" sheetId="35" r:id="rId5"/>
    <sheet name="Événements" sheetId="30" state="hidden" r:id="rId6"/>
    <sheet name="Lune" sheetId="27" state="hidden" r:id="rId7"/>
    <sheet name="Jours fériés" sheetId="29" state="hidden" r:id="rId8"/>
    <sheet name="fête" sheetId="26" state="hidden" r:id="rId9"/>
    <sheet name="horaires mois" sheetId="10" r:id="rId10"/>
  </sheets>
  <externalReferences>
    <externalReference r:id="rId11"/>
    <externalReference r:id="rId12"/>
  </externalReferences>
  <definedNames>
    <definedName name="_xlnm._FilterDatabase" localSheetId="3" hidden="1">anniversaire!$A$1:$N$1</definedName>
    <definedName name="_xlnm._FilterDatabase" localSheetId="4" hidden="1">évènements!$A$2:$D$2</definedName>
    <definedName name="AfficherNom">#REF!</definedName>
    <definedName name="An" localSheetId="1">calendriers!$C$1</definedName>
    <definedName name="An">#REF!</definedName>
    <definedName name="ChampQui">[1]!tblDonnées[QUI]</definedName>
    <definedName name="CHOIX" localSheetId="1">calendriers!$M$3:$M$33,calendriers!$X$3:$X$33,calendriers!$AJ$3:$AJ$33,calendriers!$AU$3:$AU$33,calendriers!$BF$3:$BF$33,calendriers!#REF!,calendriers!$CE$3:$CE$33,calendriers!$CP$3:$CP$33,calendriers!$DB$3:$DB$33,calendriers!$DM$3:$DM$33,calendriers!$DX$3:$DX$33,calendriers!$EH$3:$EH$33,calendriers!$EO$3:$EO$33,calendriers!#REF!,calendriers!#REF!,calendriers!#REF!,calendriers!#REF!,calendriers!#REF!,calendriers!#REF!</definedName>
    <definedName name="colvac" localSheetId="1">calendriers!$C$3:$C$33,calendriers!$N$3:$N$30,calendriers!$N$31,calendriers!$Z$3:$Z$33,calendriers!$AK$3:$AK$32,calendriers!$AV$3:$AV$33,calendriers!#REF!,calendriers!$BU$3:$BU$33,calendriers!$CF$3:$CF$33,calendriers!$CR$3:$CR$32,calendriers!$DC$3:$DC$33,calendriers!$DN$3:$DN$32,calendriers!#REF!,calendriers!$EI$3:$EI$33</definedName>
    <definedName name="DAbut">#REF!</definedName>
    <definedName name="DAfin">#REF!</definedName>
    <definedName name="date">Événements!#REF!</definedName>
    <definedName name="Datedebut">Tableau1[[#Headers],[date debut]]</definedName>
    <definedName name="Datefin">évènements!$B:$B</definedName>
    <definedName name="Dbut">Tableau1[date debut]</definedName>
    <definedName name="dCL">[2]Data!#REF!</definedName>
    <definedName name="Ddebut">Tableau1[[#All],[date debut]]</definedName>
    <definedName name="début">Événements!$B$2:$B$11</definedName>
    <definedName name="débutm">Événements!$F$2:$F$11</definedName>
    <definedName name="dferm">[2]Data!#REF!</definedName>
    <definedName name="Dfin">Tableau1[date fin]</definedName>
    <definedName name="Dform" localSheetId="1">[2]Calendrier!#REF!</definedName>
    <definedName name="Dform">[2]Calendrier!#REF!</definedName>
    <definedName name="DVac">BD_CAL!$E$5:$E$38</definedName>
    <definedName name="F">Événements!$A$3:$G$3</definedName>
    <definedName name="Fériés">BD_CAL!$J$6:$J$58</definedName>
    <definedName name="fin">Événements!$C$2:$C$11</definedName>
    <definedName name="finm">Événements!$G$2:$G$11</definedName>
    <definedName name="FVac">BD_CAL!$G$5:$G$38</definedName>
    <definedName name="onglets">BD_CAL!$I$5:$I$16</definedName>
    <definedName name="Plage_calendrier">calendriers!$D$2:$EB$33</definedName>
    <definedName name="RechercherQui">OFFSET('[1]Recherche de nom'!$A$3,,,COUNT('[1]Recherche de nom'!$B:$B),1)</definedName>
    <definedName name="SemaineDu">#REF!</definedName>
    <definedName name="vacances" localSheetId="1">calendriers!$C$3:$C$33,calendriers!$N$3:$N$31,calendriers!$Z$3:$Z$33,calendriers!$AK$3:$AK$32,calendriers!$AV$3:$AV$33,calendriers!#REF!,calendriers!$BU$3:$BU$33,calendriers!$CF$3:$CF$33,calendriers!$CR$3:$CR$32,calendriers!$DC$3:$DC$33,calendriers!$DN$3:$DN$32,calendriers!#REF!,calendriers!$EI$3:$EI$33,calendriers!#REF!,calendriers!#REF!,calendriers!#REF!,calendriers!#REF!,calendriers!#REF!,calendriers!#REF!</definedName>
    <definedName name="_xlnm.Print_Area" localSheetId="1">calendriers!$B$1:$EH$34</definedName>
    <definedName name="_xlnm.Print_Area" localSheetId="9">'horaires mois'!$A$3:$H$39</definedName>
    <definedName name="_xlnm.Print_Area" localSheetId="2">Mensuel!$B$4:$H$29</definedName>
  </definedNames>
  <calcPr calcId="145621"/>
</workbook>
</file>

<file path=xl/calcChain.xml><?xml version="1.0" encoding="utf-8"?>
<calcChain xmlns="http://schemas.openxmlformats.org/spreadsheetml/2006/main">
  <c r="G3" i="35" l="1"/>
  <c r="G4" i="35"/>
  <c r="G5" i="35"/>
  <c r="G7" i="35"/>
  <c r="G8" i="35"/>
  <c r="G9" i="35"/>
  <c r="G10" i="35"/>
  <c r="G11" i="35"/>
  <c r="G12" i="35"/>
  <c r="G14" i="35"/>
  <c r="G15" i="35"/>
  <c r="G16" i="35"/>
  <c r="G17" i="35"/>
  <c r="G18" i="35"/>
  <c r="G19" i="35"/>
  <c r="G20" i="35"/>
  <c r="G21" i="35"/>
  <c r="G22" i="35"/>
  <c r="G23" i="35"/>
  <c r="G24" i="35"/>
  <c r="G25" i="35"/>
  <c r="G26" i="35"/>
  <c r="G27" i="35"/>
  <c r="G28" i="35"/>
  <c r="G29" i="35"/>
  <c r="G30" i="35"/>
  <c r="G31" i="35"/>
  <c r="G32" i="35"/>
  <c r="G33" i="35"/>
  <c r="G34" i="35"/>
  <c r="G35" i="35"/>
  <c r="G36" i="35"/>
  <c r="G37" i="35"/>
  <c r="G38" i="35"/>
  <c r="G39" i="35"/>
  <c r="G40" i="35"/>
  <c r="G41" i="35"/>
  <c r="G42" i="35"/>
  <c r="G43" i="35"/>
  <c r="G44" i="35"/>
  <c r="G45" i="35"/>
  <c r="G46" i="35"/>
  <c r="G47" i="35"/>
  <c r="G48" i="35"/>
  <c r="G49" i="35"/>
  <c r="G50" i="35"/>
  <c r="G51" i="35"/>
  <c r="G52" i="35"/>
  <c r="G53" i="35"/>
  <c r="G54" i="35"/>
  <c r="G55" i="35"/>
  <c r="G56" i="35"/>
  <c r="G57" i="35"/>
  <c r="G58" i="35"/>
  <c r="G59" i="35"/>
  <c r="G60" i="35"/>
  <c r="G61" i="35"/>
  <c r="G62" i="35"/>
  <c r="G63" i="35"/>
  <c r="G64" i="35"/>
  <c r="G65" i="35"/>
  <c r="G66" i="35"/>
  <c r="G67" i="35"/>
  <c r="G68" i="35"/>
  <c r="G69" i="35"/>
  <c r="G70" i="35"/>
  <c r="G71" i="35"/>
  <c r="G72" i="35"/>
  <c r="G73" i="35"/>
  <c r="G74" i="35"/>
  <c r="G75" i="35"/>
  <c r="G76" i="35"/>
  <c r="G77" i="35"/>
  <c r="G78" i="35"/>
  <c r="G79" i="35"/>
  <c r="G80" i="35"/>
  <c r="G81" i="35"/>
  <c r="G82" i="35"/>
  <c r="G83" i="35"/>
  <c r="G84" i="35"/>
  <c r="G85" i="35"/>
  <c r="G86" i="35"/>
  <c r="G87" i="35"/>
  <c r="G88" i="35"/>
  <c r="G89" i="35"/>
  <c r="G90" i="35"/>
  <c r="G91" i="35"/>
  <c r="G92" i="35"/>
  <c r="G93" i="35"/>
  <c r="G94" i="35"/>
  <c r="G95" i="35"/>
  <c r="G96" i="35"/>
  <c r="G97" i="35"/>
  <c r="G98" i="35"/>
  <c r="G99" i="35"/>
  <c r="G100" i="35"/>
  <c r="G101" i="35"/>
  <c r="G102" i="35"/>
  <c r="G103" i="35"/>
  <c r="G104" i="35"/>
  <c r="G105" i="35"/>
  <c r="G106" i="35"/>
  <c r="G107" i="35"/>
  <c r="G108" i="35"/>
  <c r="G109" i="35"/>
  <c r="G110" i="35"/>
  <c r="G111" i="35"/>
  <c r="G112" i="35"/>
  <c r="G113" i="35"/>
  <c r="G114" i="35"/>
  <c r="G115" i="35"/>
  <c r="G116" i="35"/>
  <c r="G117" i="35"/>
  <c r="G118" i="35"/>
  <c r="G119" i="35"/>
  <c r="G120" i="35"/>
  <c r="G121" i="35"/>
  <c r="G122" i="35"/>
  <c r="G123" i="35"/>
  <c r="G124" i="35"/>
  <c r="G125" i="35"/>
  <c r="G126" i="35"/>
  <c r="G127" i="35"/>
  <c r="G128" i="35"/>
  <c r="G129" i="35"/>
  <c r="G130" i="35"/>
  <c r="G131" i="35"/>
  <c r="G132" i="35"/>
  <c r="G133" i="35"/>
  <c r="G134" i="35"/>
  <c r="G135" i="35"/>
  <c r="G136" i="35"/>
  <c r="G137" i="35"/>
  <c r="G138" i="35"/>
  <c r="G139" i="35"/>
  <c r="G140" i="35"/>
  <c r="G141" i="35"/>
  <c r="G142" i="35"/>
  <c r="G143" i="35"/>
  <c r="G144" i="35"/>
  <c r="G145" i="35"/>
  <c r="G146" i="35"/>
  <c r="G147" i="35"/>
  <c r="G148" i="35"/>
  <c r="G149" i="35"/>
  <c r="G150" i="35"/>
  <c r="G151" i="35"/>
  <c r="G152" i="35"/>
  <c r="G153" i="35"/>
  <c r="G154" i="35"/>
  <c r="G155" i="35"/>
  <c r="G156" i="35"/>
  <c r="G157" i="35"/>
  <c r="G158" i="35"/>
  <c r="G159" i="35"/>
  <c r="G160" i="35"/>
  <c r="G161" i="35"/>
  <c r="G162" i="35"/>
  <c r="G163" i="35"/>
  <c r="G164" i="35"/>
  <c r="G165" i="35"/>
  <c r="G166" i="35"/>
  <c r="G167" i="35"/>
  <c r="G168" i="35"/>
  <c r="G169" i="35"/>
  <c r="G170" i="35"/>
  <c r="G171" i="35"/>
  <c r="G172" i="35"/>
  <c r="G173" i="35"/>
  <c r="G174" i="35"/>
  <c r="G175" i="35"/>
  <c r="G176" i="35"/>
  <c r="G177" i="35"/>
  <c r="G178" i="35"/>
  <c r="G179" i="35"/>
  <c r="G180" i="35"/>
  <c r="G181" i="35"/>
  <c r="G182" i="35"/>
  <c r="G183" i="35"/>
  <c r="G184" i="35"/>
  <c r="G185" i="35"/>
  <c r="G186" i="35"/>
  <c r="G187" i="35"/>
  <c r="G188" i="35"/>
  <c r="G189" i="35"/>
  <c r="G190" i="35"/>
  <c r="F13" i="35"/>
  <c r="F4" i="35"/>
  <c r="H4" i="35" s="1"/>
  <c r="F5" i="35"/>
  <c r="H5" i="35" s="1"/>
  <c r="F6" i="35"/>
  <c r="F8" i="35"/>
  <c r="H8" i="35" s="1"/>
  <c r="F9" i="35"/>
  <c r="H9" i="35" s="1"/>
  <c r="F10" i="35"/>
  <c r="H10" i="35" s="1"/>
  <c r="F14" i="35"/>
  <c r="F15" i="35"/>
  <c r="F16" i="35"/>
  <c r="H16" i="35" s="1"/>
  <c r="F17" i="35"/>
  <c r="H17" i="35" s="1"/>
  <c r="F18" i="35"/>
  <c r="H18" i="35" s="1"/>
  <c r="F19" i="35"/>
  <c r="H19" i="35" s="1"/>
  <c r="F20" i="35"/>
  <c r="H20" i="35" s="1"/>
  <c r="F21" i="35"/>
  <c r="H21" i="35" s="1"/>
  <c r="F22" i="35"/>
  <c r="H22" i="35" s="1"/>
  <c r="F23" i="35"/>
  <c r="H23" i="35" s="1"/>
  <c r="F24" i="35"/>
  <c r="H24" i="35" s="1"/>
  <c r="F25" i="35"/>
  <c r="H25" i="35" s="1"/>
  <c r="F26" i="35"/>
  <c r="H26" i="35" s="1"/>
  <c r="F27" i="35"/>
  <c r="H27" i="35" s="1"/>
  <c r="F28" i="35"/>
  <c r="H28" i="35" s="1"/>
  <c r="F29" i="35"/>
  <c r="H29" i="35" s="1"/>
  <c r="F30" i="35"/>
  <c r="H30" i="35" s="1"/>
  <c r="F31" i="35"/>
  <c r="H31" i="35" s="1"/>
  <c r="F32" i="35"/>
  <c r="H32" i="35" s="1"/>
  <c r="F33" i="35"/>
  <c r="H33" i="35" s="1"/>
  <c r="F34" i="35"/>
  <c r="H34" i="35" s="1"/>
  <c r="F35" i="35"/>
  <c r="H35" i="35" s="1"/>
  <c r="F36" i="35"/>
  <c r="H36" i="35" s="1"/>
  <c r="F37" i="35"/>
  <c r="H37" i="35" s="1"/>
  <c r="F38" i="35"/>
  <c r="H38" i="35" s="1"/>
  <c r="F39" i="35"/>
  <c r="H39" i="35" s="1"/>
  <c r="F40" i="35"/>
  <c r="H40" i="35" s="1"/>
  <c r="F41" i="35"/>
  <c r="H41" i="35" s="1"/>
  <c r="F42" i="35"/>
  <c r="H42" i="35" s="1"/>
  <c r="F43" i="35"/>
  <c r="H43" i="35" s="1"/>
  <c r="F44" i="35"/>
  <c r="H44" i="35" s="1"/>
  <c r="F45" i="35"/>
  <c r="H45" i="35" s="1"/>
  <c r="F46" i="35"/>
  <c r="H46" i="35" s="1"/>
  <c r="F47" i="35"/>
  <c r="H47" i="35" s="1"/>
  <c r="F48" i="35"/>
  <c r="H48" i="35" s="1"/>
  <c r="F49" i="35"/>
  <c r="H49" i="35" s="1"/>
  <c r="F50" i="35"/>
  <c r="H50" i="35" s="1"/>
  <c r="F51" i="35"/>
  <c r="H51" i="35" s="1"/>
  <c r="F52" i="35"/>
  <c r="H52" i="35" s="1"/>
  <c r="F53" i="35"/>
  <c r="H53" i="35" s="1"/>
  <c r="F54" i="35"/>
  <c r="H54" i="35" s="1"/>
  <c r="F55" i="35"/>
  <c r="H55" i="35" s="1"/>
  <c r="F56" i="35"/>
  <c r="H56" i="35" s="1"/>
  <c r="F57" i="35"/>
  <c r="H57" i="35" s="1"/>
  <c r="F58" i="35"/>
  <c r="H58" i="35" s="1"/>
  <c r="F59" i="35"/>
  <c r="H59" i="35" s="1"/>
  <c r="F60" i="35"/>
  <c r="H60" i="35" s="1"/>
  <c r="F61" i="35"/>
  <c r="H61" i="35" s="1"/>
  <c r="F62" i="35"/>
  <c r="H62" i="35" s="1"/>
  <c r="F63" i="35"/>
  <c r="H63" i="35" s="1"/>
  <c r="F64" i="35"/>
  <c r="H64" i="35" s="1"/>
  <c r="F65" i="35"/>
  <c r="H65" i="35" s="1"/>
  <c r="F66" i="35"/>
  <c r="H66" i="35" s="1"/>
  <c r="F67" i="35"/>
  <c r="H67" i="35" s="1"/>
  <c r="F68" i="35"/>
  <c r="H68" i="35" s="1"/>
  <c r="F69" i="35"/>
  <c r="H69" i="35" s="1"/>
  <c r="F70" i="35"/>
  <c r="H70" i="35" s="1"/>
  <c r="F71" i="35"/>
  <c r="H71" i="35" s="1"/>
  <c r="F72" i="35"/>
  <c r="H72" i="35" s="1"/>
  <c r="F73" i="35"/>
  <c r="H73" i="35" s="1"/>
  <c r="F74" i="35"/>
  <c r="H74" i="35" s="1"/>
  <c r="F75" i="35"/>
  <c r="H75" i="35" s="1"/>
  <c r="F76" i="35"/>
  <c r="H76" i="35" s="1"/>
  <c r="F77" i="35"/>
  <c r="H77" i="35" s="1"/>
  <c r="F78" i="35"/>
  <c r="H78" i="35" s="1"/>
  <c r="F79" i="35"/>
  <c r="H79" i="35" s="1"/>
  <c r="F80" i="35"/>
  <c r="H80" i="35" s="1"/>
  <c r="F81" i="35"/>
  <c r="H81" i="35" s="1"/>
  <c r="F82" i="35"/>
  <c r="H82" i="35" s="1"/>
  <c r="F83" i="35"/>
  <c r="H83" i="35" s="1"/>
  <c r="F84" i="35"/>
  <c r="H84" i="35" s="1"/>
  <c r="F85" i="35"/>
  <c r="H85" i="35" s="1"/>
  <c r="F86" i="35"/>
  <c r="H86" i="35" s="1"/>
  <c r="F87" i="35"/>
  <c r="H87" i="35" s="1"/>
  <c r="F88" i="35"/>
  <c r="H88" i="35" s="1"/>
  <c r="F89" i="35"/>
  <c r="H89" i="35" s="1"/>
  <c r="F90" i="35"/>
  <c r="H90" i="35" s="1"/>
  <c r="F91" i="35"/>
  <c r="H91" i="35" s="1"/>
  <c r="F92" i="35"/>
  <c r="H92" i="35" s="1"/>
  <c r="F93" i="35"/>
  <c r="H93" i="35" s="1"/>
  <c r="F94" i="35"/>
  <c r="H94" i="35" s="1"/>
  <c r="F95" i="35"/>
  <c r="H95" i="35" s="1"/>
  <c r="F96" i="35"/>
  <c r="H96" i="35" s="1"/>
  <c r="F97" i="35"/>
  <c r="H97" i="35" s="1"/>
  <c r="F98" i="35"/>
  <c r="H98" i="35" s="1"/>
  <c r="F99" i="35"/>
  <c r="H99" i="35" s="1"/>
  <c r="F100" i="35"/>
  <c r="H100" i="35" s="1"/>
  <c r="F101" i="35"/>
  <c r="H101" i="35" s="1"/>
  <c r="F102" i="35"/>
  <c r="H102" i="35" s="1"/>
  <c r="F103" i="35"/>
  <c r="H103" i="35" s="1"/>
  <c r="F104" i="35"/>
  <c r="H104" i="35" s="1"/>
  <c r="F105" i="35"/>
  <c r="H105" i="35" s="1"/>
  <c r="F106" i="35"/>
  <c r="H106" i="35" s="1"/>
  <c r="F107" i="35"/>
  <c r="H107" i="35" s="1"/>
  <c r="F108" i="35"/>
  <c r="H108" i="35" s="1"/>
  <c r="F109" i="35"/>
  <c r="H109" i="35" s="1"/>
  <c r="F110" i="35"/>
  <c r="H110" i="35" s="1"/>
  <c r="F111" i="35"/>
  <c r="H111" i="35" s="1"/>
  <c r="F112" i="35"/>
  <c r="H112" i="35" s="1"/>
  <c r="F113" i="35"/>
  <c r="H113" i="35" s="1"/>
  <c r="F114" i="35"/>
  <c r="H114" i="35" s="1"/>
  <c r="F115" i="35"/>
  <c r="H115" i="35" s="1"/>
  <c r="F116" i="35"/>
  <c r="H116" i="35" s="1"/>
  <c r="F117" i="35"/>
  <c r="H117" i="35" s="1"/>
  <c r="F118" i="35"/>
  <c r="H118" i="35" s="1"/>
  <c r="F119" i="35"/>
  <c r="H119" i="35" s="1"/>
  <c r="F120" i="35"/>
  <c r="H120" i="35" s="1"/>
  <c r="F121" i="35"/>
  <c r="H121" i="35" s="1"/>
  <c r="F122" i="35"/>
  <c r="H122" i="35" s="1"/>
  <c r="F123" i="35"/>
  <c r="H123" i="35" s="1"/>
  <c r="F124" i="35"/>
  <c r="H124" i="35" s="1"/>
  <c r="F125" i="35"/>
  <c r="H125" i="35" s="1"/>
  <c r="F126" i="35"/>
  <c r="H126" i="35" s="1"/>
  <c r="F127" i="35"/>
  <c r="H127" i="35" s="1"/>
  <c r="F128" i="35"/>
  <c r="H128" i="35" s="1"/>
  <c r="F129" i="35"/>
  <c r="H129" i="35" s="1"/>
  <c r="F130" i="35"/>
  <c r="H130" i="35" s="1"/>
  <c r="F131" i="35"/>
  <c r="H131" i="35" s="1"/>
  <c r="F132" i="35"/>
  <c r="H132" i="35" s="1"/>
  <c r="F133" i="35"/>
  <c r="H133" i="35" s="1"/>
  <c r="F134" i="35"/>
  <c r="H134" i="35" s="1"/>
  <c r="F135" i="35"/>
  <c r="H135" i="35" s="1"/>
  <c r="F136" i="35"/>
  <c r="H136" i="35" s="1"/>
  <c r="F137" i="35"/>
  <c r="H137" i="35" s="1"/>
  <c r="F138" i="35"/>
  <c r="H138" i="35" s="1"/>
  <c r="F139" i="35"/>
  <c r="H139" i="35" s="1"/>
  <c r="F140" i="35"/>
  <c r="H140" i="35" s="1"/>
  <c r="F141" i="35"/>
  <c r="H141" i="35" s="1"/>
  <c r="F142" i="35"/>
  <c r="H142" i="35" s="1"/>
  <c r="F143" i="35"/>
  <c r="H143" i="35" s="1"/>
  <c r="F144" i="35"/>
  <c r="H144" i="35" s="1"/>
  <c r="F145" i="35"/>
  <c r="H145" i="35" s="1"/>
  <c r="F146" i="35"/>
  <c r="H146" i="35" s="1"/>
  <c r="F147" i="35"/>
  <c r="H147" i="35" s="1"/>
  <c r="F148" i="35"/>
  <c r="H148" i="35" s="1"/>
  <c r="F149" i="35"/>
  <c r="H149" i="35" s="1"/>
  <c r="F150" i="35"/>
  <c r="H150" i="35" s="1"/>
  <c r="F151" i="35"/>
  <c r="H151" i="35" s="1"/>
  <c r="F152" i="35"/>
  <c r="H152" i="35" s="1"/>
  <c r="F153" i="35"/>
  <c r="H153" i="35" s="1"/>
  <c r="F154" i="35"/>
  <c r="H154" i="35" s="1"/>
  <c r="F155" i="35"/>
  <c r="H155" i="35" s="1"/>
  <c r="F156" i="35"/>
  <c r="H156" i="35" s="1"/>
  <c r="F157" i="35"/>
  <c r="H157" i="35" s="1"/>
  <c r="F158" i="35"/>
  <c r="H158" i="35" s="1"/>
  <c r="F159" i="35"/>
  <c r="H159" i="35" s="1"/>
  <c r="F160" i="35"/>
  <c r="H160" i="35" s="1"/>
  <c r="F161" i="35"/>
  <c r="H161" i="35" s="1"/>
  <c r="F162" i="35"/>
  <c r="H162" i="35" s="1"/>
  <c r="F163" i="35"/>
  <c r="H163" i="35" s="1"/>
  <c r="F164" i="35"/>
  <c r="H164" i="35" s="1"/>
  <c r="F165" i="35"/>
  <c r="H165" i="35" s="1"/>
  <c r="F166" i="35"/>
  <c r="H166" i="35" s="1"/>
  <c r="F167" i="35"/>
  <c r="H167" i="35" s="1"/>
  <c r="F168" i="35"/>
  <c r="H168" i="35" s="1"/>
  <c r="F169" i="35"/>
  <c r="H169" i="35" s="1"/>
  <c r="F170" i="35"/>
  <c r="H170" i="35" s="1"/>
  <c r="F171" i="35"/>
  <c r="H171" i="35" s="1"/>
  <c r="F172" i="35"/>
  <c r="H172" i="35" s="1"/>
  <c r="F173" i="35"/>
  <c r="H173" i="35" s="1"/>
  <c r="F174" i="35"/>
  <c r="H174" i="35" s="1"/>
  <c r="F175" i="35"/>
  <c r="H175" i="35" s="1"/>
  <c r="F176" i="35"/>
  <c r="H176" i="35" s="1"/>
  <c r="F177" i="35"/>
  <c r="H177" i="35" s="1"/>
  <c r="F178" i="35"/>
  <c r="H178" i="35" s="1"/>
  <c r="F179" i="35"/>
  <c r="H179" i="35" s="1"/>
  <c r="F180" i="35"/>
  <c r="H180" i="35" s="1"/>
  <c r="F181" i="35"/>
  <c r="H181" i="35" s="1"/>
  <c r="F182" i="35"/>
  <c r="H182" i="35" s="1"/>
  <c r="F183" i="35"/>
  <c r="H183" i="35" s="1"/>
  <c r="F184" i="35"/>
  <c r="H184" i="35" s="1"/>
  <c r="F185" i="35"/>
  <c r="H185" i="35" s="1"/>
  <c r="F186" i="35"/>
  <c r="H186" i="35" s="1"/>
  <c r="F187" i="35"/>
  <c r="H187" i="35" s="1"/>
  <c r="F188" i="35"/>
  <c r="H188" i="35" s="1"/>
  <c r="F189" i="35"/>
  <c r="H189" i="35" s="1"/>
  <c r="F190" i="35"/>
  <c r="H190" i="35" s="1"/>
  <c r="C4" i="35"/>
  <c r="I4" i="35" s="1"/>
  <c r="C5" i="35"/>
  <c r="I5" i="35" s="1"/>
  <c r="C6" i="35"/>
  <c r="I6" i="35" s="1"/>
  <c r="C7" i="35"/>
  <c r="I7" i="35" s="1"/>
  <c r="C8" i="35"/>
  <c r="I8" i="35" s="1"/>
  <c r="C9" i="35"/>
  <c r="I9" i="35" s="1"/>
  <c r="C10" i="35"/>
  <c r="I10" i="35" s="1"/>
  <c r="C11" i="35"/>
  <c r="I11" i="35" s="1"/>
  <c r="C12" i="35"/>
  <c r="I12" i="35" s="1"/>
  <c r="C13" i="35"/>
  <c r="I13" i="35" s="1"/>
  <c r="C14" i="35"/>
  <c r="I14" i="35" s="1"/>
  <c r="C15" i="35"/>
  <c r="I15" i="35" s="1"/>
  <c r="C16" i="35"/>
  <c r="I16" i="35" s="1"/>
  <c r="C17" i="35"/>
  <c r="I17" i="35" s="1"/>
  <c r="C18" i="35"/>
  <c r="I18" i="35" s="1"/>
  <c r="C19" i="35"/>
  <c r="I19" i="35" s="1"/>
  <c r="C20" i="35"/>
  <c r="I20" i="35" s="1"/>
  <c r="C21" i="35"/>
  <c r="I21" i="35" s="1"/>
  <c r="C22" i="35"/>
  <c r="I22" i="35" s="1"/>
  <c r="C23" i="35"/>
  <c r="I23" i="35" s="1"/>
  <c r="C24" i="35"/>
  <c r="I24" i="35" s="1"/>
  <c r="C25" i="35"/>
  <c r="I25" i="35" s="1"/>
  <c r="C26" i="35"/>
  <c r="I26" i="35" s="1"/>
  <c r="C27" i="35"/>
  <c r="I27" i="35" s="1"/>
  <c r="C28" i="35"/>
  <c r="I28" i="35" s="1"/>
  <c r="C29" i="35"/>
  <c r="I29" i="35" s="1"/>
  <c r="C30" i="35"/>
  <c r="I30" i="35" s="1"/>
  <c r="C31" i="35"/>
  <c r="I31" i="35" s="1"/>
  <c r="C32" i="35"/>
  <c r="I32" i="35" s="1"/>
  <c r="C33" i="35"/>
  <c r="I33" i="35" s="1"/>
  <c r="C34" i="35"/>
  <c r="I34" i="35" s="1"/>
  <c r="C35" i="35"/>
  <c r="I35" i="35" s="1"/>
  <c r="C36" i="35"/>
  <c r="I36" i="35" s="1"/>
  <c r="C37" i="35"/>
  <c r="I37" i="35" s="1"/>
  <c r="C38" i="35"/>
  <c r="I38" i="35" s="1"/>
  <c r="C39" i="35"/>
  <c r="I39" i="35" s="1"/>
  <c r="C40" i="35"/>
  <c r="I40" i="35" s="1"/>
  <c r="C41" i="35"/>
  <c r="I41" i="35" s="1"/>
  <c r="C42" i="35"/>
  <c r="I42" i="35" s="1"/>
  <c r="C43" i="35"/>
  <c r="I43" i="35" s="1"/>
  <c r="C44" i="35"/>
  <c r="I44" i="35" s="1"/>
  <c r="C45" i="35"/>
  <c r="I45" i="35" s="1"/>
  <c r="C46" i="35"/>
  <c r="I46" i="35" s="1"/>
  <c r="C47" i="35"/>
  <c r="I47" i="35" s="1"/>
  <c r="C48" i="35"/>
  <c r="I48" i="35" s="1"/>
  <c r="C49" i="35"/>
  <c r="I49" i="35" s="1"/>
  <c r="C50" i="35"/>
  <c r="I50" i="35" s="1"/>
  <c r="C51" i="35"/>
  <c r="I51" i="35" s="1"/>
  <c r="C52" i="35"/>
  <c r="I52" i="35" s="1"/>
  <c r="C53" i="35"/>
  <c r="I53" i="35" s="1"/>
  <c r="C54" i="35"/>
  <c r="I54" i="35" s="1"/>
  <c r="C55" i="35"/>
  <c r="I55" i="35" s="1"/>
  <c r="C56" i="35"/>
  <c r="I56" i="35" s="1"/>
  <c r="C57" i="35"/>
  <c r="I57" i="35" s="1"/>
  <c r="C58" i="35"/>
  <c r="I58" i="35" s="1"/>
  <c r="C59" i="35"/>
  <c r="I59" i="35" s="1"/>
  <c r="C60" i="35"/>
  <c r="I60" i="35" s="1"/>
  <c r="C61" i="35"/>
  <c r="I61" i="35" s="1"/>
  <c r="C62" i="35"/>
  <c r="I62" i="35" s="1"/>
  <c r="C63" i="35"/>
  <c r="I63" i="35" s="1"/>
  <c r="C64" i="35"/>
  <c r="I64" i="35" s="1"/>
  <c r="C65" i="35"/>
  <c r="I65" i="35" s="1"/>
  <c r="C66" i="35"/>
  <c r="I66" i="35" s="1"/>
  <c r="C67" i="35"/>
  <c r="I67" i="35" s="1"/>
  <c r="C68" i="35"/>
  <c r="I68" i="35" s="1"/>
  <c r="C69" i="35"/>
  <c r="I69" i="35" s="1"/>
  <c r="C70" i="35"/>
  <c r="I70" i="35" s="1"/>
  <c r="C71" i="35"/>
  <c r="I71" i="35" s="1"/>
  <c r="C72" i="35"/>
  <c r="I72" i="35" s="1"/>
  <c r="C73" i="35"/>
  <c r="I73" i="35" s="1"/>
  <c r="C74" i="35"/>
  <c r="I74" i="35" s="1"/>
  <c r="C75" i="35"/>
  <c r="I75" i="35" s="1"/>
  <c r="C76" i="35"/>
  <c r="I76" i="35" s="1"/>
  <c r="C77" i="35"/>
  <c r="I77" i="35" s="1"/>
  <c r="C78" i="35"/>
  <c r="I78" i="35" s="1"/>
  <c r="C79" i="35"/>
  <c r="I79" i="35" s="1"/>
  <c r="C80" i="35"/>
  <c r="I80" i="35" s="1"/>
  <c r="C81" i="35"/>
  <c r="I81" i="35" s="1"/>
  <c r="C82" i="35"/>
  <c r="I82" i="35" s="1"/>
  <c r="C83" i="35"/>
  <c r="I83" i="35" s="1"/>
  <c r="C84" i="35"/>
  <c r="I84" i="35" s="1"/>
  <c r="C85" i="35"/>
  <c r="I85" i="35" s="1"/>
  <c r="C86" i="35"/>
  <c r="I86" i="35" s="1"/>
  <c r="C87" i="35"/>
  <c r="I87" i="35" s="1"/>
  <c r="C88" i="35"/>
  <c r="I88" i="35" s="1"/>
  <c r="C89" i="35"/>
  <c r="I89" i="35" s="1"/>
  <c r="C90" i="35"/>
  <c r="I90" i="35" s="1"/>
  <c r="C91" i="35"/>
  <c r="I91" i="35" s="1"/>
  <c r="C92" i="35"/>
  <c r="I92" i="35" s="1"/>
  <c r="C93" i="35"/>
  <c r="I93" i="35" s="1"/>
  <c r="C94" i="35"/>
  <c r="I94" i="35" s="1"/>
  <c r="C95" i="35"/>
  <c r="I95" i="35" s="1"/>
  <c r="C96" i="35"/>
  <c r="I96" i="35" s="1"/>
  <c r="C97" i="35"/>
  <c r="I97" i="35" s="1"/>
  <c r="C98" i="35"/>
  <c r="I98" i="35" s="1"/>
  <c r="C99" i="35"/>
  <c r="I99" i="35" s="1"/>
  <c r="C100" i="35"/>
  <c r="I100" i="35" s="1"/>
  <c r="C101" i="35"/>
  <c r="I101" i="35" s="1"/>
  <c r="C102" i="35"/>
  <c r="I102" i="35" s="1"/>
  <c r="C103" i="35"/>
  <c r="I103" i="35" s="1"/>
  <c r="C104" i="35"/>
  <c r="I104" i="35" s="1"/>
  <c r="C105" i="35"/>
  <c r="I105" i="35" s="1"/>
  <c r="C106" i="35"/>
  <c r="I106" i="35" s="1"/>
  <c r="C107" i="35"/>
  <c r="I107" i="35" s="1"/>
  <c r="C108" i="35"/>
  <c r="I108" i="35" s="1"/>
  <c r="C109" i="35"/>
  <c r="I109" i="35" s="1"/>
  <c r="C110" i="35"/>
  <c r="I110" i="35" s="1"/>
  <c r="C111" i="35"/>
  <c r="I111" i="35" s="1"/>
  <c r="C112" i="35"/>
  <c r="I112" i="35" s="1"/>
  <c r="C113" i="35"/>
  <c r="I113" i="35" s="1"/>
  <c r="C114" i="35"/>
  <c r="I114" i="35" s="1"/>
  <c r="C115" i="35"/>
  <c r="I115" i="35" s="1"/>
  <c r="C116" i="35"/>
  <c r="I116" i="35" s="1"/>
  <c r="C117" i="35"/>
  <c r="I117" i="35" s="1"/>
  <c r="C118" i="35"/>
  <c r="I118" i="35" s="1"/>
  <c r="C119" i="35"/>
  <c r="I119" i="35" s="1"/>
  <c r="C120" i="35"/>
  <c r="I120" i="35" s="1"/>
  <c r="C121" i="35"/>
  <c r="I121" i="35" s="1"/>
  <c r="C122" i="35"/>
  <c r="I122" i="35" s="1"/>
  <c r="C123" i="35"/>
  <c r="I123" i="35" s="1"/>
  <c r="C124" i="35"/>
  <c r="I124" i="35" s="1"/>
  <c r="C125" i="35"/>
  <c r="I125" i="35" s="1"/>
  <c r="C126" i="35"/>
  <c r="I126" i="35" s="1"/>
  <c r="C127" i="35"/>
  <c r="I127" i="35" s="1"/>
  <c r="C128" i="35"/>
  <c r="I128" i="35" s="1"/>
  <c r="C129" i="35"/>
  <c r="I129" i="35" s="1"/>
  <c r="C130" i="35"/>
  <c r="I130" i="35" s="1"/>
  <c r="C131" i="35"/>
  <c r="I131" i="35" s="1"/>
  <c r="C132" i="35"/>
  <c r="I132" i="35" s="1"/>
  <c r="C133" i="35"/>
  <c r="I133" i="35" s="1"/>
  <c r="C134" i="35"/>
  <c r="I134" i="35" s="1"/>
  <c r="C135" i="35"/>
  <c r="I135" i="35" s="1"/>
  <c r="C136" i="35"/>
  <c r="I136" i="35" s="1"/>
  <c r="C137" i="35"/>
  <c r="I137" i="35" s="1"/>
  <c r="C138" i="35"/>
  <c r="I138" i="35" s="1"/>
  <c r="C139" i="35"/>
  <c r="I139" i="35" s="1"/>
  <c r="C140" i="35"/>
  <c r="I140" i="35" s="1"/>
  <c r="C141" i="35"/>
  <c r="I141" i="35" s="1"/>
  <c r="C142" i="35"/>
  <c r="I142" i="35" s="1"/>
  <c r="C143" i="35"/>
  <c r="I143" i="35" s="1"/>
  <c r="C144" i="35"/>
  <c r="I144" i="35" s="1"/>
  <c r="C145" i="35"/>
  <c r="I145" i="35" s="1"/>
  <c r="C146" i="35"/>
  <c r="I146" i="35" s="1"/>
  <c r="C147" i="35"/>
  <c r="I147" i="35" s="1"/>
  <c r="C148" i="35"/>
  <c r="I148" i="35" s="1"/>
  <c r="C149" i="35"/>
  <c r="I149" i="35" s="1"/>
  <c r="C150" i="35"/>
  <c r="I150" i="35" s="1"/>
  <c r="C151" i="35"/>
  <c r="I151" i="35" s="1"/>
  <c r="C152" i="35"/>
  <c r="I152" i="35" s="1"/>
  <c r="C153" i="35"/>
  <c r="I153" i="35" s="1"/>
  <c r="C154" i="35"/>
  <c r="I154" i="35" s="1"/>
  <c r="C155" i="35"/>
  <c r="I155" i="35" s="1"/>
  <c r="C156" i="35"/>
  <c r="I156" i="35" s="1"/>
  <c r="C157" i="35"/>
  <c r="I157" i="35" s="1"/>
  <c r="C158" i="35"/>
  <c r="I158" i="35" s="1"/>
  <c r="C159" i="35"/>
  <c r="I159" i="35" s="1"/>
  <c r="C160" i="35"/>
  <c r="I160" i="35" s="1"/>
  <c r="C161" i="35"/>
  <c r="I161" i="35" s="1"/>
  <c r="C162" i="35"/>
  <c r="I162" i="35" s="1"/>
  <c r="C163" i="35"/>
  <c r="I163" i="35" s="1"/>
  <c r="C164" i="35"/>
  <c r="I164" i="35" s="1"/>
  <c r="C165" i="35"/>
  <c r="I165" i="35" s="1"/>
  <c r="C166" i="35"/>
  <c r="I166" i="35" s="1"/>
  <c r="C167" i="35"/>
  <c r="I167" i="35" s="1"/>
  <c r="C168" i="35"/>
  <c r="I168" i="35" s="1"/>
  <c r="C169" i="35"/>
  <c r="I169" i="35" s="1"/>
  <c r="C170" i="35"/>
  <c r="I170" i="35" s="1"/>
  <c r="C171" i="35"/>
  <c r="I171" i="35" s="1"/>
  <c r="C172" i="35"/>
  <c r="I172" i="35" s="1"/>
  <c r="C173" i="35"/>
  <c r="I173" i="35" s="1"/>
  <c r="C174" i="35"/>
  <c r="I174" i="35" s="1"/>
  <c r="C175" i="35"/>
  <c r="I175" i="35" s="1"/>
  <c r="C176" i="35"/>
  <c r="I176" i="35" s="1"/>
  <c r="C177" i="35"/>
  <c r="I177" i="35" s="1"/>
  <c r="C178" i="35"/>
  <c r="I178" i="35" s="1"/>
  <c r="C179" i="35"/>
  <c r="I179" i="35" s="1"/>
  <c r="C180" i="35"/>
  <c r="I180" i="35" s="1"/>
  <c r="C181" i="35"/>
  <c r="I181" i="35" s="1"/>
  <c r="C182" i="35"/>
  <c r="I182" i="35" s="1"/>
  <c r="C183" i="35"/>
  <c r="I183" i="35" s="1"/>
  <c r="C184" i="35"/>
  <c r="I184" i="35" s="1"/>
  <c r="C185" i="35"/>
  <c r="I185" i="35" s="1"/>
  <c r="C186" i="35"/>
  <c r="I186" i="35" s="1"/>
  <c r="C187" i="35"/>
  <c r="I187" i="35" s="1"/>
  <c r="C188" i="35"/>
  <c r="I188" i="35" s="1"/>
  <c r="C189" i="35"/>
  <c r="I189" i="35" s="1"/>
  <c r="C190" i="35"/>
  <c r="I190" i="35" s="1"/>
  <c r="C3" i="35"/>
  <c r="EA4" i="14" l="1"/>
  <c r="EA6" i="14"/>
  <c r="EA10" i="14"/>
  <c r="EA14" i="14"/>
  <c r="EA18" i="14"/>
  <c r="EA22" i="14"/>
  <c r="EA28" i="14"/>
  <c r="EA32" i="14"/>
  <c r="EA5" i="14"/>
  <c r="EA7" i="14"/>
  <c r="EA9" i="14"/>
  <c r="EA11" i="14"/>
  <c r="EA13" i="14"/>
  <c r="EA15" i="14"/>
  <c r="EA17" i="14"/>
  <c r="EA19" i="14"/>
  <c r="EA21" i="14"/>
  <c r="EA23" i="14"/>
  <c r="EA25" i="14"/>
  <c r="EA27" i="14"/>
  <c r="EA29" i="14"/>
  <c r="EA31" i="14"/>
  <c r="EA33" i="14"/>
  <c r="EA8" i="14"/>
  <c r="EA12" i="14"/>
  <c r="EA16" i="14"/>
  <c r="EA20" i="14"/>
  <c r="EA24" i="14"/>
  <c r="EA26" i="14"/>
  <c r="EA30" i="14"/>
  <c r="DQ4" i="14"/>
  <c r="DQ6" i="14"/>
  <c r="DQ8" i="14"/>
  <c r="DQ10" i="14"/>
  <c r="DQ12" i="14"/>
  <c r="DQ14" i="14"/>
  <c r="DQ16" i="14"/>
  <c r="DQ18" i="14"/>
  <c r="DQ20" i="14"/>
  <c r="DQ22" i="14"/>
  <c r="DQ24" i="14"/>
  <c r="DQ26" i="14"/>
  <c r="DQ28" i="14"/>
  <c r="DQ30" i="14"/>
  <c r="DQ32" i="14"/>
  <c r="DQ5" i="14"/>
  <c r="DQ7" i="14"/>
  <c r="DQ9" i="14"/>
  <c r="DQ11" i="14"/>
  <c r="DQ13" i="14"/>
  <c r="DQ15" i="14"/>
  <c r="DQ17" i="14"/>
  <c r="DQ19" i="14"/>
  <c r="DQ21" i="14"/>
  <c r="DQ23" i="14"/>
  <c r="DQ25" i="14"/>
  <c r="DQ27" i="14"/>
  <c r="DQ29" i="14"/>
  <c r="DQ31" i="14"/>
  <c r="DQ33" i="14"/>
  <c r="CW4" i="14"/>
  <c r="CW6" i="14"/>
  <c r="CW12" i="14"/>
  <c r="CW16" i="14"/>
  <c r="CW22" i="14"/>
  <c r="CW26" i="14"/>
  <c r="CW30" i="14"/>
  <c r="CW5" i="14"/>
  <c r="CW7" i="14"/>
  <c r="CW9" i="14"/>
  <c r="CW11" i="14"/>
  <c r="CW13" i="14"/>
  <c r="CW15" i="14"/>
  <c r="CW17" i="14"/>
  <c r="CW19" i="14"/>
  <c r="CW21" i="14"/>
  <c r="CW23" i="14"/>
  <c r="CW25" i="14"/>
  <c r="CW27" i="14"/>
  <c r="CW29" i="14"/>
  <c r="CW31" i="14"/>
  <c r="CW33" i="14"/>
  <c r="CW8" i="14"/>
  <c r="CW10" i="14"/>
  <c r="CW14" i="14"/>
  <c r="CW18" i="14"/>
  <c r="CW20" i="14"/>
  <c r="CW24" i="14"/>
  <c r="CW28" i="14"/>
  <c r="CW32" i="14"/>
  <c r="CM4" i="14"/>
  <c r="CM14" i="14"/>
  <c r="CM20" i="14"/>
  <c r="CM24" i="14"/>
  <c r="CM28" i="14"/>
  <c r="CM32" i="14"/>
  <c r="CM5" i="14"/>
  <c r="CM7" i="14"/>
  <c r="CM9" i="14"/>
  <c r="CM11" i="14"/>
  <c r="CM13" i="14"/>
  <c r="CM15" i="14"/>
  <c r="CM17" i="14"/>
  <c r="CM19" i="14"/>
  <c r="CM21" i="14"/>
  <c r="CM23" i="14"/>
  <c r="CM25" i="14"/>
  <c r="CM27" i="14"/>
  <c r="CM29" i="14"/>
  <c r="CM31" i="14"/>
  <c r="CM6" i="14"/>
  <c r="CM8" i="14"/>
  <c r="CM10" i="14"/>
  <c r="CM12" i="14"/>
  <c r="CM16" i="14"/>
  <c r="CM18" i="14"/>
  <c r="CM22" i="14"/>
  <c r="CM26" i="14"/>
  <c r="CM30" i="14"/>
  <c r="EA3" i="14"/>
  <c r="DQ3" i="14"/>
  <c r="CM3" i="14"/>
  <c r="CW3" i="14"/>
  <c r="CC3" i="14"/>
  <c r="CC4" i="14"/>
  <c r="CC6" i="14"/>
  <c r="CC8" i="14"/>
  <c r="CC10" i="14"/>
  <c r="CC12" i="14"/>
  <c r="CC14" i="14"/>
  <c r="CC18" i="14"/>
  <c r="CC22" i="14"/>
  <c r="CC26" i="14"/>
  <c r="CC30" i="14"/>
  <c r="CC5" i="14"/>
  <c r="CC7" i="14"/>
  <c r="CC9" i="14"/>
  <c r="CC11" i="14"/>
  <c r="CC13" i="14"/>
  <c r="CC15" i="14"/>
  <c r="CC17" i="14"/>
  <c r="CC19" i="14"/>
  <c r="CC21" i="14"/>
  <c r="CC23" i="14"/>
  <c r="CC25" i="14"/>
  <c r="CC27" i="14"/>
  <c r="CC29" i="14"/>
  <c r="CC31" i="14"/>
  <c r="CC33" i="14"/>
  <c r="CC16" i="14"/>
  <c r="CC20" i="14"/>
  <c r="CC24" i="14"/>
  <c r="CC28" i="14"/>
  <c r="CC32" i="14"/>
  <c r="BS3" i="14"/>
  <c r="BS4" i="14"/>
  <c r="BS6" i="14"/>
  <c r="BS8" i="14"/>
  <c r="BS10" i="14"/>
  <c r="BS12" i="14"/>
  <c r="BS14" i="14"/>
  <c r="BS16" i="14"/>
  <c r="BS20" i="14"/>
  <c r="BS26" i="14"/>
  <c r="BS30" i="14"/>
  <c r="BS5" i="14"/>
  <c r="BS7" i="14"/>
  <c r="BS9" i="14"/>
  <c r="BS11" i="14"/>
  <c r="BS13" i="14"/>
  <c r="BS15" i="14"/>
  <c r="BS17" i="14"/>
  <c r="BS19" i="14"/>
  <c r="BS21" i="14"/>
  <c r="BS23" i="14"/>
  <c r="BS25" i="14"/>
  <c r="BS27" i="14"/>
  <c r="BS29" i="14"/>
  <c r="BS31" i="14"/>
  <c r="BS33" i="14"/>
  <c r="BS18" i="14"/>
  <c r="BS22" i="14"/>
  <c r="BS24" i="14"/>
  <c r="BS28" i="14"/>
  <c r="BS32" i="14"/>
  <c r="BI3" i="14"/>
  <c r="BI4" i="14"/>
  <c r="BI6" i="14"/>
  <c r="BI8" i="14"/>
  <c r="BI10" i="14"/>
  <c r="BI12" i="14"/>
  <c r="BI14" i="14"/>
  <c r="BI18" i="14"/>
  <c r="BI22" i="14"/>
  <c r="BI28" i="14"/>
  <c r="BI32" i="14"/>
  <c r="BI5" i="14"/>
  <c r="BI7" i="14"/>
  <c r="BI9" i="14"/>
  <c r="BI11" i="14"/>
  <c r="BI13" i="14"/>
  <c r="BI15" i="14"/>
  <c r="BI17" i="14"/>
  <c r="BI19" i="14"/>
  <c r="BI21" i="14"/>
  <c r="BI23" i="14"/>
  <c r="BI25" i="14"/>
  <c r="BI27" i="14"/>
  <c r="BI29" i="14"/>
  <c r="BI31" i="14"/>
  <c r="BI16" i="14"/>
  <c r="BI20" i="14"/>
  <c r="BI24" i="14"/>
  <c r="BI26" i="14"/>
  <c r="BI30" i="14"/>
  <c r="AY3" i="14"/>
  <c r="AY4" i="14"/>
  <c r="AY6" i="14"/>
  <c r="AY8" i="14"/>
  <c r="AY10" i="14"/>
  <c r="AY12" i="14"/>
  <c r="AY14" i="14"/>
  <c r="AY16" i="14"/>
  <c r="AY20" i="14"/>
  <c r="AY24" i="14"/>
  <c r="AY28" i="14"/>
  <c r="AY5" i="14"/>
  <c r="AY7" i="14"/>
  <c r="AY9" i="14"/>
  <c r="AY11" i="14"/>
  <c r="AY13" i="14"/>
  <c r="AY15" i="14"/>
  <c r="AY17" i="14"/>
  <c r="AY19" i="14"/>
  <c r="AY21" i="14"/>
  <c r="AY23" i="14"/>
  <c r="AY25" i="14"/>
  <c r="AY27" i="14"/>
  <c r="AY29" i="14"/>
  <c r="AY31" i="14"/>
  <c r="AY33" i="14"/>
  <c r="AY18" i="14"/>
  <c r="AY22" i="14"/>
  <c r="AY26" i="14"/>
  <c r="AY30" i="14"/>
  <c r="AY32" i="14"/>
  <c r="AO3" i="14"/>
  <c r="AO4" i="14"/>
  <c r="AO6" i="14"/>
  <c r="AO8" i="14"/>
  <c r="AO10" i="14"/>
  <c r="AO12" i="14"/>
  <c r="AO14" i="14"/>
  <c r="AO18" i="14"/>
  <c r="AO24" i="14"/>
  <c r="AO28" i="14"/>
  <c r="AO32" i="14"/>
  <c r="AO5" i="14"/>
  <c r="AO7" i="14"/>
  <c r="AO9" i="14"/>
  <c r="AO11" i="14"/>
  <c r="AO13" i="14"/>
  <c r="AO15" i="14"/>
  <c r="AO17" i="14"/>
  <c r="AO19" i="14"/>
  <c r="AO21" i="14"/>
  <c r="AO23" i="14"/>
  <c r="AO25" i="14"/>
  <c r="AO27" i="14"/>
  <c r="AO29" i="14"/>
  <c r="AO31" i="14"/>
  <c r="AO16" i="14"/>
  <c r="AO20" i="14"/>
  <c r="AO22" i="14"/>
  <c r="AO26" i="14"/>
  <c r="AO30" i="14"/>
  <c r="AE4" i="14"/>
  <c r="AE6" i="14"/>
  <c r="AE8" i="14"/>
  <c r="AE10" i="14"/>
  <c r="AE12" i="14"/>
  <c r="AE14" i="14"/>
  <c r="AE16" i="14"/>
  <c r="AE20" i="14"/>
  <c r="AE24" i="14"/>
  <c r="AE28" i="14"/>
  <c r="AE5" i="14"/>
  <c r="AE7" i="14"/>
  <c r="AE9" i="14"/>
  <c r="AE11" i="14"/>
  <c r="AE13" i="14"/>
  <c r="AE15" i="14"/>
  <c r="AE17" i="14"/>
  <c r="AE19" i="14"/>
  <c r="AE21" i="14"/>
  <c r="AE23" i="14"/>
  <c r="AE25" i="14"/>
  <c r="AE27" i="14"/>
  <c r="AE29" i="14"/>
  <c r="AE31" i="14"/>
  <c r="AE33" i="14"/>
  <c r="AE18" i="14"/>
  <c r="AE22" i="14"/>
  <c r="AE26" i="14"/>
  <c r="AE30" i="14"/>
  <c r="AE32" i="14"/>
  <c r="AE3" i="14"/>
  <c r="U3" i="14"/>
  <c r="U4" i="14"/>
  <c r="U6" i="14"/>
  <c r="U8" i="14"/>
  <c r="U10" i="14"/>
  <c r="U12" i="14"/>
  <c r="U14" i="14"/>
  <c r="U18" i="14"/>
  <c r="U22" i="14"/>
  <c r="U28" i="14"/>
  <c r="U5" i="14"/>
  <c r="U7" i="14"/>
  <c r="U9" i="14"/>
  <c r="U11" i="14"/>
  <c r="U13" i="14"/>
  <c r="U15" i="14"/>
  <c r="U17" i="14"/>
  <c r="U19" i="14"/>
  <c r="U21" i="14"/>
  <c r="U23" i="14"/>
  <c r="U25" i="14"/>
  <c r="U27" i="14"/>
  <c r="U29" i="14"/>
  <c r="U16" i="14"/>
  <c r="U20" i="14"/>
  <c r="U24" i="14"/>
  <c r="U26" i="14"/>
  <c r="U30" i="14"/>
  <c r="K3" i="14"/>
  <c r="K4" i="14"/>
  <c r="K6" i="14"/>
  <c r="K8" i="14"/>
  <c r="K10" i="14"/>
  <c r="K12" i="14"/>
  <c r="K14" i="14"/>
  <c r="K16" i="14"/>
  <c r="K18" i="14"/>
  <c r="K22" i="14"/>
  <c r="K28" i="14"/>
  <c r="K32" i="14"/>
  <c r="K5" i="14"/>
  <c r="K7" i="14"/>
  <c r="K9" i="14"/>
  <c r="K11" i="14"/>
  <c r="K13" i="14"/>
  <c r="K15" i="14"/>
  <c r="K17" i="14"/>
  <c r="K19" i="14"/>
  <c r="K21" i="14"/>
  <c r="K23" i="14"/>
  <c r="K25" i="14"/>
  <c r="K27" i="14"/>
  <c r="K29" i="14"/>
  <c r="K31" i="14"/>
  <c r="K33" i="14"/>
  <c r="K20" i="14"/>
  <c r="K24" i="14"/>
  <c r="K26" i="14"/>
  <c r="K30" i="14"/>
  <c r="I3" i="35"/>
  <c r="H15" i="35"/>
  <c r="H14" i="35"/>
  <c r="F12" i="35"/>
  <c r="H12" i="35" s="1"/>
  <c r="G6" i="35"/>
  <c r="H6" i="35" s="1"/>
  <c r="G13" i="35"/>
  <c r="H13" i="35" s="1"/>
  <c r="F3" i="35"/>
  <c r="H3" i="35" s="1"/>
  <c r="F7" i="35"/>
  <c r="H7" i="35" s="1"/>
  <c r="F11" i="35"/>
  <c r="H11" i="35" s="1"/>
  <c r="N39" i="11"/>
  <c r="L39" i="11"/>
  <c r="F39" i="11"/>
  <c r="M39" i="11" s="1"/>
  <c r="C39" i="11"/>
  <c r="N38" i="11"/>
  <c r="M38" i="11"/>
  <c r="L38" i="11"/>
  <c r="J38" i="11"/>
  <c r="G38" i="11"/>
  <c r="F38" i="11"/>
  <c r="C38" i="11"/>
  <c r="N37" i="11"/>
  <c r="L37" i="11"/>
  <c r="F37" i="11"/>
  <c r="J37" i="11" s="1"/>
  <c r="C37" i="11"/>
  <c r="N36" i="11"/>
  <c r="M36" i="11"/>
  <c r="L36" i="11"/>
  <c r="J36" i="11"/>
  <c r="G36" i="11"/>
  <c r="F36" i="11"/>
  <c r="C36" i="11"/>
  <c r="N35" i="11"/>
  <c r="L35" i="11"/>
  <c r="F35" i="11"/>
  <c r="M35" i="11" s="1"/>
  <c r="C35" i="11"/>
  <c r="N34" i="11"/>
  <c r="M34" i="11"/>
  <c r="L34" i="11"/>
  <c r="F34" i="11"/>
  <c r="J34" i="11" s="1"/>
  <c r="C34" i="11"/>
  <c r="N33" i="11"/>
  <c r="L33" i="11"/>
  <c r="F33" i="11"/>
  <c r="J33" i="11" s="1"/>
  <c r="C33" i="11"/>
  <c r="N32" i="11"/>
  <c r="M32" i="11"/>
  <c r="L32" i="11"/>
  <c r="J32" i="11"/>
  <c r="G32" i="11"/>
  <c r="F32" i="11"/>
  <c r="C32" i="11"/>
  <c r="N31" i="11"/>
  <c r="L31" i="11"/>
  <c r="F31" i="11"/>
  <c r="J31" i="11" s="1"/>
  <c r="C31" i="11"/>
  <c r="N30" i="11"/>
  <c r="M30" i="11"/>
  <c r="L30" i="11"/>
  <c r="J30" i="11"/>
  <c r="G30" i="11"/>
  <c r="F30" i="11"/>
  <c r="C30" i="11"/>
  <c r="N29" i="11"/>
  <c r="L29" i="11"/>
  <c r="F29" i="11"/>
  <c r="M29" i="11" s="1"/>
  <c r="C29" i="11"/>
  <c r="N28" i="11"/>
  <c r="M28" i="11"/>
  <c r="L28" i="11"/>
  <c r="J28" i="11"/>
  <c r="F28" i="11"/>
  <c r="G28" i="11" s="1"/>
  <c r="C28" i="11"/>
  <c r="N27" i="11"/>
  <c r="L27" i="11"/>
  <c r="F27" i="11"/>
  <c r="M27" i="11" s="1"/>
  <c r="C27" i="11"/>
  <c r="J7" i="35"/>
  <c r="J12" i="35"/>
  <c r="J13" i="35"/>
  <c r="J14" i="35"/>
  <c r="J15" i="35"/>
  <c r="J16" i="35"/>
  <c r="J17" i="35"/>
  <c r="J18" i="35"/>
  <c r="J19" i="35"/>
  <c r="J20" i="35"/>
  <c r="J21" i="35"/>
  <c r="J22" i="35"/>
  <c r="J23" i="35"/>
  <c r="J24" i="35"/>
  <c r="J25" i="35"/>
  <c r="J26" i="35"/>
  <c r="J27" i="35"/>
  <c r="J28" i="35"/>
  <c r="J29" i="35"/>
  <c r="J30" i="35"/>
  <c r="J31" i="35"/>
  <c r="J32" i="35"/>
  <c r="J33" i="35"/>
  <c r="J34" i="35"/>
  <c r="J35" i="35"/>
  <c r="J36" i="35"/>
  <c r="J37" i="35"/>
  <c r="J38" i="35"/>
  <c r="J39" i="35"/>
  <c r="J40" i="35"/>
  <c r="J41" i="35"/>
  <c r="J42" i="35"/>
  <c r="J43" i="35"/>
  <c r="J44" i="35"/>
  <c r="J45" i="35"/>
  <c r="J46" i="35"/>
  <c r="J47" i="35"/>
  <c r="J48" i="35"/>
  <c r="J49" i="35"/>
  <c r="J50" i="35"/>
  <c r="J51" i="35"/>
  <c r="J52" i="35"/>
  <c r="J53" i="35"/>
  <c r="J54" i="35"/>
  <c r="J55" i="35"/>
  <c r="J56" i="35"/>
  <c r="J57" i="35"/>
  <c r="J58" i="35"/>
  <c r="J59" i="35"/>
  <c r="J60" i="35"/>
  <c r="J61" i="35"/>
  <c r="J62" i="35"/>
  <c r="J63" i="35"/>
  <c r="J64" i="35"/>
  <c r="J65" i="35"/>
  <c r="J66" i="35"/>
  <c r="J67" i="35"/>
  <c r="J68" i="35"/>
  <c r="J69" i="35"/>
  <c r="J70" i="35"/>
  <c r="J71" i="35"/>
  <c r="J72" i="35"/>
  <c r="J73" i="35"/>
  <c r="J74" i="35"/>
  <c r="J75" i="35"/>
  <c r="J76" i="35"/>
  <c r="J77" i="35"/>
  <c r="J78" i="35"/>
  <c r="J79" i="35"/>
  <c r="J80" i="35"/>
  <c r="J81" i="35"/>
  <c r="J82" i="35"/>
  <c r="J83" i="35"/>
  <c r="J84" i="35"/>
  <c r="J85" i="35"/>
  <c r="J86" i="35"/>
  <c r="J87" i="35"/>
  <c r="J88" i="35"/>
  <c r="J89" i="35"/>
  <c r="J90" i="35"/>
  <c r="J91" i="35"/>
  <c r="J92" i="35"/>
  <c r="J93" i="35"/>
  <c r="J94" i="35"/>
  <c r="J95" i="35"/>
  <c r="J96" i="35"/>
  <c r="J97" i="35"/>
  <c r="J98" i="35"/>
  <c r="J99" i="35"/>
  <c r="J100" i="35"/>
  <c r="J101" i="35"/>
  <c r="J102" i="35"/>
  <c r="J103" i="35"/>
  <c r="J104" i="35"/>
  <c r="J105" i="35"/>
  <c r="J106" i="35"/>
  <c r="J107" i="35"/>
  <c r="J108" i="35"/>
  <c r="J109" i="35"/>
  <c r="J110" i="35"/>
  <c r="J111" i="35"/>
  <c r="J112" i="35"/>
  <c r="J113" i="35"/>
  <c r="J114" i="35"/>
  <c r="J115" i="35"/>
  <c r="J116" i="35"/>
  <c r="J117" i="35"/>
  <c r="J118" i="35"/>
  <c r="J119" i="35"/>
  <c r="J120" i="35"/>
  <c r="J121" i="35"/>
  <c r="J122" i="35"/>
  <c r="J123" i="35"/>
  <c r="J124" i="35"/>
  <c r="J125" i="35"/>
  <c r="J126" i="35"/>
  <c r="J127" i="35"/>
  <c r="J128" i="35"/>
  <c r="J129" i="35"/>
  <c r="J130" i="35"/>
  <c r="J131" i="35"/>
  <c r="J132" i="35"/>
  <c r="J133" i="35"/>
  <c r="J134" i="35"/>
  <c r="J135" i="35"/>
  <c r="J136" i="35"/>
  <c r="J137" i="35"/>
  <c r="J138" i="35"/>
  <c r="J139" i="35"/>
  <c r="J140" i="35"/>
  <c r="J141" i="35"/>
  <c r="J142" i="35"/>
  <c r="J143" i="35"/>
  <c r="J144" i="35"/>
  <c r="J145" i="35"/>
  <c r="J146" i="35"/>
  <c r="J147" i="35"/>
  <c r="J148" i="35"/>
  <c r="J149" i="35"/>
  <c r="J150" i="35"/>
  <c r="J151" i="35"/>
  <c r="J152" i="35"/>
  <c r="J153" i="35"/>
  <c r="J154" i="35"/>
  <c r="J155" i="35"/>
  <c r="J156" i="35"/>
  <c r="J157" i="35"/>
  <c r="J158" i="35"/>
  <c r="J159" i="35"/>
  <c r="J160" i="35"/>
  <c r="J161" i="35"/>
  <c r="J162" i="35"/>
  <c r="J163" i="35"/>
  <c r="J164" i="35"/>
  <c r="J165" i="35"/>
  <c r="J166" i="35"/>
  <c r="J167" i="35"/>
  <c r="J168" i="35"/>
  <c r="J169" i="35"/>
  <c r="J170" i="35"/>
  <c r="J171" i="35"/>
  <c r="J172" i="35"/>
  <c r="J173" i="35"/>
  <c r="J174" i="35"/>
  <c r="J175" i="35"/>
  <c r="J176" i="35"/>
  <c r="J177" i="35"/>
  <c r="J178" i="35"/>
  <c r="J179" i="35"/>
  <c r="J180" i="35"/>
  <c r="J181" i="35"/>
  <c r="J182" i="35"/>
  <c r="J183" i="35"/>
  <c r="J184" i="35"/>
  <c r="J185" i="35"/>
  <c r="J186" i="35"/>
  <c r="J187" i="35"/>
  <c r="J188" i="35"/>
  <c r="J189" i="35"/>
  <c r="J190" i="35"/>
  <c r="K13" i="35"/>
  <c r="K14" i="35"/>
  <c r="K15" i="35"/>
  <c r="K16" i="35"/>
  <c r="K17" i="35"/>
  <c r="K18" i="35"/>
  <c r="K19" i="35"/>
  <c r="K20" i="35"/>
  <c r="K21" i="35"/>
  <c r="K22" i="35"/>
  <c r="K23" i="35"/>
  <c r="K24" i="35"/>
  <c r="K25" i="35"/>
  <c r="K26" i="35"/>
  <c r="K27" i="35"/>
  <c r="K28" i="35"/>
  <c r="K29" i="35"/>
  <c r="K30" i="35"/>
  <c r="K31" i="35"/>
  <c r="J4" i="35"/>
  <c r="J10" i="35"/>
  <c r="J3" i="35"/>
  <c r="J11" i="35"/>
  <c r="J9" i="35"/>
  <c r="J8" i="35" l="1"/>
  <c r="J6" i="35"/>
  <c r="J5" i="35"/>
  <c r="G35" i="11"/>
  <c r="M31" i="11"/>
  <c r="M37" i="11"/>
  <c r="J29" i="11"/>
  <c r="G34" i="11"/>
  <c r="J35" i="11"/>
  <c r="G29" i="11"/>
  <c r="G27" i="11"/>
  <c r="G33" i="11"/>
  <c r="G39" i="11"/>
  <c r="J27" i="11"/>
  <c r="J39" i="11"/>
  <c r="G31" i="11"/>
  <c r="G37" i="11"/>
  <c r="M33" i="11"/>
  <c r="B36" i="5" l="1"/>
  <c r="B30" i="5"/>
  <c r="B24" i="5"/>
  <c r="B18" i="5"/>
  <c r="B12" i="5"/>
  <c r="C2" i="11"/>
  <c r="C4" i="11"/>
  <c r="F4" i="11"/>
  <c r="G4" i="11" s="1"/>
  <c r="J4" i="11"/>
  <c r="L4" i="11"/>
  <c r="M4" i="11"/>
  <c r="N4" i="11"/>
  <c r="C5" i="11"/>
  <c r="F5" i="11"/>
  <c r="G5" i="11" s="1"/>
  <c r="J5" i="11"/>
  <c r="L5" i="11"/>
  <c r="N5" i="11"/>
  <c r="C6" i="11"/>
  <c r="F6" i="11"/>
  <c r="M6" i="11" s="1"/>
  <c r="L6" i="11"/>
  <c r="N6" i="11"/>
  <c r="C7" i="11"/>
  <c r="F7" i="11"/>
  <c r="G7" i="11" s="1"/>
  <c r="J7" i="11"/>
  <c r="L7" i="11"/>
  <c r="M7" i="11"/>
  <c r="N7" i="11"/>
  <c r="C8" i="11"/>
  <c r="F8" i="11"/>
  <c r="G8" i="11" s="1"/>
  <c r="J8" i="11"/>
  <c r="L8" i="11"/>
  <c r="M8" i="11"/>
  <c r="N8" i="11"/>
  <c r="C9" i="11"/>
  <c r="F9" i="11"/>
  <c r="M9" i="11" s="1"/>
  <c r="L9" i="11"/>
  <c r="N9" i="11"/>
  <c r="C10" i="11"/>
  <c r="F10" i="11"/>
  <c r="M10" i="11" s="1"/>
  <c r="L10" i="11"/>
  <c r="N10" i="11"/>
  <c r="C11" i="11"/>
  <c r="F11" i="11"/>
  <c r="M11" i="11" s="1"/>
  <c r="G11" i="11"/>
  <c r="L11" i="11"/>
  <c r="N11" i="11"/>
  <c r="C12" i="11"/>
  <c r="F12" i="11"/>
  <c r="L12" i="11"/>
  <c r="N12" i="11"/>
  <c r="C13" i="11"/>
  <c r="F13" i="11"/>
  <c r="G13" i="11"/>
  <c r="J13" i="11"/>
  <c r="L13" i="11"/>
  <c r="M13" i="11"/>
  <c r="N13" i="11"/>
  <c r="C14" i="11"/>
  <c r="F14" i="11"/>
  <c r="G14" i="11" s="1"/>
  <c r="J14" i="11"/>
  <c r="L14" i="11"/>
  <c r="M14" i="11"/>
  <c r="N14" i="11"/>
  <c r="C15" i="11"/>
  <c r="F15" i="11"/>
  <c r="L15" i="11"/>
  <c r="N15" i="11"/>
  <c r="C16" i="11"/>
  <c r="F16" i="11"/>
  <c r="M16" i="11" s="1"/>
  <c r="L16" i="11"/>
  <c r="N16" i="11"/>
  <c r="C17" i="11"/>
  <c r="F17" i="11"/>
  <c r="G17" i="11" s="1"/>
  <c r="L17" i="11"/>
  <c r="N17" i="11"/>
  <c r="C18" i="11"/>
  <c r="F18" i="11"/>
  <c r="L18" i="11"/>
  <c r="N18" i="11"/>
  <c r="C19" i="11"/>
  <c r="F19" i="11"/>
  <c r="J19" i="11" s="1"/>
  <c r="L19" i="11"/>
  <c r="N19" i="11"/>
  <c r="C20" i="11"/>
  <c r="F20" i="11"/>
  <c r="J20" i="11" s="1"/>
  <c r="L20" i="11"/>
  <c r="M20" i="11"/>
  <c r="N20" i="11"/>
  <c r="C21" i="11"/>
  <c r="F21" i="11"/>
  <c r="M21" i="11" s="1"/>
  <c r="J21" i="11"/>
  <c r="L21" i="11"/>
  <c r="N21" i="11"/>
  <c r="C22" i="11"/>
  <c r="F22" i="11"/>
  <c r="L22" i="11"/>
  <c r="N22" i="11"/>
  <c r="C23" i="11"/>
  <c r="F23" i="11"/>
  <c r="L23" i="11"/>
  <c r="N23" i="11"/>
  <c r="C24" i="11"/>
  <c r="F24" i="11"/>
  <c r="J24" i="11" s="1"/>
  <c r="L24" i="11"/>
  <c r="N24" i="11"/>
  <c r="C25" i="11"/>
  <c r="F25" i="11"/>
  <c r="J25" i="11" s="1"/>
  <c r="L25" i="11"/>
  <c r="N25" i="11"/>
  <c r="C26" i="11"/>
  <c r="F26" i="11"/>
  <c r="M26" i="11" s="1"/>
  <c r="L26" i="11"/>
  <c r="N26" i="11"/>
  <c r="C41" i="11"/>
  <c r="F41" i="11"/>
  <c r="G41" i="11"/>
  <c r="J41" i="11"/>
  <c r="L41" i="11"/>
  <c r="M41" i="11"/>
  <c r="N41" i="11"/>
  <c r="C42" i="11"/>
  <c r="F42" i="11"/>
  <c r="G42" i="11"/>
  <c r="J42" i="11"/>
  <c r="L42" i="11"/>
  <c r="M42" i="11"/>
  <c r="N42" i="11"/>
  <c r="C43" i="11"/>
  <c r="F43" i="11"/>
  <c r="G43" i="11"/>
  <c r="J43" i="11"/>
  <c r="L43" i="11"/>
  <c r="M43" i="11"/>
  <c r="N43" i="11"/>
  <c r="C44" i="11"/>
  <c r="F44" i="11"/>
  <c r="G44" i="11"/>
  <c r="J44" i="11"/>
  <c r="L44" i="11"/>
  <c r="M44" i="11"/>
  <c r="N44" i="11"/>
  <c r="C45" i="11"/>
  <c r="F45" i="11"/>
  <c r="G45" i="11"/>
  <c r="J45" i="11"/>
  <c r="L45" i="11"/>
  <c r="M45" i="11"/>
  <c r="N45" i="11"/>
  <c r="C46" i="11"/>
  <c r="F46" i="11"/>
  <c r="G46" i="11"/>
  <c r="J46" i="11"/>
  <c r="L46" i="11"/>
  <c r="M46" i="11"/>
  <c r="N46" i="11"/>
  <c r="C47" i="11"/>
  <c r="F47" i="11"/>
  <c r="G47" i="11"/>
  <c r="J47" i="11"/>
  <c r="L47" i="11"/>
  <c r="M47" i="11"/>
  <c r="N47" i="11"/>
  <c r="C48" i="11"/>
  <c r="F48" i="11"/>
  <c r="G48" i="11"/>
  <c r="J48" i="11"/>
  <c r="L48" i="11"/>
  <c r="M48" i="11"/>
  <c r="N48" i="11"/>
  <c r="C49" i="11"/>
  <c r="F49" i="11"/>
  <c r="G49" i="11"/>
  <c r="J49" i="11"/>
  <c r="L49" i="11"/>
  <c r="M49" i="11"/>
  <c r="N49" i="11"/>
  <c r="C50" i="11"/>
  <c r="F50" i="11"/>
  <c r="G50" i="11"/>
  <c r="J50" i="11"/>
  <c r="L50" i="11"/>
  <c r="M50" i="11"/>
  <c r="N50" i="11"/>
  <c r="C51" i="11"/>
  <c r="F51" i="11"/>
  <c r="G51" i="11"/>
  <c r="J51" i="11"/>
  <c r="L51" i="11"/>
  <c r="M51" i="11"/>
  <c r="N51" i="11"/>
  <c r="C52" i="11"/>
  <c r="F52" i="11"/>
  <c r="G52" i="11"/>
  <c r="J52" i="11"/>
  <c r="L52" i="11"/>
  <c r="M52" i="11"/>
  <c r="N52" i="11"/>
  <c r="C53" i="11"/>
  <c r="F53" i="11"/>
  <c r="G53" i="11"/>
  <c r="J53" i="11"/>
  <c r="L53" i="11"/>
  <c r="M53" i="11"/>
  <c r="N53" i="11"/>
  <c r="C54" i="11"/>
  <c r="F54" i="11"/>
  <c r="G54" i="11"/>
  <c r="J54" i="11"/>
  <c r="L54" i="11"/>
  <c r="M54" i="11"/>
  <c r="N54" i="11"/>
  <c r="C55" i="11"/>
  <c r="F55" i="11"/>
  <c r="G55" i="11"/>
  <c r="J55" i="11"/>
  <c r="L55" i="11"/>
  <c r="M55" i="11"/>
  <c r="N55" i="11"/>
  <c r="C56" i="11"/>
  <c r="F56" i="11"/>
  <c r="G56" i="11"/>
  <c r="J56" i="11"/>
  <c r="L56" i="11"/>
  <c r="M56" i="11"/>
  <c r="N56" i="11"/>
  <c r="C57" i="11"/>
  <c r="F57" i="11"/>
  <c r="G57" i="11"/>
  <c r="J57" i="11"/>
  <c r="L57" i="11"/>
  <c r="M57" i="11"/>
  <c r="N57" i="11"/>
  <c r="C58" i="11"/>
  <c r="F58" i="11"/>
  <c r="G58" i="11"/>
  <c r="J58" i="11"/>
  <c r="L58" i="11"/>
  <c r="M58" i="11"/>
  <c r="N58" i="11"/>
  <c r="C59" i="11"/>
  <c r="F59" i="11"/>
  <c r="G59" i="11"/>
  <c r="J59" i="11"/>
  <c r="L59" i="11"/>
  <c r="M59" i="11"/>
  <c r="N59" i="11"/>
  <c r="C60" i="11"/>
  <c r="F60" i="11"/>
  <c r="G60" i="11"/>
  <c r="J60" i="11"/>
  <c r="L60" i="11"/>
  <c r="M60" i="11"/>
  <c r="N60" i="11"/>
  <c r="C61" i="11"/>
  <c r="F61" i="11"/>
  <c r="G61" i="11"/>
  <c r="J61" i="11"/>
  <c r="L61" i="11"/>
  <c r="M61" i="11"/>
  <c r="N61" i="11"/>
  <c r="C62" i="11"/>
  <c r="F62" i="11"/>
  <c r="G62" i="11"/>
  <c r="J62" i="11"/>
  <c r="L62" i="11"/>
  <c r="M62" i="11"/>
  <c r="N62" i="11"/>
  <c r="C63" i="11"/>
  <c r="F63" i="11"/>
  <c r="G63" i="11"/>
  <c r="J63" i="11"/>
  <c r="L63" i="11"/>
  <c r="M63" i="11"/>
  <c r="N63" i="11"/>
  <c r="C64" i="11"/>
  <c r="F64" i="11"/>
  <c r="G64" i="11"/>
  <c r="J64" i="11"/>
  <c r="L64" i="11"/>
  <c r="M64" i="11"/>
  <c r="N64" i="11"/>
  <c r="C65" i="11"/>
  <c r="F65" i="11"/>
  <c r="G65" i="11"/>
  <c r="J65" i="11"/>
  <c r="L65" i="11"/>
  <c r="M65" i="11"/>
  <c r="N65" i="11"/>
  <c r="C66" i="11"/>
  <c r="F66" i="11"/>
  <c r="G66" i="11"/>
  <c r="J66" i="11"/>
  <c r="L66" i="11"/>
  <c r="M66" i="11"/>
  <c r="N66" i="11"/>
  <c r="C67" i="11"/>
  <c r="F67" i="11"/>
  <c r="G67" i="11"/>
  <c r="J67" i="11"/>
  <c r="L67" i="11"/>
  <c r="M67" i="11"/>
  <c r="N67" i="11"/>
  <c r="C68" i="11"/>
  <c r="F68" i="11"/>
  <c r="G68" i="11"/>
  <c r="J68" i="11"/>
  <c r="L68" i="11"/>
  <c r="M68" i="11"/>
  <c r="N68" i="11"/>
  <c r="C69" i="11"/>
  <c r="F69" i="11"/>
  <c r="G69" i="11"/>
  <c r="J69" i="11"/>
  <c r="L69" i="11"/>
  <c r="M69" i="11"/>
  <c r="N69" i="11"/>
  <c r="C70" i="11"/>
  <c r="F70" i="11"/>
  <c r="G70" i="11"/>
  <c r="J70" i="11"/>
  <c r="L70" i="11"/>
  <c r="M70" i="11"/>
  <c r="N70" i="11"/>
  <c r="C71" i="11"/>
  <c r="F71" i="11"/>
  <c r="G71" i="11"/>
  <c r="J71" i="11"/>
  <c r="L71" i="11"/>
  <c r="M71" i="11"/>
  <c r="N71" i="11"/>
  <c r="C72" i="11"/>
  <c r="F72" i="11"/>
  <c r="G72" i="11"/>
  <c r="J72" i="11"/>
  <c r="L72" i="11"/>
  <c r="M72" i="11"/>
  <c r="N72" i="11"/>
  <c r="C73" i="11"/>
  <c r="F73" i="11"/>
  <c r="G73" i="11"/>
  <c r="J73" i="11"/>
  <c r="L73" i="11"/>
  <c r="M73" i="11"/>
  <c r="N73" i="11"/>
  <c r="C74" i="11"/>
  <c r="F74" i="11"/>
  <c r="G74" i="11"/>
  <c r="J74" i="11"/>
  <c r="L74" i="11"/>
  <c r="M74" i="11"/>
  <c r="N74" i="11"/>
  <c r="C75" i="11"/>
  <c r="F75" i="11"/>
  <c r="G75" i="11"/>
  <c r="J75" i="11"/>
  <c r="L75" i="11"/>
  <c r="M75" i="11"/>
  <c r="N75" i="11"/>
  <c r="C76" i="11"/>
  <c r="F76" i="11"/>
  <c r="G76" i="11"/>
  <c r="J76" i="11"/>
  <c r="L76" i="11"/>
  <c r="M76" i="11"/>
  <c r="N76" i="11"/>
  <c r="C77" i="11"/>
  <c r="F77" i="11"/>
  <c r="G77" i="11"/>
  <c r="J77" i="11"/>
  <c r="L77" i="11"/>
  <c r="M77" i="11"/>
  <c r="N77" i="11"/>
  <c r="C78" i="11"/>
  <c r="F78" i="11"/>
  <c r="G78" i="11"/>
  <c r="J78" i="11"/>
  <c r="L78" i="11"/>
  <c r="M78" i="11"/>
  <c r="N78" i="11"/>
  <c r="C79" i="11"/>
  <c r="F79" i="11"/>
  <c r="G79" i="11"/>
  <c r="J79" i="11"/>
  <c r="L79" i="11"/>
  <c r="M79" i="11"/>
  <c r="N79" i="11"/>
  <c r="C80" i="11"/>
  <c r="F80" i="11"/>
  <c r="G80" i="11"/>
  <c r="J80" i="11"/>
  <c r="L80" i="11"/>
  <c r="M80" i="11"/>
  <c r="N80" i="11"/>
  <c r="C81" i="11"/>
  <c r="F81" i="11"/>
  <c r="G81" i="11"/>
  <c r="J81" i="11"/>
  <c r="L81" i="11"/>
  <c r="M81" i="11"/>
  <c r="N81" i="11"/>
  <c r="C82" i="11"/>
  <c r="F82" i="11"/>
  <c r="G82" i="11"/>
  <c r="J82" i="11"/>
  <c r="L82" i="11"/>
  <c r="M82" i="11"/>
  <c r="N82" i="11"/>
  <c r="C83" i="11"/>
  <c r="F83" i="11"/>
  <c r="G83" i="11"/>
  <c r="J83" i="11"/>
  <c r="L83" i="11"/>
  <c r="M83" i="11"/>
  <c r="N83" i="11"/>
  <c r="C84" i="11"/>
  <c r="F84" i="11"/>
  <c r="G84" i="11"/>
  <c r="J84" i="11"/>
  <c r="L84" i="11"/>
  <c r="M84" i="11"/>
  <c r="N84" i="11"/>
  <c r="C85" i="11"/>
  <c r="F85" i="11"/>
  <c r="G85" i="11"/>
  <c r="J85" i="11"/>
  <c r="L85" i="11"/>
  <c r="M85" i="11"/>
  <c r="N85" i="11"/>
  <c r="C86" i="11"/>
  <c r="F86" i="11"/>
  <c r="G86" i="11"/>
  <c r="J86" i="11"/>
  <c r="L86" i="11"/>
  <c r="M86" i="11"/>
  <c r="N86" i="11"/>
  <c r="C87" i="11"/>
  <c r="F87" i="11"/>
  <c r="G87" i="11"/>
  <c r="J87" i="11"/>
  <c r="L87" i="11"/>
  <c r="M87" i="11"/>
  <c r="N87" i="11"/>
  <c r="C88" i="11"/>
  <c r="F88" i="11"/>
  <c r="G88" i="11"/>
  <c r="J88" i="11"/>
  <c r="L88" i="11"/>
  <c r="M88" i="11"/>
  <c r="N88" i="11"/>
  <c r="C89" i="11"/>
  <c r="F89" i="11"/>
  <c r="G89" i="11"/>
  <c r="J89" i="11"/>
  <c r="L89" i="11"/>
  <c r="M89" i="11"/>
  <c r="N89" i="11"/>
  <c r="C90" i="11"/>
  <c r="F90" i="11"/>
  <c r="G90" i="11"/>
  <c r="J90" i="11"/>
  <c r="L90" i="11"/>
  <c r="M90" i="11"/>
  <c r="N90" i="11"/>
  <c r="C91" i="11"/>
  <c r="F91" i="11"/>
  <c r="G91" i="11"/>
  <c r="J91" i="11"/>
  <c r="L91" i="11"/>
  <c r="M91" i="11"/>
  <c r="N91" i="11"/>
  <c r="C92" i="11"/>
  <c r="F92" i="11"/>
  <c r="G92" i="11"/>
  <c r="J92" i="11"/>
  <c r="L92" i="11"/>
  <c r="M92" i="11"/>
  <c r="N92" i="11"/>
  <c r="C93" i="11"/>
  <c r="F93" i="11"/>
  <c r="G93" i="11"/>
  <c r="J93" i="11"/>
  <c r="L93" i="11"/>
  <c r="M93" i="11"/>
  <c r="N93" i="11"/>
  <c r="C94" i="11"/>
  <c r="F94" i="11"/>
  <c r="G94" i="11"/>
  <c r="J94" i="11"/>
  <c r="L94" i="11"/>
  <c r="M94" i="11"/>
  <c r="N94" i="11"/>
  <c r="C95" i="11"/>
  <c r="F95" i="11"/>
  <c r="G95" i="11"/>
  <c r="J95" i="11"/>
  <c r="L95" i="11"/>
  <c r="M95" i="11"/>
  <c r="N95" i="11"/>
  <c r="C96" i="11"/>
  <c r="F96" i="11"/>
  <c r="G96" i="11"/>
  <c r="J96" i="11"/>
  <c r="L96" i="11"/>
  <c r="M96" i="11"/>
  <c r="N96" i="11"/>
  <c r="C97" i="11"/>
  <c r="F97" i="11"/>
  <c r="G97" i="11"/>
  <c r="J97" i="11"/>
  <c r="L97" i="11"/>
  <c r="M97" i="11"/>
  <c r="N97" i="11"/>
  <c r="C98" i="11"/>
  <c r="F98" i="11"/>
  <c r="G98" i="11"/>
  <c r="J98" i="11"/>
  <c r="L98" i="11"/>
  <c r="M98" i="11"/>
  <c r="N98" i="11"/>
  <c r="C99" i="11"/>
  <c r="F99" i="11"/>
  <c r="G99" i="11"/>
  <c r="J99" i="11"/>
  <c r="L99" i="11"/>
  <c r="M99" i="11"/>
  <c r="N99" i="11"/>
  <c r="C100" i="11"/>
  <c r="F100" i="11"/>
  <c r="G100" i="11"/>
  <c r="J100" i="11"/>
  <c r="L100" i="11"/>
  <c r="M100" i="11"/>
  <c r="N100" i="11"/>
  <c r="G22" i="11"/>
  <c r="G25" i="11"/>
  <c r="G20" i="11"/>
  <c r="G26" i="11"/>
  <c r="J11" i="11"/>
  <c r="G10" i="11"/>
  <c r="J26" i="11"/>
  <c r="M25" i="11"/>
  <c r="M17" i="11"/>
  <c r="M5" i="11"/>
  <c r="J3" i="11"/>
  <c r="AB1" i="11"/>
  <c r="M3" i="11"/>
  <c r="L2" i="11"/>
  <c r="L3" i="11"/>
  <c r="N2" i="11"/>
  <c r="N3" i="11"/>
  <c r="F2" i="30"/>
  <c r="B3" i="30"/>
  <c r="D104" i="29"/>
  <c r="D60" i="29"/>
  <c r="D53" i="29"/>
  <c r="D49" i="29"/>
  <c r="D41" i="29"/>
  <c r="D24" i="29"/>
  <c r="D17" i="29"/>
  <c r="D25" i="29"/>
  <c r="A2" i="29"/>
  <c r="H4" i="28"/>
  <c r="B4" i="28" s="1"/>
  <c r="H6" i="28" s="1"/>
  <c r="H9" i="28" s="1"/>
  <c r="D136" i="29"/>
  <c r="D147" i="29"/>
  <c r="D148" i="29"/>
  <c r="D159" i="29"/>
  <c r="D128" i="29"/>
  <c r="D160" i="29"/>
  <c r="D61" i="29"/>
  <c r="D158" i="29"/>
  <c r="D134" i="29"/>
  <c r="D122" i="29"/>
  <c r="D123" i="29"/>
  <c r="D59" i="29"/>
  <c r="D47" i="29"/>
  <c r="D48" i="29" s="1"/>
  <c r="D154" i="29"/>
  <c r="D19" i="29"/>
  <c r="D145" i="29"/>
  <c r="D133" i="29"/>
  <c r="D121" i="29"/>
  <c r="D109" i="29"/>
  <c r="D58" i="29"/>
  <c r="D34" i="29"/>
  <c r="D22" i="29"/>
  <c r="D23" i="29"/>
  <c r="D142" i="29"/>
  <c r="D55" i="29"/>
  <c r="D57" i="29"/>
  <c r="D31" i="29"/>
  <c r="C206" i="29"/>
  <c r="D129" i="29"/>
  <c r="D18" i="29"/>
  <c r="D152" i="29"/>
  <c r="D156" i="29"/>
  <c r="D132" i="29"/>
  <c r="D120" i="29"/>
  <c r="D144" i="29"/>
  <c r="D45" i="29"/>
  <c r="D33" i="29"/>
  <c r="D21" i="29"/>
  <c r="D9" i="29"/>
  <c r="D7" i="29"/>
  <c r="D141" i="29"/>
  <c r="D54" i="29"/>
  <c r="D155" i="29"/>
  <c r="D157" i="29" s="1"/>
  <c r="D143" i="29"/>
  <c r="D131" i="29"/>
  <c r="D119" i="29"/>
  <c r="D107" i="29"/>
  <c r="D56" i="29"/>
  <c r="D32" i="29"/>
  <c r="D20" i="29"/>
  <c r="D44" i="29" s="1"/>
  <c r="D118" i="29"/>
  <c r="D43" i="29"/>
  <c r="D153" i="29"/>
  <c r="D117" i="29"/>
  <c r="D42" i="29"/>
  <c r="D164" i="29"/>
  <c r="D163" i="29"/>
  <c r="D151" i="29"/>
  <c r="D127" i="29"/>
  <c r="D146" i="29" s="1"/>
  <c r="D115" i="29"/>
  <c r="D64" i="29"/>
  <c r="D52" i="29"/>
  <c r="D28" i="29"/>
  <c r="D16" i="29"/>
  <c r="D4" i="29"/>
  <c r="D162" i="29"/>
  <c r="D150" i="29"/>
  <c r="D126" i="29"/>
  <c r="D63" i="29"/>
  <c r="D51" i="29"/>
  <c r="D27" i="29"/>
  <c r="D46" i="29"/>
  <c r="D15" i="29"/>
  <c r="D161" i="29"/>
  <c r="D149" i="29"/>
  <c r="D137" i="29"/>
  <c r="D125" i="29"/>
  <c r="D62" i="29"/>
  <c r="D50" i="29"/>
  <c r="D26" i="29"/>
  <c r="D29" i="29"/>
  <c r="D116" i="29"/>
  <c r="D36" i="29"/>
  <c r="D37" i="29"/>
  <c r="D124" i="29"/>
  <c r="D130" i="29"/>
  <c r="C208" i="29"/>
  <c r="D206" i="29"/>
  <c r="C207" i="29"/>
  <c r="C214" i="29" s="1"/>
  <c r="C216" i="29"/>
  <c r="F2" i="11"/>
  <c r="F3" i="11"/>
  <c r="G3" i="11" s="1"/>
  <c r="G2" i="11"/>
  <c r="M2" i="11"/>
  <c r="J2" i="11"/>
  <c r="D3" i="14"/>
  <c r="N2" i="14"/>
  <c r="X2" i="14" s="1"/>
  <c r="C2" i="14"/>
  <c r="B1" i="26"/>
  <c r="B80" i="26" s="1"/>
  <c r="Z47" i="11"/>
  <c r="X47" i="11"/>
  <c r="Z48" i="11"/>
  <c r="X48" i="11" s="1"/>
  <c r="Z49" i="11"/>
  <c r="X49" i="11" s="1"/>
  <c r="Z50" i="11"/>
  <c r="X50" i="11" s="1"/>
  <c r="Z51" i="11"/>
  <c r="X51" i="11" s="1"/>
  <c r="Z52" i="11"/>
  <c r="X52" i="11" s="1"/>
  <c r="Z53" i="11"/>
  <c r="X53" i="11" s="1"/>
  <c r="Z54" i="11"/>
  <c r="X54" i="11" s="1"/>
  <c r="Z55" i="11"/>
  <c r="X55" i="11" s="1"/>
  <c r="Z56" i="11"/>
  <c r="X56" i="11" s="1"/>
  <c r="Z57" i="11"/>
  <c r="X57" i="11" s="1"/>
  <c r="Z58" i="11"/>
  <c r="X58" i="11" s="1"/>
  <c r="Z59" i="11"/>
  <c r="X59" i="11"/>
  <c r="Z60" i="11"/>
  <c r="X60" i="11" s="1"/>
  <c r="Z61" i="11"/>
  <c r="X61" i="11" s="1"/>
  <c r="Z62" i="11"/>
  <c r="X62" i="11"/>
  <c r="Z63" i="11"/>
  <c r="X63" i="11" s="1"/>
  <c r="Z64" i="11"/>
  <c r="X64" i="11" s="1"/>
  <c r="Z65" i="11"/>
  <c r="X65" i="11" s="1"/>
  <c r="Z66" i="11"/>
  <c r="X66" i="11"/>
  <c r="Z67" i="11"/>
  <c r="X67" i="11" s="1"/>
  <c r="Z68" i="11"/>
  <c r="X68" i="11" s="1"/>
  <c r="Z69" i="11"/>
  <c r="X69" i="11" s="1"/>
  <c r="Z70" i="11"/>
  <c r="X70" i="11" s="1"/>
  <c r="Z71" i="11"/>
  <c r="X71" i="11"/>
  <c r="Z72" i="11"/>
  <c r="X72" i="11" s="1"/>
  <c r="Z73" i="11"/>
  <c r="X73" i="11" s="1"/>
  <c r="Z74" i="11"/>
  <c r="X74" i="11"/>
  <c r="Z75" i="11"/>
  <c r="X75" i="11" s="1"/>
  <c r="Z76" i="11"/>
  <c r="X76" i="11" s="1"/>
  <c r="Z77" i="11"/>
  <c r="X77" i="11"/>
  <c r="Z78" i="11"/>
  <c r="X78" i="11" s="1"/>
  <c r="Z79" i="11"/>
  <c r="X79" i="11" s="1"/>
  <c r="Z80" i="11"/>
  <c r="X80" i="11" s="1"/>
  <c r="Z81" i="11"/>
  <c r="X81" i="11"/>
  <c r="Z82" i="11"/>
  <c r="X82" i="11" s="1"/>
  <c r="Z83" i="11"/>
  <c r="X83" i="11" s="1"/>
  <c r="Z84" i="11"/>
  <c r="X84" i="11" s="1"/>
  <c r="Z85" i="11"/>
  <c r="X85" i="11" s="1"/>
  <c r="Z86" i="11"/>
  <c r="X86" i="11" s="1"/>
  <c r="Z87" i="11"/>
  <c r="X87" i="11" s="1"/>
  <c r="Z88" i="11"/>
  <c r="X88" i="11" s="1"/>
  <c r="Z89" i="11"/>
  <c r="X89" i="11"/>
  <c r="Z90" i="11"/>
  <c r="X90" i="11" s="1"/>
  <c r="Z91" i="11"/>
  <c r="X91" i="11" s="1"/>
  <c r="Z92" i="11"/>
  <c r="X92" i="11"/>
  <c r="Z93" i="11"/>
  <c r="X93" i="11" s="1"/>
  <c r="Z94" i="11"/>
  <c r="X94" i="11" s="1"/>
  <c r="Z95" i="11"/>
  <c r="X95" i="11"/>
  <c r="Z96" i="11"/>
  <c r="X96" i="11" s="1"/>
  <c r="Z97" i="11"/>
  <c r="X97" i="11" s="1"/>
  <c r="Z98" i="11"/>
  <c r="X98" i="11" s="1"/>
  <c r="Z99" i="11"/>
  <c r="X99" i="11" s="1"/>
  <c r="Z100" i="11"/>
  <c r="X100" i="11" s="1"/>
  <c r="B8" i="10"/>
  <c r="C8" i="10" s="1"/>
  <c r="J38" i="5"/>
  <c r="J37" i="5"/>
  <c r="J36" i="5"/>
  <c r="J35" i="5"/>
  <c r="J34" i="5"/>
  <c r="J31" i="5"/>
  <c r="J30" i="5"/>
  <c r="J29" i="5"/>
  <c r="J33" i="5" s="1"/>
  <c r="J28" i="5"/>
  <c r="J27" i="5"/>
  <c r="J26" i="5"/>
  <c r="J25" i="5"/>
  <c r="J24" i="5"/>
  <c r="J23" i="5"/>
  <c r="J20" i="5"/>
  <c r="J19" i="5"/>
  <c r="J18" i="5"/>
  <c r="J21" i="5" s="1"/>
  <c r="J17" i="5"/>
  <c r="J16" i="5"/>
  <c r="J15" i="5"/>
  <c r="J14" i="5"/>
  <c r="J13" i="5"/>
  <c r="J12" i="5"/>
  <c r="J9" i="5"/>
  <c r="J8" i="5"/>
  <c r="J7" i="5"/>
  <c r="J11" i="5" s="1"/>
  <c r="J6" i="5"/>
  <c r="H2" i="10"/>
  <c r="A3" i="10" s="1"/>
  <c r="Z24" i="11"/>
  <c r="X24" i="11" s="1"/>
  <c r="Z25" i="11"/>
  <c r="AA25" i="11" s="1"/>
  <c r="X25" i="11"/>
  <c r="Z26" i="11"/>
  <c r="Z28" i="11"/>
  <c r="X28" i="11" s="1"/>
  <c r="Z29" i="11"/>
  <c r="X29" i="11" s="1"/>
  <c r="Z30" i="11"/>
  <c r="AA30" i="11" s="1"/>
  <c r="Z31" i="11"/>
  <c r="AA31" i="11" s="1"/>
  <c r="Z32" i="11"/>
  <c r="X32" i="11" s="1"/>
  <c r="Z33" i="11"/>
  <c r="X33" i="11" s="1"/>
  <c r="Z34" i="11"/>
  <c r="AA34" i="11" s="1"/>
  <c r="Z35" i="11"/>
  <c r="X35" i="11" s="1"/>
  <c r="Z36" i="11"/>
  <c r="AA36" i="11" s="1"/>
  <c r="X36" i="11"/>
  <c r="Z37" i="11"/>
  <c r="X37" i="11" s="1"/>
  <c r="Z38" i="11"/>
  <c r="X38" i="11" s="1"/>
  <c r="Z39" i="11"/>
  <c r="X39" i="11" s="1"/>
  <c r="Z40" i="11"/>
  <c r="X40" i="11" s="1"/>
  <c r="Z41" i="11"/>
  <c r="X41" i="11" s="1"/>
  <c r="Z42" i="11"/>
  <c r="X42" i="11"/>
  <c r="Z43" i="11"/>
  <c r="X43" i="11" s="1"/>
  <c r="Z44" i="11"/>
  <c r="X44" i="11" s="1"/>
  <c r="Z45" i="11"/>
  <c r="X45" i="11" s="1"/>
  <c r="Z46" i="11"/>
  <c r="X46" i="11" s="1"/>
  <c r="Z3" i="11"/>
  <c r="AA3" i="11" s="1"/>
  <c r="Z4" i="11"/>
  <c r="AA4" i="11"/>
  <c r="Z5" i="11"/>
  <c r="AA5" i="11" s="1"/>
  <c r="Z6" i="11"/>
  <c r="Z7" i="11"/>
  <c r="X7" i="11" s="1"/>
  <c r="Z8" i="11"/>
  <c r="AA8" i="11" s="1"/>
  <c r="Z9" i="11"/>
  <c r="AA9" i="11" s="1"/>
  <c r="Z10" i="11"/>
  <c r="X10" i="11" s="1"/>
  <c r="AA10" i="11"/>
  <c r="Z11" i="11"/>
  <c r="AA11" i="11" s="1"/>
  <c r="Z12" i="11"/>
  <c r="AA12" i="11" s="1"/>
  <c r="Z13" i="11"/>
  <c r="X13" i="11" s="1"/>
  <c r="Z14" i="11"/>
  <c r="X14" i="11" s="1"/>
  <c r="Z15" i="11"/>
  <c r="X15" i="11" s="1"/>
  <c r="Z16" i="11"/>
  <c r="AA16" i="11" s="1"/>
  <c r="Z17" i="11"/>
  <c r="AA17" i="11" s="1"/>
  <c r="Z18" i="11"/>
  <c r="Z19" i="11"/>
  <c r="X19" i="11" s="1"/>
  <c r="Z20" i="11"/>
  <c r="X20" i="11" s="1"/>
  <c r="AA20" i="11"/>
  <c r="Z21" i="11"/>
  <c r="Z22" i="11"/>
  <c r="X22" i="11" s="1"/>
  <c r="AA22" i="11"/>
  <c r="Z23" i="11"/>
  <c r="X23" i="11" s="1"/>
  <c r="Z2" i="11"/>
  <c r="AA2" i="11" s="1"/>
  <c r="C3" i="11"/>
  <c r="X2" i="11"/>
  <c r="AA15" i="11"/>
  <c r="X4" i="11"/>
  <c r="X5" i="11"/>
  <c r="X17" i="11"/>
  <c r="X9" i="11"/>
  <c r="H38" i="10"/>
  <c r="H37" i="10"/>
  <c r="H36" i="10"/>
  <c r="H35" i="10"/>
  <c r="H34" i="10"/>
  <c r="H33" i="10"/>
  <c r="H32" i="10"/>
  <c r="H31" i="10"/>
  <c r="H30" i="10"/>
  <c r="H29" i="10"/>
  <c r="H28" i="10"/>
  <c r="H27" i="10"/>
  <c r="H26" i="10"/>
  <c r="H25" i="10"/>
  <c r="H24" i="10"/>
  <c r="H23" i="10"/>
  <c r="H22" i="10"/>
  <c r="H21" i="10"/>
  <c r="H20" i="10"/>
  <c r="H19" i="10"/>
  <c r="H18" i="10"/>
  <c r="H17" i="10"/>
  <c r="H16" i="10"/>
  <c r="H15" i="10"/>
  <c r="H14" i="10"/>
  <c r="H13" i="10"/>
  <c r="H12" i="10"/>
  <c r="H11" i="10"/>
  <c r="H10" i="10"/>
  <c r="H9" i="10"/>
  <c r="H8" i="10"/>
  <c r="B47" i="26" l="1"/>
  <c r="I32" i="11"/>
  <c r="K32" i="11" s="1"/>
  <c r="D32" i="11" s="1"/>
  <c r="I34" i="11"/>
  <c r="K34" i="11" s="1"/>
  <c r="D34" i="11" s="1"/>
  <c r="I37" i="11"/>
  <c r="K37" i="11" s="1"/>
  <c r="D37" i="11" s="1"/>
  <c r="I31" i="11"/>
  <c r="K31" i="11" s="1"/>
  <c r="D31" i="11" s="1"/>
  <c r="I38" i="11"/>
  <c r="K38" i="11" s="1"/>
  <c r="D38" i="11" s="1"/>
  <c r="I39" i="11"/>
  <c r="K39" i="11" s="1"/>
  <c r="D39" i="11" s="1"/>
  <c r="I33" i="11"/>
  <c r="K33" i="11" s="1"/>
  <c r="D33" i="11" s="1"/>
  <c r="I27" i="11"/>
  <c r="K27" i="11" s="1"/>
  <c r="D27" i="11" s="1"/>
  <c r="I28" i="11"/>
  <c r="K28" i="11" s="1"/>
  <c r="D28" i="11" s="1"/>
  <c r="Y28" i="11" s="1"/>
  <c r="I30" i="11"/>
  <c r="K30" i="11" s="1"/>
  <c r="D30" i="11" s="1"/>
  <c r="I35" i="11"/>
  <c r="K35" i="11" s="1"/>
  <c r="D35" i="11" s="1"/>
  <c r="I29" i="11"/>
  <c r="K29" i="11" s="1"/>
  <c r="D29" i="11" s="1"/>
  <c r="Y29" i="11" s="1"/>
  <c r="I36" i="11"/>
  <c r="K36" i="11" s="1"/>
  <c r="D36" i="11" s="1"/>
  <c r="Y36" i="11" s="1"/>
  <c r="X34" i="11"/>
  <c r="B240" i="26"/>
  <c r="J3" i="14"/>
  <c r="I3" i="14"/>
  <c r="B330" i="26"/>
  <c r="B282" i="26"/>
  <c r="B341" i="26"/>
  <c r="B316" i="26"/>
  <c r="B138" i="26"/>
  <c r="B239" i="26"/>
  <c r="B137" i="26"/>
  <c r="B304" i="26"/>
  <c r="B327" i="26"/>
  <c r="B114" i="26"/>
  <c r="B228" i="26"/>
  <c r="B154" i="26"/>
  <c r="J22" i="5"/>
  <c r="B310" i="26"/>
  <c r="B55" i="26"/>
  <c r="B338" i="26"/>
  <c r="B17" i="26"/>
  <c r="B105" i="26"/>
  <c r="B180" i="26"/>
  <c r="B337" i="26"/>
  <c r="B109" i="26"/>
  <c r="B358" i="26"/>
  <c r="B202" i="26"/>
  <c r="B75" i="26"/>
  <c r="B366" i="26"/>
  <c r="B335" i="26"/>
  <c r="B303" i="26"/>
  <c r="B20" i="26"/>
  <c r="B102" i="26"/>
  <c r="B360" i="26"/>
  <c r="B229" i="26"/>
  <c r="B141" i="26"/>
  <c r="B279" i="26"/>
  <c r="B48" i="26"/>
  <c r="B307" i="26"/>
  <c r="B3" i="26"/>
  <c r="B90" i="26"/>
  <c r="B354" i="26"/>
  <c r="B301" i="26"/>
  <c r="B231" i="26"/>
  <c r="B23" i="26"/>
  <c r="J9" i="11"/>
  <c r="X12" i="11"/>
  <c r="AA32" i="11"/>
  <c r="AA33" i="11"/>
  <c r="X31" i="11"/>
  <c r="G9" i="11"/>
  <c r="AA28" i="11"/>
  <c r="J17" i="11"/>
  <c r="AA24" i="11"/>
  <c r="X11" i="11"/>
  <c r="G21" i="11"/>
  <c r="AA35" i="11"/>
  <c r="AA23" i="11"/>
  <c r="AA29" i="11"/>
  <c r="X3" i="11"/>
  <c r="AA19" i="11"/>
  <c r="X30" i="11"/>
  <c r="J10" i="11"/>
  <c r="X16" i="11"/>
  <c r="J6" i="11"/>
  <c r="M19" i="11"/>
  <c r="G19" i="11"/>
  <c r="M24" i="11"/>
  <c r="AA13" i="11"/>
  <c r="X8" i="11"/>
  <c r="G6" i="11"/>
  <c r="G24" i="11"/>
  <c r="I41" i="11"/>
  <c r="K41" i="11" s="1"/>
  <c r="D41" i="11" s="1"/>
  <c r="Y41" i="11" s="1"/>
  <c r="B323" i="26"/>
  <c r="B68" i="26"/>
  <c r="J32" i="5"/>
  <c r="B195" i="26"/>
  <c r="B130" i="26"/>
  <c r="B290" i="26"/>
  <c r="J10" i="5"/>
  <c r="B45" i="26"/>
  <c r="B46" i="26"/>
  <c r="B201" i="26"/>
  <c r="B200" i="26"/>
  <c r="B174" i="26"/>
  <c r="B198" i="26"/>
  <c r="B148" i="26"/>
  <c r="B189" i="26"/>
  <c r="B9" i="10"/>
  <c r="B10" i="10" s="1"/>
  <c r="H39" i="10"/>
  <c r="B10" i="28"/>
  <c r="I22" i="11"/>
  <c r="I46" i="11"/>
  <c r="K46" i="11" s="1"/>
  <c r="I95" i="11"/>
  <c r="K95" i="11" s="1"/>
  <c r="D95" i="11" s="1"/>
  <c r="Y95" i="11" s="1"/>
  <c r="I91" i="11"/>
  <c r="K91" i="11" s="1"/>
  <c r="I77" i="11"/>
  <c r="K77" i="11" s="1"/>
  <c r="D77" i="11" s="1"/>
  <c r="Y77" i="11" s="1"/>
  <c r="I10" i="11"/>
  <c r="I58" i="11"/>
  <c r="K58" i="11" s="1"/>
  <c r="I17" i="11"/>
  <c r="I26" i="11"/>
  <c r="K26" i="11" s="1"/>
  <c r="D26" i="11" s="1"/>
  <c r="Y26" i="11" s="1"/>
  <c r="I86" i="11"/>
  <c r="K86" i="11" s="1"/>
  <c r="I99" i="11"/>
  <c r="K99" i="11" s="1"/>
  <c r="I81" i="11"/>
  <c r="K81" i="11" s="1"/>
  <c r="I63" i="11"/>
  <c r="K63" i="11" s="1"/>
  <c r="I6" i="11"/>
  <c r="I51" i="11"/>
  <c r="K51" i="11" s="1"/>
  <c r="D51" i="11" s="1"/>
  <c r="Y51" i="11" s="1"/>
  <c r="I83" i="11"/>
  <c r="K83" i="11" s="1"/>
  <c r="I47" i="11"/>
  <c r="K47" i="11" s="1"/>
  <c r="I73" i="11"/>
  <c r="K73" i="11" s="1"/>
  <c r="I11" i="11"/>
  <c r="K11" i="11" s="1"/>
  <c r="D11" i="11" s="1"/>
  <c r="Y11" i="11" s="1"/>
  <c r="I21" i="11"/>
  <c r="K21" i="11" s="1"/>
  <c r="D21" i="11" s="1"/>
  <c r="Y21" i="11" s="1"/>
  <c r="I60" i="11"/>
  <c r="K60" i="11" s="1"/>
  <c r="D60" i="11" s="1"/>
  <c r="Y60" i="11" s="1"/>
  <c r="I12" i="11"/>
  <c r="I82" i="11"/>
  <c r="K82" i="11" s="1"/>
  <c r="I42" i="11"/>
  <c r="K42" i="11" s="1"/>
  <c r="I56" i="11"/>
  <c r="K56" i="11" s="1"/>
  <c r="I70" i="11"/>
  <c r="K70" i="11" s="1"/>
  <c r="I13" i="11"/>
  <c r="K13" i="11" s="1"/>
  <c r="D13" i="11" s="1"/>
  <c r="Y13" i="11" s="1"/>
  <c r="I100" i="11"/>
  <c r="K100" i="11" s="1"/>
  <c r="D100" i="11" s="1"/>
  <c r="Y100" i="11" s="1"/>
  <c r="I45" i="11"/>
  <c r="K45" i="11" s="1"/>
  <c r="D45" i="11" s="1"/>
  <c r="Y45" i="11" s="1"/>
  <c r="I72" i="11"/>
  <c r="K72" i="11" s="1"/>
  <c r="I57" i="11"/>
  <c r="K57" i="11" s="1"/>
  <c r="D57" i="11" s="1"/>
  <c r="Y57" i="11" s="1"/>
  <c r="I48" i="11"/>
  <c r="K48" i="11" s="1"/>
  <c r="I98" i="11"/>
  <c r="K98" i="11" s="1"/>
  <c r="I9" i="11"/>
  <c r="AA6" i="11"/>
  <c r="X6" i="11"/>
  <c r="AA14" i="11"/>
  <c r="AA7" i="11"/>
  <c r="G6" i="28"/>
  <c r="G9" i="28" s="1"/>
  <c r="AA21" i="11"/>
  <c r="X21" i="11"/>
  <c r="B271" i="26"/>
  <c r="B293" i="26"/>
  <c r="B324" i="26"/>
  <c r="B57" i="26"/>
  <c r="B254" i="26"/>
  <c r="B99" i="26"/>
  <c r="B262" i="26"/>
  <c r="B34" i="26"/>
  <c r="W1" i="14"/>
  <c r="AH2" i="14"/>
  <c r="W2" i="14"/>
  <c r="J15" i="11"/>
  <c r="G15" i="11"/>
  <c r="M15" i="11"/>
  <c r="B247" i="26"/>
  <c r="B281" i="26"/>
  <c r="B309" i="26"/>
  <c r="B44" i="26"/>
  <c r="B237" i="26"/>
  <c r="B86" i="26"/>
  <c r="B321" i="26"/>
  <c r="B97" i="26"/>
  <c r="B49" i="26"/>
  <c r="B134" i="26"/>
  <c r="B93" i="26"/>
  <c r="B149" i="26"/>
  <c r="B176" i="26"/>
  <c r="B196" i="26"/>
  <c r="B60" i="26"/>
  <c r="B183" i="26"/>
  <c r="B230" i="26"/>
  <c r="B160" i="26"/>
  <c r="B25" i="26"/>
  <c r="B188" i="26"/>
  <c r="B64" i="26"/>
  <c r="B152" i="26"/>
  <c r="B85" i="26"/>
  <c r="B100" i="26"/>
  <c r="B277" i="26"/>
  <c r="B56" i="26"/>
  <c r="B220" i="26"/>
  <c r="B19" i="26"/>
  <c r="B181" i="26"/>
  <c r="B339" i="26"/>
  <c r="B345" i="26"/>
  <c r="B263" i="26"/>
  <c r="B336" i="26"/>
  <c r="B363" i="26"/>
  <c r="B329" i="26"/>
  <c r="B306" i="26"/>
  <c r="B115" i="26"/>
  <c r="B259" i="26"/>
  <c r="B107" i="26"/>
  <c r="B241" i="26"/>
  <c r="B145" i="26"/>
  <c r="B157" i="26"/>
  <c r="B182" i="26"/>
  <c r="B367" i="26"/>
  <c r="B51" i="26"/>
  <c r="B78" i="26"/>
  <c r="B9" i="26"/>
  <c r="B133" i="26"/>
  <c r="B2" i="26"/>
  <c r="H3" i="14" s="1"/>
  <c r="DX3" i="14" s="1"/>
  <c r="B170" i="26"/>
  <c r="B77" i="26"/>
  <c r="B242" i="26"/>
  <c r="B322" i="26"/>
  <c r="B122" i="26"/>
  <c r="B39" i="26"/>
  <c r="B112" i="26"/>
  <c r="B63" i="26"/>
  <c r="B87" i="26"/>
  <c r="B308" i="26"/>
  <c r="B88" i="26"/>
  <c r="B280" i="26"/>
  <c r="B76" i="26"/>
  <c r="B256" i="26"/>
  <c r="B314" i="26"/>
  <c r="B351" i="26"/>
  <c r="B297" i="26"/>
  <c r="B362" i="26"/>
  <c r="B305" i="26"/>
  <c r="B294" i="26"/>
  <c r="B127" i="26"/>
  <c r="B283" i="26"/>
  <c r="B197" i="26"/>
  <c r="B58" i="26"/>
  <c r="B136" i="26"/>
  <c r="B38" i="26"/>
  <c r="B266" i="26"/>
  <c r="B26" i="26"/>
  <c r="B209" i="26"/>
  <c r="B104" i="26"/>
  <c r="B300" i="26"/>
  <c r="B265" i="26"/>
  <c r="B135" i="26"/>
  <c r="B124" i="26"/>
  <c r="B125" i="26"/>
  <c r="B15" i="26"/>
  <c r="B113" i="26"/>
  <c r="B62" i="26"/>
  <c r="B101" i="26"/>
  <c r="B313" i="26"/>
  <c r="B89" i="26"/>
  <c r="B284" i="26"/>
  <c r="B251" i="26"/>
  <c r="B292" i="26"/>
  <c r="B312" i="26"/>
  <c r="B333" i="26"/>
  <c r="B317" i="26"/>
  <c r="B318" i="26"/>
  <c r="B139" i="26"/>
  <c r="B295" i="26"/>
  <c r="B108" i="26"/>
  <c r="B119" i="26"/>
  <c r="B92" i="26"/>
  <c r="B162" i="26"/>
  <c r="B285" i="26"/>
  <c r="B94" i="26"/>
  <c r="B260" i="26"/>
  <c r="B156" i="26"/>
  <c r="B185" i="26"/>
  <c r="B273" i="26"/>
  <c r="B161" i="26"/>
  <c r="B217" i="26"/>
  <c r="B165" i="26"/>
  <c r="B190" i="26"/>
  <c r="B140" i="26"/>
  <c r="B52" i="26"/>
  <c r="B128" i="26"/>
  <c r="B72" i="26"/>
  <c r="B116" i="26"/>
  <c r="B328" i="26"/>
  <c r="B289" i="26"/>
  <c r="B325" i="26"/>
  <c r="B357" i="26"/>
  <c r="B334" i="26"/>
  <c r="B353" i="26"/>
  <c r="B342" i="26"/>
  <c r="B163" i="26"/>
  <c r="B319" i="26"/>
  <c r="B106" i="26"/>
  <c r="B71" i="26"/>
  <c r="B117" i="26"/>
  <c r="B120" i="26"/>
  <c r="B21" i="26"/>
  <c r="B208" i="26"/>
  <c r="B95" i="26"/>
  <c r="B61" i="26"/>
  <c r="B320" i="26"/>
  <c r="B37" i="26"/>
  <c r="B215" i="26"/>
  <c r="B28" i="26"/>
  <c r="B204" i="26"/>
  <c r="B5" i="26"/>
  <c r="B179" i="26"/>
  <c r="B252" i="26"/>
  <c r="B167" i="26"/>
  <c r="B203" i="26"/>
  <c r="B155" i="26"/>
  <c r="B302" i="26"/>
  <c r="B346" i="26"/>
  <c r="B296" i="26"/>
  <c r="B359" i="26"/>
  <c r="B233" i="26"/>
  <c r="B222" i="26"/>
  <c r="B43" i="26"/>
  <c r="B199" i="26"/>
  <c r="B355" i="26"/>
  <c r="B10" i="26"/>
  <c r="B144" i="26"/>
  <c r="B171" i="26"/>
  <c r="B118" i="26"/>
  <c r="B36" i="26"/>
  <c r="B158" i="26"/>
  <c r="B65" i="26"/>
  <c r="B272" i="26"/>
  <c r="B178" i="26"/>
  <c r="B41" i="26"/>
  <c r="B98" i="26"/>
  <c r="B206" i="26"/>
  <c r="B129" i="26"/>
  <c r="B250" i="26"/>
  <c r="B352" i="26"/>
  <c r="B361" i="26"/>
  <c r="B365" i="26"/>
  <c r="B79" i="26"/>
  <c r="B331" i="26"/>
  <c r="B12" i="26"/>
  <c r="B110" i="26"/>
  <c r="B81" i="26"/>
  <c r="B146" i="26"/>
  <c r="B69" i="26"/>
  <c r="B184" i="26"/>
  <c r="B13" i="26"/>
  <c r="B299" i="26"/>
  <c r="B191" i="26"/>
  <c r="B54" i="26"/>
  <c r="B164" i="26"/>
  <c r="B238" i="26"/>
  <c r="B142" i="26"/>
  <c r="B267" i="26"/>
  <c r="B278" i="26"/>
  <c r="B332" i="26"/>
  <c r="B210" i="26"/>
  <c r="B91" i="26"/>
  <c r="B343" i="26"/>
  <c r="B224" i="26"/>
  <c r="B227" i="26"/>
  <c r="B172" i="26"/>
  <c r="B249" i="26"/>
  <c r="B121" i="26"/>
  <c r="B212" i="26"/>
  <c r="B50" i="26"/>
  <c r="B66" i="26"/>
  <c r="B218" i="26"/>
  <c r="B74" i="26"/>
  <c r="B6" i="26"/>
  <c r="B255" i="26"/>
  <c r="B168" i="26"/>
  <c r="B288" i="26"/>
  <c r="B311" i="26"/>
  <c r="B347" i="26"/>
  <c r="B234" i="26"/>
  <c r="B103" i="26"/>
  <c r="B14" i="26"/>
  <c r="B143" i="26"/>
  <c r="B82" i="26"/>
  <c r="B59" i="26"/>
  <c r="B147" i="26"/>
  <c r="B159" i="26"/>
  <c r="B70" i="26"/>
  <c r="B177" i="26"/>
  <c r="B236" i="26"/>
  <c r="B126" i="26"/>
  <c r="B18" i="26"/>
  <c r="B27" i="26"/>
  <c r="B194" i="26"/>
  <c r="B268" i="26"/>
  <c r="B326" i="26"/>
  <c r="B348" i="26"/>
  <c r="B246" i="26"/>
  <c r="B151" i="26"/>
  <c r="B216" i="26"/>
  <c r="B35" i="26"/>
  <c r="B123" i="26"/>
  <c r="B131" i="26"/>
  <c r="B226" i="26"/>
  <c r="B213" i="26"/>
  <c r="B83" i="26"/>
  <c r="B4" i="26"/>
  <c r="B253" i="26"/>
  <c r="B153" i="26"/>
  <c r="B30" i="26"/>
  <c r="B111" i="26"/>
  <c r="B207" i="26"/>
  <c r="B315" i="26"/>
  <c r="B356" i="26"/>
  <c r="B349" i="26"/>
  <c r="B258" i="26"/>
  <c r="B175" i="26"/>
  <c r="B11" i="26"/>
  <c r="B225" i="26"/>
  <c r="B173" i="26"/>
  <c r="B169" i="26"/>
  <c r="B298" i="26"/>
  <c r="B243" i="26"/>
  <c r="B96" i="26"/>
  <c r="B16" i="26"/>
  <c r="B275" i="26"/>
  <c r="B166" i="26"/>
  <c r="B42" i="26"/>
  <c r="B150" i="26"/>
  <c r="B221" i="26"/>
  <c r="B344" i="26"/>
  <c r="B264" i="26"/>
  <c r="B364" i="26"/>
  <c r="B270" i="26"/>
  <c r="B187" i="26"/>
  <c r="B235" i="26"/>
  <c r="B269" i="26"/>
  <c r="B291" i="26"/>
  <c r="B31" i="26"/>
  <c r="B219" i="26"/>
  <c r="B73" i="26"/>
  <c r="B244" i="26"/>
  <c r="B32" i="26"/>
  <c r="B33" i="26"/>
  <c r="B132" i="26"/>
  <c r="B223" i="26"/>
  <c r="B257" i="26"/>
  <c r="B276" i="26"/>
  <c r="B7" i="26"/>
  <c r="B205" i="26"/>
  <c r="B53" i="26"/>
  <c r="B214" i="26"/>
  <c r="B8" i="26"/>
  <c r="B261" i="26"/>
  <c r="B211" i="26"/>
  <c r="B245" i="26"/>
  <c r="B350" i="26"/>
  <c r="B274" i="26"/>
  <c r="B192" i="26"/>
  <c r="B40" i="26"/>
  <c r="B186" i="26"/>
  <c r="B286" i="26"/>
  <c r="B24" i="26"/>
  <c r="B67" i="26"/>
  <c r="B340" i="26"/>
  <c r="B232" i="26"/>
  <c r="B193" i="26"/>
  <c r="B29" i="26"/>
  <c r="B248" i="26"/>
  <c r="B287" i="26"/>
  <c r="B84" i="26"/>
  <c r="B22" i="26"/>
  <c r="AA18" i="11"/>
  <c r="X18" i="11"/>
  <c r="AA26" i="11"/>
  <c r="X26" i="11"/>
  <c r="J18" i="11"/>
  <c r="M18" i="11"/>
  <c r="G18" i="11"/>
  <c r="N3" i="14"/>
  <c r="M1" i="14"/>
  <c r="M2" i="14"/>
  <c r="D208" i="29"/>
  <c r="D216" i="29"/>
  <c r="D207" i="29"/>
  <c r="D4" i="14"/>
  <c r="E3" i="14"/>
  <c r="C3" i="14"/>
  <c r="C210" i="29"/>
  <c r="C211" i="29" s="1"/>
  <c r="C209" i="29"/>
  <c r="M22" i="11"/>
  <c r="J22" i="11"/>
  <c r="I24" i="11"/>
  <c r="K24" i="11" s="1"/>
  <c r="D24" i="11" s="1"/>
  <c r="Y24" i="11" s="1"/>
  <c r="I67" i="11"/>
  <c r="K67" i="11" s="1"/>
  <c r="I23" i="11"/>
  <c r="I25" i="11"/>
  <c r="K25" i="11" s="1"/>
  <c r="D25" i="11" s="1"/>
  <c r="Y25" i="11" s="1"/>
  <c r="I85" i="11"/>
  <c r="K85" i="11" s="1"/>
  <c r="I55" i="11"/>
  <c r="K55" i="11" s="1"/>
  <c r="I74" i="11"/>
  <c r="K74" i="11" s="1"/>
  <c r="I88" i="11"/>
  <c r="K88" i="11" s="1"/>
  <c r="I89" i="11"/>
  <c r="K89" i="11" s="1"/>
  <c r="I94" i="11"/>
  <c r="K94" i="11" s="1"/>
  <c r="I16" i="11"/>
  <c r="I14" i="11"/>
  <c r="K14" i="11" s="1"/>
  <c r="D14" i="11" s="1"/>
  <c r="Y14" i="11" s="1"/>
  <c r="I64" i="11"/>
  <c r="K64" i="11" s="1"/>
  <c r="I2" i="11"/>
  <c r="K2" i="11" s="1"/>
  <c r="D2" i="11" s="1"/>
  <c r="Y2" i="11" s="1"/>
  <c r="I7" i="11"/>
  <c r="K7" i="11" s="1"/>
  <c r="D7" i="11" s="1"/>
  <c r="Y7" i="11" s="1"/>
  <c r="I50" i="11"/>
  <c r="K50" i="11" s="1"/>
  <c r="I15" i="11"/>
  <c r="I59" i="11"/>
  <c r="K59" i="11" s="1"/>
  <c r="I90" i="11"/>
  <c r="K90" i="11" s="1"/>
  <c r="I92" i="11"/>
  <c r="K92" i="11" s="1"/>
  <c r="D92" i="11" s="1"/>
  <c r="Y92" i="11" s="1"/>
  <c r="I5" i="11"/>
  <c r="K5" i="11" s="1"/>
  <c r="D5" i="11" s="1"/>
  <c r="Y5" i="11" s="1"/>
  <c r="I79" i="11"/>
  <c r="K79" i="11" s="1"/>
  <c r="I54" i="11"/>
  <c r="K54" i="11" s="1"/>
  <c r="I20" i="11"/>
  <c r="K20" i="11" s="1"/>
  <c r="D20" i="11" s="1"/>
  <c r="Y20" i="11" s="1"/>
  <c r="I18" i="11"/>
  <c r="I68" i="11"/>
  <c r="K68" i="11" s="1"/>
  <c r="I96" i="11"/>
  <c r="K96" i="11" s="1"/>
  <c r="I49" i="11"/>
  <c r="K49" i="11" s="1"/>
  <c r="I66" i="11"/>
  <c r="K66" i="11" s="1"/>
  <c r="I43" i="11"/>
  <c r="K43" i="11" s="1"/>
  <c r="I78" i="11"/>
  <c r="K78" i="11" s="1"/>
  <c r="I97" i="11"/>
  <c r="K97" i="11" s="1"/>
  <c r="D97" i="11" s="1"/>
  <c r="Y97" i="11" s="1"/>
  <c r="I52" i="11"/>
  <c r="K52" i="11" s="1"/>
  <c r="I53" i="11"/>
  <c r="K53" i="11" s="1"/>
  <c r="I61" i="11"/>
  <c r="K61" i="11" s="1"/>
  <c r="I71" i="11"/>
  <c r="K71" i="11" s="1"/>
  <c r="I76" i="11"/>
  <c r="K76" i="11" s="1"/>
  <c r="D76" i="11" s="1"/>
  <c r="Y76" i="11" s="1"/>
  <c r="I62" i="11"/>
  <c r="K62" i="11" s="1"/>
  <c r="I93" i="11"/>
  <c r="K93" i="11" s="1"/>
  <c r="I19" i="11"/>
  <c r="K19" i="11" s="1"/>
  <c r="D19" i="11" s="1"/>
  <c r="Y19" i="11" s="1"/>
  <c r="I80" i="11"/>
  <c r="K80" i="11" s="1"/>
  <c r="D80" i="11" s="1"/>
  <c r="Y80" i="11" s="1"/>
  <c r="I69" i="11"/>
  <c r="K69" i="11" s="1"/>
  <c r="I75" i="11"/>
  <c r="K75" i="11" s="1"/>
  <c r="D75" i="11" s="1"/>
  <c r="Y75" i="11" s="1"/>
  <c r="I4" i="11"/>
  <c r="K4" i="11" s="1"/>
  <c r="D4" i="11" s="1"/>
  <c r="Y4" i="11" s="1"/>
  <c r="I3" i="11"/>
  <c r="K3" i="11" s="1"/>
  <c r="D3" i="11" s="1"/>
  <c r="Y3" i="11" s="1"/>
  <c r="I87" i="11"/>
  <c r="K87" i="11" s="1"/>
  <c r="I8" i="11"/>
  <c r="K8" i="11" s="1"/>
  <c r="D8" i="11" s="1"/>
  <c r="Y8" i="11" s="1"/>
  <c r="I65" i="11"/>
  <c r="K65" i="11" s="1"/>
  <c r="I44" i="11"/>
  <c r="K44" i="11" s="1"/>
  <c r="I84" i="11"/>
  <c r="K84" i="11" s="1"/>
  <c r="G12" i="11"/>
  <c r="J12" i="11"/>
  <c r="M12" i="11"/>
  <c r="G16" i="11"/>
  <c r="J16" i="11"/>
  <c r="J23" i="11"/>
  <c r="M23" i="11"/>
  <c r="G23" i="11"/>
  <c r="B13" i="28" l="1"/>
  <c r="L3" i="14"/>
  <c r="T3" i="14"/>
  <c r="S3" i="14"/>
  <c r="J4" i="14"/>
  <c r="I4" i="14"/>
  <c r="K9" i="11"/>
  <c r="D9" i="11" s="1"/>
  <c r="Y9" i="11" s="1"/>
  <c r="K17" i="11"/>
  <c r="D17" i="11" s="1"/>
  <c r="Y17" i="11" s="1"/>
  <c r="Y35" i="11"/>
  <c r="Y39" i="11"/>
  <c r="Y30" i="11"/>
  <c r="K10" i="11"/>
  <c r="D10" i="11" s="1"/>
  <c r="Y10" i="11" s="1"/>
  <c r="K6" i="11"/>
  <c r="D6" i="11" s="1"/>
  <c r="Y6" i="11" s="1"/>
  <c r="C9" i="10"/>
  <c r="X3" i="14"/>
  <c r="C10" i="10"/>
  <c r="B11" i="10"/>
  <c r="F6" i="28"/>
  <c r="C10" i="28"/>
  <c r="C13" i="28" s="1"/>
  <c r="D63" i="11"/>
  <c r="Y63" i="11" s="1"/>
  <c r="D46" i="11"/>
  <c r="Y46" i="11" s="1"/>
  <c r="K22" i="11"/>
  <c r="D22" i="11" s="1"/>
  <c r="Y22" i="11" s="1"/>
  <c r="K15" i="11"/>
  <c r="D15" i="11" s="1"/>
  <c r="Y15" i="11" s="1"/>
  <c r="D58" i="11"/>
  <c r="Y58" i="11" s="1"/>
  <c r="D86" i="11"/>
  <c r="Y86" i="11" s="1"/>
  <c r="D47" i="11"/>
  <c r="Y47" i="11" s="1"/>
  <c r="D48" i="11"/>
  <c r="Y48" i="11" s="1"/>
  <c r="D69" i="11"/>
  <c r="Y69" i="11" s="1"/>
  <c r="K23" i="11"/>
  <c r="D23" i="11" s="1"/>
  <c r="Y23" i="11" s="1"/>
  <c r="D99" i="11"/>
  <c r="Y99" i="11" s="1"/>
  <c r="D81" i="11"/>
  <c r="Y81" i="11" s="1"/>
  <c r="D72" i="11"/>
  <c r="Y72" i="11" s="1"/>
  <c r="K12" i="11"/>
  <c r="D12" i="11" s="1"/>
  <c r="Y12" i="11" s="1"/>
  <c r="D42" i="11"/>
  <c r="Y42" i="11" s="1"/>
  <c r="D98" i="11"/>
  <c r="Y98" i="11" s="1"/>
  <c r="D73" i="11"/>
  <c r="Y73" i="11" s="1"/>
  <c r="D52" i="11"/>
  <c r="Y52" i="11" s="1"/>
  <c r="G3" i="14"/>
  <c r="D56" i="11"/>
  <c r="Y56" i="11" s="1"/>
  <c r="D83" i="11"/>
  <c r="Y83" i="11" s="1"/>
  <c r="D82" i="11"/>
  <c r="Y82" i="11" s="1"/>
  <c r="D64" i="11"/>
  <c r="Y64" i="11" s="1"/>
  <c r="D70" i="11"/>
  <c r="Y70" i="11" s="1"/>
  <c r="Y33" i="11"/>
  <c r="D91" i="11"/>
  <c r="Y91" i="11" s="1"/>
  <c r="C213" i="29"/>
  <c r="C212" i="29"/>
  <c r="C215" i="29" s="1"/>
  <c r="D93" i="11"/>
  <c r="Y93" i="11" s="1"/>
  <c r="D88" i="11"/>
  <c r="Y88" i="11" s="1"/>
  <c r="D71" i="11"/>
  <c r="Y71" i="11" s="1"/>
  <c r="D50" i="11"/>
  <c r="Y50" i="11" s="1"/>
  <c r="D53" i="11"/>
  <c r="Y53" i="11" s="1"/>
  <c r="Y38" i="11"/>
  <c r="D55" i="11"/>
  <c r="Y55" i="11" s="1"/>
  <c r="D214" i="29"/>
  <c r="D49" i="11"/>
  <c r="Y49" i="11" s="1"/>
  <c r="D65" i="11"/>
  <c r="Y65" i="11" s="1"/>
  <c r="D89" i="11"/>
  <c r="Y89" i="11" s="1"/>
  <c r="D54" i="11"/>
  <c r="Y54" i="11" s="1"/>
  <c r="D85" i="11"/>
  <c r="Y85" i="11" s="1"/>
  <c r="E4" i="14"/>
  <c r="C4" i="14"/>
  <c r="H4" i="14"/>
  <c r="DX4" i="14" s="1"/>
  <c r="D5" i="14"/>
  <c r="G4" i="14"/>
  <c r="D62" i="11"/>
  <c r="Y62" i="11" s="1"/>
  <c r="D59" i="11"/>
  <c r="Y59" i="11" s="1"/>
  <c r="K18" i="11"/>
  <c r="D18" i="11" s="1"/>
  <c r="Y18" i="11" s="1"/>
  <c r="D67" i="11"/>
  <c r="Y67" i="11" s="1"/>
  <c r="D61" i="11"/>
  <c r="Y61" i="11" s="1"/>
  <c r="D74" i="11"/>
  <c r="Y74" i="11" s="1"/>
  <c r="D79" i="11"/>
  <c r="Y79" i="11" s="1"/>
  <c r="D210" i="29"/>
  <c r="D209" i="29"/>
  <c r="D211" i="29" s="1"/>
  <c r="D90" i="11"/>
  <c r="Y90" i="11" s="1"/>
  <c r="D96" i="11"/>
  <c r="Y96" i="11" s="1"/>
  <c r="AR2" i="14"/>
  <c r="AG2" i="14"/>
  <c r="AG1" i="14"/>
  <c r="D78" i="11"/>
  <c r="Y78" i="11" s="1"/>
  <c r="K16" i="11"/>
  <c r="D16" i="11" s="1"/>
  <c r="Y16" i="11" s="1"/>
  <c r="D44" i="11"/>
  <c r="Y44" i="11" s="1"/>
  <c r="Y37" i="11"/>
  <c r="D68" i="11"/>
  <c r="Y68" i="11" s="1"/>
  <c r="D87" i="11"/>
  <c r="Y87" i="11" s="1"/>
  <c r="Y32" i="11"/>
  <c r="D43" i="11"/>
  <c r="Y43" i="11" s="1"/>
  <c r="Y34" i="11"/>
  <c r="D94" i="11"/>
  <c r="Y94" i="11" s="1"/>
  <c r="D84" i="11"/>
  <c r="Y84" i="11" s="1"/>
  <c r="D66" i="11"/>
  <c r="Y66" i="11" s="1"/>
  <c r="Y40" i="11"/>
  <c r="Y31" i="11"/>
  <c r="R3" i="14"/>
  <c r="N4" i="14"/>
  <c r="O3" i="14"/>
  <c r="M3" i="14"/>
  <c r="Q3" i="14"/>
  <c r="P3" i="14" s="1"/>
  <c r="E6" i="28" l="1"/>
  <c r="E9" i="28" s="1"/>
  <c r="F9" i="28"/>
  <c r="L4" i="14"/>
  <c r="V3" i="14"/>
  <c r="AC3" i="14"/>
  <c r="AD3" i="14"/>
  <c r="T4" i="14"/>
  <c r="S4" i="14"/>
  <c r="I5" i="14"/>
  <c r="J5" i="14"/>
  <c r="AB3" i="14"/>
  <c r="AA3" i="14"/>
  <c r="Z3" i="14" s="1"/>
  <c r="W3" i="14"/>
  <c r="X4" i="14"/>
  <c r="Y3" i="14"/>
  <c r="AH3" i="14"/>
  <c r="F4" i="14"/>
  <c r="DV4" i="14" s="1"/>
  <c r="DW4" i="14"/>
  <c r="F3" i="14"/>
  <c r="DV3" i="14" s="1"/>
  <c r="DW3" i="14"/>
  <c r="B12" i="10"/>
  <c r="C11" i="10"/>
  <c r="D10" i="28"/>
  <c r="D13" i="28" s="1"/>
  <c r="D213" i="29"/>
  <c r="D212" i="29"/>
  <c r="D215" i="29" s="1"/>
  <c r="AQ1" i="14"/>
  <c r="AQ2" i="14"/>
  <c r="BB2" i="14"/>
  <c r="R4" i="14"/>
  <c r="O4" i="14"/>
  <c r="M4" i="14"/>
  <c r="Q4" i="14"/>
  <c r="P4" i="14" s="1"/>
  <c r="N5" i="14"/>
  <c r="H5" i="14"/>
  <c r="DX5" i="14" s="1"/>
  <c r="E5" i="14"/>
  <c r="C5" i="14"/>
  <c r="D6" i="14"/>
  <c r="G5" i="14"/>
  <c r="C217" i="29"/>
  <c r="C218" i="29" s="1"/>
  <c r="C219" i="29" s="1"/>
  <c r="C220" i="29" s="1"/>
  <c r="D10" i="29" s="1"/>
  <c r="D6" i="28" l="1"/>
  <c r="D9" i="28" s="1"/>
  <c r="AF3" i="14"/>
  <c r="V4" i="14"/>
  <c r="AM3" i="14"/>
  <c r="AN3" i="14"/>
  <c r="AC4" i="14"/>
  <c r="AD4" i="14"/>
  <c r="L5" i="14"/>
  <c r="J6" i="14"/>
  <c r="I6" i="14"/>
  <c r="S5" i="14"/>
  <c r="T5" i="14"/>
  <c r="Y4" i="14"/>
  <c r="AA4" i="14"/>
  <c r="Z4" i="14" s="1"/>
  <c r="X5" i="14"/>
  <c r="AA5" i="14" s="1"/>
  <c r="Z5" i="14" s="1"/>
  <c r="W4" i="14"/>
  <c r="AB4" i="14"/>
  <c r="AR3" i="14"/>
  <c r="AV3" i="14" s="1"/>
  <c r="AL3" i="14"/>
  <c r="AK3" i="14"/>
  <c r="AJ3" i="14" s="1"/>
  <c r="AH4" i="14"/>
  <c r="AI3" i="14"/>
  <c r="AG3" i="14"/>
  <c r="F5" i="14"/>
  <c r="DV5" i="14" s="1"/>
  <c r="DW5" i="14"/>
  <c r="C12" i="10"/>
  <c r="B13" i="10"/>
  <c r="C6" i="28"/>
  <c r="C9" i="28" s="1"/>
  <c r="E10" i="28"/>
  <c r="E13" i="28" s="1"/>
  <c r="D39" i="29"/>
  <c r="D38" i="29" s="1"/>
  <c r="D13" i="29"/>
  <c r="D8" i="29"/>
  <c r="D6" i="29"/>
  <c r="D35" i="29"/>
  <c r="D11" i="29"/>
  <c r="D5" i="29"/>
  <c r="D40" i="29"/>
  <c r="D217" i="29"/>
  <c r="D218" i="29" s="1"/>
  <c r="D219" i="29" s="1"/>
  <c r="D220" i="29" s="1"/>
  <c r="D110" i="29" s="1"/>
  <c r="BA2" i="14"/>
  <c r="BL2" i="14"/>
  <c r="BA1" i="14"/>
  <c r="R5" i="14"/>
  <c r="O5" i="14"/>
  <c r="N6" i="14"/>
  <c r="Q5" i="14"/>
  <c r="P5" i="14" s="1"/>
  <c r="M5" i="14"/>
  <c r="H6" i="14"/>
  <c r="DX6" i="14" s="1"/>
  <c r="E6" i="14"/>
  <c r="C6" i="14"/>
  <c r="D7" i="14"/>
  <c r="G6" i="14"/>
  <c r="AF4" i="14" l="1"/>
  <c r="L6" i="14"/>
  <c r="AP3" i="14"/>
  <c r="AM4" i="14"/>
  <c r="AN4" i="14"/>
  <c r="AX3" i="14"/>
  <c r="AW3" i="14"/>
  <c r="V5" i="14"/>
  <c r="AC5" i="14"/>
  <c r="AD5" i="14"/>
  <c r="T6" i="14"/>
  <c r="S6" i="14"/>
  <c r="W5" i="14"/>
  <c r="Y5" i="14"/>
  <c r="J7" i="14"/>
  <c r="I7" i="14"/>
  <c r="X6" i="14"/>
  <c r="AA6" i="14" s="1"/>
  <c r="Z6" i="14" s="1"/>
  <c r="AB5" i="14"/>
  <c r="AU3" i="14"/>
  <c r="AT3" i="14" s="1"/>
  <c r="AS3" i="14"/>
  <c r="BB3" i="14"/>
  <c r="AQ3" i="14"/>
  <c r="AR4" i="14"/>
  <c r="AL4" i="14"/>
  <c r="AK4" i="14"/>
  <c r="AJ4" i="14" s="1"/>
  <c r="AG4" i="14"/>
  <c r="AI4" i="14"/>
  <c r="AH5" i="14"/>
  <c r="F6" i="14"/>
  <c r="DV6" i="14" s="1"/>
  <c r="DW6" i="14"/>
  <c r="C13" i="10"/>
  <c r="B14" i="10"/>
  <c r="F10" i="28"/>
  <c r="F13" i="28" s="1"/>
  <c r="B6" i="28"/>
  <c r="D105" i="29"/>
  <c r="D139" i="29"/>
  <c r="D138" i="29" s="1"/>
  <c r="D111" i="29"/>
  <c r="D140" i="29"/>
  <c r="D135" i="29"/>
  <c r="D113" i="29"/>
  <c r="D108" i="29"/>
  <c r="D106" i="29"/>
  <c r="H7" i="14"/>
  <c r="DX7" i="14" s="1"/>
  <c r="C7" i="14"/>
  <c r="D8" i="14"/>
  <c r="E7" i="14"/>
  <c r="G7" i="14"/>
  <c r="BV2" i="14"/>
  <c r="BK2" i="14"/>
  <c r="BK1" i="14"/>
  <c r="D12" i="29"/>
  <c r="D14" i="29"/>
  <c r="D30" i="29"/>
  <c r="R6" i="14"/>
  <c r="N7" i="14"/>
  <c r="O6" i="14"/>
  <c r="M6" i="14"/>
  <c r="Q6" i="14"/>
  <c r="P6" i="14" s="1"/>
  <c r="B9" i="28" l="1"/>
  <c r="B7" i="28" a="1"/>
  <c r="AF5" i="14"/>
  <c r="L7" i="14"/>
  <c r="AZ3" i="14"/>
  <c r="BH3" i="14"/>
  <c r="BG3" i="14"/>
  <c r="V6" i="14"/>
  <c r="AW4" i="14"/>
  <c r="AX4" i="14"/>
  <c r="AN5" i="14"/>
  <c r="AM5" i="14"/>
  <c r="AP4" i="14"/>
  <c r="AB6" i="14"/>
  <c r="AC6" i="14"/>
  <c r="AD6" i="14"/>
  <c r="W6" i="14"/>
  <c r="Y6" i="14"/>
  <c r="X7" i="14"/>
  <c r="Y7" i="14" s="1"/>
  <c r="S7" i="14"/>
  <c r="T7" i="14"/>
  <c r="J8" i="14"/>
  <c r="I8" i="14"/>
  <c r="AS4" i="14"/>
  <c r="BL3" i="14"/>
  <c r="BE3" i="14"/>
  <c r="BD3" i="14" s="1"/>
  <c r="AQ4" i="14"/>
  <c r="AR5" i="14"/>
  <c r="AU4" i="14"/>
  <c r="AT4" i="14" s="1"/>
  <c r="AV4" i="14"/>
  <c r="BC3" i="14"/>
  <c r="BA3" i="14"/>
  <c r="BB4" i="14"/>
  <c r="BF3" i="14"/>
  <c r="AG5" i="14"/>
  <c r="AK5" i="14"/>
  <c r="AJ5" i="14" s="1"/>
  <c r="AL5" i="14"/>
  <c r="AI5" i="14"/>
  <c r="AH6" i="14"/>
  <c r="F7" i="14"/>
  <c r="DV7" i="14" s="1"/>
  <c r="DW7" i="14"/>
  <c r="C14" i="10"/>
  <c r="B15" i="10"/>
  <c r="B8" i="28" a="1"/>
  <c r="G10" i="28"/>
  <c r="G13" i="28" s="1"/>
  <c r="D114" i="29"/>
  <c r="D112" i="29"/>
  <c r="A4" i="29" s="1" a="1"/>
  <c r="R7" i="14"/>
  <c r="N8" i="14"/>
  <c r="M7" i="14"/>
  <c r="O7" i="14"/>
  <c r="Q7" i="14"/>
  <c r="P7" i="14" s="1"/>
  <c r="CF2" i="14"/>
  <c r="BU1" i="14"/>
  <c r="BU2" i="14"/>
  <c r="H8" i="14"/>
  <c r="DX8" i="14" s="1"/>
  <c r="E8" i="14"/>
  <c r="D9" i="14"/>
  <c r="C8" i="14"/>
  <c r="G8" i="14"/>
  <c r="B7" i="28" l="1"/>
  <c r="D7" i="28"/>
  <c r="C7" i="28"/>
  <c r="H7" i="28"/>
  <c r="G7" i="28"/>
  <c r="F7" i="28"/>
  <c r="E7" i="28"/>
  <c r="AF6" i="14"/>
  <c r="BJ3" i="14"/>
  <c r="AP5" i="14"/>
  <c r="BG4" i="14"/>
  <c r="BH4" i="14"/>
  <c r="AZ4" i="14"/>
  <c r="BQ3" i="14"/>
  <c r="BR3" i="14"/>
  <c r="AA7" i="14"/>
  <c r="Z7" i="14" s="1"/>
  <c r="AM6" i="14"/>
  <c r="AN6" i="14"/>
  <c r="AW5" i="14"/>
  <c r="AX5" i="14"/>
  <c r="AV5" i="14"/>
  <c r="W7" i="14"/>
  <c r="AD7" i="14"/>
  <c r="AC7" i="14"/>
  <c r="X8" i="14"/>
  <c r="X9" i="14" s="1"/>
  <c r="AB7" i="14"/>
  <c r="J9" i="14"/>
  <c r="I9" i="14"/>
  <c r="L8" i="14"/>
  <c r="S8" i="14"/>
  <c r="T8" i="14"/>
  <c r="V7" i="14"/>
  <c r="AR6" i="14"/>
  <c r="BL4" i="14"/>
  <c r="BV3" i="14"/>
  <c r="CF3" i="14" s="1"/>
  <c r="BO3" i="14"/>
  <c r="BN3" i="14" s="1"/>
  <c r="BP3" i="14"/>
  <c r="BK3" i="14"/>
  <c r="BE4" i="14"/>
  <c r="BD4" i="14" s="1"/>
  <c r="BC4" i="14"/>
  <c r="BM3" i="14"/>
  <c r="BB5" i="14"/>
  <c r="BA4" i="14"/>
  <c r="BF4" i="14"/>
  <c r="AS5" i="14"/>
  <c r="AU5" i="14"/>
  <c r="AT5" i="14" s="1"/>
  <c r="AQ5" i="14"/>
  <c r="AK6" i="14"/>
  <c r="AJ6" i="14" s="1"/>
  <c r="AH7" i="14"/>
  <c r="AL6" i="14"/>
  <c r="AI6" i="14"/>
  <c r="AG6" i="14"/>
  <c r="F8" i="14"/>
  <c r="DV8" i="14" s="1"/>
  <c r="DW8" i="14"/>
  <c r="B16" i="10"/>
  <c r="C15" i="10"/>
  <c r="H10" i="28"/>
  <c r="H13" i="28" s="1"/>
  <c r="E8" i="28"/>
  <c r="G8" i="28"/>
  <c r="C8" i="28"/>
  <c r="B8" i="28"/>
  <c r="D8" i="28"/>
  <c r="F8" i="28"/>
  <c r="H8" i="28"/>
  <c r="A151" i="29"/>
  <c r="A7" i="29"/>
  <c r="A79" i="29"/>
  <c r="A174" i="29"/>
  <c r="A30" i="29"/>
  <c r="A50" i="29"/>
  <c r="A77" i="29"/>
  <c r="A134" i="29"/>
  <c r="A100" i="29"/>
  <c r="A51" i="29"/>
  <c r="A108" i="29"/>
  <c r="A167" i="29"/>
  <c r="A23" i="29"/>
  <c r="A82" i="29"/>
  <c r="A32" i="29"/>
  <c r="A97" i="29"/>
  <c r="A129" i="29"/>
  <c r="A164" i="29"/>
  <c r="A67" i="29"/>
  <c r="A162" i="29"/>
  <c r="A18" i="29"/>
  <c r="A14" i="29"/>
  <c r="A65" i="29"/>
  <c r="A98" i="29"/>
  <c r="A88" i="29"/>
  <c r="A146" i="29"/>
  <c r="A96" i="29"/>
  <c r="A155" i="29"/>
  <c r="A11" i="29"/>
  <c r="A70" i="29"/>
  <c r="A157" i="29"/>
  <c r="A181" i="29"/>
  <c r="A81" i="29"/>
  <c r="A116" i="29"/>
  <c r="A199" i="29"/>
  <c r="A43" i="29"/>
  <c r="A138" i="29"/>
  <c r="A183" i="29"/>
  <c r="A185" i="29"/>
  <c r="A41" i="29"/>
  <c r="A38" i="29"/>
  <c r="A64" i="29"/>
  <c r="A74" i="29"/>
  <c r="A72" i="29"/>
  <c r="A131" i="29"/>
  <c r="A190" i="29"/>
  <c r="A46" i="29"/>
  <c r="A13" i="29"/>
  <c r="A85" i="29"/>
  <c r="A109" i="29"/>
  <c r="A21" i="29"/>
  <c r="A115" i="29"/>
  <c r="A150" i="29"/>
  <c r="A63" i="29"/>
  <c r="A113" i="29"/>
  <c r="A62" i="29"/>
  <c r="A28" i="29"/>
  <c r="A144" i="29"/>
  <c r="A143" i="29"/>
  <c r="A154" i="29"/>
  <c r="A8" i="29"/>
  <c r="A133" i="29"/>
  <c r="A104" i="29"/>
  <c r="A91" i="29"/>
  <c r="A114" i="29"/>
  <c r="A182" i="29"/>
  <c r="A89" i="29"/>
  <c r="A184" i="29"/>
  <c r="A4" i="29"/>
  <c r="A120" i="29"/>
  <c r="A107" i="29"/>
  <c r="A130" i="29"/>
  <c r="A80" i="29"/>
  <c r="A176" i="29"/>
  <c r="A165" i="29"/>
  <c r="A55" i="29"/>
  <c r="A102" i="29"/>
  <c r="A158" i="29"/>
  <c r="A53" i="29"/>
  <c r="A172" i="29"/>
  <c r="A195" i="29"/>
  <c r="A84" i="29"/>
  <c r="A95" i="29"/>
  <c r="A118" i="29"/>
  <c r="A153" i="29"/>
  <c r="A61" i="29"/>
  <c r="A117" i="29"/>
  <c r="A103" i="29"/>
  <c r="A66" i="29"/>
  <c r="A149" i="29"/>
  <c r="A196" i="29"/>
  <c r="A110" i="29"/>
  <c r="A203" i="29"/>
  <c r="A142" i="29"/>
  <c r="A92" i="29"/>
  <c r="A33" i="29"/>
  <c r="A31" i="29"/>
  <c r="A54" i="29"/>
  <c r="A137" i="29"/>
  <c r="A160" i="29"/>
  <c r="A26" i="29"/>
  <c r="A191" i="29"/>
  <c r="A106" i="29"/>
  <c r="A44" i="29"/>
  <c r="A20" i="29"/>
  <c r="A171" i="29"/>
  <c r="A6" i="29"/>
  <c r="A101" i="29"/>
  <c r="A136" i="29"/>
  <c r="A180" i="29"/>
  <c r="A119" i="29"/>
  <c r="A58" i="29"/>
  <c r="A121" i="29"/>
  <c r="A10" i="29"/>
  <c r="A19" i="29"/>
  <c r="A15" i="29"/>
  <c r="A27" i="29"/>
  <c r="A192" i="29"/>
  <c r="A59" i="29"/>
  <c r="A128" i="29"/>
  <c r="A152" i="29"/>
  <c r="A123" i="29"/>
  <c r="A122" i="29"/>
  <c r="A194" i="29"/>
  <c r="A168" i="29"/>
  <c r="A47" i="29"/>
  <c r="A188" i="29"/>
  <c r="A69" i="29"/>
  <c r="A87" i="29"/>
  <c r="A86" i="29"/>
  <c r="A170" i="29"/>
  <c r="A156" i="29"/>
  <c r="A35" i="29"/>
  <c r="A140" i="29"/>
  <c r="A22" i="29"/>
  <c r="A39" i="29"/>
  <c r="A197" i="29"/>
  <c r="A148" i="29"/>
  <c r="A132" i="29"/>
  <c r="A202" i="29"/>
  <c r="A169" i="29"/>
  <c r="A68" i="29"/>
  <c r="A126" i="29"/>
  <c r="A125" i="29"/>
  <c r="A76" i="29"/>
  <c r="A36" i="29"/>
  <c r="A94" i="29"/>
  <c r="A37" i="29"/>
  <c r="A56" i="29"/>
  <c r="A139" i="29"/>
  <c r="A17" i="29"/>
  <c r="A48" i="29"/>
  <c r="A45" i="29"/>
  <c r="A127" i="29"/>
  <c r="A5" i="29"/>
  <c r="A24" i="29"/>
  <c r="A73" i="29"/>
  <c r="A198" i="29"/>
  <c r="A135" i="29"/>
  <c r="A12" i="29"/>
  <c r="A25" i="29"/>
  <c r="A186" i="29"/>
  <c r="A75" i="29"/>
  <c r="A179" i="29"/>
  <c r="A201" i="29"/>
  <c r="A78" i="29"/>
  <c r="A112" i="29"/>
  <c r="A71" i="29"/>
  <c r="A193" i="29"/>
  <c r="A42" i="29"/>
  <c r="A52" i="29"/>
  <c r="A178" i="29"/>
  <c r="A49" i="29"/>
  <c r="A16" i="29"/>
  <c r="A105" i="29"/>
  <c r="A187" i="29"/>
  <c r="A159" i="29"/>
  <c r="A200" i="29"/>
  <c r="A175" i="29"/>
  <c r="A99" i="29"/>
  <c r="A145" i="29"/>
  <c r="A163" i="29"/>
  <c r="A60" i="29"/>
  <c r="A9" i="29"/>
  <c r="A90" i="29"/>
  <c r="A83" i="29"/>
  <c r="A147" i="29"/>
  <c r="A166" i="29"/>
  <c r="A161" i="29"/>
  <c r="A29" i="29"/>
  <c r="A141" i="29"/>
  <c r="A124" i="29"/>
  <c r="A40" i="29"/>
  <c r="A34" i="29"/>
  <c r="A189" i="29"/>
  <c r="A173" i="29"/>
  <c r="A111" i="29"/>
  <c r="A93" i="29"/>
  <c r="A57" i="29"/>
  <c r="A177" i="29"/>
  <c r="R8" i="14"/>
  <c r="O8" i="14"/>
  <c r="M8" i="14"/>
  <c r="N9" i="14"/>
  <c r="Q8" i="14"/>
  <c r="P8" i="14" s="1"/>
  <c r="H9" i="14"/>
  <c r="DX9" i="14" s="1"/>
  <c r="C9" i="14"/>
  <c r="D10" i="14"/>
  <c r="E9" i="14"/>
  <c r="G9" i="14"/>
  <c r="CE2" i="14"/>
  <c r="CE1" i="14"/>
  <c r="CP2" i="14"/>
  <c r="B11" i="28" l="1" a="1"/>
  <c r="AF7" i="14"/>
  <c r="CL3" i="14"/>
  <c r="CK3" i="14"/>
  <c r="CB3" i="14"/>
  <c r="CA3" i="14"/>
  <c r="BT3" i="14"/>
  <c r="BG5" i="14"/>
  <c r="BH5" i="14"/>
  <c r="AZ5" i="14"/>
  <c r="BQ4" i="14"/>
  <c r="BR4" i="14"/>
  <c r="BJ4" i="14"/>
  <c r="AW6" i="14"/>
  <c r="AX6" i="14"/>
  <c r="AN7" i="14"/>
  <c r="AM7" i="14"/>
  <c r="W8" i="14"/>
  <c r="BK4" i="14"/>
  <c r="AP6" i="14"/>
  <c r="AA8" i="14"/>
  <c r="Z8" i="14" s="1"/>
  <c r="AB8" i="14"/>
  <c r="Y8" i="14"/>
  <c r="L9" i="14"/>
  <c r="AD8" i="14"/>
  <c r="AC8" i="14"/>
  <c r="AC9" i="14"/>
  <c r="AD9" i="14"/>
  <c r="AR7" i="14"/>
  <c r="AW7" i="14" s="1"/>
  <c r="AV6" i="14"/>
  <c r="AQ6" i="14"/>
  <c r="BP4" i="14"/>
  <c r="I10" i="14"/>
  <c r="J10" i="14"/>
  <c r="V8" i="14"/>
  <c r="BO4" i="14"/>
  <c r="BN4" i="14" s="1"/>
  <c r="BY3" i="14"/>
  <c r="BX3" i="14" s="1"/>
  <c r="AS6" i="14"/>
  <c r="T9" i="14"/>
  <c r="S9" i="14"/>
  <c r="BM4" i="14"/>
  <c r="AU6" i="14"/>
  <c r="AT6" i="14" s="1"/>
  <c r="BL5" i="14"/>
  <c r="BZ3" i="14"/>
  <c r="BW3" i="14"/>
  <c r="BF5" i="14"/>
  <c r="BU3" i="14"/>
  <c r="BV4" i="14"/>
  <c r="BC5" i="14"/>
  <c r="BA5" i="14"/>
  <c r="BE5" i="14"/>
  <c r="BD5" i="14" s="1"/>
  <c r="BB6" i="14"/>
  <c r="CJ3" i="14"/>
  <c r="CG3" i="14"/>
  <c r="AL7" i="14"/>
  <c r="AI7" i="14"/>
  <c r="AG7" i="14"/>
  <c r="AK7" i="14"/>
  <c r="AJ7" i="14" s="1"/>
  <c r="AH8" i="14"/>
  <c r="CF4" i="14"/>
  <c r="CI3" i="14"/>
  <c r="CH3" i="14" s="1"/>
  <c r="CE3" i="14"/>
  <c r="CP3" i="14"/>
  <c r="F9" i="14"/>
  <c r="DV9" i="14" s="1"/>
  <c r="DW9" i="14"/>
  <c r="B17" i="10"/>
  <c r="C16" i="10"/>
  <c r="B14" i="28"/>
  <c r="B12" i="28" a="1"/>
  <c r="R9" i="14"/>
  <c r="O9" i="14"/>
  <c r="N10" i="14"/>
  <c r="M9" i="14"/>
  <c r="Q9" i="14"/>
  <c r="P9" i="14" s="1"/>
  <c r="CO2" i="14"/>
  <c r="CZ2" i="14"/>
  <c r="CO1" i="14"/>
  <c r="AB9" i="14"/>
  <c r="X10" i="14"/>
  <c r="Y9" i="14"/>
  <c r="W9" i="14"/>
  <c r="AA9" i="14"/>
  <c r="Z9" i="14" s="1"/>
  <c r="H10" i="14"/>
  <c r="DX10" i="14" s="1"/>
  <c r="C10" i="14"/>
  <c r="E10" i="14"/>
  <c r="D11" i="14"/>
  <c r="G10" i="14"/>
  <c r="B17" i="28" l="1"/>
  <c r="B11" i="28"/>
  <c r="E11" i="28"/>
  <c r="C11" i="28"/>
  <c r="F11" i="28"/>
  <c r="H11" i="28"/>
  <c r="G11" i="28"/>
  <c r="D11" i="28"/>
  <c r="CD3" i="14"/>
  <c r="AF8" i="14"/>
  <c r="AF9" i="14"/>
  <c r="CN3" i="14"/>
  <c r="CV3" i="14"/>
  <c r="CU3" i="14"/>
  <c r="CK4" i="14"/>
  <c r="CL4" i="14"/>
  <c r="AZ6" i="14"/>
  <c r="BT4" i="14"/>
  <c r="BH6" i="14"/>
  <c r="BG6" i="14"/>
  <c r="BJ5" i="14"/>
  <c r="BQ5" i="14"/>
  <c r="BR5" i="14"/>
  <c r="CA4" i="14"/>
  <c r="CB4" i="14"/>
  <c r="AP7" i="14"/>
  <c r="AX7" i="14"/>
  <c r="AU7" i="14"/>
  <c r="AT7" i="14" s="1"/>
  <c r="AN8" i="14"/>
  <c r="AM8" i="14"/>
  <c r="BO5" i="14"/>
  <c r="BN5" i="14" s="1"/>
  <c r="V9" i="14"/>
  <c r="AC10" i="14"/>
  <c r="AD10" i="14"/>
  <c r="BK5" i="14"/>
  <c r="AS7" i="14"/>
  <c r="BL6" i="14"/>
  <c r="AV7" i="14"/>
  <c r="BP5" i="14"/>
  <c r="BM5" i="14"/>
  <c r="AR8" i="14"/>
  <c r="AQ7" i="14"/>
  <c r="L10" i="14"/>
  <c r="S10" i="14"/>
  <c r="T10" i="14"/>
  <c r="I11" i="14"/>
  <c r="J11" i="14"/>
  <c r="BZ4" i="14"/>
  <c r="BU4" i="14"/>
  <c r="BV5" i="14"/>
  <c r="BW4" i="14"/>
  <c r="BY4" i="14"/>
  <c r="BX4" i="14" s="1"/>
  <c r="BC6" i="14"/>
  <c r="BB7" i="14"/>
  <c r="BF6" i="14"/>
  <c r="BE6" i="14"/>
  <c r="BD6" i="14" s="1"/>
  <c r="BA6" i="14"/>
  <c r="CG4" i="14"/>
  <c r="CJ4" i="14"/>
  <c r="CO3" i="14"/>
  <c r="CE4" i="14"/>
  <c r="CQ3" i="14"/>
  <c r="CF5" i="14"/>
  <c r="CP4" i="14"/>
  <c r="AI8" i="14"/>
  <c r="AL8" i="14"/>
  <c r="AG8" i="14"/>
  <c r="AH9" i="14"/>
  <c r="AK8" i="14"/>
  <c r="AJ8" i="14" s="1"/>
  <c r="CS3" i="14"/>
  <c r="CR3" i="14" s="1"/>
  <c r="CI4" i="14"/>
  <c r="CH4" i="14" s="1"/>
  <c r="CT3" i="14"/>
  <c r="F10" i="14"/>
  <c r="DV10" i="14" s="1"/>
  <c r="DW10" i="14"/>
  <c r="B18" i="10"/>
  <c r="C17" i="10"/>
  <c r="G12" i="28"/>
  <c r="E12" i="28"/>
  <c r="F12" i="28"/>
  <c r="D12" i="28"/>
  <c r="C12" i="28"/>
  <c r="B12" i="28"/>
  <c r="H12" i="28"/>
  <c r="C14" i="28"/>
  <c r="C17" i="28" s="1"/>
  <c r="CY1" i="14"/>
  <c r="DJ2" i="14"/>
  <c r="CY2" i="14"/>
  <c r="M10" i="14"/>
  <c r="O10" i="14"/>
  <c r="N11" i="14"/>
  <c r="R10" i="14"/>
  <c r="Q10" i="14"/>
  <c r="P10" i="14" s="1"/>
  <c r="CZ3" i="14"/>
  <c r="H11" i="14"/>
  <c r="DX11" i="14" s="1"/>
  <c r="E11" i="14"/>
  <c r="C11" i="14"/>
  <c r="D12" i="14"/>
  <c r="G11" i="14"/>
  <c r="AB10" i="14"/>
  <c r="X11" i="14"/>
  <c r="Y10" i="14"/>
  <c r="W10" i="14"/>
  <c r="AA10" i="14"/>
  <c r="Z10" i="14" s="1"/>
  <c r="CX3" i="14" l="1"/>
  <c r="AF10" i="14"/>
  <c r="CD4" i="14"/>
  <c r="BJ6" i="14"/>
  <c r="DE3" i="14"/>
  <c r="DF3" i="14"/>
  <c r="CN4" i="14"/>
  <c r="CV4" i="14"/>
  <c r="CU4" i="14"/>
  <c r="CL5" i="14"/>
  <c r="CK5" i="14"/>
  <c r="AZ7" i="14"/>
  <c r="BT5" i="14"/>
  <c r="BQ6" i="14"/>
  <c r="BR6" i="14"/>
  <c r="BH7" i="14"/>
  <c r="BG7" i="14"/>
  <c r="AP8" i="14"/>
  <c r="CB5" i="14"/>
  <c r="CA5" i="14"/>
  <c r="AW8" i="14"/>
  <c r="AX8" i="14"/>
  <c r="AV8" i="14"/>
  <c r="AN9" i="14"/>
  <c r="AM9" i="14"/>
  <c r="BO6" i="14"/>
  <c r="BN6" i="14" s="1"/>
  <c r="BK6" i="14"/>
  <c r="BM6" i="14"/>
  <c r="CS4" i="14"/>
  <c r="CR4" i="14" s="1"/>
  <c r="BL7" i="14"/>
  <c r="V10" i="14"/>
  <c r="AD11" i="14"/>
  <c r="AC11" i="14"/>
  <c r="BP6" i="14"/>
  <c r="AU8" i="14"/>
  <c r="AT8" i="14" s="1"/>
  <c r="AR9" i="14"/>
  <c r="AS8" i="14"/>
  <c r="AQ8" i="14"/>
  <c r="BU5" i="14"/>
  <c r="BV6" i="14"/>
  <c r="J12" i="14"/>
  <c r="I12" i="14"/>
  <c r="L11" i="14"/>
  <c r="BY5" i="14"/>
  <c r="BX5" i="14" s="1"/>
  <c r="S11" i="14"/>
  <c r="T11" i="14"/>
  <c r="BE7" i="14"/>
  <c r="BD7" i="14" s="1"/>
  <c r="BB8" i="14"/>
  <c r="BA7" i="14"/>
  <c r="BF7" i="14"/>
  <c r="BZ5" i="14"/>
  <c r="BW5" i="14"/>
  <c r="BC7" i="14"/>
  <c r="CQ4" i="14"/>
  <c r="CT4" i="14"/>
  <c r="CO4" i="14"/>
  <c r="CP5" i="14"/>
  <c r="CI5" i="14"/>
  <c r="CH5" i="14" s="1"/>
  <c r="CE5" i="14"/>
  <c r="CF6" i="14"/>
  <c r="CJ6" i="14" s="1"/>
  <c r="CG5" i="14"/>
  <c r="CJ5" i="14"/>
  <c r="AL9" i="14"/>
  <c r="AI9" i="14"/>
  <c r="AG9" i="14"/>
  <c r="AH10" i="14"/>
  <c r="AK9" i="14"/>
  <c r="AJ9" i="14" s="1"/>
  <c r="F11" i="14"/>
  <c r="DV11" i="14" s="1"/>
  <c r="DW11" i="14"/>
  <c r="B19" i="10"/>
  <c r="C18" i="10"/>
  <c r="D14" i="28"/>
  <c r="D17" i="28" s="1"/>
  <c r="H12" i="14"/>
  <c r="DX12" i="14" s="1"/>
  <c r="E12" i="14"/>
  <c r="C12" i="14"/>
  <c r="D13" i="14"/>
  <c r="G12" i="14"/>
  <c r="R11" i="14"/>
  <c r="O11" i="14"/>
  <c r="N12" i="14"/>
  <c r="M11" i="14"/>
  <c r="Q11" i="14"/>
  <c r="P11" i="14" s="1"/>
  <c r="DD3" i="14"/>
  <c r="CZ4" i="14"/>
  <c r="DA3" i="14"/>
  <c r="CY3" i="14"/>
  <c r="DC3" i="14"/>
  <c r="DB3" i="14" s="1"/>
  <c r="DI2" i="14"/>
  <c r="DI1" i="14"/>
  <c r="DT2" i="14"/>
  <c r="AB11" i="14"/>
  <c r="Y11" i="14"/>
  <c r="X12" i="14"/>
  <c r="W11" i="14"/>
  <c r="AA11" i="14"/>
  <c r="Z11" i="14" s="1"/>
  <c r="DJ3" i="14"/>
  <c r="AF11" i="14" l="1"/>
  <c r="CX4" i="14"/>
  <c r="CD5" i="14"/>
  <c r="CN5" i="14"/>
  <c r="DO3" i="14"/>
  <c r="DP3" i="14"/>
  <c r="DH3" i="14"/>
  <c r="DF4" i="14"/>
  <c r="DE4" i="14"/>
  <c r="CV5" i="14"/>
  <c r="CU5" i="14"/>
  <c r="CK6" i="14"/>
  <c r="CL6" i="14"/>
  <c r="BJ7" i="14"/>
  <c r="AZ8" i="14"/>
  <c r="BH8" i="14"/>
  <c r="BG8" i="14"/>
  <c r="BQ7" i="14"/>
  <c r="BR7" i="14"/>
  <c r="BT6" i="14"/>
  <c r="CB6" i="14"/>
  <c r="CA6" i="14"/>
  <c r="BY6" i="14"/>
  <c r="BX6" i="14" s="1"/>
  <c r="AP9" i="14"/>
  <c r="CG6" i="14"/>
  <c r="BO7" i="14"/>
  <c r="BN7" i="14" s="1"/>
  <c r="BL8" i="14"/>
  <c r="BM7" i="14"/>
  <c r="BK7" i="14"/>
  <c r="BP7" i="14"/>
  <c r="AX9" i="14"/>
  <c r="AW9" i="14"/>
  <c r="BF8" i="14"/>
  <c r="AM10" i="14"/>
  <c r="AN10" i="14"/>
  <c r="BW6" i="14"/>
  <c r="BV7" i="14"/>
  <c r="BU7" i="14" s="1"/>
  <c r="BU6" i="14"/>
  <c r="BZ6" i="14"/>
  <c r="AR10" i="14"/>
  <c r="AV10" i="14" s="1"/>
  <c r="AV9" i="14"/>
  <c r="AU9" i="14"/>
  <c r="AT9" i="14" s="1"/>
  <c r="L12" i="14"/>
  <c r="AS9" i="14"/>
  <c r="AQ9" i="14"/>
  <c r="AD12" i="14"/>
  <c r="AC12" i="14"/>
  <c r="T12" i="14"/>
  <c r="S12" i="14"/>
  <c r="J13" i="14"/>
  <c r="I13" i="14"/>
  <c r="V11" i="14"/>
  <c r="BC8" i="14"/>
  <c r="BA8" i="14"/>
  <c r="BE8" i="14"/>
  <c r="BD8" i="14" s="1"/>
  <c r="BB9" i="14"/>
  <c r="CF7" i="14"/>
  <c r="CE6" i="14"/>
  <c r="CP6" i="14"/>
  <c r="CT5" i="14"/>
  <c r="CQ5" i="14"/>
  <c r="CO5" i="14"/>
  <c r="CS5" i="14"/>
  <c r="CR5" i="14" s="1"/>
  <c r="CI6" i="14"/>
  <c r="CH6" i="14" s="1"/>
  <c r="DT3" i="14"/>
  <c r="AH11" i="14"/>
  <c r="AG10" i="14"/>
  <c r="AI10" i="14"/>
  <c r="AK10" i="14"/>
  <c r="AJ10" i="14" s="1"/>
  <c r="AL10" i="14"/>
  <c r="F12" i="14"/>
  <c r="DV12" i="14" s="1"/>
  <c r="DW12" i="14"/>
  <c r="B20" i="10"/>
  <c r="C19" i="10"/>
  <c r="E14" i="28"/>
  <c r="E17" i="28" s="1"/>
  <c r="R12" i="14"/>
  <c r="O12" i="14"/>
  <c r="M12" i="14"/>
  <c r="N13" i="14"/>
  <c r="Q12" i="14"/>
  <c r="P12" i="14" s="1"/>
  <c r="DS1" i="14"/>
  <c r="DS2" i="14"/>
  <c r="DD4" i="14"/>
  <c r="CY4" i="14"/>
  <c r="DA4" i="14"/>
  <c r="CZ5" i="14"/>
  <c r="DC4" i="14"/>
  <c r="DB4" i="14" s="1"/>
  <c r="AB12" i="14"/>
  <c r="X13" i="14"/>
  <c r="W12" i="14"/>
  <c r="Y12" i="14"/>
  <c r="AA12" i="14"/>
  <c r="Z12" i="14" s="1"/>
  <c r="H13" i="14"/>
  <c r="DX13" i="14" s="1"/>
  <c r="C13" i="14"/>
  <c r="E13" i="14"/>
  <c r="D14" i="14"/>
  <c r="G13" i="14"/>
  <c r="DN3" i="14"/>
  <c r="DI3" i="14"/>
  <c r="DK3" i="14"/>
  <c r="DJ4" i="14"/>
  <c r="DM3" i="14"/>
  <c r="DL3" i="14" s="1"/>
  <c r="AF12" i="14" l="1"/>
  <c r="CX5" i="14"/>
  <c r="CD6" i="14"/>
  <c r="DR3" i="14"/>
  <c r="DZ3" i="14"/>
  <c r="DY3" i="14"/>
  <c r="DP4" i="14"/>
  <c r="DO4" i="14"/>
  <c r="DH4" i="14"/>
  <c r="DF5" i="14"/>
  <c r="DE5" i="14"/>
  <c r="CN6" i="14"/>
  <c r="CV6" i="14"/>
  <c r="CU6" i="14"/>
  <c r="CL7" i="14"/>
  <c r="CK7" i="14"/>
  <c r="AZ9" i="14"/>
  <c r="BJ8" i="14"/>
  <c r="BH9" i="14"/>
  <c r="BG9" i="14"/>
  <c r="BT7" i="14"/>
  <c r="BR8" i="14"/>
  <c r="BQ8" i="14"/>
  <c r="CB7" i="14"/>
  <c r="CA7" i="14"/>
  <c r="BW7" i="14"/>
  <c r="BY7" i="14"/>
  <c r="BX7" i="14" s="1"/>
  <c r="BM8" i="14"/>
  <c r="BP8" i="14"/>
  <c r="BO8" i="14"/>
  <c r="BN8" i="14" s="1"/>
  <c r="BZ7" i="14"/>
  <c r="BK8" i="14"/>
  <c r="BV8" i="14"/>
  <c r="BL9" i="14"/>
  <c r="AP10" i="14"/>
  <c r="CI7" i="14"/>
  <c r="CH7" i="14" s="1"/>
  <c r="AX10" i="14"/>
  <c r="AW10" i="14"/>
  <c r="AN11" i="14"/>
  <c r="AM11" i="14"/>
  <c r="AS10" i="14"/>
  <c r="CE7" i="14"/>
  <c r="CG7" i="14"/>
  <c r="AU10" i="14"/>
  <c r="AT10" i="14" s="1"/>
  <c r="AQ10" i="14"/>
  <c r="AR11" i="14"/>
  <c r="V12" i="14"/>
  <c r="CQ6" i="14"/>
  <c r="AC13" i="14"/>
  <c r="AD13" i="14"/>
  <c r="CF8" i="14"/>
  <c r="CJ7" i="14"/>
  <c r="BC9" i="14"/>
  <c r="BA9" i="14"/>
  <c r="BE9" i="14"/>
  <c r="BD9" i="14" s="1"/>
  <c r="BB10" i="14"/>
  <c r="BF9" i="14"/>
  <c r="L13" i="14"/>
  <c r="J14" i="14"/>
  <c r="I14" i="14"/>
  <c r="T13" i="14"/>
  <c r="S13" i="14"/>
  <c r="CS6" i="14"/>
  <c r="CR6" i="14" s="1"/>
  <c r="CO6" i="14"/>
  <c r="CT6" i="14"/>
  <c r="CP7" i="14"/>
  <c r="DT4" i="14"/>
  <c r="DS3" i="14"/>
  <c r="DU3" i="14"/>
  <c r="AK11" i="14"/>
  <c r="AJ11" i="14" s="1"/>
  <c r="AI11" i="14"/>
  <c r="AG11" i="14"/>
  <c r="AL11" i="14"/>
  <c r="AH12" i="14"/>
  <c r="F13" i="14"/>
  <c r="DV13" i="14" s="1"/>
  <c r="DW13" i="14"/>
  <c r="B21" i="10"/>
  <c r="C20" i="10"/>
  <c r="F14" i="28"/>
  <c r="F17" i="28" s="1"/>
  <c r="DD5" i="14"/>
  <c r="DA5" i="14"/>
  <c r="CY5" i="14"/>
  <c r="CZ6" i="14"/>
  <c r="DC5" i="14"/>
  <c r="DB5" i="14" s="1"/>
  <c r="H14" i="14"/>
  <c r="DX14" i="14" s="1"/>
  <c r="D15" i="14"/>
  <c r="E14" i="14"/>
  <c r="C14" i="14"/>
  <c r="G14" i="14"/>
  <c r="DN4" i="14"/>
  <c r="DK4" i="14"/>
  <c r="DI4" i="14"/>
  <c r="DJ5" i="14"/>
  <c r="DM4" i="14"/>
  <c r="DL4" i="14" s="1"/>
  <c r="R13" i="14"/>
  <c r="M13" i="14"/>
  <c r="N14" i="14"/>
  <c r="O13" i="14"/>
  <c r="Q13" i="14"/>
  <c r="P13" i="14" s="1"/>
  <c r="AB13" i="14"/>
  <c r="W13" i="14"/>
  <c r="Y13" i="14"/>
  <c r="X14" i="14"/>
  <c r="AA13" i="14"/>
  <c r="Z13" i="14" s="1"/>
  <c r="CD7" i="14" l="1"/>
  <c r="EB3" i="14"/>
  <c r="CX6" i="14"/>
  <c r="DR4" i="14"/>
  <c r="AF13" i="14"/>
  <c r="CN7" i="14"/>
  <c r="DH5" i="14"/>
  <c r="DY4" i="14"/>
  <c r="DZ4" i="14"/>
  <c r="DP5" i="14"/>
  <c r="DO5" i="14"/>
  <c r="BJ9" i="14"/>
  <c r="AZ10" i="14"/>
  <c r="DF6" i="14"/>
  <c r="DE6" i="14"/>
  <c r="BT8" i="14"/>
  <c r="CV7" i="14"/>
  <c r="CU7" i="14"/>
  <c r="CL8" i="14"/>
  <c r="CK8" i="14"/>
  <c r="BG10" i="14"/>
  <c r="BH10" i="14"/>
  <c r="BL10" i="14"/>
  <c r="BP10" i="14" s="1"/>
  <c r="BQ9" i="14"/>
  <c r="BR9" i="14"/>
  <c r="AP11" i="14"/>
  <c r="CB8" i="14"/>
  <c r="CA8" i="14"/>
  <c r="BM9" i="14"/>
  <c r="BK9" i="14"/>
  <c r="BO9" i="14"/>
  <c r="BN9" i="14" s="1"/>
  <c r="CT7" i="14"/>
  <c r="BZ8" i="14"/>
  <c r="BU8" i="14"/>
  <c r="BV9" i="14"/>
  <c r="BY8" i="14"/>
  <c r="BX8" i="14" s="1"/>
  <c r="BW8" i="14"/>
  <c r="BP9" i="14"/>
  <c r="CF9" i="14"/>
  <c r="BF10" i="14"/>
  <c r="CJ8" i="14"/>
  <c r="AM12" i="14"/>
  <c r="AN12" i="14"/>
  <c r="CE8" i="14"/>
  <c r="AV11" i="14"/>
  <c r="AW11" i="14"/>
  <c r="AX11" i="14"/>
  <c r="BE10" i="14"/>
  <c r="BD10" i="14" s="1"/>
  <c r="AR12" i="14"/>
  <c r="AS12" i="14" s="1"/>
  <c r="BB11" i="14"/>
  <c r="BF11" i="14" s="1"/>
  <c r="AU11" i="14"/>
  <c r="AT11" i="14" s="1"/>
  <c r="AS11" i="14"/>
  <c r="BC10" i="14"/>
  <c r="AQ11" i="14"/>
  <c r="BA10" i="14"/>
  <c r="V13" i="14"/>
  <c r="CI8" i="14"/>
  <c r="CH8" i="14" s="1"/>
  <c r="CP8" i="14"/>
  <c r="CG8" i="14"/>
  <c r="CQ7" i="14"/>
  <c r="AC14" i="14"/>
  <c r="AD14" i="14"/>
  <c r="CS7" i="14"/>
  <c r="CR7" i="14" s="1"/>
  <c r="CO7" i="14"/>
  <c r="I15" i="14"/>
  <c r="J15" i="14"/>
  <c r="L14" i="14"/>
  <c r="S14" i="14"/>
  <c r="T14" i="14"/>
  <c r="DS4" i="14"/>
  <c r="DU4" i="14"/>
  <c r="DT5" i="14"/>
  <c r="AI12" i="14"/>
  <c r="AH13" i="14"/>
  <c r="AG12" i="14"/>
  <c r="AL12" i="14"/>
  <c r="AK12" i="14"/>
  <c r="AJ12" i="14" s="1"/>
  <c r="F14" i="14"/>
  <c r="DV14" i="14" s="1"/>
  <c r="DW14" i="14"/>
  <c r="C21" i="10"/>
  <c r="B22" i="10"/>
  <c r="G14" i="28"/>
  <c r="G17" i="28" s="1"/>
  <c r="DN5" i="14"/>
  <c r="DJ6" i="14"/>
  <c r="DI5" i="14"/>
  <c r="DM5" i="14"/>
  <c r="DL5" i="14" s="1"/>
  <c r="DK5" i="14"/>
  <c r="D16" i="14"/>
  <c r="C15" i="14"/>
  <c r="E15" i="14"/>
  <c r="H15" i="14"/>
  <c r="DX15" i="14" s="1"/>
  <c r="G15" i="14"/>
  <c r="AB14" i="14"/>
  <c r="X15" i="14"/>
  <c r="W14" i="14"/>
  <c r="Y14" i="14"/>
  <c r="AA14" i="14"/>
  <c r="Z14" i="14" s="1"/>
  <c r="CJ9" i="14"/>
  <c r="DD6" i="14"/>
  <c r="CZ7" i="14"/>
  <c r="DA6" i="14"/>
  <c r="CY6" i="14"/>
  <c r="DC6" i="14"/>
  <c r="DB6" i="14" s="1"/>
  <c r="R14" i="14"/>
  <c r="O14" i="14"/>
  <c r="N15" i="14"/>
  <c r="M14" i="14"/>
  <c r="Q14" i="14"/>
  <c r="P14" i="14" s="1"/>
  <c r="BB12" i="14"/>
  <c r="BC11" i="14" l="1"/>
  <c r="CX7" i="14"/>
  <c r="DR5" i="14"/>
  <c r="CD8" i="14"/>
  <c r="AF14" i="14"/>
  <c r="EB4" i="14"/>
  <c r="CN8" i="14"/>
  <c r="DY5" i="14"/>
  <c r="DZ5" i="14"/>
  <c r="DH6" i="14"/>
  <c r="DP6" i="14"/>
  <c r="DO6" i="14"/>
  <c r="DF7" i="14"/>
  <c r="DE7" i="14"/>
  <c r="BL11" i="14"/>
  <c r="BQ11" i="14" s="1"/>
  <c r="BO10" i="14"/>
  <c r="BN10" i="14" s="1"/>
  <c r="CV8" i="14"/>
  <c r="CU8" i="14"/>
  <c r="BM10" i="14"/>
  <c r="BK10" i="14"/>
  <c r="CQ8" i="14"/>
  <c r="CL9" i="14"/>
  <c r="CK9" i="14"/>
  <c r="BA11" i="14"/>
  <c r="BH11" i="14"/>
  <c r="BG11" i="14"/>
  <c r="AZ11" i="14"/>
  <c r="BT9" i="14"/>
  <c r="BR10" i="14"/>
  <c r="BQ10" i="14"/>
  <c r="BH12" i="14"/>
  <c r="BG12" i="14"/>
  <c r="BE11" i="14"/>
  <c r="BD11" i="14" s="1"/>
  <c r="BJ10" i="14"/>
  <c r="CO8" i="14"/>
  <c r="CT8" i="14"/>
  <c r="CB9" i="14"/>
  <c r="CA9" i="14"/>
  <c r="CS8" i="14"/>
  <c r="CR8" i="14" s="1"/>
  <c r="CP9" i="14"/>
  <c r="BW9" i="14"/>
  <c r="BY9" i="14"/>
  <c r="BX9" i="14" s="1"/>
  <c r="BU9" i="14"/>
  <c r="BV10" i="14"/>
  <c r="BZ10" i="14" s="1"/>
  <c r="BZ9" i="14"/>
  <c r="CI9" i="14"/>
  <c r="CH9" i="14" s="1"/>
  <c r="CF10" i="14"/>
  <c r="CE9" i="14"/>
  <c r="CG9" i="14"/>
  <c r="AM13" i="14"/>
  <c r="AN13" i="14"/>
  <c r="AW12" i="14"/>
  <c r="AX12" i="14"/>
  <c r="AU12" i="14"/>
  <c r="AT12" i="14" s="1"/>
  <c r="AV12" i="14"/>
  <c r="AR13" i="14"/>
  <c r="AQ13" i="14" s="1"/>
  <c r="AP12" i="14"/>
  <c r="AQ12" i="14"/>
  <c r="AC15" i="14"/>
  <c r="AD15" i="14"/>
  <c r="J16" i="14"/>
  <c r="I16" i="14"/>
  <c r="V14" i="14"/>
  <c r="S15" i="14"/>
  <c r="T15" i="14"/>
  <c r="L15" i="14"/>
  <c r="DT6" i="14"/>
  <c r="DU5" i="14"/>
  <c r="DS5" i="14"/>
  <c r="AI13" i="14"/>
  <c r="AG13" i="14"/>
  <c r="AK13" i="14"/>
  <c r="AJ13" i="14" s="1"/>
  <c r="AL13" i="14"/>
  <c r="AH14" i="14"/>
  <c r="F15" i="14"/>
  <c r="DV15" i="14" s="1"/>
  <c r="DW15" i="14"/>
  <c r="C22" i="10"/>
  <c r="B23" i="10"/>
  <c r="H14" i="28"/>
  <c r="H17" i="28" s="1"/>
  <c r="DD7" i="14"/>
  <c r="CZ8" i="14"/>
  <c r="DA7" i="14"/>
  <c r="DC7" i="14"/>
  <c r="DB7" i="14" s="1"/>
  <c r="CY7" i="14"/>
  <c r="AB15" i="14"/>
  <c r="W15" i="14"/>
  <c r="X16" i="14"/>
  <c r="Y15" i="14"/>
  <c r="AA15" i="14"/>
  <c r="Z15" i="14" s="1"/>
  <c r="R15" i="14"/>
  <c r="M15" i="14"/>
  <c r="N16" i="14"/>
  <c r="O15" i="14"/>
  <c r="Q15" i="14"/>
  <c r="P15" i="14" s="1"/>
  <c r="DN6" i="14"/>
  <c r="DK6" i="14"/>
  <c r="DM6" i="14"/>
  <c r="DL6" i="14" s="1"/>
  <c r="DI6" i="14"/>
  <c r="DJ7" i="14"/>
  <c r="BF12" i="14"/>
  <c r="BA12" i="14"/>
  <c r="BC12" i="14"/>
  <c r="BE12" i="14"/>
  <c r="BD12" i="14" s="1"/>
  <c r="BB13" i="14"/>
  <c r="H16" i="14"/>
  <c r="DX16" i="14" s="1"/>
  <c r="C16" i="14"/>
  <c r="E16" i="14"/>
  <c r="D17" i="14"/>
  <c r="G16" i="14"/>
  <c r="B15" i="28" l="1" a="1"/>
  <c r="DR6" i="14"/>
  <c r="CX8" i="14"/>
  <c r="CD9" i="14"/>
  <c r="DH7" i="14"/>
  <c r="AF15" i="14"/>
  <c r="EB5" i="14"/>
  <c r="BL12" i="14"/>
  <c r="BQ12" i="14" s="1"/>
  <c r="DZ6" i="14"/>
  <c r="DY6" i="14"/>
  <c r="BO11" i="14"/>
  <c r="BN11" i="14" s="1"/>
  <c r="BK11" i="14"/>
  <c r="BM11" i="14"/>
  <c r="BR11" i="14"/>
  <c r="BT11" i="14" s="1"/>
  <c r="BP11" i="14"/>
  <c r="DP7" i="14"/>
  <c r="DO7" i="14"/>
  <c r="BJ12" i="14"/>
  <c r="DF8" i="14"/>
  <c r="DE8" i="14"/>
  <c r="CN9" i="14"/>
  <c r="CV9" i="14"/>
  <c r="CU9" i="14"/>
  <c r="CS9" i="14"/>
  <c r="CR9" i="14" s="1"/>
  <c r="CL10" i="14"/>
  <c r="CK10" i="14"/>
  <c r="BJ11" i="14"/>
  <c r="CO9" i="14"/>
  <c r="CP10" i="14"/>
  <c r="CT10" i="14" s="1"/>
  <c r="CT9" i="14"/>
  <c r="BG13" i="14"/>
  <c r="BH13" i="14"/>
  <c r="BT10" i="14"/>
  <c r="AZ12" i="14"/>
  <c r="CE10" i="14"/>
  <c r="AV13" i="14"/>
  <c r="CQ9" i="14"/>
  <c r="AS13" i="14"/>
  <c r="CB10" i="14"/>
  <c r="CA10" i="14"/>
  <c r="AR14" i="14"/>
  <c r="AS14" i="14" s="1"/>
  <c r="BV11" i="14"/>
  <c r="BV12" i="14" s="1"/>
  <c r="BU10" i="14"/>
  <c r="BW10" i="14"/>
  <c r="BY10" i="14"/>
  <c r="BX10" i="14" s="1"/>
  <c r="AU13" i="14"/>
  <c r="AT13" i="14" s="1"/>
  <c r="CI10" i="14"/>
  <c r="CH10" i="14" s="1"/>
  <c r="CG10" i="14"/>
  <c r="CF11" i="14"/>
  <c r="CJ10" i="14"/>
  <c r="AN14" i="14"/>
  <c r="AM14" i="14"/>
  <c r="AW13" i="14"/>
  <c r="AX13" i="14"/>
  <c r="AP13" i="14"/>
  <c r="L16" i="14"/>
  <c r="DT7" i="14"/>
  <c r="DS6" i="14"/>
  <c r="DU6" i="14"/>
  <c r="AD16" i="14"/>
  <c r="AC16" i="14"/>
  <c r="V15" i="14"/>
  <c r="J17" i="14"/>
  <c r="I17" i="14"/>
  <c r="S16" i="14"/>
  <c r="T16" i="14"/>
  <c r="AL14" i="14"/>
  <c r="AI14" i="14"/>
  <c r="AG14" i="14"/>
  <c r="AH15" i="14"/>
  <c r="AK14" i="14"/>
  <c r="AJ14" i="14" s="1"/>
  <c r="F16" i="14"/>
  <c r="DV16" i="14" s="1"/>
  <c r="DW16" i="14"/>
  <c r="C23" i="10"/>
  <c r="B24" i="10"/>
  <c r="B18" i="28"/>
  <c r="B16" i="28" a="1"/>
  <c r="BF13" i="14"/>
  <c r="BC13" i="14"/>
  <c r="BB14" i="14"/>
  <c r="BA13" i="14"/>
  <c r="BE13" i="14"/>
  <c r="BD13" i="14" s="1"/>
  <c r="R16" i="14"/>
  <c r="N17" i="14"/>
  <c r="O16" i="14"/>
  <c r="Q16" i="14"/>
  <c r="P16" i="14" s="1"/>
  <c r="M16" i="14"/>
  <c r="DD8" i="14"/>
  <c r="DA8" i="14"/>
  <c r="CZ9" i="14"/>
  <c r="DC8" i="14"/>
  <c r="DB8" i="14" s="1"/>
  <c r="CY8" i="14"/>
  <c r="H17" i="14"/>
  <c r="DX17" i="14" s="1"/>
  <c r="C17" i="14"/>
  <c r="D18" i="14"/>
  <c r="E17" i="14"/>
  <c r="G17" i="14"/>
  <c r="DN7" i="14"/>
  <c r="DK7" i="14"/>
  <c r="DI7" i="14"/>
  <c r="DJ8" i="14"/>
  <c r="DM7" i="14"/>
  <c r="DL7" i="14" s="1"/>
  <c r="AB16" i="14"/>
  <c r="Y16" i="14"/>
  <c r="X17" i="14"/>
  <c r="W16" i="14"/>
  <c r="AA16" i="14"/>
  <c r="Z16" i="14" s="1"/>
  <c r="B21" i="28" l="1"/>
  <c r="B15" i="28"/>
  <c r="E15" i="28"/>
  <c r="D15" i="28"/>
  <c r="H15" i="28"/>
  <c r="G15" i="28"/>
  <c r="F15" i="28"/>
  <c r="C15" i="28"/>
  <c r="BK12" i="14"/>
  <c r="BO12" i="14"/>
  <c r="BN12" i="14" s="1"/>
  <c r="BR12" i="14"/>
  <c r="BT12" i="14" s="1"/>
  <c r="BP12" i="14"/>
  <c r="BM12" i="14"/>
  <c r="BL13" i="14"/>
  <c r="BM13" i="14" s="1"/>
  <c r="EB6" i="14"/>
  <c r="DR7" i="14"/>
  <c r="AF16" i="14"/>
  <c r="CX9" i="14"/>
  <c r="DH8" i="14"/>
  <c r="CD10" i="14"/>
  <c r="DZ7" i="14"/>
  <c r="DY7" i="14"/>
  <c r="DP8" i="14"/>
  <c r="DO8" i="14"/>
  <c r="CN10" i="14"/>
  <c r="DE9" i="14"/>
  <c r="DF9" i="14"/>
  <c r="CO10" i="14"/>
  <c r="CQ10" i="14"/>
  <c r="CS10" i="14"/>
  <c r="CR10" i="14" s="1"/>
  <c r="CV10" i="14"/>
  <c r="CU10" i="14"/>
  <c r="CP11" i="14"/>
  <c r="CT11" i="14" s="1"/>
  <c r="AP14" i="14"/>
  <c r="CL11" i="14"/>
  <c r="CK11" i="14"/>
  <c r="AV14" i="14"/>
  <c r="AR15" i="14"/>
  <c r="AW15" i="14" s="1"/>
  <c r="AW14" i="14"/>
  <c r="AZ13" i="14"/>
  <c r="BJ13" i="14"/>
  <c r="BR13" i="14"/>
  <c r="BH14" i="14"/>
  <c r="BG14" i="14"/>
  <c r="BY11" i="14"/>
  <c r="BX11" i="14" s="1"/>
  <c r="AU14" i="14"/>
  <c r="AT14" i="14" s="1"/>
  <c r="AX14" i="14"/>
  <c r="AQ14" i="14"/>
  <c r="CA12" i="14"/>
  <c r="CB12" i="14"/>
  <c r="CE11" i="14"/>
  <c r="BW11" i="14"/>
  <c r="CA11" i="14"/>
  <c r="CB11" i="14"/>
  <c r="CJ11" i="14"/>
  <c r="BU11" i="14"/>
  <c r="BZ11" i="14"/>
  <c r="CF12" i="14"/>
  <c r="CI11" i="14"/>
  <c r="CH11" i="14" s="1"/>
  <c r="CG11" i="14"/>
  <c r="DS7" i="14"/>
  <c r="DT8" i="14"/>
  <c r="DU8" i="14" s="1"/>
  <c r="DU7" i="14"/>
  <c r="AN15" i="14"/>
  <c r="AM15" i="14"/>
  <c r="AC17" i="14"/>
  <c r="AD17" i="14"/>
  <c r="J18" i="14"/>
  <c r="I18" i="14"/>
  <c r="BY12" i="14"/>
  <c r="BX12" i="14" s="1"/>
  <c r="BU12" i="14"/>
  <c r="BV13" i="14"/>
  <c r="BZ12" i="14"/>
  <c r="BW12" i="14"/>
  <c r="T17" i="14"/>
  <c r="S17" i="14"/>
  <c r="V16" i="14"/>
  <c r="L17" i="14"/>
  <c r="AL15" i="14"/>
  <c r="AI15" i="14"/>
  <c r="AG15" i="14"/>
  <c r="AH16" i="14"/>
  <c r="AK16" i="14" s="1"/>
  <c r="AK15" i="14"/>
  <c r="AJ15" i="14" s="1"/>
  <c r="F17" i="14"/>
  <c r="DV17" i="14" s="1"/>
  <c r="DW17" i="14"/>
  <c r="B25" i="10"/>
  <c r="C24" i="10"/>
  <c r="D16" i="28"/>
  <c r="H16" i="28"/>
  <c r="G16" i="28"/>
  <c r="C16" i="28"/>
  <c r="F16" i="28"/>
  <c r="B16" i="28"/>
  <c r="E16" i="28"/>
  <c r="C18" i="28"/>
  <c r="C21" i="28" s="1"/>
  <c r="H18" i="14"/>
  <c r="DX18" i="14" s="1"/>
  <c r="E18" i="14"/>
  <c r="C18" i="14"/>
  <c r="D19" i="14"/>
  <c r="G18" i="14"/>
  <c r="AB17" i="14"/>
  <c r="X18" i="14"/>
  <c r="W17" i="14"/>
  <c r="Y17" i="14"/>
  <c r="AA17" i="14"/>
  <c r="Z17" i="14" s="1"/>
  <c r="R17" i="14"/>
  <c r="N18" i="14"/>
  <c r="M17" i="14"/>
  <c r="O17" i="14"/>
  <c r="Q17" i="14"/>
  <c r="P17" i="14" s="1"/>
  <c r="DD9" i="14"/>
  <c r="CZ10" i="14"/>
  <c r="CY9" i="14"/>
  <c r="DA9" i="14"/>
  <c r="DC9" i="14"/>
  <c r="DB9" i="14" s="1"/>
  <c r="DN8" i="14"/>
  <c r="DJ9" i="14"/>
  <c r="DK8" i="14"/>
  <c r="DM8" i="14"/>
  <c r="DL8" i="14" s="1"/>
  <c r="DI8" i="14"/>
  <c r="BP13" i="14"/>
  <c r="BF14" i="14"/>
  <c r="BA14" i="14"/>
  <c r="BB15" i="14"/>
  <c r="BC14" i="14"/>
  <c r="BE14" i="14"/>
  <c r="BD14" i="14" s="1"/>
  <c r="BO13" i="14" l="1"/>
  <c r="BN13" i="14" s="1"/>
  <c r="BK13" i="14"/>
  <c r="BQ13" i="14"/>
  <c r="BT13" i="14" s="1"/>
  <c r="BL14" i="14"/>
  <c r="BP14" i="14" s="1"/>
  <c r="DR8" i="14"/>
  <c r="EB7" i="14"/>
  <c r="CX10" i="14"/>
  <c r="AF17" i="14"/>
  <c r="CD12" i="14"/>
  <c r="CD11" i="14"/>
  <c r="AS15" i="14"/>
  <c r="AR16" i="14"/>
  <c r="AQ16" i="14" s="1"/>
  <c r="DZ8" i="14"/>
  <c r="DY8" i="14"/>
  <c r="AV15" i="14"/>
  <c r="AX15" i="14"/>
  <c r="AZ15" i="14" s="1"/>
  <c r="AQ15" i="14"/>
  <c r="AU15" i="14"/>
  <c r="AT15" i="14" s="1"/>
  <c r="DP9" i="14"/>
  <c r="DO9" i="14"/>
  <c r="DS8" i="14"/>
  <c r="AP15" i="14"/>
  <c r="DE10" i="14"/>
  <c r="DF10" i="14"/>
  <c r="CO11" i="14"/>
  <c r="DH9" i="14"/>
  <c r="CN11" i="14"/>
  <c r="CV11" i="14"/>
  <c r="CU11" i="14"/>
  <c r="CS11" i="14"/>
  <c r="CR11" i="14" s="1"/>
  <c r="CQ11" i="14"/>
  <c r="CP12" i="14"/>
  <c r="CT12" i="14" s="1"/>
  <c r="AZ14" i="14"/>
  <c r="CL12" i="14"/>
  <c r="CK12" i="14"/>
  <c r="DT9" i="14"/>
  <c r="BJ14" i="14"/>
  <c r="BH15" i="14"/>
  <c r="BG15" i="14"/>
  <c r="CB13" i="14"/>
  <c r="CA13" i="14"/>
  <c r="CF13" i="14"/>
  <c r="CF14" i="14" s="1"/>
  <c r="CG12" i="14"/>
  <c r="CI12" i="14"/>
  <c r="CH12" i="14" s="1"/>
  <c r="CE12" i="14"/>
  <c r="CJ12" i="14"/>
  <c r="BY13" i="14"/>
  <c r="BX13" i="14" s="1"/>
  <c r="BV14" i="14"/>
  <c r="BZ14" i="14" s="1"/>
  <c r="AC18" i="14"/>
  <c r="AD18" i="14"/>
  <c r="BW13" i="14"/>
  <c r="BZ13" i="14"/>
  <c r="BU13" i="14"/>
  <c r="J19" i="14"/>
  <c r="I19" i="14"/>
  <c r="T18" i="14"/>
  <c r="S18" i="14"/>
  <c r="V17" i="14"/>
  <c r="L18" i="14"/>
  <c r="AM16" i="14"/>
  <c r="AN16" i="14"/>
  <c r="AI16" i="14"/>
  <c r="AH17" i="14"/>
  <c r="AL16" i="14"/>
  <c r="AG16" i="14"/>
  <c r="AJ16" i="14"/>
  <c r="F18" i="14"/>
  <c r="DV18" i="14" s="1"/>
  <c r="DW18" i="14"/>
  <c r="B26" i="10"/>
  <c r="C25" i="10"/>
  <c r="D18" i="28"/>
  <c r="D21" i="28" s="1"/>
  <c r="DD10" i="14"/>
  <c r="DA10" i="14"/>
  <c r="DC10" i="14"/>
  <c r="DB10" i="14" s="1"/>
  <c r="CZ11" i="14"/>
  <c r="CY10" i="14"/>
  <c r="X19" i="14"/>
  <c r="Y18" i="14"/>
  <c r="AB18" i="14"/>
  <c r="AA18" i="14"/>
  <c r="Z18" i="14" s="1"/>
  <c r="W18" i="14"/>
  <c r="BK14" i="14"/>
  <c r="R18" i="14"/>
  <c r="O18" i="14"/>
  <c r="M18" i="14"/>
  <c r="N19" i="14"/>
  <c r="Q18" i="14"/>
  <c r="P18" i="14" s="1"/>
  <c r="DN9" i="14"/>
  <c r="DK9" i="14"/>
  <c r="DI9" i="14"/>
  <c r="DM9" i="14"/>
  <c r="DL9" i="14" s="1"/>
  <c r="DJ10" i="14"/>
  <c r="BF15" i="14"/>
  <c r="BC15" i="14"/>
  <c r="BA15" i="14"/>
  <c r="BB16" i="14"/>
  <c r="BE15" i="14"/>
  <c r="BD15" i="14" s="1"/>
  <c r="H19" i="14"/>
  <c r="DX19" i="14" s="1"/>
  <c r="D20" i="14"/>
  <c r="C19" i="14"/>
  <c r="E19" i="14"/>
  <c r="G19" i="14"/>
  <c r="BM14" i="14" l="1"/>
  <c r="AW16" i="14"/>
  <c r="BR14" i="14"/>
  <c r="CJ13" i="14"/>
  <c r="BO14" i="14"/>
  <c r="BN14" i="14" s="1"/>
  <c r="BL15" i="14"/>
  <c r="BP15" i="14" s="1"/>
  <c r="BQ14" i="14"/>
  <c r="BT14" i="14" s="1"/>
  <c r="AU16" i="14"/>
  <c r="AT16" i="14" s="1"/>
  <c r="AS16" i="14"/>
  <c r="AR17" i="14"/>
  <c r="AW17" i="14" s="1"/>
  <c r="AX16" i="14"/>
  <c r="AV16" i="14"/>
  <c r="EB8" i="14"/>
  <c r="CX11" i="14"/>
  <c r="CD13" i="14"/>
  <c r="DR9" i="14"/>
  <c r="AF18" i="14"/>
  <c r="DZ9" i="14"/>
  <c r="DY9" i="14"/>
  <c r="DO10" i="14"/>
  <c r="DP10" i="14"/>
  <c r="CN12" i="14"/>
  <c r="BJ15" i="14"/>
  <c r="DF11" i="14"/>
  <c r="DE11" i="14"/>
  <c r="DH10" i="14"/>
  <c r="DT10" i="14"/>
  <c r="CP13" i="14"/>
  <c r="CS13" i="14" s="1"/>
  <c r="CR13" i="14" s="1"/>
  <c r="CS12" i="14"/>
  <c r="CR12" i="14" s="1"/>
  <c r="CO12" i="14"/>
  <c r="DS9" i="14"/>
  <c r="DU9" i="14"/>
  <c r="CV12" i="14"/>
  <c r="CU12" i="14"/>
  <c r="CQ12" i="14"/>
  <c r="CL14" i="14"/>
  <c r="CK14" i="14"/>
  <c r="CL13" i="14"/>
  <c r="CK13" i="14"/>
  <c r="AP16" i="14"/>
  <c r="CE13" i="14"/>
  <c r="BH16" i="14"/>
  <c r="BG16" i="14"/>
  <c r="CI13" i="14"/>
  <c r="CH13" i="14" s="1"/>
  <c r="CG13" i="14"/>
  <c r="BY14" i="14"/>
  <c r="BX14" i="14" s="1"/>
  <c r="CA14" i="14"/>
  <c r="CB14" i="14"/>
  <c r="BU14" i="14"/>
  <c r="V18" i="14"/>
  <c r="AN17" i="14"/>
  <c r="AM17" i="14"/>
  <c r="BW14" i="14"/>
  <c r="BV15" i="14"/>
  <c r="BW15" i="14" s="1"/>
  <c r="L19" i="14"/>
  <c r="AD19" i="14"/>
  <c r="AC19" i="14"/>
  <c r="S19" i="14"/>
  <c r="T19" i="14"/>
  <c r="I20" i="14"/>
  <c r="J20" i="14"/>
  <c r="AI17" i="14"/>
  <c r="AK17" i="14"/>
  <c r="AJ17" i="14" s="1"/>
  <c r="AG17" i="14"/>
  <c r="AL17" i="14"/>
  <c r="AH18" i="14"/>
  <c r="F19" i="14"/>
  <c r="DV19" i="14" s="1"/>
  <c r="DW19" i="14"/>
  <c r="C26" i="10"/>
  <c r="B27" i="10"/>
  <c r="E18" i="28"/>
  <c r="E21" i="28" s="1"/>
  <c r="H20" i="14"/>
  <c r="DX20" i="14" s="1"/>
  <c r="D21" i="14"/>
  <c r="C20" i="14"/>
  <c r="E20" i="14"/>
  <c r="G20" i="14"/>
  <c r="AB19" i="14"/>
  <c r="W19" i="14"/>
  <c r="X20" i="14"/>
  <c r="Y19" i="14"/>
  <c r="AA19" i="14"/>
  <c r="Z19" i="14" s="1"/>
  <c r="DD11" i="14"/>
  <c r="DA11" i="14"/>
  <c r="CY11" i="14"/>
  <c r="CZ12" i="14"/>
  <c r="DC11" i="14"/>
  <c r="DB11" i="14" s="1"/>
  <c r="BK15" i="14"/>
  <c r="BL16" i="14"/>
  <c r="BM15" i="14"/>
  <c r="BO15" i="14"/>
  <c r="BN15" i="14" s="1"/>
  <c r="BF16" i="14"/>
  <c r="BC16" i="14"/>
  <c r="BA16" i="14"/>
  <c r="BB17" i="14"/>
  <c r="BE16" i="14"/>
  <c r="BD16" i="14" s="1"/>
  <c r="CJ14" i="14"/>
  <c r="CG14" i="14"/>
  <c r="CF15" i="14"/>
  <c r="CE14" i="14"/>
  <c r="CI14" i="14"/>
  <c r="CH14" i="14" s="1"/>
  <c r="R19" i="14"/>
  <c r="M19" i="14"/>
  <c r="N20" i="14"/>
  <c r="O19" i="14"/>
  <c r="Q19" i="14"/>
  <c r="P19" i="14" s="1"/>
  <c r="DN10" i="14"/>
  <c r="DI10" i="14"/>
  <c r="DM10" i="14"/>
  <c r="DL10" i="14" s="1"/>
  <c r="DK10" i="14"/>
  <c r="DJ11" i="14"/>
  <c r="AZ16" i="14" l="1"/>
  <c r="BQ15" i="14"/>
  <c r="BR15" i="14"/>
  <c r="AU17" i="14"/>
  <c r="AT17" i="14" s="1"/>
  <c r="AQ17" i="14"/>
  <c r="AV17" i="14"/>
  <c r="AX17" i="14"/>
  <c r="AZ17" i="14" s="1"/>
  <c r="AR18" i="14"/>
  <c r="AW18" i="14" s="1"/>
  <c r="AS17" i="14"/>
  <c r="CX12" i="14"/>
  <c r="DH11" i="14"/>
  <c r="EB9" i="14"/>
  <c r="AF19" i="14"/>
  <c r="CD14" i="14"/>
  <c r="DR10" i="14"/>
  <c r="DZ10" i="14"/>
  <c r="DY10" i="14"/>
  <c r="DS10" i="14"/>
  <c r="DU10" i="14"/>
  <c r="DO11" i="14"/>
  <c r="DP11" i="14"/>
  <c r="CU13" i="14"/>
  <c r="CV13" i="14"/>
  <c r="CN13" i="14"/>
  <c r="CQ13" i="14"/>
  <c r="CO13" i="14"/>
  <c r="DT11" i="14"/>
  <c r="DF12" i="14"/>
  <c r="DE12" i="14"/>
  <c r="CP14" i="14"/>
  <c r="CT14" i="14" s="1"/>
  <c r="CT13" i="14"/>
  <c r="CN14" i="14"/>
  <c r="CL15" i="14"/>
  <c r="CK15" i="14"/>
  <c r="BJ16" i="14"/>
  <c r="BT15" i="14"/>
  <c r="BG17" i="14"/>
  <c r="BH17" i="14"/>
  <c r="AP17" i="14"/>
  <c r="BQ16" i="14"/>
  <c r="BR16" i="14"/>
  <c r="BY15" i="14"/>
  <c r="BX15" i="14" s="1"/>
  <c r="CB15" i="14"/>
  <c r="CA15" i="14"/>
  <c r="BU15" i="14"/>
  <c r="BV16" i="14"/>
  <c r="BY16" i="14" s="1"/>
  <c r="BX16" i="14" s="1"/>
  <c r="BZ15" i="14"/>
  <c r="AM18" i="14"/>
  <c r="AN18" i="14"/>
  <c r="AC20" i="14"/>
  <c r="AD20" i="14"/>
  <c r="L20" i="14"/>
  <c r="I21" i="14"/>
  <c r="J21" i="14"/>
  <c r="V19" i="14"/>
  <c r="S20" i="14"/>
  <c r="T20" i="14"/>
  <c r="AH19" i="14"/>
  <c r="AG18" i="14"/>
  <c r="AI18" i="14"/>
  <c r="AK18" i="14"/>
  <c r="AJ18" i="14" s="1"/>
  <c r="AL18" i="14"/>
  <c r="F20" i="14"/>
  <c r="DV20" i="14" s="1"/>
  <c r="DW20" i="14"/>
  <c r="C27" i="10"/>
  <c r="B28" i="10"/>
  <c r="F18" i="28"/>
  <c r="F21" i="28" s="1"/>
  <c r="DD12" i="14"/>
  <c r="DA12" i="14"/>
  <c r="CZ13" i="14"/>
  <c r="CY12" i="14"/>
  <c r="DC12" i="14"/>
  <c r="DB12" i="14" s="1"/>
  <c r="H21" i="14"/>
  <c r="DX21" i="14" s="1"/>
  <c r="E21" i="14"/>
  <c r="C21" i="14"/>
  <c r="D22" i="14"/>
  <c r="G21" i="14"/>
  <c r="CJ15" i="14"/>
  <c r="CE15" i="14"/>
  <c r="CG15" i="14"/>
  <c r="CF16" i="14"/>
  <c r="CI15" i="14"/>
  <c r="CH15" i="14" s="1"/>
  <c r="BF17" i="14"/>
  <c r="BC17" i="14"/>
  <c r="BE17" i="14"/>
  <c r="BD17" i="14" s="1"/>
  <c r="BB18" i="14"/>
  <c r="BA17" i="14"/>
  <c r="BP16" i="14"/>
  <c r="BK16" i="14"/>
  <c r="BM16" i="14"/>
  <c r="BL17" i="14"/>
  <c r="BO16" i="14"/>
  <c r="BN16" i="14" s="1"/>
  <c r="DN11" i="14"/>
  <c r="DK11" i="14"/>
  <c r="DI11" i="14"/>
  <c r="DJ12" i="14"/>
  <c r="DM11" i="14"/>
  <c r="DL11" i="14" s="1"/>
  <c r="R20" i="14"/>
  <c r="O20" i="14"/>
  <c r="N21" i="14"/>
  <c r="M20" i="14"/>
  <c r="Q20" i="14"/>
  <c r="P20" i="14" s="1"/>
  <c r="AV18" i="14"/>
  <c r="AS18" i="14"/>
  <c r="AR19" i="14"/>
  <c r="AQ18" i="14"/>
  <c r="AB20" i="14"/>
  <c r="X21" i="14"/>
  <c r="Y20" i="14"/>
  <c r="W20" i="14"/>
  <c r="AA20" i="14"/>
  <c r="Z20" i="14" s="1"/>
  <c r="AU18" i="14" l="1"/>
  <c r="AT18" i="14" s="1"/>
  <c r="AX18" i="14"/>
  <c r="CD15" i="14"/>
  <c r="EB10" i="14"/>
  <c r="AF20" i="14"/>
  <c r="CX13" i="14"/>
  <c r="DR11" i="14"/>
  <c r="CV14" i="14"/>
  <c r="DZ11" i="14"/>
  <c r="DY11" i="14"/>
  <c r="DO12" i="14"/>
  <c r="DP12" i="14"/>
  <c r="DT12" i="14"/>
  <c r="DS12" i="14" s="1"/>
  <c r="DU11" i="14"/>
  <c r="DH12" i="14"/>
  <c r="DS11" i="14"/>
  <c r="CU14" i="14"/>
  <c r="CQ14" i="14"/>
  <c r="CS14" i="14"/>
  <c r="CR14" i="14" s="1"/>
  <c r="DF13" i="14"/>
  <c r="DE13" i="14"/>
  <c r="CO14" i="14"/>
  <c r="CP15" i="14"/>
  <c r="CU15" i="14" s="1"/>
  <c r="CN15" i="14"/>
  <c r="BU16" i="14"/>
  <c r="BW16" i="14"/>
  <c r="BZ16" i="14"/>
  <c r="CL16" i="14"/>
  <c r="CK16" i="14"/>
  <c r="AZ18" i="14"/>
  <c r="BT16" i="14"/>
  <c r="BG18" i="14"/>
  <c r="BH18" i="14"/>
  <c r="BR17" i="14"/>
  <c r="BQ17" i="14"/>
  <c r="BJ17" i="14"/>
  <c r="CA16" i="14"/>
  <c r="CB16" i="14"/>
  <c r="BV17" i="14"/>
  <c r="BZ17" i="14" s="1"/>
  <c r="AN19" i="14"/>
  <c r="AM19" i="14"/>
  <c r="AW19" i="14"/>
  <c r="AX19" i="14"/>
  <c r="AP18" i="14"/>
  <c r="AC21" i="14"/>
  <c r="AD21" i="14"/>
  <c r="V20" i="14"/>
  <c r="S21" i="14"/>
  <c r="T21" i="14"/>
  <c r="L21" i="14"/>
  <c r="J22" i="14"/>
  <c r="I22" i="14"/>
  <c r="AL19" i="14"/>
  <c r="AI19" i="14"/>
  <c r="AK19" i="14"/>
  <c r="AJ19" i="14" s="1"/>
  <c r="AH20" i="14"/>
  <c r="AG19" i="14"/>
  <c r="F21" i="14"/>
  <c r="DV21" i="14" s="1"/>
  <c r="DW21" i="14"/>
  <c r="C28" i="10"/>
  <c r="B29" i="10"/>
  <c r="G18" i="28"/>
  <c r="G21" i="28" s="1"/>
  <c r="AV19" i="14"/>
  <c r="AR20" i="14"/>
  <c r="AU19" i="14"/>
  <c r="AT19" i="14" s="1"/>
  <c r="AQ19" i="14"/>
  <c r="AS19" i="14"/>
  <c r="BF18" i="14"/>
  <c r="BA18" i="14"/>
  <c r="BE18" i="14"/>
  <c r="BD18" i="14" s="1"/>
  <c r="BB19" i="14"/>
  <c r="BC18" i="14"/>
  <c r="DN12" i="14"/>
  <c r="DI12" i="14"/>
  <c r="DJ13" i="14"/>
  <c r="DK12" i="14"/>
  <c r="DM12" i="14"/>
  <c r="DL12" i="14" s="1"/>
  <c r="R21" i="14"/>
  <c r="O21" i="14"/>
  <c r="M21" i="14"/>
  <c r="N22" i="14"/>
  <c r="Q21" i="14"/>
  <c r="P21" i="14" s="1"/>
  <c r="DD13" i="14"/>
  <c r="DA13" i="14"/>
  <c r="DC13" i="14"/>
  <c r="DB13" i="14" s="1"/>
  <c r="CY13" i="14"/>
  <c r="CZ14" i="14"/>
  <c r="H22" i="14"/>
  <c r="DX22" i="14" s="1"/>
  <c r="C22" i="14"/>
  <c r="E22" i="14"/>
  <c r="D23" i="14"/>
  <c r="G22" i="14"/>
  <c r="BP17" i="14"/>
  <c r="BM17" i="14"/>
  <c r="BL18" i="14"/>
  <c r="BK17" i="14"/>
  <c r="BO17" i="14"/>
  <c r="BN17" i="14" s="1"/>
  <c r="CJ16" i="14"/>
  <c r="CG16" i="14"/>
  <c r="CI16" i="14"/>
  <c r="CH16" i="14" s="1"/>
  <c r="CF17" i="14"/>
  <c r="CE16" i="14"/>
  <c r="AB21" i="14"/>
  <c r="X22" i="14"/>
  <c r="Y21" i="14"/>
  <c r="W21" i="14"/>
  <c r="AA21" i="14"/>
  <c r="Z21" i="14" s="1"/>
  <c r="BU17" i="14" l="1"/>
  <c r="EB11" i="14"/>
  <c r="AF21" i="14"/>
  <c r="CX14" i="14"/>
  <c r="DR12" i="14"/>
  <c r="CD16" i="14"/>
  <c r="DU12" i="14"/>
  <c r="CS15" i="14"/>
  <c r="CR15" i="14" s="1"/>
  <c r="CO15" i="14"/>
  <c r="DT13" i="14"/>
  <c r="DU13" i="14" s="1"/>
  <c r="CQ15" i="14"/>
  <c r="DY12" i="14"/>
  <c r="DZ12" i="14"/>
  <c r="CP16" i="14"/>
  <c r="CO16" i="14" s="1"/>
  <c r="CN16" i="14"/>
  <c r="DP13" i="14"/>
  <c r="DO13" i="14"/>
  <c r="DH13" i="14"/>
  <c r="CT15" i="14"/>
  <c r="CV15" i="14"/>
  <c r="CX15" i="14" s="1"/>
  <c r="DE14" i="14"/>
  <c r="DF14" i="14"/>
  <c r="BT17" i="14"/>
  <c r="CK17" i="14"/>
  <c r="CL17" i="14"/>
  <c r="L22" i="14"/>
  <c r="BG19" i="14"/>
  <c r="BH19" i="14"/>
  <c r="BY17" i="14"/>
  <c r="BX17" i="14" s="1"/>
  <c r="AZ19" i="14"/>
  <c r="BJ18" i="14"/>
  <c r="BQ18" i="14"/>
  <c r="BR18" i="14"/>
  <c r="BV18" i="14"/>
  <c r="BW17" i="14"/>
  <c r="CB17" i="14"/>
  <c r="CA17" i="14"/>
  <c r="AN20" i="14"/>
  <c r="AM20" i="14"/>
  <c r="AP19" i="14"/>
  <c r="AX20" i="14"/>
  <c r="AW20" i="14"/>
  <c r="AC22" i="14"/>
  <c r="AD22" i="14"/>
  <c r="V21" i="14"/>
  <c r="J23" i="14"/>
  <c r="I23" i="14"/>
  <c r="S22" i="14"/>
  <c r="T22" i="14"/>
  <c r="AH21" i="14"/>
  <c r="AK20" i="14"/>
  <c r="AJ20" i="14" s="1"/>
  <c r="AG20" i="14"/>
  <c r="AI20" i="14"/>
  <c r="AL20" i="14"/>
  <c r="F22" i="14"/>
  <c r="DV22" i="14" s="1"/>
  <c r="DW22" i="14"/>
  <c r="B30" i="10"/>
  <c r="C29" i="10"/>
  <c r="H18" i="28"/>
  <c r="H21" i="28" s="1"/>
  <c r="BP18" i="14"/>
  <c r="BK18" i="14"/>
  <c r="BL19" i="14"/>
  <c r="BM18" i="14"/>
  <c r="BO18" i="14"/>
  <c r="BN18" i="14" s="1"/>
  <c r="R22" i="14"/>
  <c r="M22" i="14"/>
  <c r="O22" i="14"/>
  <c r="N23" i="14"/>
  <c r="Q22" i="14"/>
  <c r="P22" i="14" s="1"/>
  <c r="AB22" i="14"/>
  <c r="X23" i="14"/>
  <c r="Y22" i="14"/>
  <c r="W22" i="14"/>
  <c r="AA22" i="14"/>
  <c r="Z22" i="14" s="1"/>
  <c r="CJ17" i="14"/>
  <c r="CE17" i="14"/>
  <c r="CF18" i="14"/>
  <c r="CG17" i="14"/>
  <c r="CI17" i="14"/>
  <c r="CH17" i="14" s="1"/>
  <c r="DD14" i="14"/>
  <c r="DA14" i="14"/>
  <c r="CY14" i="14"/>
  <c r="CZ15" i="14"/>
  <c r="DC14" i="14"/>
  <c r="DB14" i="14" s="1"/>
  <c r="DN13" i="14"/>
  <c r="DK13" i="14"/>
  <c r="DI13" i="14"/>
  <c r="DM13" i="14"/>
  <c r="DL13" i="14" s="1"/>
  <c r="DJ14" i="14"/>
  <c r="BF19" i="14"/>
  <c r="BC19" i="14"/>
  <c r="BA19" i="14"/>
  <c r="BE19" i="14"/>
  <c r="BD19" i="14" s="1"/>
  <c r="BB20" i="14"/>
  <c r="AV20" i="14"/>
  <c r="AQ20" i="14"/>
  <c r="AS20" i="14"/>
  <c r="AR21" i="14"/>
  <c r="AU20" i="14"/>
  <c r="AT20" i="14" s="1"/>
  <c r="H23" i="14"/>
  <c r="DX23" i="14" s="1"/>
  <c r="E23" i="14"/>
  <c r="C23" i="14"/>
  <c r="D24" i="14"/>
  <c r="G23" i="14"/>
  <c r="B19" i="28" l="1" a="1"/>
  <c r="CD17" i="14"/>
  <c r="DR13" i="14"/>
  <c r="AP20" i="14"/>
  <c r="AF22" i="14"/>
  <c r="EB12" i="14"/>
  <c r="DY13" i="14"/>
  <c r="DS13" i="14"/>
  <c r="DZ13" i="14"/>
  <c r="CS16" i="14"/>
  <c r="CR16" i="14" s="1"/>
  <c r="DT14" i="14"/>
  <c r="CP17" i="14"/>
  <c r="CO17" i="14" s="1"/>
  <c r="CU16" i="14"/>
  <c r="CV16" i="14"/>
  <c r="CT16" i="14"/>
  <c r="CQ16" i="14"/>
  <c r="DP14" i="14"/>
  <c r="DO14" i="14"/>
  <c r="DH14" i="14"/>
  <c r="DE15" i="14"/>
  <c r="DF15" i="14"/>
  <c r="CN17" i="14"/>
  <c r="AZ20" i="14"/>
  <c r="CL18" i="14"/>
  <c r="CK18" i="14"/>
  <c r="CA18" i="14"/>
  <c r="CB18" i="14"/>
  <c r="BH20" i="14"/>
  <c r="BG20" i="14"/>
  <c r="BR19" i="14"/>
  <c r="BQ19" i="14"/>
  <c r="BT18" i="14"/>
  <c r="BY18" i="14"/>
  <c r="BX18" i="14" s="1"/>
  <c r="BW18" i="14"/>
  <c r="BV19" i="14"/>
  <c r="CB19" i="14" s="1"/>
  <c r="BU18" i="14"/>
  <c r="BZ18" i="14"/>
  <c r="BJ19" i="14"/>
  <c r="AN21" i="14"/>
  <c r="AM21" i="14"/>
  <c r="AW21" i="14"/>
  <c r="AX21" i="14"/>
  <c r="L23" i="14"/>
  <c r="AC23" i="14"/>
  <c r="AD23" i="14"/>
  <c r="I24" i="14"/>
  <c r="J24" i="14"/>
  <c r="T23" i="14"/>
  <c r="S23" i="14"/>
  <c r="V22" i="14"/>
  <c r="AH22" i="14"/>
  <c r="AI21" i="14"/>
  <c r="AK21" i="14"/>
  <c r="AJ21" i="14" s="1"/>
  <c r="AG21" i="14"/>
  <c r="AL21" i="14"/>
  <c r="F23" i="14"/>
  <c r="DV23" i="14" s="1"/>
  <c r="DW23" i="14"/>
  <c r="C30" i="10"/>
  <c r="B31" i="10"/>
  <c r="B22" i="28"/>
  <c r="B20" i="28" a="1"/>
  <c r="DJ15" i="14"/>
  <c r="DN14" i="14"/>
  <c r="DI14" i="14"/>
  <c r="DK14" i="14"/>
  <c r="DM14" i="14"/>
  <c r="DL14" i="14" s="1"/>
  <c r="R23" i="14"/>
  <c r="M23" i="14"/>
  <c r="N24" i="14"/>
  <c r="O23" i="14"/>
  <c r="Q23" i="14"/>
  <c r="P23" i="14" s="1"/>
  <c r="AB23" i="14"/>
  <c r="X24" i="14"/>
  <c r="Y23" i="14"/>
  <c r="W23" i="14"/>
  <c r="AA23" i="14"/>
  <c r="Z23" i="14" s="1"/>
  <c r="CJ18" i="14"/>
  <c r="CE18" i="14"/>
  <c r="CG18" i="14"/>
  <c r="CF19" i="14"/>
  <c r="CI18" i="14"/>
  <c r="CH18" i="14" s="1"/>
  <c r="H24" i="14"/>
  <c r="DX24" i="14" s="1"/>
  <c r="D25" i="14"/>
  <c r="C24" i="14"/>
  <c r="E24" i="14"/>
  <c r="G24" i="14"/>
  <c r="DD15" i="14"/>
  <c r="DA15" i="14"/>
  <c r="DC15" i="14"/>
  <c r="DB15" i="14" s="1"/>
  <c r="CZ16" i="14"/>
  <c r="CY15" i="14"/>
  <c r="BP19" i="14"/>
  <c r="BK19" i="14"/>
  <c r="BM19" i="14"/>
  <c r="BL20" i="14"/>
  <c r="BO19" i="14"/>
  <c r="BN19" i="14" s="1"/>
  <c r="BF20" i="14"/>
  <c r="BC20" i="14"/>
  <c r="BE20" i="14"/>
  <c r="BD20" i="14" s="1"/>
  <c r="BA20" i="14"/>
  <c r="BB21" i="14"/>
  <c r="AV21" i="14"/>
  <c r="AR22" i="14"/>
  <c r="AS21" i="14"/>
  <c r="AQ21" i="14"/>
  <c r="AU21" i="14"/>
  <c r="AT21" i="14" s="1"/>
  <c r="B25" i="28" l="1"/>
  <c r="B19" i="28"/>
  <c r="D19" i="28"/>
  <c r="C19" i="28"/>
  <c r="G19" i="28"/>
  <c r="H19" i="28"/>
  <c r="F19" i="28"/>
  <c r="E19" i="28"/>
  <c r="DR14" i="14"/>
  <c r="CX16" i="14"/>
  <c r="AF23" i="14"/>
  <c r="EB13" i="14"/>
  <c r="CD18" i="14"/>
  <c r="DZ14" i="14"/>
  <c r="CP18" i="14"/>
  <c r="CU18" i="14" s="1"/>
  <c r="CU17" i="14"/>
  <c r="CT17" i="14"/>
  <c r="CV17" i="14"/>
  <c r="CQ17" i="14"/>
  <c r="DT15" i="14"/>
  <c r="DU14" i="14"/>
  <c r="CS17" i="14"/>
  <c r="CR17" i="14" s="1"/>
  <c r="DY14" i="14"/>
  <c r="DS14" i="14"/>
  <c r="BT19" i="14"/>
  <c r="CN18" i="14"/>
  <c r="DP15" i="14"/>
  <c r="DO15" i="14"/>
  <c r="DF16" i="14"/>
  <c r="DE16" i="14"/>
  <c r="DH15" i="14"/>
  <c r="CV18" i="14"/>
  <c r="AZ21" i="14"/>
  <c r="BJ20" i="14"/>
  <c r="CL19" i="14"/>
  <c r="CK19" i="14"/>
  <c r="BH21" i="14"/>
  <c r="BG21" i="14"/>
  <c r="BV20" i="14"/>
  <c r="BW20" i="14" s="1"/>
  <c r="BY19" i="14"/>
  <c r="BX19" i="14" s="1"/>
  <c r="BU19" i="14"/>
  <c r="CA19" i="14"/>
  <c r="CD19" i="14" s="1"/>
  <c r="BW19" i="14"/>
  <c r="BZ19" i="14"/>
  <c r="BR20" i="14"/>
  <c r="BQ20" i="14"/>
  <c r="AP21" i="14"/>
  <c r="AW22" i="14"/>
  <c r="AX22" i="14"/>
  <c r="AM22" i="14"/>
  <c r="AN22" i="14"/>
  <c r="V23" i="14"/>
  <c r="AC24" i="14"/>
  <c r="AD24" i="14"/>
  <c r="I25" i="14"/>
  <c r="J25" i="14"/>
  <c r="T24" i="14"/>
  <c r="S24" i="14"/>
  <c r="L24" i="14"/>
  <c r="AL22" i="14"/>
  <c r="AG22" i="14"/>
  <c r="AK22" i="14"/>
  <c r="AJ22" i="14" s="1"/>
  <c r="AH23" i="14"/>
  <c r="AI22" i="14"/>
  <c r="F24" i="14"/>
  <c r="DV24" i="14" s="1"/>
  <c r="DW24" i="14"/>
  <c r="C31" i="10"/>
  <c r="B32" i="10"/>
  <c r="F20" i="28"/>
  <c r="G20" i="28"/>
  <c r="E20" i="28"/>
  <c r="D20" i="28"/>
  <c r="C20" i="28"/>
  <c r="B20" i="28"/>
  <c r="H20" i="28"/>
  <c r="C22" i="28"/>
  <c r="C25" i="28" s="1"/>
  <c r="CJ19" i="14"/>
  <c r="CG19" i="14"/>
  <c r="CI19" i="14"/>
  <c r="CH19" i="14" s="1"/>
  <c r="CE19" i="14"/>
  <c r="CF20" i="14"/>
  <c r="DD16" i="14"/>
  <c r="CY16" i="14"/>
  <c r="DC16" i="14"/>
  <c r="DB16" i="14" s="1"/>
  <c r="CZ17" i="14"/>
  <c r="DA16" i="14"/>
  <c r="AB24" i="14"/>
  <c r="X25" i="14"/>
  <c r="AA24" i="14"/>
  <c r="Z24" i="14" s="1"/>
  <c r="W24" i="14"/>
  <c r="Y24" i="14"/>
  <c r="BF21" i="14"/>
  <c r="BA21" i="14"/>
  <c r="BB22" i="14"/>
  <c r="BE21" i="14"/>
  <c r="BD21" i="14" s="1"/>
  <c r="BC21" i="14"/>
  <c r="R24" i="14"/>
  <c r="M24" i="14"/>
  <c r="N25" i="14"/>
  <c r="O24" i="14"/>
  <c r="Q24" i="14"/>
  <c r="P24" i="14" s="1"/>
  <c r="AV22" i="14"/>
  <c r="AS22" i="14"/>
  <c r="AQ22" i="14"/>
  <c r="AU22" i="14"/>
  <c r="AT22" i="14" s="1"/>
  <c r="AR23" i="14"/>
  <c r="BP20" i="14"/>
  <c r="BL21" i="14"/>
  <c r="BK20" i="14"/>
  <c r="BM20" i="14"/>
  <c r="BO20" i="14"/>
  <c r="BN20" i="14" s="1"/>
  <c r="H25" i="14"/>
  <c r="DX25" i="14" s="1"/>
  <c r="D26" i="14"/>
  <c r="E25" i="14"/>
  <c r="C25" i="14"/>
  <c r="G25" i="14"/>
  <c r="DN15" i="14"/>
  <c r="DK15" i="14"/>
  <c r="DJ16" i="14"/>
  <c r="DM15" i="14"/>
  <c r="DL15" i="14" s="1"/>
  <c r="DI15" i="14"/>
  <c r="CS18" i="14" l="1"/>
  <c r="CR18" i="14" s="1"/>
  <c r="CP19" i="14"/>
  <c r="CO18" i="14"/>
  <c r="CQ18" i="14"/>
  <c r="CT18" i="14"/>
  <c r="DR15" i="14"/>
  <c r="CX18" i="14"/>
  <c r="EB14" i="14"/>
  <c r="AF24" i="14"/>
  <c r="CX17" i="14"/>
  <c r="DS15" i="14"/>
  <c r="DU15" i="14"/>
  <c r="DT16" i="14"/>
  <c r="DS16" i="14" s="1"/>
  <c r="DY15" i="14"/>
  <c r="DZ15" i="14"/>
  <c r="DO16" i="14"/>
  <c r="DP16" i="14"/>
  <c r="DH16" i="14"/>
  <c r="DE17" i="14"/>
  <c r="DF17" i="14"/>
  <c r="BY20" i="14"/>
  <c r="BX20" i="14" s="1"/>
  <c r="BU20" i="14"/>
  <c r="BZ20" i="14"/>
  <c r="CN19" i="14"/>
  <c r="CB20" i="14"/>
  <c r="CA20" i="14"/>
  <c r="BV21" i="14"/>
  <c r="CV19" i="14"/>
  <c r="CU19" i="14"/>
  <c r="CL20" i="14"/>
  <c r="CK20" i="14"/>
  <c r="BJ21" i="14"/>
  <c r="BT20" i="14"/>
  <c r="BH22" i="14"/>
  <c r="BG22" i="14"/>
  <c r="AZ22" i="14"/>
  <c r="BQ21" i="14"/>
  <c r="BR21" i="14"/>
  <c r="AN23" i="14"/>
  <c r="AM23" i="14"/>
  <c r="AP22" i="14"/>
  <c r="AW23" i="14"/>
  <c r="AX23" i="14"/>
  <c r="V24" i="14"/>
  <c r="AC25" i="14"/>
  <c r="AD25" i="14"/>
  <c r="S25" i="14"/>
  <c r="T25" i="14"/>
  <c r="L25" i="14"/>
  <c r="J26" i="14"/>
  <c r="I26" i="14"/>
  <c r="AL23" i="14"/>
  <c r="AI23" i="14"/>
  <c r="AG23" i="14"/>
  <c r="AH24" i="14"/>
  <c r="AK23" i="14"/>
  <c r="AJ23" i="14" s="1"/>
  <c r="F25" i="14"/>
  <c r="DV25" i="14" s="1"/>
  <c r="DW25" i="14"/>
  <c r="C32" i="10"/>
  <c r="B33" i="10"/>
  <c r="D22" i="28"/>
  <c r="D25" i="28" s="1"/>
  <c r="BP21" i="14"/>
  <c r="BL22" i="14"/>
  <c r="BM21" i="14"/>
  <c r="BO21" i="14"/>
  <c r="BN21" i="14" s="1"/>
  <c r="BK21" i="14"/>
  <c r="AB25" i="14"/>
  <c r="Y25" i="14"/>
  <c r="X26" i="14"/>
  <c r="W25" i="14"/>
  <c r="AA25" i="14"/>
  <c r="Z25" i="14" s="1"/>
  <c r="AV23" i="14"/>
  <c r="AQ23" i="14"/>
  <c r="AS23" i="14"/>
  <c r="AR24" i="14"/>
  <c r="AU23" i="14"/>
  <c r="AT23" i="14" s="1"/>
  <c r="R25" i="14"/>
  <c r="N26" i="14"/>
  <c r="M25" i="14"/>
  <c r="O25" i="14"/>
  <c r="Q25" i="14"/>
  <c r="P25" i="14" s="1"/>
  <c r="CJ20" i="14"/>
  <c r="CE20" i="14"/>
  <c r="CI20" i="14"/>
  <c r="CH20" i="14" s="1"/>
  <c r="CF21" i="14"/>
  <c r="CG20" i="14"/>
  <c r="DK16" i="14"/>
  <c r="DN16" i="14"/>
  <c r="DI16" i="14"/>
  <c r="DJ17" i="14"/>
  <c r="DM16" i="14"/>
  <c r="DL16" i="14" s="1"/>
  <c r="DD17" i="14"/>
  <c r="DC17" i="14"/>
  <c r="DB17" i="14" s="1"/>
  <c r="DA17" i="14"/>
  <c r="CZ18" i="14"/>
  <c r="CY17" i="14"/>
  <c r="CT19" i="14"/>
  <c r="CP20" i="14"/>
  <c r="CO19" i="14"/>
  <c r="CQ19" i="14"/>
  <c r="CS19" i="14"/>
  <c r="CR19" i="14" s="1"/>
  <c r="BF22" i="14"/>
  <c r="BB23" i="14"/>
  <c r="BC22" i="14"/>
  <c r="BA22" i="14"/>
  <c r="BE22" i="14"/>
  <c r="BD22" i="14" s="1"/>
  <c r="H26" i="14"/>
  <c r="DX26" i="14" s="1"/>
  <c r="D27" i="14"/>
  <c r="E26" i="14"/>
  <c r="C26" i="14"/>
  <c r="G26" i="14"/>
  <c r="DU16" i="14" l="1"/>
  <c r="CX19" i="14"/>
  <c r="AF25" i="14"/>
  <c r="CD20" i="14"/>
  <c r="EB15" i="14"/>
  <c r="DR16" i="14"/>
  <c r="DY16" i="14"/>
  <c r="DZ16" i="14"/>
  <c r="DT17" i="14"/>
  <c r="DS17" i="14" s="1"/>
  <c r="CB21" i="14"/>
  <c r="BV22" i="14"/>
  <c r="BZ22" i="14" s="1"/>
  <c r="DP17" i="14"/>
  <c r="DO17" i="14"/>
  <c r="BW21" i="14"/>
  <c r="DF18" i="14"/>
  <c r="DE18" i="14"/>
  <c r="BU21" i="14"/>
  <c r="DH17" i="14"/>
  <c r="BY21" i="14"/>
  <c r="BX21" i="14" s="1"/>
  <c r="CA21" i="14"/>
  <c r="CN20" i="14"/>
  <c r="BZ21" i="14"/>
  <c r="CV20" i="14"/>
  <c r="CU20" i="14"/>
  <c r="BJ22" i="14"/>
  <c r="CL21" i="14"/>
  <c r="CK21" i="14"/>
  <c r="BT21" i="14"/>
  <c r="BG23" i="14"/>
  <c r="BH23" i="14"/>
  <c r="BQ22" i="14"/>
  <c r="BR22" i="14"/>
  <c r="AZ23" i="14"/>
  <c r="AP23" i="14"/>
  <c r="AM24" i="14"/>
  <c r="AN24" i="14"/>
  <c r="AW24" i="14"/>
  <c r="AX24" i="14"/>
  <c r="V25" i="14"/>
  <c r="L26" i="14"/>
  <c r="AD26" i="14"/>
  <c r="AC26" i="14"/>
  <c r="S26" i="14"/>
  <c r="T26" i="14"/>
  <c r="I27" i="14"/>
  <c r="J27" i="14"/>
  <c r="AH25" i="14"/>
  <c r="AK24" i="14"/>
  <c r="AJ24" i="14" s="1"/>
  <c r="AG24" i="14"/>
  <c r="AL24" i="14"/>
  <c r="AI24" i="14"/>
  <c r="F26" i="14"/>
  <c r="DV26" i="14" s="1"/>
  <c r="DW26" i="14"/>
  <c r="C33" i="10"/>
  <c r="B34" i="10"/>
  <c r="E22" i="28"/>
  <c r="E25" i="28" s="1"/>
  <c r="AB26" i="14"/>
  <c r="Y26" i="14"/>
  <c r="X27" i="14"/>
  <c r="W26" i="14"/>
  <c r="AA26" i="14"/>
  <c r="Z26" i="14" s="1"/>
  <c r="R26" i="14"/>
  <c r="M26" i="14"/>
  <c r="N27" i="14"/>
  <c r="O26" i="14"/>
  <c r="Q26" i="14"/>
  <c r="P26" i="14" s="1"/>
  <c r="CT20" i="14"/>
  <c r="CO20" i="14"/>
  <c r="CQ20" i="14"/>
  <c r="CP21" i="14"/>
  <c r="CS20" i="14"/>
  <c r="CR20" i="14" s="1"/>
  <c r="AV24" i="14"/>
  <c r="AS24" i="14"/>
  <c r="AQ24" i="14"/>
  <c r="AR25" i="14"/>
  <c r="AU24" i="14"/>
  <c r="AT24" i="14" s="1"/>
  <c r="H27" i="14"/>
  <c r="DX27" i="14" s="1"/>
  <c r="C27" i="14"/>
  <c r="E27" i="14"/>
  <c r="D28" i="14"/>
  <c r="G27" i="14"/>
  <c r="CJ21" i="14"/>
  <c r="CG21" i="14"/>
  <c r="CE21" i="14"/>
  <c r="CF22" i="14"/>
  <c r="CI21" i="14"/>
  <c r="CH21" i="14" s="1"/>
  <c r="DD18" i="14"/>
  <c r="DC18" i="14"/>
  <c r="DB18" i="14" s="1"/>
  <c r="CY18" i="14"/>
  <c r="DA18" i="14"/>
  <c r="CZ19" i="14"/>
  <c r="BF23" i="14"/>
  <c r="BA23" i="14"/>
  <c r="BC23" i="14"/>
  <c r="BE23" i="14"/>
  <c r="BD23" i="14" s="1"/>
  <c r="BB24" i="14"/>
  <c r="DN17" i="14"/>
  <c r="DM17" i="14"/>
  <c r="DL17" i="14" s="1"/>
  <c r="DI17" i="14"/>
  <c r="DK17" i="14"/>
  <c r="DJ18" i="14"/>
  <c r="BP22" i="14"/>
  <c r="BK22" i="14"/>
  <c r="BM22" i="14"/>
  <c r="BL23" i="14"/>
  <c r="BO22" i="14"/>
  <c r="BN22" i="14" s="1"/>
  <c r="DT18" i="14" l="1"/>
  <c r="DU17" i="14"/>
  <c r="DR17" i="14"/>
  <c r="CX20" i="14"/>
  <c r="CD21" i="14"/>
  <c r="EB16" i="14"/>
  <c r="AF26" i="14"/>
  <c r="DY17" i="14"/>
  <c r="DZ17" i="14"/>
  <c r="BU22" i="14"/>
  <c r="CN21" i="14"/>
  <c r="CB22" i="14"/>
  <c r="BY22" i="14"/>
  <c r="BX22" i="14" s="1"/>
  <c r="BW22" i="14"/>
  <c r="BV23" i="14"/>
  <c r="BZ23" i="14" s="1"/>
  <c r="CA22" i="14"/>
  <c r="DY18" i="14"/>
  <c r="DZ18" i="14"/>
  <c r="DH18" i="14"/>
  <c r="DO18" i="14"/>
  <c r="DP18" i="14"/>
  <c r="DF19" i="14"/>
  <c r="DE19" i="14"/>
  <c r="CV21" i="14"/>
  <c r="CU21" i="14"/>
  <c r="CL22" i="14"/>
  <c r="CK22" i="14"/>
  <c r="BG24" i="14"/>
  <c r="BH24" i="14"/>
  <c r="BR23" i="14"/>
  <c r="BQ23" i="14"/>
  <c r="BT22" i="14"/>
  <c r="AZ24" i="14"/>
  <c r="BJ23" i="14"/>
  <c r="AX25" i="14"/>
  <c r="AW25" i="14"/>
  <c r="AM25" i="14"/>
  <c r="AN25" i="14"/>
  <c r="AP24" i="14"/>
  <c r="AC27" i="14"/>
  <c r="AD27" i="14"/>
  <c r="L27" i="14"/>
  <c r="J28" i="14"/>
  <c r="I28" i="14"/>
  <c r="S27" i="14"/>
  <c r="T27" i="14"/>
  <c r="V26" i="14"/>
  <c r="AL25" i="14"/>
  <c r="AI25" i="14"/>
  <c r="AH26" i="14"/>
  <c r="AG25" i="14"/>
  <c r="AK25" i="14"/>
  <c r="AJ25" i="14" s="1"/>
  <c r="F27" i="14"/>
  <c r="DV27" i="14" s="1"/>
  <c r="DW27" i="14"/>
  <c r="C34" i="10"/>
  <c r="B35" i="10"/>
  <c r="F22" i="28"/>
  <c r="F25" i="28" s="1"/>
  <c r="DD19" i="14"/>
  <c r="DC19" i="14"/>
  <c r="DB19" i="14" s="1"/>
  <c r="CZ20" i="14"/>
  <c r="DA19" i="14"/>
  <c r="CY19" i="14"/>
  <c r="H28" i="14"/>
  <c r="DX28" i="14" s="1"/>
  <c r="C28" i="14"/>
  <c r="E28" i="14"/>
  <c r="D29" i="14"/>
  <c r="G28" i="14"/>
  <c r="R27" i="14"/>
  <c r="M27" i="14"/>
  <c r="N28" i="14"/>
  <c r="O27" i="14"/>
  <c r="Q27" i="14"/>
  <c r="P27" i="14" s="1"/>
  <c r="BF24" i="14"/>
  <c r="BB25" i="14"/>
  <c r="BE24" i="14"/>
  <c r="BD24" i="14" s="1"/>
  <c r="BA24" i="14"/>
  <c r="BC24" i="14"/>
  <c r="CT21" i="14"/>
  <c r="CO21" i="14"/>
  <c r="CS21" i="14"/>
  <c r="CR21" i="14" s="1"/>
  <c r="CP22" i="14"/>
  <c r="CQ21" i="14"/>
  <c r="AV25" i="14"/>
  <c r="AR26" i="14"/>
  <c r="AS25" i="14"/>
  <c r="AQ25" i="14"/>
  <c r="AU25" i="14"/>
  <c r="AT25" i="14" s="1"/>
  <c r="DN18" i="14"/>
  <c r="DJ19" i="14"/>
  <c r="DK18" i="14"/>
  <c r="DI18" i="14"/>
  <c r="DM18" i="14"/>
  <c r="DL18" i="14" s="1"/>
  <c r="BP23" i="14"/>
  <c r="BL24" i="14"/>
  <c r="BK23" i="14"/>
  <c r="BO23" i="14"/>
  <c r="BN23" i="14" s="1"/>
  <c r="BM23" i="14"/>
  <c r="CJ22" i="14"/>
  <c r="CE22" i="14"/>
  <c r="CI22" i="14"/>
  <c r="CH22" i="14" s="1"/>
  <c r="CG22" i="14"/>
  <c r="CF23" i="14"/>
  <c r="DT19" i="14"/>
  <c r="DU18" i="14"/>
  <c r="DS18" i="14"/>
  <c r="AB27" i="14"/>
  <c r="Y27" i="14"/>
  <c r="X28" i="14"/>
  <c r="W27" i="14"/>
  <c r="AA27" i="14"/>
  <c r="Z27" i="14" s="1"/>
  <c r="CX21" i="14" l="1"/>
  <c r="CD22" i="14"/>
  <c r="EB18" i="14"/>
  <c r="AF27" i="14"/>
  <c r="DR18" i="14"/>
  <c r="EB17" i="14"/>
  <c r="CA23" i="14"/>
  <c r="CB23" i="14"/>
  <c r="BU23" i="14"/>
  <c r="BW23" i="14"/>
  <c r="BV24" i="14"/>
  <c r="CB24" i="14" s="1"/>
  <c r="BY23" i="14"/>
  <c r="BX23" i="14" s="1"/>
  <c r="DZ19" i="14"/>
  <c r="DY19" i="14"/>
  <c r="CN22" i="14"/>
  <c r="DH19" i="14"/>
  <c r="DP19" i="14"/>
  <c r="DO19" i="14"/>
  <c r="DF20" i="14"/>
  <c r="DE20" i="14"/>
  <c r="CV22" i="14"/>
  <c r="CU22" i="14"/>
  <c r="CK23" i="14"/>
  <c r="CL23" i="14"/>
  <c r="BT23" i="14"/>
  <c r="BJ24" i="14"/>
  <c r="BH25" i="14"/>
  <c r="BG25" i="14"/>
  <c r="BR24" i="14"/>
  <c r="BQ24" i="14"/>
  <c r="AZ25" i="14"/>
  <c r="AM26" i="14"/>
  <c r="AN26" i="14"/>
  <c r="AP25" i="14"/>
  <c r="AW26" i="14"/>
  <c r="AX26" i="14"/>
  <c r="L28" i="14"/>
  <c r="AC28" i="14"/>
  <c r="AD28" i="14"/>
  <c r="J29" i="14"/>
  <c r="I29" i="14"/>
  <c r="V27" i="14"/>
  <c r="T28" i="14"/>
  <c r="S28" i="14"/>
  <c r="AL26" i="14"/>
  <c r="AH27" i="14"/>
  <c r="AG26" i="14"/>
  <c r="AK26" i="14"/>
  <c r="AJ26" i="14" s="1"/>
  <c r="AI26" i="14"/>
  <c r="F28" i="14"/>
  <c r="DV28" i="14" s="1"/>
  <c r="DW28" i="14"/>
  <c r="B37" i="10"/>
  <c r="C35" i="10"/>
  <c r="B36" i="10"/>
  <c r="B38" i="10"/>
  <c r="G22" i="28"/>
  <c r="G25" i="28" s="1"/>
  <c r="CJ23" i="14"/>
  <c r="CG23" i="14"/>
  <c r="CF24" i="14"/>
  <c r="CE23" i="14"/>
  <c r="CI23" i="14"/>
  <c r="CH23" i="14" s="1"/>
  <c r="BP24" i="14"/>
  <c r="BM24" i="14"/>
  <c r="BL25" i="14"/>
  <c r="BO24" i="14"/>
  <c r="BN24" i="14" s="1"/>
  <c r="BK24" i="14"/>
  <c r="R28" i="14"/>
  <c r="O28" i="14"/>
  <c r="N29" i="14"/>
  <c r="M28" i="14"/>
  <c r="Q28" i="14"/>
  <c r="P28" i="14" s="1"/>
  <c r="H29" i="14"/>
  <c r="DX29" i="14" s="1"/>
  <c r="E29" i="14"/>
  <c r="D30" i="14"/>
  <c r="C29" i="14"/>
  <c r="G29" i="14"/>
  <c r="DN19" i="14"/>
  <c r="DI19" i="14"/>
  <c r="DK19" i="14"/>
  <c r="DJ20" i="14"/>
  <c r="DM19" i="14"/>
  <c r="DL19" i="14" s="1"/>
  <c r="CT22" i="14"/>
  <c r="CO22" i="14"/>
  <c r="CQ22" i="14"/>
  <c r="CP23" i="14"/>
  <c r="CS22" i="14"/>
  <c r="CR22" i="14" s="1"/>
  <c r="DU19" i="14"/>
  <c r="DS19" i="14"/>
  <c r="DT20" i="14"/>
  <c r="AB28" i="14"/>
  <c r="W28" i="14"/>
  <c r="Y28" i="14"/>
  <c r="X29" i="14"/>
  <c r="AA28" i="14"/>
  <c r="Z28" i="14" s="1"/>
  <c r="BF25" i="14"/>
  <c r="BB26" i="14"/>
  <c r="BA25" i="14"/>
  <c r="BC25" i="14"/>
  <c r="BE25" i="14"/>
  <c r="BD25" i="14" s="1"/>
  <c r="DD20" i="14"/>
  <c r="DA20" i="14"/>
  <c r="CY20" i="14"/>
  <c r="CZ21" i="14"/>
  <c r="DC20" i="14"/>
  <c r="DB20" i="14" s="1"/>
  <c r="AV26" i="14"/>
  <c r="AS26" i="14"/>
  <c r="AQ26" i="14"/>
  <c r="AR27" i="14"/>
  <c r="AU26" i="14"/>
  <c r="AT26" i="14" s="1"/>
  <c r="EB19" i="14" l="1"/>
  <c r="DR19" i="14"/>
  <c r="CX22" i="14"/>
  <c r="AF28" i="14"/>
  <c r="CD23" i="14"/>
  <c r="BU24" i="14"/>
  <c r="BW24" i="14"/>
  <c r="CA24" i="14"/>
  <c r="CD24" i="14" s="1"/>
  <c r="BY24" i="14"/>
  <c r="BX24" i="14" s="1"/>
  <c r="BV25" i="14"/>
  <c r="CB25" i="14" s="1"/>
  <c r="BZ24" i="14"/>
  <c r="DH20" i="14"/>
  <c r="BJ25" i="14"/>
  <c r="DZ20" i="14"/>
  <c r="DY20" i="14"/>
  <c r="DP20" i="14"/>
  <c r="DO20" i="14"/>
  <c r="DE21" i="14"/>
  <c r="DF21" i="14"/>
  <c r="BT24" i="14"/>
  <c r="CV23" i="14"/>
  <c r="CU23" i="14"/>
  <c r="CN23" i="14"/>
  <c r="CK24" i="14"/>
  <c r="CL24" i="14"/>
  <c r="BH26" i="14"/>
  <c r="BG26" i="14"/>
  <c r="BQ25" i="14"/>
  <c r="BR25" i="14"/>
  <c r="AZ26" i="14"/>
  <c r="AM27" i="14"/>
  <c r="AN27" i="14"/>
  <c r="AW27" i="14"/>
  <c r="AX27" i="14"/>
  <c r="AP26" i="14"/>
  <c r="AC29" i="14"/>
  <c r="AD29" i="14"/>
  <c r="T29" i="14"/>
  <c r="S29" i="14"/>
  <c r="V28" i="14"/>
  <c r="L29" i="14"/>
  <c r="I30" i="14"/>
  <c r="J30" i="14"/>
  <c r="C36" i="10"/>
  <c r="C37" i="10" s="1"/>
  <c r="C38" i="10" s="1"/>
  <c r="AG27" i="14"/>
  <c r="AL27" i="14"/>
  <c r="AH28" i="14"/>
  <c r="AI27" i="14"/>
  <c r="AK27" i="14"/>
  <c r="AJ27" i="14" s="1"/>
  <c r="F29" i="14"/>
  <c r="DV29" i="14" s="1"/>
  <c r="DW29" i="14"/>
  <c r="H22" i="28"/>
  <c r="B23" i="28" s="1" a="1"/>
  <c r="BP25" i="14"/>
  <c r="BM25" i="14"/>
  <c r="BK25" i="14"/>
  <c r="BO25" i="14"/>
  <c r="BN25" i="14" s="1"/>
  <c r="BL26" i="14"/>
  <c r="H30" i="14"/>
  <c r="DX30" i="14" s="1"/>
  <c r="E30" i="14"/>
  <c r="C30" i="14"/>
  <c r="D31" i="14"/>
  <c r="G30" i="14"/>
  <c r="DT21" i="14"/>
  <c r="DS20" i="14"/>
  <c r="DU20" i="14"/>
  <c r="DN20" i="14"/>
  <c r="DJ21" i="14"/>
  <c r="DI20" i="14"/>
  <c r="DM20" i="14"/>
  <c r="DL20" i="14" s="1"/>
  <c r="DK20" i="14"/>
  <c r="AV27" i="14"/>
  <c r="AQ27" i="14"/>
  <c r="AR28" i="14"/>
  <c r="AS27" i="14"/>
  <c r="AU27" i="14"/>
  <c r="AT27" i="14" s="1"/>
  <c r="BF26" i="14"/>
  <c r="BA26" i="14"/>
  <c r="BB27" i="14"/>
  <c r="BE26" i="14"/>
  <c r="BD26" i="14" s="1"/>
  <c r="BC26" i="14"/>
  <c r="CT23" i="14"/>
  <c r="CO23" i="14"/>
  <c r="CP24" i="14"/>
  <c r="CQ23" i="14"/>
  <c r="CS23" i="14"/>
  <c r="CR23" i="14" s="1"/>
  <c r="CJ24" i="14"/>
  <c r="CF25" i="14"/>
  <c r="CG24" i="14"/>
  <c r="CE24" i="14"/>
  <c r="CI24" i="14"/>
  <c r="CH24" i="14" s="1"/>
  <c r="DD21" i="14"/>
  <c r="DA21" i="14"/>
  <c r="CZ22" i="14"/>
  <c r="DC21" i="14"/>
  <c r="DB21" i="14" s="1"/>
  <c r="CY21" i="14"/>
  <c r="AB29" i="14"/>
  <c r="X30" i="14"/>
  <c r="Y29" i="14"/>
  <c r="W29" i="14"/>
  <c r="AA29" i="14"/>
  <c r="Z29" i="14" s="1"/>
  <c r="R29" i="14"/>
  <c r="O29" i="14"/>
  <c r="M29" i="14"/>
  <c r="Q29" i="14"/>
  <c r="P29" i="14" s="1"/>
  <c r="N30" i="14"/>
  <c r="B23" i="28" l="1"/>
  <c r="E23" i="28"/>
  <c r="D23" i="28"/>
  <c r="C23" i="28"/>
  <c r="H23" i="28"/>
  <c r="G23" i="28"/>
  <c r="F23" i="28"/>
  <c r="B26" i="28"/>
  <c r="H25" i="28"/>
  <c r="DR20" i="14"/>
  <c r="EB20" i="14"/>
  <c r="CX23" i="14"/>
  <c r="AF29" i="14"/>
  <c r="BW25" i="14"/>
  <c r="BV26" i="14"/>
  <c r="BU26" i="14" s="1"/>
  <c r="BU25" i="14"/>
  <c r="BY25" i="14"/>
  <c r="BX25" i="14" s="1"/>
  <c r="BZ25" i="14"/>
  <c r="CA25" i="14"/>
  <c r="CD25" i="14" s="1"/>
  <c r="BJ26" i="14"/>
  <c r="DY21" i="14"/>
  <c r="DZ21" i="14"/>
  <c r="DP21" i="14"/>
  <c r="DO21" i="14"/>
  <c r="DE22" i="14"/>
  <c r="DF22" i="14"/>
  <c r="DH21" i="14"/>
  <c r="CN24" i="14"/>
  <c r="CV24" i="14"/>
  <c r="CU24" i="14"/>
  <c r="CK25" i="14"/>
  <c r="CL25" i="14"/>
  <c r="AZ27" i="14"/>
  <c r="BH27" i="14"/>
  <c r="BG27" i="14"/>
  <c r="BT25" i="14"/>
  <c r="BQ26" i="14"/>
  <c r="BR26" i="14"/>
  <c r="CA26" i="14"/>
  <c r="AM28" i="14"/>
  <c r="AN28" i="14"/>
  <c r="AW28" i="14"/>
  <c r="AX28" i="14"/>
  <c r="AP27" i="14"/>
  <c r="L30" i="14"/>
  <c r="AC30" i="14"/>
  <c r="AD30" i="14"/>
  <c r="J31" i="14"/>
  <c r="I31" i="14"/>
  <c r="T30" i="14"/>
  <c r="S30" i="14"/>
  <c r="V29" i="14"/>
  <c r="AG28" i="14"/>
  <c r="AK28" i="14"/>
  <c r="AJ28" i="14" s="1"/>
  <c r="AL28" i="14"/>
  <c r="AH29" i="14"/>
  <c r="AI28" i="14"/>
  <c r="F30" i="14"/>
  <c r="DV30" i="14" s="1"/>
  <c r="DW30" i="14"/>
  <c r="DT22" i="14"/>
  <c r="DU21" i="14"/>
  <c r="DS21" i="14"/>
  <c r="BF27" i="14"/>
  <c r="BA27" i="14"/>
  <c r="BC27" i="14"/>
  <c r="BB28" i="14"/>
  <c r="BE27" i="14"/>
  <c r="BD27" i="14" s="1"/>
  <c r="CJ25" i="14"/>
  <c r="CF26" i="14"/>
  <c r="CG25" i="14"/>
  <c r="CI25" i="14"/>
  <c r="CH25" i="14" s="1"/>
  <c r="CE25" i="14"/>
  <c r="R30" i="14"/>
  <c r="M30" i="14"/>
  <c r="N31" i="14"/>
  <c r="Q30" i="14"/>
  <c r="P30" i="14" s="1"/>
  <c r="O30" i="14"/>
  <c r="DD22" i="14"/>
  <c r="CZ23" i="14"/>
  <c r="DC22" i="14"/>
  <c r="DB22" i="14" s="1"/>
  <c r="DA22" i="14"/>
  <c r="CY22" i="14"/>
  <c r="BP26" i="14"/>
  <c r="BO26" i="14"/>
  <c r="BN26" i="14" s="1"/>
  <c r="BM26" i="14"/>
  <c r="BK26" i="14"/>
  <c r="BL27" i="14"/>
  <c r="AV28" i="14"/>
  <c r="AR29" i="14"/>
  <c r="AQ28" i="14"/>
  <c r="AS28" i="14"/>
  <c r="AU28" i="14"/>
  <c r="AT28" i="14" s="1"/>
  <c r="DN21" i="14"/>
  <c r="DM21" i="14"/>
  <c r="DL21" i="14" s="1"/>
  <c r="DK21" i="14"/>
  <c r="DJ22" i="14"/>
  <c r="DI21" i="14"/>
  <c r="H31" i="14"/>
  <c r="DX31" i="14" s="1"/>
  <c r="D32" i="14"/>
  <c r="C31" i="14"/>
  <c r="E31" i="14"/>
  <c r="G31" i="14"/>
  <c r="AB30" i="14"/>
  <c r="X31" i="14"/>
  <c r="Y30" i="14"/>
  <c r="W30" i="14"/>
  <c r="AA30" i="14"/>
  <c r="Z30" i="14" s="1"/>
  <c r="CT24" i="14"/>
  <c r="CQ24" i="14"/>
  <c r="CP25" i="14"/>
  <c r="CS24" i="14"/>
  <c r="CR24" i="14" s="1"/>
  <c r="CO24" i="14"/>
  <c r="B29" i="28" l="1"/>
  <c r="BZ26" i="14"/>
  <c r="BY26" i="14"/>
  <c r="BX26" i="14" s="1"/>
  <c r="CX24" i="14"/>
  <c r="DR21" i="14"/>
  <c r="AF30" i="14"/>
  <c r="EB21" i="14"/>
  <c r="CB26" i="14"/>
  <c r="CD26" i="14" s="1"/>
  <c r="BV27" i="14"/>
  <c r="BV28" i="14" s="1"/>
  <c r="BW26" i="14"/>
  <c r="DZ22" i="14"/>
  <c r="DY22" i="14"/>
  <c r="DO22" i="14"/>
  <c r="DP22" i="14"/>
  <c r="DF23" i="14"/>
  <c r="DE23" i="14"/>
  <c r="DH22" i="14"/>
  <c r="BJ27" i="14"/>
  <c r="CV25" i="14"/>
  <c r="CU25" i="14"/>
  <c r="CN25" i="14"/>
  <c r="AZ28" i="14"/>
  <c r="CL26" i="14"/>
  <c r="CK26" i="14"/>
  <c r="BQ27" i="14"/>
  <c r="BR27" i="14"/>
  <c r="BT26" i="14"/>
  <c r="BH28" i="14"/>
  <c r="BG28" i="14"/>
  <c r="L31" i="14"/>
  <c r="AP28" i="14"/>
  <c r="AN29" i="14"/>
  <c r="AM29" i="14"/>
  <c r="AX29" i="14"/>
  <c r="AW29" i="14"/>
  <c r="AD31" i="14"/>
  <c r="AC31" i="14"/>
  <c r="V30" i="14"/>
  <c r="I32" i="14"/>
  <c r="J32" i="14"/>
  <c r="S31" i="14"/>
  <c r="T31" i="14"/>
  <c r="AL29" i="14"/>
  <c r="AG29" i="14"/>
  <c r="AI29" i="14"/>
  <c r="AH30" i="14"/>
  <c r="AK29" i="14"/>
  <c r="AJ29" i="14" s="1"/>
  <c r="F31" i="14"/>
  <c r="DV31" i="14" s="1"/>
  <c r="DW31" i="14"/>
  <c r="DN22" i="14"/>
  <c r="DJ23" i="14"/>
  <c r="DI22" i="14"/>
  <c r="DM22" i="14"/>
  <c r="DL22" i="14" s="1"/>
  <c r="DK22" i="14"/>
  <c r="R31" i="14"/>
  <c r="O31" i="14"/>
  <c r="N32" i="14"/>
  <c r="M31" i="14"/>
  <c r="Q31" i="14"/>
  <c r="P31" i="14" s="1"/>
  <c r="AB31" i="14"/>
  <c r="X32" i="14"/>
  <c r="W31" i="14"/>
  <c r="Y31" i="14"/>
  <c r="AA31" i="14"/>
  <c r="Z31" i="14" s="1"/>
  <c r="BF28" i="14"/>
  <c r="BA28" i="14"/>
  <c r="BB29" i="14"/>
  <c r="BC28" i="14"/>
  <c r="BE28" i="14"/>
  <c r="BD28" i="14" s="1"/>
  <c r="CJ26" i="14"/>
  <c r="CG26" i="14"/>
  <c r="CF27" i="14"/>
  <c r="CI26" i="14"/>
  <c r="CH26" i="14" s="1"/>
  <c r="CE26" i="14"/>
  <c r="CT25" i="14"/>
  <c r="CP26" i="14"/>
  <c r="CO25" i="14"/>
  <c r="CQ25" i="14"/>
  <c r="CS25" i="14"/>
  <c r="CR25" i="14" s="1"/>
  <c r="DD23" i="14"/>
  <c r="DC23" i="14"/>
  <c r="DB23" i="14" s="1"/>
  <c r="CY23" i="14"/>
  <c r="DA23" i="14"/>
  <c r="CZ24" i="14"/>
  <c r="DU22" i="14"/>
  <c r="DT23" i="14"/>
  <c r="DS22" i="14"/>
  <c r="H32" i="14"/>
  <c r="DX32" i="14" s="1"/>
  <c r="E32" i="14"/>
  <c r="C32" i="14"/>
  <c r="G32" i="14"/>
  <c r="BP27" i="14"/>
  <c r="BO27" i="14"/>
  <c r="BN27" i="14" s="1"/>
  <c r="BL28" i="14"/>
  <c r="BM27" i="14"/>
  <c r="BK27" i="14"/>
  <c r="D33" i="14"/>
  <c r="AV29" i="14"/>
  <c r="AQ29" i="14"/>
  <c r="AS29" i="14"/>
  <c r="AR30" i="14"/>
  <c r="AU29" i="14"/>
  <c r="AT29" i="14" s="1"/>
  <c r="BY27" i="14" l="1"/>
  <c r="BX27" i="14" s="1"/>
  <c r="BZ27" i="14"/>
  <c r="EB22" i="14"/>
  <c r="BW27" i="14"/>
  <c r="CA27" i="14"/>
  <c r="CB27" i="14"/>
  <c r="BU27" i="14"/>
  <c r="AF31" i="14"/>
  <c r="CX25" i="14"/>
  <c r="DR22" i="14"/>
  <c r="CN26" i="14"/>
  <c r="DH23" i="14"/>
  <c r="DZ23" i="14"/>
  <c r="DY23" i="14"/>
  <c r="DP23" i="14"/>
  <c r="DO23" i="14"/>
  <c r="DF24" i="14"/>
  <c r="DE24" i="14"/>
  <c r="AZ29" i="14"/>
  <c r="CU26" i="14"/>
  <c r="CV26" i="14"/>
  <c r="BJ28" i="14"/>
  <c r="CL27" i="14"/>
  <c r="CK27" i="14"/>
  <c r="BH29" i="14"/>
  <c r="BG29" i="14"/>
  <c r="BQ28" i="14"/>
  <c r="BR28" i="14"/>
  <c r="AP29" i="14"/>
  <c r="BT27" i="14"/>
  <c r="CB28" i="14"/>
  <c r="CA28" i="14"/>
  <c r="AM30" i="14"/>
  <c r="AN30" i="14"/>
  <c r="AW30" i="14"/>
  <c r="AX30" i="14"/>
  <c r="AC32" i="14"/>
  <c r="AD32" i="14"/>
  <c r="V31" i="14"/>
  <c r="J33" i="14"/>
  <c r="I33" i="14"/>
  <c r="L32" i="14"/>
  <c r="AK30" i="14"/>
  <c r="AJ30" i="14" s="1"/>
  <c r="AG30" i="14"/>
  <c r="AL30" i="14"/>
  <c r="AI30" i="14"/>
  <c r="AH31" i="14"/>
  <c r="F32" i="14"/>
  <c r="DV32" i="14" s="1"/>
  <c r="DW32" i="14"/>
  <c r="CT26" i="14"/>
  <c r="CO26" i="14"/>
  <c r="CQ26" i="14"/>
  <c r="CP27" i="14"/>
  <c r="CS26" i="14"/>
  <c r="CR26" i="14" s="1"/>
  <c r="N33" i="14"/>
  <c r="M33" i="14" s="1"/>
  <c r="M32" i="14"/>
  <c r="H33" i="14"/>
  <c r="DX33" i="14" s="1"/>
  <c r="E33" i="14"/>
  <c r="C33" i="14"/>
  <c r="G33" i="14"/>
  <c r="DS23" i="14"/>
  <c r="DU23" i="14"/>
  <c r="DT24" i="14"/>
  <c r="BF29" i="14"/>
  <c r="BC29" i="14"/>
  <c r="BB30" i="14"/>
  <c r="BE29" i="14"/>
  <c r="BD29" i="14" s="1"/>
  <c r="BA29" i="14"/>
  <c r="AB32" i="14"/>
  <c r="X33" i="14"/>
  <c r="W32" i="14"/>
  <c r="AA32" i="14"/>
  <c r="Z32" i="14" s="1"/>
  <c r="Y32" i="14"/>
  <c r="AS30" i="14"/>
  <c r="AU30" i="14"/>
  <c r="AT30" i="14" s="1"/>
  <c r="AR31" i="14"/>
  <c r="AQ30" i="14"/>
  <c r="AV30" i="14"/>
  <c r="BZ28" i="14"/>
  <c r="BU28" i="14"/>
  <c r="BV29" i="14"/>
  <c r="BW28" i="14"/>
  <c r="BY28" i="14"/>
  <c r="BX28" i="14" s="1"/>
  <c r="BP28" i="14"/>
  <c r="BL29" i="14"/>
  <c r="BO28" i="14"/>
  <c r="BN28" i="14" s="1"/>
  <c r="BM28" i="14"/>
  <c r="BK28" i="14"/>
  <c r="DD24" i="14"/>
  <c r="CZ25" i="14"/>
  <c r="DA24" i="14"/>
  <c r="CY24" i="14"/>
  <c r="DC24" i="14"/>
  <c r="DB24" i="14" s="1"/>
  <c r="CJ27" i="14"/>
  <c r="CI27" i="14"/>
  <c r="CH27" i="14" s="1"/>
  <c r="CE27" i="14"/>
  <c r="CF28" i="14"/>
  <c r="CG27" i="14"/>
  <c r="DI23" i="14"/>
  <c r="DM23" i="14"/>
  <c r="DL23" i="14" s="1"/>
  <c r="DN23" i="14"/>
  <c r="DJ24" i="14"/>
  <c r="DK23" i="14"/>
  <c r="CD27" i="14" l="1"/>
  <c r="CD28" i="14"/>
  <c r="CX26" i="14"/>
  <c r="DR23" i="14"/>
  <c r="EB23" i="14"/>
  <c r="AF32" i="14"/>
  <c r="DZ24" i="14"/>
  <c r="DY24" i="14"/>
  <c r="DH24" i="14"/>
  <c r="DP24" i="14"/>
  <c r="DO24" i="14"/>
  <c r="BJ29" i="14"/>
  <c r="CN27" i="14"/>
  <c r="DF25" i="14"/>
  <c r="DE25" i="14"/>
  <c r="L33" i="14"/>
  <c r="CV27" i="14"/>
  <c r="CU27" i="14"/>
  <c r="CK28" i="14"/>
  <c r="CL28" i="14"/>
  <c r="BH30" i="14"/>
  <c r="BG30" i="14"/>
  <c r="BT28" i="14"/>
  <c r="BQ29" i="14"/>
  <c r="BR29" i="14"/>
  <c r="AZ30" i="14"/>
  <c r="CB29" i="14"/>
  <c r="CA29" i="14"/>
  <c r="AP30" i="14"/>
  <c r="AN31" i="14"/>
  <c r="AM31" i="14"/>
  <c r="AW31" i="14"/>
  <c r="AX31" i="14"/>
  <c r="AC33" i="14"/>
  <c r="AD33" i="14"/>
  <c r="AL31" i="14"/>
  <c r="AK31" i="14"/>
  <c r="AJ31" i="14" s="1"/>
  <c r="AH32" i="14"/>
  <c r="AG31" i="14"/>
  <c r="AI31" i="14"/>
  <c r="F33" i="14"/>
  <c r="DV33" i="14" s="1"/>
  <c r="DW33" i="14"/>
  <c r="AV31" i="14"/>
  <c r="AR32" i="14"/>
  <c r="AU31" i="14"/>
  <c r="AT31" i="14" s="1"/>
  <c r="AQ31" i="14"/>
  <c r="AS31" i="14"/>
  <c r="CJ28" i="14"/>
  <c r="CE28" i="14"/>
  <c r="CG28" i="14"/>
  <c r="CF29" i="14"/>
  <c r="CI28" i="14"/>
  <c r="CH28" i="14" s="1"/>
  <c r="DT25" i="14"/>
  <c r="DS24" i="14"/>
  <c r="DU24" i="14"/>
  <c r="CT27" i="14"/>
  <c r="CQ27" i="14"/>
  <c r="CS27" i="14"/>
  <c r="CR27" i="14" s="1"/>
  <c r="CP28" i="14"/>
  <c r="CO27" i="14"/>
  <c r="BP29" i="14"/>
  <c r="BM29" i="14"/>
  <c r="BK29" i="14"/>
  <c r="BL30" i="14"/>
  <c r="BO29" i="14"/>
  <c r="BN29" i="14" s="1"/>
  <c r="DN24" i="14"/>
  <c r="DK24" i="14"/>
  <c r="DI24" i="14"/>
  <c r="DJ25" i="14"/>
  <c r="DM24" i="14"/>
  <c r="DL24" i="14" s="1"/>
  <c r="DD25" i="14"/>
  <c r="CY25" i="14"/>
  <c r="CZ26" i="14"/>
  <c r="DA25" i="14"/>
  <c r="DC25" i="14"/>
  <c r="DB25" i="14" s="1"/>
  <c r="AB33" i="14"/>
  <c r="W33" i="14"/>
  <c r="AA33" i="14"/>
  <c r="Z33" i="14" s="1"/>
  <c r="Y33" i="14"/>
  <c r="BF30" i="14"/>
  <c r="BE30" i="14"/>
  <c r="BD30" i="14" s="1"/>
  <c r="BC30" i="14"/>
  <c r="BA30" i="14"/>
  <c r="BB31" i="14"/>
  <c r="BZ29" i="14"/>
  <c r="BW29" i="14"/>
  <c r="BV30" i="14"/>
  <c r="BU29" i="14"/>
  <c r="BY29" i="14"/>
  <c r="BX29" i="14" s="1"/>
  <c r="DR24" i="14" l="1"/>
  <c r="EB24" i="14"/>
  <c r="CD29" i="14"/>
  <c r="AF33" i="14"/>
  <c r="CX27" i="14"/>
  <c r="BJ30" i="14"/>
  <c r="DZ25" i="14"/>
  <c r="DY25" i="14"/>
  <c r="DH25" i="14"/>
  <c r="DP25" i="14"/>
  <c r="DO25" i="14"/>
  <c r="DF26" i="14"/>
  <c r="DE26" i="14"/>
  <c r="CN28" i="14"/>
  <c r="CV28" i="14"/>
  <c r="CU28" i="14"/>
  <c r="CK29" i="14"/>
  <c r="CL29" i="14"/>
  <c r="AZ31" i="14"/>
  <c r="BR30" i="14"/>
  <c r="BQ30" i="14"/>
  <c r="BG31" i="14"/>
  <c r="BH31" i="14"/>
  <c r="BT29" i="14"/>
  <c r="CA30" i="14"/>
  <c r="CB30" i="14"/>
  <c r="AP31" i="14"/>
  <c r="AX32" i="14"/>
  <c r="AW32" i="14"/>
  <c r="AN32" i="14"/>
  <c r="AM32" i="14"/>
  <c r="AI32" i="14"/>
  <c r="AL32" i="14"/>
  <c r="AK32" i="14"/>
  <c r="AJ32" i="14" s="1"/>
  <c r="AG32" i="14"/>
  <c r="AH33" i="14"/>
  <c r="AG33" i="14" s="1"/>
  <c r="DN25" i="14"/>
  <c r="DI25" i="14"/>
  <c r="DM25" i="14"/>
  <c r="DL25" i="14" s="1"/>
  <c r="DK25" i="14"/>
  <c r="DJ26" i="14"/>
  <c r="CJ29" i="14"/>
  <c r="CE29" i="14"/>
  <c r="CF30" i="14"/>
  <c r="CG29" i="14"/>
  <c r="CI29" i="14"/>
  <c r="CH29" i="14" s="1"/>
  <c r="BF31" i="14"/>
  <c r="BC31" i="14"/>
  <c r="BA31" i="14"/>
  <c r="BE31" i="14"/>
  <c r="BD31" i="14" s="1"/>
  <c r="BB32" i="14"/>
  <c r="BP30" i="14"/>
  <c r="BK30" i="14"/>
  <c r="BM30" i="14"/>
  <c r="BL31" i="14"/>
  <c r="BO30" i="14"/>
  <c r="BN30" i="14" s="1"/>
  <c r="DT26" i="14"/>
  <c r="DU25" i="14"/>
  <c r="DS25" i="14"/>
  <c r="BZ30" i="14"/>
  <c r="BU30" i="14"/>
  <c r="BV31" i="14"/>
  <c r="BW30" i="14"/>
  <c r="BY30" i="14"/>
  <c r="BX30" i="14" s="1"/>
  <c r="AV32" i="14"/>
  <c r="AR33" i="14"/>
  <c r="AU32" i="14"/>
  <c r="AT32" i="14" s="1"/>
  <c r="AQ32" i="14"/>
  <c r="AS32" i="14"/>
  <c r="DD26" i="14"/>
  <c r="CY26" i="14"/>
  <c r="CZ27" i="14"/>
  <c r="DC26" i="14"/>
  <c r="DB26" i="14" s="1"/>
  <c r="DA26" i="14"/>
  <c r="CT28" i="14"/>
  <c r="CQ28" i="14"/>
  <c r="CO28" i="14"/>
  <c r="CP29" i="14"/>
  <c r="CS28" i="14"/>
  <c r="CR28" i="14" s="1"/>
  <c r="DR25" i="14" l="1"/>
  <c r="EB25" i="14"/>
  <c r="CD30" i="14"/>
  <c r="CX28" i="14"/>
  <c r="DZ26" i="14"/>
  <c r="DY26" i="14"/>
  <c r="DP26" i="14"/>
  <c r="DO26" i="14"/>
  <c r="DH26" i="14"/>
  <c r="DF27" i="14"/>
  <c r="DE27" i="14"/>
  <c r="AP32" i="14"/>
  <c r="AZ32" i="14"/>
  <c r="CN29" i="14"/>
  <c r="CV29" i="14"/>
  <c r="CU29" i="14"/>
  <c r="CL30" i="14"/>
  <c r="CK30" i="14"/>
  <c r="BT30" i="14"/>
  <c r="BJ31" i="14"/>
  <c r="BQ31" i="14"/>
  <c r="BR31" i="14"/>
  <c r="BH32" i="14"/>
  <c r="BG32" i="14"/>
  <c r="CB31" i="14"/>
  <c r="CA31" i="14"/>
  <c r="AX33" i="14"/>
  <c r="AW33" i="14"/>
  <c r="DN26" i="14"/>
  <c r="DI26" i="14"/>
  <c r="DM26" i="14"/>
  <c r="DL26" i="14" s="1"/>
  <c r="DK26" i="14"/>
  <c r="DJ27" i="14"/>
  <c r="CT29" i="14"/>
  <c r="CP30" i="14"/>
  <c r="CQ29" i="14"/>
  <c r="CS29" i="14"/>
  <c r="CR29" i="14" s="1"/>
  <c r="CO29" i="14"/>
  <c r="AV33" i="14"/>
  <c r="AS33" i="14"/>
  <c r="AU33" i="14"/>
  <c r="AT33" i="14" s="1"/>
  <c r="AQ33" i="14"/>
  <c r="DU26" i="14"/>
  <c r="DT27" i="14"/>
  <c r="DS26" i="14"/>
  <c r="BP31" i="14"/>
  <c r="BM31" i="14"/>
  <c r="BL32" i="14"/>
  <c r="BK31" i="14"/>
  <c r="BO31" i="14"/>
  <c r="BN31" i="14" s="1"/>
  <c r="BF32" i="14"/>
  <c r="BC32" i="14"/>
  <c r="BA32" i="14"/>
  <c r="BB33" i="14"/>
  <c r="BE32" i="14"/>
  <c r="BD32" i="14" s="1"/>
  <c r="CJ30" i="14"/>
  <c r="CG30" i="14"/>
  <c r="CF31" i="14"/>
  <c r="CE30" i="14"/>
  <c r="CI30" i="14"/>
  <c r="CH30" i="14" s="1"/>
  <c r="BZ31" i="14"/>
  <c r="BV32" i="14"/>
  <c r="BW31" i="14"/>
  <c r="BU31" i="14"/>
  <c r="BY31" i="14"/>
  <c r="BX31" i="14" s="1"/>
  <c r="DD27" i="14"/>
  <c r="DA27" i="14"/>
  <c r="CY27" i="14"/>
  <c r="DC27" i="14"/>
  <c r="DB27" i="14" s="1"/>
  <c r="CZ28" i="14"/>
  <c r="CX29" i="14" l="1"/>
  <c r="CD31" i="14"/>
  <c r="EB26" i="14"/>
  <c r="DR26" i="14"/>
  <c r="CN30" i="14"/>
  <c r="DH27" i="14"/>
  <c r="DZ27" i="14"/>
  <c r="DY27" i="14"/>
  <c r="DP27" i="14"/>
  <c r="DO27" i="14"/>
  <c r="AZ33" i="14"/>
  <c r="DF28" i="14"/>
  <c r="DE28" i="14"/>
  <c r="CV30" i="14"/>
  <c r="CU30" i="14"/>
  <c r="BJ32" i="14"/>
  <c r="CL31" i="14"/>
  <c r="CK31" i="14"/>
  <c r="BQ32" i="14"/>
  <c r="BR32" i="14"/>
  <c r="BT31" i="14"/>
  <c r="BH33" i="14"/>
  <c r="BG33" i="14"/>
  <c r="CA32" i="14"/>
  <c r="CB32" i="14"/>
  <c r="BA33" i="14"/>
  <c r="DT28" i="14"/>
  <c r="DU27" i="14"/>
  <c r="DS27" i="14"/>
  <c r="BK32" i="14"/>
  <c r="BP32" i="14"/>
  <c r="BL33" i="14"/>
  <c r="BM32" i="14"/>
  <c r="BO32" i="14"/>
  <c r="BN32" i="14" s="1"/>
  <c r="DN27" i="14"/>
  <c r="DM27" i="14"/>
  <c r="DL27" i="14" s="1"/>
  <c r="DK27" i="14"/>
  <c r="DJ28" i="14"/>
  <c r="DI27" i="14"/>
  <c r="DD28" i="14"/>
  <c r="CY28" i="14"/>
  <c r="DC28" i="14"/>
  <c r="DB28" i="14" s="1"/>
  <c r="CZ29" i="14"/>
  <c r="DA28" i="14"/>
  <c r="CI31" i="14"/>
  <c r="CH31" i="14" s="1"/>
  <c r="CG31" i="14"/>
  <c r="CE31" i="14"/>
  <c r="CF32" i="14"/>
  <c r="CJ31" i="14"/>
  <c r="CT30" i="14"/>
  <c r="CQ30" i="14"/>
  <c r="CO30" i="14"/>
  <c r="CS30" i="14"/>
  <c r="CR30" i="14" s="1"/>
  <c r="CP31" i="14"/>
  <c r="BZ32" i="14"/>
  <c r="BW32" i="14"/>
  <c r="BV33" i="14"/>
  <c r="BY32" i="14"/>
  <c r="BX32" i="14" s="1"/>
  <c r="BU32" i="14"/>
  <c r="EB27" i="14" l="1"/>
  <c r="DR27" i="14"/>
  <c r="CD32" i="14"/>
  <c r="CX30" i="14"/>
  <c r="DH28" i="14"/>
  <c r="DZ28" i="14"/>
  <c r="DY28" i="14"/>
  <c r="DP28" i="14"/>
  <c r="DO28" i="14"/>
  <c r="CN31" i="14"/>
  <c r="DF29" i="14"/>
  <c r="DE29" i="14"/>
  <c r="CV31" i="14"/>
  <c r="CU31" i="14"/>
  <c r="CL32" i="14"/>
  <c r="CK32" i="14"/>
  <c r="BJ33" i="14"/>
  <c r="BQ33" i="14"/>
  <c r="BR33" i="14"/>
  <c r="BT32" i="14"/>
  <c r="CB33" i="14"/>
  <c r="CA33" i="14"/>
  <c r="BP33" i="14"/>
  <c r="BK33" i="14"/>
  <c r="BO33" i="14"/>
  <c r="BN33" i="14" s="1"/>
  <c r="BM33" i="14"/>
  <c r="CT31" i="14"/>
  <c r="CP32" i="14"/>
  <c r="CQ31" i="14"/>
  <c r="CS31" i="14"/>
  <c r="CR31" i="14" s="1"/>
  <c r="CO31" i="14"/>
  <c r="BZ33" i="14"/>
  <c r="BU33" i="14"/>
  <c r="BY33" i="14"/>
  <c r="BX33" i="14" s="1"/>
  <c r="BW33" i="14"/>
  <c r="DD29" i="14"/>
  <c r="CZ30" i="14"/>
  <c r="DA29" i="14"/>
  <c r="DC29" i="14"/>
  <c r="DB29" i="14" s="1"/>
  <c r="CY29" i="14"/>
  <c r="DN28" i="14"/>
  <c r="DJ29" i="14"/>
  <c r="DM28" i="14"/>
  <c r="DL28" i="14" s="1"/>
  <c r="DK28" i="14"/>
  <c r="DI28" i="14"/>
  <c r="DT29" i="14"/>
  <c r="DS28" i="14"/>
  <c r="DU28" i="14"/>
  <c r="CJ32" i="14"/>
  <c r="CE32" i="14"/>
  <c r="CI32" i="14"/>
  <c r="CH32" i="14" s="1"/>
  <c r="CF33" i="14"/>
  <c r="CG32" i="14"/>
  <c r="DR28" i="14" l="1"/>
  <c r="CD33" i="14"/>
  <c r="EB28" i="14"/>
  <c r="CX31" i="14"/>
  <c r="DY29" i="14"/>
  <c r="DZ29" i="14"/>
  <c r="DH29" i="14"/>
  <c r="DP29" i="14"/>
  <c r="DO29" i="14"/>
  <c r="CN32" i="14"/>
  <c r="DF30" i="14"/>
  <c r="DE30" i="14"/>
  <c r="CV32" i="14"/>
  <c r="CU32" i="14"/>
  <c r="CE33" i="14"/>
  <c r="CL33" i="14"/>
  <c r="CK33" i="14"/>
  <c r="BT33" i="14"/>
  <c r="CT32" i="14"/>
  <c r="CQ32" i="14"/>
  <c r="CP33" i="14"/>
  <c r="CS32" i="14"/>
  <c r="CR32" i="14" s="1"/>
  <c r="CO32" i="14"/>
  <c r="DN29" i="14"/>
  <c r="DK29" i="14"/>
  <c r="DJ30" i="14"/>
  <c r="DI29" i="14"/>
  <c r="DM29" i="14"/>
  <c r="DL29" i="14" s="1"/>
  <c r="DD30" i="14"/>
  <c r="CZ31" i="14"/>
  <c r="CY30" i="14"/>
  <c r="DC30" i="14"/>
  <c r="DB30" i="14" s="1"/>
  <c r="DA30" i="14"/>
  <c r="DT30" i="14"/>
  <c r="DU29" i="14"/>
  <c r="DS29" i="14"/>
  <c r="DR29" i="14" l="1"/>
  <c r="CX32" i="14"/>
  <c r="EB29" i="14"/>
  <c r="DZ30" i="14"/>
  <c r="DY30" i="14"/>
  <c r="DH30" i="14"/>
  <c r="DP30" i="14"/>
  <c r="DO30" i="14"/>
  <c r="CN33" i="14"/>
  <c r="DE31" i="14"/>
  <c r="DF31" i="14"/>
  <c r="CV33" i="14"/>
  <c r="CU33" i="14"/>
  <c r="DD31" i="14"/>
  <c r="CZ32" i="14"/>
  <c r="CY31" i="14"/>
  <c r="DC31" i="14"/>
  <c r="DB31" i="14" s="1"/>
  <c r="DA31" i="14"/>
  <c r="DN30" i="14"/>
  <c r="DK30" i="14"/>
  <c r="DM30" i="14"/>
  <c r="DL30" i="14" s="1"/>
  <c r="DJ31" i="14"/>
  <c r="DI30" i="14"/>
  <c r="DS30" i="14"/>
  <c r="DT31" i="14"/>
  <c r="DU30" i="14"/>
  <c r="CT33" i="14"/>
  <c r="CO33" i="14"/>
  <c r="CS33" i="14"/>
  <c r="CR33" i="14" s="1"/>
  <c r="CQ33" i="14"/>
  <c r="DR30" i="14" l="1"/>
  <c r="EB30" i="14"/>
  <c r="CX33" i="14"/>
  <c r="DZ31" i="14"/>
  <c r="DY31" i="14"/>
  <c r="DP31" i="14"/>
  <c r="DO31" i="14"/>
  <c r="DF32" i="14"/>
  <c r="DE32" i="14"/>
  <c r="DH31" i="14"/>
  <c r="DN31" i="14"/>
  <c r="DI31" i="14"/>
  <c r="DJ32" i="14"/>
  <c r="DK31" i="14"/>
  <c r="DM31" i="14"/>
  <c r="DL31" i="14" s="1"/>
  <c r="DD32" i="14"/>
  <c r="CZ33" i="14"/>
  <c r="DA32" i="14"/>
  <c r="CY32" i="14"/>
  <c r="DC32" i="14"/>
  <c r="DB32" i="14" s="1"/>
  <c r="DU31" i="14"/>
  <c r="DT32" i="14"/>
  <c r="DS31" i="14"/>
  <c r="EB31" i="14" l="1"/>
  <c r="DR31" i="14"/>
  <c r="DZ32" i="14"/>
  <c r="DY32" i="14"/>
  <c r="DP32" i="14"/>
  <c r="DO32" i="14"/>
  <c r="DH32" i="14"/>
  <c r="CY33" i="14"/>
  <c r="DF33" i="14"/>
  <c r="DE33" i="14"/>
  <c r="DN32" i="14"/>
  <c r="DJ33" i="14"/>
  <c r="DM32" i="14"/>
  <c r="DL32" i="14" s="1"/>
  <c r="DK32" i="14"/>
  <c r="DI32" i="14"/>
  <c r="DS32" i="14"/>
  <c r="DU32" i="14"/>
  <c r="DT33" i="14"/>
  <c r="DR32" i="14" l="1"/>
  <c r="EB32" i="14"/>
  <c r="DZ33" i="14"/>
  <c r="DY33" i="14"/>
  <c r="DP33" i="14"/>
  <c r="DO33" i="14"/>
  <c r="DH33" i="14"/>
  <c r="DS33" i="14"/>
  <c r="DU33" i="14"/>
  <c r="DN33" i="14"/>
  <c r="DM33" i="14"/>
  <c r="DL33" i="14" s="1"/>
  <c r="DK33" i="14"/>
  <c r="DI33" i="14"/>
  <c r="C26" i="28"/>
  <c r="C29" i="28" l="1"/>
  <c r="DR33" i="14"/>
  <c r="EB33" i="14"/>
  <c r="D26" i="28"/>
  <c r="D29" i="28" s="1"/>
  <c r="E26" i="28" l="1"/>
  <c r="E29" i="28" s="1"/>
  <c r="F26" i="28" l="1"/>
  <c r="F29" i="28" s="1"/>
  <c r="G26" i="28" l="1"/>
  <c r="G29" i="28" s="1"/>
  <c r="H26" i="28" l="1"/>
  <c r="H29" i="28" s="1"/>
  <c r="B28" i="28" l="1" a="1"/>
  <c r="E28" i="28" s="1"/>
  <c r="B27" i="28" a="1"/>
  <c r="C28" i="28" l="1"/>
  <c r="F28" i="28"/>
  <c r="D28" i="28"/>
  <c r="B28" i="28"/>
  <c r="G28" i="28"/>
  <c r="H28" i="28"/>
  <c r="B27" i="28"/>
  <c r="F27" i="28"/>
  <c r="C27" i="28"/>
  <c r="E27" i="28"/>
  <c r="H27" i="28"/>
  <c r="G27" i="28"/>
  <c r="D27" i="28"/>
</calcChain>
</file>

<file path=xl/comments1.xml><?xml version="1.0" encoding="utf-8"?>
<comments xmlns="http://schemas.openxmlformats.org/spreadsheetml/2006/main">
  <authors>
    <author/>
  </authors>
  <commentList>
    <comment ref="B3" authorId="0">
      <text>
        <r>
          <rPr>
            <sz val="10"/>
            <rFont val="Arial"/>
            <family val="2"/>
          </rPr>
          <t>Pour faire apparaître un jour coloré comme jour férié, sans intitulé visible, insérer dans la colonne « intitulé » un caractère blanc autre que l'espace (ou copier l'intitulé du lundi de Pâques en A11)</t>
        </r>
      </text>
    </comment>
    <comment ref="C6" authorId="0">
      <text>
        <r>
          <rPr>
            <sz val="10"/>
            <rFont val="Arial"/>
            <family val="2"/>
          </rPr>
          <t>Seulement si Pâques et le changement d'heure tombent un même jour</t>
        </r>
      </text>
    </comment>
    <comment ref="C8" authorId="0">
      <text>
        <r>
          <rPr>
            <sz val="10"/>
            <rFont val="Arial"/>
            <family val="2"/>
          </rPr>
          <t>Seulement si Pâques et le changement d'heure tombent un même jour</t>
        </r>
      </text>
    </comment>
    <comment ref="C9" authorId="0">
      <text>
        <r>
          <rPr>
            <sz val="10"/>
            <rFont val="Arial"/>
            <family val="2"/>
          </rPr>
          <t xml:space="preserve">2e dimanche de mars, depuis 2007 (avant c'était le 1er dimanche d'avril)
</t>
        </r>
      </text>
    </comment>
    <comment ref="C19" authorId="0">
      <text>
        <r>
          <rPr>
            <sz val="10"/>
            <rFont val="Arial"/>
            <family val="2"/>
          </rPr>
          <t>dernier dimanche d'octobre</t>
        </r>
      </text>
    </comment>
    <comment ref="C28" authorId="0">
      <text>
        <r>
          <rPr>
            <sz val="10"/>
            <rFont val="Arial"/>
            <family val="2"/>
          </rPr>
          <t>Premier lundi de septembre</t>
        </r>
      </text>
    </comment>
    <comment ref="C29" authorId="0">
      <text>
        <r>
          <rPr>
            <sz val="10"/>
            <rFont val="Arial"/>
            <family val="2"/>
          </rPr>
          <t>Dernier dimanche de mai, sauf si celui-ci est le dimanche de Pentecôte. Dans ce cas, la Fête des mères est reportée au premier dimanche de juin.</t>
        </r>
      </text>
    </comment>
    <comment ref="C31" authorId="0">
      <text>
        <r>
          <rPr>
            <sz val="10"/>
            <rFont val="Arial"/>
            <family val="2"/>
          </rPr>
          <t>3ème dimanche de juin</t>
        </r>
      </text>
    </comment>
    <comment ref="C32" authorId="0">
      <text>
        <r>
          <rPr>
            <sz val="10"/>
            <rFont val="Arial"/>
            <family val="2"/>
          </rPr>
          <t>1er dimanche de mars</t>
        </r>
      </text>
    </comment>
    <comment ref="C33" authorId="0">
      <text>
        <r>
          <rPr>
            <sz val="10"/>
            <rFont val="Arial"/>
            <family val="2"/>
          </rPr>
          <t>2ème dimanche après Noël</t>
        </r>
      </text>
    </comment>
    <comment ref="C37" authorId="0">
      <text>
        <r>
          <rPr>
            <sz val="10"/>
            <rFont val="Arial"/>
            <family val="2"/>
          </rPr>
          <t>1er dimanche de novembre depuis 2007 (avant c'était dernier dimanche d'octobre, comme en europe)</t>
        </r>
      </text>
    </comment>
    <comment ref="C45" authorId="0">
      <text>
        <r>
          <rPr>
            <sz val="10"/>
            <rFont val="Arial"/>
            <family val="2"/>
          </rPr>
          <t>Journée nationale des patriotes, le lundi précédent le 25 mai</t>
        </r>
      </text>
    </comment>
    <comment ref="C46" authorId="0">
      <text>
        <r>
          <rPr>
            <sz val="10"/>
            <rFont val="Arial"/>
            <family val="2"/>
          </rPr>
          <t>Report du jour férié au lundi si la fête nationale tombe un dimanche</t>
        </r>
      </text>
    </comment>
    <comment ref="C48" authorId="0">
      <text>
        <r>
          <rPr>
            <sz val="10"/>
            <rFont val="Arial"/>
            <family val="2"/>
          </rPr>
          <t>Report du jour férié au lundi si la fête du Canada tombe un dimanche</t>
        </r>
      </text>
    </comment>
    <comment ref="C49" authorId="0">
      <text>
        <r>
          <rPr>
            <sz val="10"/>
            <rFont val="Arial"/>
            <family val="2"/>
          </rPr>
          <t>Deuxième lundi d'octobre</t>
        </r>
      </text>
    </comment>
    <comment ref="C53" authorId="0">
      <text>
        <r>
          <rPr>
            <sz val="10"/>
            <rFont val="Arial"/>
            <family val="2"/>
          </rPr>
          <t>premier jeudi d'avril</t>
        </r>
      </text>
    </comment>
    <comment ref="C55" authorId="0">
      <text>
        <r>
          <rPr>
            <sz val="10"/>
            <rFont val="Arial"/>
            <family val="2"/>
          </rPr>
          <t>3eme dimanche de septembre</t>
        </r>
      </text>
    </comment>
    <comment ref="C56" authorId="0">
      <text>
        <r>
          <rPr>
            <sz val="10"/>
            <rFont val="Arial"/>
            <family val="2"/>
          </rPr>
          <t>jeudi suivant le 1er dimanche de septembre</t>
        </r>
      </text>
    </comment>
  </commentList>
</comments>
</file>

<file path=xl/sharedStrings.xml><?xml version="1.0" encoding="utf-8"?>
<sst xmlns="http://schemas.openxmlformats.org/spreadsheetml/2006/main" count="3321" uniqueCount="640">
  <si>
    <t>Janvier</t>
  </si>
  <si>
    <t>Année scolaire</t>
  </si>
  <si>
    <t>Date Début vacances</t>
  </si>
  <si>
    <t>Date Fin vacances</t>
  </si>
  <si>
    <t>Février</t>
  </si>
  <si>
    <t>Fériés</t>
  </si>
  <si>
    <t>http://www.education.gouv.fr/pid25058/le-calendrier-scolaire.html?annee=108&amp;zone=0&amp;search_input=%A0D%E9partement%2C+Code+postal+ou+ville</t>
  </si>
  <si>
    <t>Académie de dijon</t>
  </si>
  <si>
    <t>Mars</t>
  </si>
  <si>
    <t>DVac</t>
  </si>
  <si>
    <t>FVac</t>
  </si>
  <si>
    <t>Avril</t>
  </si>
  <si>
    <t>2013/2014</t>
  </si>
  <si>
    <t>Noël</t>
  </si>
  <si>
    <t>Mai</t>
  </si>
  <si>
    <t>Hiver</t>
  </si>
  <si>
    <t>Juin</t>
  </si>
  <si>
    <t>Printemps</t>
  </si>
  <si>
    <t>Juillet</t>
  </si>
  <si>
    <t>Eté</t>
  </si>
  <si>
    <t>Août</t>
  </si>
  <si>
    <t>Toussaint</t>
  </si>
  <si>
    <t>Septembre</t>
  </si>
  <si>
    <t>Octobre</t>
  </si>
  <si>
    <t>Novembre</t>
  </si>
  <si>
    <t>Décembre</t>
  </si>
  <si>
    <t>Mois</t>
  </si>
  <si>
    <t>Année</t>
  </si>
  <si>
    <t>Jours</t>
  </si>
  <si>
    <t>Date</t>
  </si>
  <si>
    <t>Heure début</t>
  </si>
  <si>
    <t>Heure fin</t>
  </si>
  <si>
    <t>Total journée</t>
  </si>
  <si>
    <t>Total</t>
  </si>
  <si>
    <t>TARAUD Sébastien</t>
  </si>
  <si>
    <t>Nom</t>
  </si>
  <si>
    <t>Prénom</t>
  </si>
  <si>
    <t>date</t>
  </si>
  <si>
    <t>Virely</t>
  </si>
  <si>
    <t>élodie</t>
  </si>
  <si>
    <t>Taraud</t>
  </si>
  <si>
    <t>sebastien</t>
  </si>
  <si>
    <t>comentaire</t>
  </si>
  <si>
    <t>naissance</t>
  </si>
  <si>
    <t>rencontre</t>
  </si>
  <si>
    <t>audrey</t>
  </si>
  <si>
    <t>jerôme</t>
  </si>
  <si>
    <t>chapellas</t>
  </si>
  <si>
    <t>fabien</t>
  </si>
  <si>
    <t xml:space="preserve">Lachaise </t>
  </si>
  <si>
    <t>Hervé</t>
  </si>
  <si>
    <t>Boireau</t>
  </si>
  <si>
    <t>eric</t>
  </si>
  <si>
    <t>estelle</t>
  </si>
  <si>
    <t>daniel</t>
  </si>
  <si>
    <t>gisèle</t>
  </si>
  <si>
    <t>marriage</t>
  </si>
  <si>
    <t>stéphanie</t>
  </si>
  <si>
    <t>boireau</t>
  </si>
  <si>
    <t>mélanie</t>
  </si>
  <si>
    <t>Barberan</t>
  </si>
  <si>
    <t>chedeville</t>
  </si>
  <si>
    <t>phillipe</t>
  </si>
  <si>
    <t xml:space="preserve">Laborde </t>
  </si>
  <si>
    <t>Clément</t>
  </si>
  <si>
    <t>Lapostalle</t>
  </si>
  <si>
    <t>Alexandre</t>
  </si>
  <si>
    <t>Nom Prénom</t>
  </si>
  <si>
    <t>Date de fête</t>
  </si>
  <si>
    <t xml:space="preserve">Prénom </t>
  </si>
  <si>
    <t>Jour de l'an</t>
  </si>
  <si>
    <t>Basile</t>
  </si>
  <si>
    <t>Geneviève</t>
  </si>
  <si>
    <t>Odilon</t>
  </si>
  <si>
    <t>Edouard</t>
  </si>
  <si>
    <t>Mélaine</t>
  </si>
  <si>
    <t>Raymond</t>
  </si>
  <si>
    <t>Lucien</t>
  </si>
  <si>
    <t>Alix</t>
  </si>
  <si>
    <t>Guillaume</t>
  </si>
  <si>
    <t>Pauline</t>
  </si>
  <si>
    <t>Tatiana</t>
  </si>
  <si>
    <t>Yvette</t>
  </si>
  <si>
    <t>Nina</t>
  </si>
  <si>
    <t>Rémi</t>
  </si>
  <si>
    <t>Marcel</t>
  </si>
  <si>
    <t>Roseline</t>
  </si>
  <si>
    <t>Prisca</t>
  </si>
  <si>
    <t>Marius</t>
  </si>
  <si>
    <t>Sébastien</t>
  </si>
  <si>
    <t>Agnès</t>
  </si>
  <si>
    <t>Vincent</t>
  </si>
  <si>
    <t>Banard</t>
  </si>
  <si>
    <t>François de Sales</t>
  </si>
  <si>
    <t>Conversion de Paul</t>
  </si>
  <si>
    <t>Paule</t>
  </si>
  <si>
    <t>Angèle</t>
  </si>
  <si>
    <t>Thomas d'Aquin</t>
  </si>
  <si>
    <t>Gildas</t>
  </si>
  <si>
    <t>Martine</t>
  </si>
  <si>
    <t>Marcelle</t>
  </si>
  <si>
    <t>Ella</t>
  </si>
  <si>
    <t>Présentation</t>
  </si>
  <si>
    <t>Blaise</t>
  </si>
  <si>
    <t>Véronique</t>
  </si>
  <si>
    <t>Agathe</t>
  </si>
  <si>
    <t>Gaston</t>
  </si>
  <si>
    <t>Eugènie</t>
  </si>
  <si>
    <t>Jacqueline</t>
  </si>
  <si>
    <t>Apolline</t>
  </si>
  <si>
    <t>Arnaud</t>
  </si>
  <si>
    <t>Notre Dame de Lourdes</t>
  </si>
  <si>
    <t>Félix</t>
  </si>
  <si>
    <t>Béatrice</t>
  </si>
  <si>
    <t>Valentin</t>
  </si>
  <si>
    <t>Claude</t>
  </si>
  <si>
    <t>Julienne</t>
  </si>
  <si>
    <t>Alexis</t>
  </si>
  <si>
    <t>Bernadette</t>
  </si>
  <si>
    <t>Gabin</t>
  </si>
  <si>
    <t>Aimée</t>
  </si>
  <si>
    <t>Damien</t>
  </si>
  <si>
    <t>Isabelle</t>
  </si>
  <si>
    <t>Lazare</t>
  </si>
  <si>
    <t>Modeste</t>
  </si>
  <si>
    <t>Roméo</t>
  </si>
  <si>
    <t>Nestor</t>
  </si>
  <si>
    <t>Honorine</t>
  </si>
  <si>
    <t>Romain</t>
  </si>
  <si>
    <t>Auguste</t>
  </si>
  <si>
    <t>Aubin</t>
  </si>
  <si>
    <t>Charles le Bon</t>
  </si>
  <si>
    <t>Guénolé</t>
  </si>
  <si>
    <t>Casimir</t>
  </si>
  <si>
    <t>Olive</t>
  </si>
  <si>
    <t>Colette</t>
  </si>
  <si>
    <t>Félicité</t>
  </si>
  <si>
    <t>Jean de Dieu</t>
  </si>
  <si>
    <t>Françoise</t>
  </si>
  <si>
    <t>Vivien</t>
  </si>
  <si>
    <t>Rosine</t>
  </si>
  <si>
    <t>Justine</t>
  </si>
  <si>
    <t>Rodrigue</t>
  </si>
  <si>
    <t>Mathilde</t>
  </si>
  <si>
    <t>Louise</t>
  </si>
  <si>
    <t>Bénédicte</t>
  </si>
  <si>
    <t>Patrice</t>
  </si>
  <si>
    <t>Cyrille</t>
  </si>
  <si>
    <t>Joseph</t>
  </si>
  <si>
    <t>Printemps/Rameaux</t>
  </si>
  <si>
    <t>Clémence</t>
  </si>
  <si>
    <t>Léa</t>
  </si>
  <si>
    <t>Victorien</t>
  </si>
  <si>
    <t>Catherine</t>
  </si>
  <si>
    <t>Annonciation</t>
  </si>
  <si>
    <t>Larissa</t>
  </si>
  <si>
    <t>Habib</t>
  </si>
  <si>
    <t>Gontran</t>
  </si>
  <si>
    <t>Gwladys</t>
  </si>
  <si>
    <t>Amédée</t>
  </si>
  <si>
    <t>Benjamin</t>
  </si>
  <si>
    <t>Hugues</t>
  </si>
  <si>
    <t>Sandrine</t>
  </si>
  <si>
    <t>Richard</t>
  </si>
  <si>
    <t>Isidore</t>
  </si>
  <si>
    <t>Irène</t>
  </si>
  <si>
    <t>Marcellin</t>
  </si>
  <si>
    <t>Jean-Baptiste de la Salle</t>
  </si>
  <si>
    <t>Julie</t>
  </si>
  <si>
    <t>Gautier</t>
  </si>
  <si>
    <t>Fulbert</t>
  </si>
  <si>
    <t>Stanislas</t>
  </si>
  <si>
    <t>Jules</t>
  </si>
  <si>
    <t>Ida</t>
  </si>
  <si>
    <t>Maxime</t>
  </si>
  <si>
    <t>Paterne</t>
  </si>
  <si>
    <t>Benoît-Joseph</t>
  </si>
  <si>
    <t>Anicet</t>
  </si>
  <si>
    <t>Parfait</t>
  </si>
  <si>
    <t>Emma</t>
  </si>
  <si>
    <t>Odette</t>
  </si>
  <si>
    <t>Anselme</t>
  </si>
  <si>
    <t>Georges</t>
  </si>
  <si>
    <t>Fidèle</t>
  </si>
  <si>
    <t>Marc</t>
  </si>
  <si>
    <t>Alida</t>
  </si>
  <si>
    <t>Zita</t>
  </si>
  <si>
    <t>Valérie</t>
  </si>
  <si>
    <t>Catherine de Sienne</t>
  </si>
  <si>
    <t>Robert</t>
  </si>
  <si>
    <t>Fête du travail</t>
  </si>
  <si>
    <t>Boris</t>
  </si>
  <si>
    <t>Philippe, Jacques</t>
  </si>
  <si>
    <t>Sylvain</t>
  </si>
  <si>
    <t>Judith</t>
  </si>
  <si>
    <t>Prudence</t>
  </si>
  <si>
    <t>Gisèle</t>
  </si>
  <si>
    <t>Armistice 1945</t>
  </si>
  <si>
    <t>Pacôme</t>
  </si>
  <si>
    <t>Solange</t>
  </si>
  <si>
    <t>Estelle</t>
  </si>
  <si>
    <t>Achille</t>
  </si>
  <si>
    <t>Rolande</t>
  </si>
  <si>
    <t>Matthias</t>
  </si>
  <si>
    <t>Denise</t>
  </si>
  <si>
    <t>Honoré</t>
  </si>
  <si>
    <t>Pascal</t>
  </si>
  <si>
    <t>Eric</t>
  </si>
  <si>
    <t>Yves</t>
  </si>
  <si>
    <t>Bernardin</t>
  </si>
  <si>
    <t>Constantin</t>
  </si>
  <si>
    <t>Emile</t>
  </si>
  <si>
    <t>Didier</t>
  </si>
  <si>
    <t>Donatien</t>
  </si>
  <si>
    <t>Sophie</t>
  </si>
  <si>
    <t>Bérenger</t>
  </si>
  <si>
    <t>Augustin</t>
  </si>
  <si>
    <t>Germain</t>
  </si>
  <si>
    <t>Aymar</t>
  </si>
  <si>
    <t>Ferdinand</t>
  </si>
  <si>
    <t>Visitation de la Sainte Vierge</t>
  </si>
  <si>
    <t>Justin</t>
  </si>
  <si>
    <t>Blandine</t>
  </si>
  <si>
    <t>Kévin</t>
  </si>
  <si>
    <t>Clotilde</t>
  </si>
  <si>
    <t>Igor</t>
  </si>
  <si>
    <t>Norbert</t>
  </si>
  <si>
    <t>Gilbert</t>
  </si>
  <si>
    <t>Médard</t>
  </si>
  <si>
    <t>Diane</t>
  </si>
  <si>
    <t>Landry</t>
  </si>
  <si>
    <t>Barnabé</t>
  </si>
  <si>
    <t>Guy</t>
  </si>
  <si>
    <t>Antoine de Padoue</t>
  </si>
  <si>
    <t>Elisée</t>
  </si>
  <si>
    <t>Germaine</t>
  </si>
  <si>
    <t>Jean-François Régis</t>
  </si>
  <si>
    <t>Léonce</t>
  </si>
  <si>
    <t>Romuald</t>
  </si>
  <si>
    <t>Silvère</t>
  </si>
  <si>
    <t>Alban</t>
  </si>
  <si>
    <t>Audrey</t>
  </si>
  <si>
    <t>Jean-Baptiste</t>
  </si>
  <si>
    <t>Prosper</t>
  </si>
  <si>
    <t>Anthelme</t>
  </si>
  <si>
    <t>Fernand</t>
  </si>
  <si>
    <t>Irénée</t>
  </si>
  <si>
    <t>Pierre, Paul</t>
  </si>
  <si>
    <t>Martial</t>
  </si>
  <si>
    <t>Thierry</t>
  </si>
  <si>
    <t>Martinien</t>
  </si>
  <si>
    <t>Thomas</t>
  </si>
  <si>
    <t>Florent</t>
  </si>
  <si>
    <t>Antoine</t>
  </si>
  <si>
    <t>Mariette</t>
  </si>
  <si>
    <t>Raoul</t>
  </si>
  <si>
    <t>Thibault</t>
  </si>
  <si>
    <t>Amandine</t>
  </si>
  <si>
    <t>Ulrich</t>
  </si>
  <si>
    <t>Benoît</t>
  </si>
  <si>
    <t>Olivier</t>
  </si>
  <si>
    <t>Henri, Joël</t>
  </si>
  <si>
    <t>Fête Nationale</t>
  </si>
  <si>
    <t>Donald</t>
  </si>
  <si>
    <t>Notre Dame du Mont Carmel</t>
  </si>
  <si>
    <t>Charlotte</t>
  </si>
  <si>
    <t>Frédéric</t>
  </si>
  <si>
    <t>Arsène</t>
  </si>
  <si>
    <t>Marina</t>
  </si>
  <si>
    <t>Victor</t>
  </si>
  <si>
    <t>Marie-Madeleine</t>
  </si>
  <si>
    <t>Brigitte</t>
  </si>
  <si>
    <t>Christine</t>
  </si>
  <si>
    <t>Jacques</t>
  </si>
  <si>
    <t>Anne, Joachin</t>
  </si>
  <si>
    <t>Nathalie</t>
  </si>
  <si>
    <t>Samson</t>
  </si>
  <si>
    <t>Marthe</t>
  </si>
  <si>
    <t>Juliette</t>
  </si>
  <si>
    <t>Ignace de Loyola</t>
  </si>
  <si>
    <t>Alphonse</t>
  </si>
  <si>
    <t>Julien Eymard</t>
  </si>
  <si>
    <t>Lydie</t>
  </si>
  <si>
    <t>Jean-Marie Vianney</t>
  </si>
  <si>
    <t>Abel</t>
  </si>
  <si>
    <t>Transfiguration</t>
  </si>
  <si>
    <t>Gaétan</t>
  </si>
  <si>
    <t>Dominique</t>
  </si>
  <si>
    <t>Amour</t>
  </si>
  <si>
    <t>Laurent</t>
  </si>
  <si>
    <t>Claire</t>
  </si>
  <si>
    <t>Clarisse</t>
  </si>
  <si>
    <t>Hippolyte</t>
  </si>
  <si>
    <t>Evrard</t>
  </si>
  <si>
    <t>Assomption</t>
  </si>
  <si>
    <t>Armel</t>
  </si>
  <si>
    <t>Hyacinthe</t>
  </si>
  <si>
    <t>Hélène</t>
  </si>
  <si>
    <t>Jean-Eudes</t>
  </si>
  <si>
    <t>Bernard</t>
  </si>
  <si>
    <t>Christophe</t>
  </si>
  <si>
    <t>Fabrice</t>
  </si>
  <si>
    <t>Rose de Lima</t>
  </si>
  <si>
    <t>Barthélémy</t>
  </si>
  <si>
    <t>Louis</t>
  </si>
  <si>
    <t>Natacha</t>
  </si>
  <si>
    <t>Monique</t>
  </si>
  <si>
    <t>Sabine</t>
  </si>
  <si>
    <t>Fiacre</t>
  </si>
  <si>
    <t>Aristide</t>
  </si>
  <si>
    <t>Gilles</t>
  </si>
  <si>
    <t>Ingrid</t>
  </si>
  <si>
    <t>Grégoire</t>
  </si>
  <si>
    <t>Rosalie</t>
  </si>
  <si>
    <t>Raïssa</t>
  </si>
  <si>
    <t>Bertrand</t>
  </si>
  <si>
    <t>Reine</t>
  </si>
  <si>
    <t>Nativité</t>
  </si>
  <si>
    <t>Alain</t>
  </si>
  <si>
    <t>Inès</t>
  </si>
  <si>
    <t>Adelphe</t>
  </si>
  <si>
    <t>Apollinaire</t>
  </si>
  <si>
    <t>Aimé</t>
  </si>
  <si>
    <t>Croix Glorieuse</t>
  </si>
  <si>
    <t>Roland</t>
  </si>
  <si>
    <t>Edith</t>
  </si>
  <si>
    <t>Renaud</t>
  </si>
  <si>
    <t>Nadège</t>
  </si>
  <si>
    <t>Emilie</t>
  </si>
  <si>
    <t>Davy</t>
  </si>
  <si>
    <t>Matthieu</t>
  </si>
  <si>
    <t>Maurice</t>
  </si>
  <si>
    <t>Automne</t>
  </si>
  <si>
    <t>Thècle</t>
  </si>
  <si>
    <t>Hermann</t>
  </si>
  <si>
    <t>Côme, Damien</t>
  </si>
  <si>
    <t>Vincent de Paul</t>
  </si>
  <si>
    <t>Venceslas</t>
  </si>
  <si>
    <t>Michel, Gabriel, Raphaël</t>
  </si>
  <si>
    <t>Jérôme</t>
  </si>
  <si>
    <t>Thérèse de l'Enfant Jésus</t>
  </si>
  <si>
    <t>Léger</t>
  </si>
  <si>
    <t>Gérard</t>
  </si>
  <si>
    <t>François d'Assise</t>
  </si>
  <si>
    <t>Fleur</t>
  </si>
  <si>
    <t>Bruno</t>
  </si>
  <si>
    <t>Serge</t>
  </si>
  <si>
    <t>Pélagie</t>
  </si>
  <si>
    <t>Denis</t>
  </si>
  <si>
    <t>Ghislain</t>
  </si>
  <si>
    <t>Firmin</t>
  </si>
  <si>
    <t>Wilfried</t>
  </si>
  <si>
    <t>Géraud</t>
  </si>
  <si>
    <t>Juste</t>
  </si>
  <si>
    <t>Thérèse d'Avila</t>
  </si>
  <si>
    <t>Edwige</t>
  </si>
  <si>
    <t>Baudoin</t>
  </si>
  <si>
    <t>Luc</t>
  </si>
  <si>
    <t>René</t>
  </si>
  <si>
    <t>Adeline</t>
  </si>
  <si>
    <t>Céline</t>
  </si>
  <si>
    <t>Elodie</t>
  </si>
  <si>
    <t>Jean de Capistran</t>
  </si>
  <si>
    <t>Florentin</t>
  </si>
  <si>
    <t>Crépin</t>
  </si>
  <si>
    <t>Dimitri</t>
  </si>
  <si>
    <t>Emeline</t>
  </si>
  <si>
    <t>Jude</t>
  </si>
  <si>
    <t>Narcisse</t>
  </si>
  <si>
    <t>Bienvenu</t>
  </si>
  <si>
    <t>Quentin</t>
  </si>
  <si>
    <t>Défunts</t>
  </si>
  <si>
    <t>Hubert</t>
  </si>
  <si>
    <t>Charles</t>
  </si>
  <si>
    <t>Sylvie</t>
  </si>
  <si>
    <t>Bertille</t>
  </si>
  <si>
    <t>Carine</t>
  </si>
  <si>
    <t>Geoffroy</t>
  </si>
  <si>
    <t>Théodore</t>
  </si>
  <si>
    <t>Léon</t>
  </si>
  <si>
    <t>Armistice 1918</t>
  </si>
  <si>
    <t>Christian</t>
  </si>
  <si>
    <t>Brice</t>
  </si>
  <si>
    <t>Sidoine</t>
  </si>
  <si>
    <t>Albert</t>
  </si>
  <si>
    <t>Marguerite</t>
  </si>
  <si>
    <t>Elisabeth</t>
  </si>
  <si>
    <t>Aude</t>
  </si>
  <si>
    <t>Tanguy</t>
  </si>
  <si>
    <t>Edmond</t>
  </si>
  <si>
    <t>Présence de Marie</t>
  </si>
  <si>
    <t>Cécile</t>
  </si>
  <si>
    <t>Flora</t>
  </si>
  <si>
    <t>Delphine</t>
  </si>
  <si>
    <t>Sévrin</t>
  </si>
  <si>
    <t>Jacques de la Marche</t>
  </si>
  <si>
    <t>Saturnin</t>
  </si>
  <si>
    <t>André</t>
  </si>
  <si>
    <t>Florence</t>
  </si>
  <si>
    <t>Viviane</t>
  </si>
  <si>
    <t>François-Xavier</t>
  </si>
  <si>
    <t>Barbara</t>
  </si>
  <si>
    <t>Gérald</t>
  </si>
  <si>
    <t>Nicolas</t>
  </si>
  <si>
    <t>Ambroise</t>
  </si>
  <si>
    <t>Immaculée Conception</t>
  </si>
  <si>
    <t>Pierre Fourier</t>
  </si>
  <si>
    <t>Romaric</t>
  </si>
  <si>
    <t>Daniel</t>
  </si>
  <si>
    <t>Jeanne-Françoise de Chantal</t>
  </si>
  <si>
    <t>Lucie</t>
  </si>
  <si>
    <t>Odile</t>
  </si>
  <si>
    <t>Ninon</t>
  </si>
  <si>
    <t>Alice</t>
  </si>
  <si>
    <t>Gaël</t>
  </si>
  <si>
    <t>Gatien</t>
  </si>
  <si>
    <t>Urbain</t>
  </si>
  <si>
    <t>Théophile</t>
  </si>
  <si>
    <t>Françoise-Xavière</t>
  </si>
  <si>
    <t>Armand</t>
  </si>
  <si>
    <t>Adèle</t>
  </si>
  <si>
    <t>Etienne</t>
  </si>
  <si>
    <t>Jean</t>
  </si>
  <si>
    <t>Innocents</t>
  </si>
  <si>
    <t>David</t>
  </si>
  <si>
    <t>Roger</t>
  </si>
  <si>
    <t>Sylvestre</t>
  </si>
  <si>
    <t xml:space="preserve">boireau </t>
  </si>
  <si>
    <t>andrée</t>
  </si>
  <si>
    <t>zodiac</t>
  </si>
  <si>
    <t>Début</t>
  </si>
  <si>
    <t>Fin</t>
  </si>
  <si>
    <t>Élément</t>
  </si>
  <si>
    <t>Signe</t>
  </si>
  <si>
    <t>鼠 rat</t>
  </si>
  <si>
    <t>金 Metal</t>
  </si>
  <si>
    <t>牛 buffle</t>
  </si>
  <si>
    <t>虎 tigre</t>
  </si>
  <si>
    <t>水 Eau</t>
  </si>
  <si>
    <t>兔 lièvre</t>
  </si>
  <si>
    <r>
      <t>1</t>
    </r>
    <r>
      <rPr>
        <vertAlign val="superscript"/>
        <sz val="11"/>
        <color indexed="8"/>
        <rFont val="Arial"/>
        <family val="2"/>
      </rPr>
      <t>er</t>
    </r>
    <r>
      <rPr>
        <sz val="11"/>
        <color indexed="8"/>
        <rFont val="Arial"/>
        <family val="2"/>
      </rPr>
      <t> février 1965</t>
    </r>
  </si>
  <si>
    <t>龍 dragon</t>
  </si>
  <si>
    <t>木 Bois</t>
  </si>
  <si>
    <t>蛇 serpent</t>
  </si>
  <si>
    <t>馬 cheval</t>
  </si>
  <si>
    <t>火 Feu</t>
  </si>
  <si>
    <r>
      <t>1</t>
    </r>
    <r>
      <rPr>
        <vertAlign val="superscript"/>
        <sz val="11"/>
        <color indexed="8"/>
        <rFont val="Arial"/>
        <family val="2"/>
      </rPr>
      <t>er</t>
    </r>
    <r>
      <rPr>
        <sz val="11"/>
        <color indexed="8"/>
        <rFont val="Arial"/>
        <family val="2"/>
      </rPr>
      <t> février 1908</t>
    </r>
  </si>
  <si>
    <t>羊 chèvre</t>
  </si>
  <si>
    <t>猴 singe</t>
  </si>
  <si>
    <t>土 Terre</t>
  </si>
  <si>
    <t>鷄 coq</t>
  </si>
  <si>
    <t>狗 chien</t>
  </si>
  <si>
    <t>猪 cochon</t>
  </si>
  <si>
    <r>
      <t>1</t>
    </r>
    <r>
      <rPr>
        <vertAlign val="superscript"/>
        <sz val="11"/>
        <color indexed="8"/>
        <rFont val="Arial"/>
        <family val="2"/>
      </rPr>
      <t>er</t>
    </r>
    <r>
      <rPr>
        <sz val="11"/>
        <color indexed="8"/>
        <rFont val="Arial"/>
        <family val="2"/>
      </rPr>
      <t> février 1919</t>
    </r>
  </si>
  <si>
    <r>
      <t>1</t>
    </r>
    <r>
      <rPr>
        <vertAlign val="superscript"/>
        <sz val="11"/>
        <color indexed="8"/>
        <rFont val="Arial"/>
        <family val="2"/>
      </rPr>
      <t>er</t>
    </r>
    <r>
      <rPr>
        <sz val="11"/>
        <color indexed="8"/>
        <rFont val="Arial"/>
        <family val="2"/>
      </rPr>
      <t> février 1984</t>
    </r>
  </si>
  <si>
    <r>
      <t>1</t>
    </r>
    <r>
      <rPr>
        <vertAlign val="superscript"/>
        <sz val="11"/>
        <color indexed="8"/>
        <rFont val="Arial"/>
        <family val="2"/>
      </rPr>
      <t>er</t>
    </r>
    <r>
      <rPr>
        <sz val="11"/>
        <color indexed="8"/>
        <rFont val="Arial"/>
        <family val="2"/>
      </rPr>
      <t> février 1927</t>
    </r>
  </si>
  <si>
    <r>
      <t>1</t>
    </r>
    <r>
      <rPr>
        <vertAlign val="superscript"/>
        <sz val="11"/>
        <color indexed="8"/>
        <rFont val="Arial"/>
        <family val="2"/>
      </rPr>
      <t>er</t>
    </r>
    <r>
      <rPr>
        <sz val="11"/>
        <color indexed="8"/>
        <rFont val="Arial"/>
        <family val="2"/>
      </rPr>
      <t> février 2003</t>
    </r>
  </si>
  <si>
    <r>
      <t>1</t>
    </r>
    <r>
      <rPr>
        <vertAlign val="superscript"/>
        <sz val="11"/>
        <color indexed="8"/>
        <rFont val="Arial"/>
        <family val="2"/>
      </rPr>
      <t>er</t>
    </r>
    <r>
      <rPr>
        <sz val="11"/>
        <color indexed="8"/>
        <rFont val="Arial"/>
        <family val="2"/>
      </rPr>
      <t> février 1946</t>
    </r>
  </si>
  <si>
    <t>signe chinois</t>
  </si>
  <si>
    <t>Alexi</t>
  </si>
  <si>
    <t>Maël</t>
  </si>
  <si>
    <t>◐</t>
  </si>
  <si>
    <t>pour faire disparaître les phases de la une du calendrier, effacer la colonne A ci-contre</t>
  </si>
  <si>
    <t>○</t>
  </si>
  <si>
    <t>◑</t>
  </si>
  <si>
    <t>●</t>
  </si>
  <si>
    <t xml:space="preserve">mois : 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</si>
  <si>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</si>
  <si>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</si>
  <si>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</si>
  <si>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</si>
  <si>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</si>
  <si>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</si>
  <si>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</si>
  <si>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Date début : </t>
  </si>
  <si>
    <t xml:space="preserve">Pays : </t>
  </si>
  <si>
    <t>Jours fériés
reportés
dans le
calendrier</t>
  </si>
  <si>
    <r>
      <t xml:space="preserve">Intitulé inséré dans le calendrier </t>
    </r>
    <r>
      <rPr>
        <sz val="11"/>
        <color theme="1"/>
        <rFont val="Calibri"/>
        <family val="2"/>
        <scheme val="minor"/>
      </rPr>
      <t>(commencez par un espace pour ne pas que le jour soit coloré en jour férié)</t>
    </r>
  </si>
  <si>
    <t>Commentaire</t>
  </si>
  <si>
    <t>Calcul date</t>
  </si>
  <si>
    <t>aucun</t>
  </si>
  <si>
    <t>France</t>
  </si>
  <si>
    <t>Alsace Moselle</t>
  </si>
  <si>
    <t>Réunion</t>
  </si>
  <si>
    <t>Martinique</t>
  </si>
  <si>
    <t>Guadeloupe</t>
  </si>
  <si>
    <t>Guyane française</t>
  </si>
  <si>
    <t>Polynésie française</t>
  </si>
  <si>
    <t>Nouvelle-Calédonie</t>
  </si>
  <si>
    <t>Mayotte</t>
  </si>
  <si>
    <t>Saint-Pierre-et-Miquelon</t>
  </si>
  <si>
    <t>Belgique</t>
  </si>
  <si>
    <t>Luxembourg</t>
  </si>
  <si>
    <t>Québec</t>
  </si>
  <si>
    <t>Suisse</t>
  </si>
  <si>
    <t>Suisse AG</t>
  </si>
  <si>
    <t>Suisse AI</t>
  </si>
  <si>
    <t>Suisse AR</t>
  </si>
  <si>
    <t>Suisse BE</t>
  </si>
  <si>
    <t>Suisse BL</t>
  </si>
  <si>
    <t>Suisse BS</t>
  </si>
  <si>
    <t>Suisse FR</t>
  </si>
  <si>
    <t>Suisse GE</t>
  </si>
  <si>
    <t>Suisse GL</t>
  </si>
  <si>
    <t>Suisse GR</t>
  </si>
  <si>
    <t>Suisse JU</t>
  </si>
  <si>
    <t>Suisse LU</t>
  </si>
  <si>
    <t>Suisse NE</t>
  </si>
  <si>
    <t>Suisse NW</t>
  </si>
  <si>
    <t>Suisse OW</t>
  </si>
  <si>
    <t>Suisse SG</t>
  </si>
  <si>
    <t>Suisse SH</t>
  </si>
  <si>
    <t>Suisse SO</t>
  </si>
  <si>
    <t>Suisse SZ</t>
  </si>
  <si>
    <t>Suisse TG</t>
  </si>
  <si>
    <t>Suisse TI</t>
  </si>
  <si>
    <t>Suisse UR</t>
  </si>
  <si>
    <t>Suisse VD</t>
  </si>
  <si>
    <t>Suisse VS</t>
  </si>
  <si>
    <t>Suisse ZG</t>
  </si>
  <si>
    <t>Suisse ZH</t>
  </si>
  <si>
    <t>x</t>
  </si>
  <si>
    <t>Vendredi Saint</t>
  </si>
  <si>
    <t>Pâques +1h</t>
  </si>
  <si>
    <t xml:space="preserve"> heure d'été +1h</t>
  </si>
  <si>
    <t>US-Canada</t>
  </si>
  <si>
    <t>Pâques</t>
  </si>
  <si>
    <t> </t>
  </si>
  <si>
    <t>Lundi de Pâques</t>
  </si>
  <si>
    <t>Ascension</t>
  </si>
  <si>
    <t>Pentecôte</t>
  </si>
  <si>
    <t>Lundi de Pentecôte</t>
  </si>
  <si>
    <t>Fête du Travail</t>
  </si>
  <si>
    <t>Victoire 1945</t>
  </si>
  <si>
    <t>Fête nationale</t>
  </si>
  <si>
    <t xml:space="preserve"> heure d'hiver -1h</t>
  </si>
  <si>
    <t>Saint Étienne</t>
  </si>
  <si>
    <t>Abolition esclavage</t>
  </si>
  <si>
    <t xml:space="preserve"> Fête des mères</t>
  </si>
  <si>
    <t xml:space="preserve"> Fête des pères</t>
  </si>
  <si>
    <t xml:space="preserve"> Fête des grand-mères</t>
  </si>
  <si>
    <t>Épiphanie</t>
  </si>
  <si>
    <t>2e dim après Noël</t>
  </si>
  <si>
    <t>date fixe 6/1</t>
  </si>
  <si>
    <t>Fête-Dieu</t>
  </si>
  <si>
    <t xml:space="preserve"> Mardi gras</t>
  </si>
  <si>
    <t xml:space="preserve"> Cendres</t>
  </si>
  <si>
    <t>mercredi des cendres</t>
  </si>
  <si>
    <t xml:space="preserve"> Mi-Carême</t>
  </si>
  <si>
    <t>Guyane</t>
  </si>
  <si>
    <t>Jour des Défunts</t>
  </si>
  <si>
    <t>Patriotes</t>
  </si>
  <si>
    <t>Fête du Canada</t>
  </si>
  <si>
    <t>Action de grâces</t>
  </si>
  <si>
    <t>Saint Berchtold</t>
  </si>
  <si>
    <t>Instauration de la République</t>
  </si>
  <si>
    <t>Saint Joseph</t>
  </si>
  <si>
    <t xml:space="preserve">Fahrtsfest </t>
  </si>
  <si>
    <t>Jeûne fédéral</t>
  </si>
  <si>
    <t>Jeûne genevois</t>
  </si>
  <si>
    <t xml:space="preserve"> </t>
  </si>
  <si>
    <t>lundi du Jeûne fédéral</t>
  </si>
  <si>
    <t>St Nicolas de Flüe</t>
  </si>
  <si>
    <t>Restauration de la République</t>
  </si>
  <si>
    <t>Arrivée Évangile</t>
  </si>
  <si>
    <t>Polynésie</t>
  </si>
  <si>
    <t>Fête Autonomie</t>
  </si>
  <si>
    <t>Fête citoyenneté</t>
  </si>
  <si>
    <t>Libération SPM</t>
  </si>
  <si>
    <t>Dimanche de Pâques :</t>
  </si>
  <si>
    <t>g</t>
  </si>
  <si>
    <t>c</t>
  </si>
  <si>
    <t>C₄</t>
  </si>
  <si>
    <t>e</t>
  </si>
  <si>
    <t>h</t>
  </si>
  <si>
    <t>k</t>
  </si>
  <si>
    <t>p</t>
  </si>
  <si>
    <t>q</t>
  </si>
  <si>
    <t>i</t>
  </si>
  <si>
    <t>b</t>
  </si>
  <si>
    <t>j1</t>
  </si>
  <si>
    <t>j2</t>
  </si>
  <si>
    <t>r</t>
  </si>
  <si>
    <t>Libellé</t>
  </si>
  <si>
    <t>employer rolot</t>
  </si>
  <si>
    <t>employer CFCAI</t>
  </si>
  <si>
    <t>conges</t>
  </si>
  <si>
    <t>palettte</t>
  </si>
  <si>
    <t>JO</t>
  </si>
  <si>
    <t>Type</t>
  </si>
  <si>
    <t>B</t>
  </si>
  <si>
    <t>C</t>
  </si>
  <si>
    <t>âge</t>
  </si>
  <si>
    <t>emmy</t>
  </si>
  <si>
    <t>déclataion</t>
  </si>
  <si>
    <t/>
  </si>
  <si>
    <t>évènement</t>
  </si>
  <si>
    <t>visite médicale</t>
  </si>
  <si>
    <t>Baptêmes maël</t>
  </si>
  <si>
    <t>Inventaire ROLOT</t>
  </si>
  <si>
    <t>entretient SAGEM</t>
  </si>
  <si>
    <t>guinguette ??</t>
  </si>
  <si>
    <t>louane</t>
  </si>
  <si>
    <t>decelle</t>
  </si>
  <si>
    <t>nelly</t>
  </si>
  <si>
    <t>kylian</t>
  </si>
  <si>
    <t>mica</t>
  </si>
  <si>
    <t>malandin</t>
  </si>
  <si>
    <t>yoann</t>
  </si>
  <si>
    <t>taraud</t>
  </si>
  <si>
    <t>albane</t>
  </si>
  <si>
    <t>antoine</t>
  </si>
  <si>
    <t>emma</t>
  </si>
  <si>
    <t>bejamin</t>
  </si>
  <si>
    <t>laborde</t>
  </si>
  <si>
    <t>marine</t>
  </si>
  <si>
    <t>léna</t>
  </si>
  <si>
    <t>ROLOT</t>
  </si>
  <si>
    <t>date debut</t>
  </si>
  <si>
    <t>date fin</t>
  </si>
  <si>
    <t xml:space="preserve"> CFCAI</t>
  </si>
  <si>
    <t>rdv essai médical prothése</t>
  </si>
  <si>
    <t>type</t>
  </si>
  <si>
    <t>travail</t>
  </si>
  <si>
    <t>autre</t>
  </si>
  <si>
    <t>entretient</t>
  </si>
  <si>
    <t>sortie</t>
  </si>
  <si>
    <t>Colonne1</t>
  </si>
  <si>
    <t>date2</t>
  </si>
  <si>
    <t>date3</t>
  </si>
  <si>
    <t>âge4</t>
  </si>
  <si>
    <t>âge5</t>
  </si>
  <si>
    <t>zodiac6</t>
  </si>
  <si>
    <t>vacances</t>
  </si>
  <si>
    <t>essai-médical</t>
  </si>
  <si>
    <t>jours2</t>
  </si>
  <si>
    <t>Jours1</t>
  </si>
  <si>
    <t>arret</t>
  </si>
  <si>
    <t>maladie</t>
  </si>
  <si>
    <t>ouvrés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</si>
</sst>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9">
    <numFmt numFmtId="43" formatCode="_-* #,##0.00\ _€_-;\-* #,##0.00\ _€_-;_-* &quot;-&quot;??\ _€_-;_-@_-"/>
    <numFmt numFmtId="164" formatCode="ddd\ dd"/>
    <numFmt numFmtId="165" formatCode="_-* #,##0.00\ _F_-;\-* #,##0.00\ _F_-;_-* &quot;-&quot;??\ _F_-;_-@_-"/>
    <numFmt numFmtId="166" formatCode="_-* #,##0.00\ [$€]_-;\-* #,##0.00\ [$€]_-;_-* &quot;-&quot;??\ [$€]_-;_-@_-"/>
    <numFmt numFmtId="167" formatCode="[$-40C]dddd\ d\ mmmm\ yyyy"/>
    <numFmt numFmtId="168" formatCode="[$-F800]dddd\,\ mmmm\ dd\,\ yyyy"/>
    <numFmt numFmtId="169" formatCode="&quot;De&quot;\ mmmm\ yyyy"/>
    <numFmt numFmtId="170" formatCode="&quot;Pour &quot;General&quot; mois&quot;"/>
    <numFmt numFmtId="171" formatCode="&quot;à &quot;\ mmmm\ yyyy"/>
    <numFmt numFmtId="172" formatCode="ddd"/>
    <numFmt numFmtId="173" formatCode="d"/>
    <numFmt numFmtId="174" formatCode="[hh]:mm"/>
    <numFmt numFmtId="175" formatCode="#,##0.00\ &quot;€&quot;"/>
    <numFmt numFmtId="176" formatCode="dd\-mmm\-yyyy"/>
    <numFmt numFmtId="177" formatCode="dd/mm/yy;@"/>
    <numFmt numFmtId="178" formatCode="[$-40C]d\-mmm;@"/>
    <numFmt numFmtId="179" formatCode="mmmm"/>
    <numFmt numFmtId="180" formatCode="dd/mm/yy"/>
    <numFmt numFmtId="181" formatCode="[$-40C]d\-mmm\-yyyy;@"/>
  </numFmts>
  <fonts count="41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color indexed="8"/>
      <name val="Calibri"/>
      <family val="2"/>
    </font>
    <font>
      <b/>
      <sz val="11"/>
      <color indexed="8"/>
      <name val="Calibri"/>
      <family val="2"/>
    </font>
    <font>
      <sz val="8"/>
      <color indexed="8"/>
      <name val="Arial Narrow"/>
      <family val="2"/>
    </font>
    <font>
      <b/>
      <sz val="10"/>
      <color indexed="56"/>
      <name val="Calibri"/>
      <family val="2"/>
    </font>
    <font>
      <sz val="10"/>
      <color indexed="8"/>
      <name val="Calibri"/>
      <family val="2"/>
    </font>
    <font>
      <b/>
      <sz val="10"/>
      <color indexed="10"/>
      <name val="Calibri"/>
      <family val="2"/>
    </font>
    <font>
      <b/>
      <sz val="10"/>
      <name val="Arial"/>
      <family val="2"/>
    </font>
    <font>
      <sz val="11"/>
      <name val="Arial"/>
      <family val="2"/>
    </font>
    <font>
      <sz val="10"/>
      <name val="MS Sans Serif"/>
      <family val="2"/>
    </font>
    <font>
      <sz val="10"/>
      <name val="MS Sans Serif"/>
    </font>
    <font>
      <sz val="11"/>
      <color indexed="8"/>
      <name val="Arial"/>
      <family val="2"/>
    </font>
    <font>
      <vertAlign val="superscript"/>
      <sz val="11"/>
      <color indexed="8"/>
      <name val="Arial"/>
      <family val="2"/>
    </font>
    <font>
      <sz val="10"/>
      <name val="DejaVu Sans"/>
      <family val="2"/>
    </font>
    <font>
      <b/>
      <sz val="10"/>
      <color indexed="53"/>
      <name val="Arial"/>
      <family val="2"/>
    </font>
    <font>
      <shadow/>
      <sz val="24"/>
      <color indexed="17"/>
      <name val="Arial"/>
      <family val="2"/>
    </font>
    <font>
      <sz val="10"/>
      <color indexed="17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i/>
      <sz val="10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sz val="11"/>
      <color theme="0"/>
      <name val="MV Boli"/>
    </font>
    <font>
      <sz val="10"/>
      <color theme="1"/>
      <name val="Andalus"/>
      <family val="1"/>
    </font>
    <font>
      <sz val="11"/>
      <color theme="1"/>
      <name val="Andalus"/>
      <family val="1"/>
    </font>
    <font>
      <sz val="6"/>
      <color theme="1"/>
      <name val="Andalus"/>
      <family val="1"/>
    </font>
    <font>
      <sz val="10"/>
      <color theme="1"/>
      <name val="Wingdings"/>
      <charset val="2"/>
    </font>
    <font>
      <sz val="10"/>
      <color rgb="FFFF0000"/>
      <name val="Wingdings"/>
      <charset val="2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6"/>
      <color theme="1"/>
      <name val="Calibri"/>
      <family val="2"/>
      <scheme val="minor"/>
    </font>
    <font>
      <sz val="11"/>
      <color theme="1"/>
      <name val="Wingdings"/>
      <charset val="2"/>
    </font>
    <font>
      <sz val="11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16"/>
      <color theme="1"/>
      <name val="Comic Sans MS"/>
      <family val="4"/>
    </font>
    <font>
      <sz val="14"/>
      <color theme="0"/>
      <name val="MV Boli"/>
    </font>
    <font>
      <sz val="16"/>
      <color theme="1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AECF0"/>
        <bgColor indexed="64"/>
      </patternFill>
    </fill>
    <fill>
      <patternFill patternType="solid">
        <fgColor rgb="FFF8F9FA"/>
        <bgColor indexed="64"/>
      </patternFill>
    </fill>
    <fill>
      <patternFill patternType="solid">
        <fgColor theme="0" tint="-0.14999847407452621"/>
        <bgColor indexed="31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90">
    <border>
      <left/>
      <right/>
      <top/>
      <bottom/>
      <diagonal/>
    </border>
    <border>
      <left style="medium">
        <color indexed="64"/>
      </left>
      <right style="thin">
        <color indexed="55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55"/>
      </left>
      <right style="thin">
        <color indexed="55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55"/>
      </left>
      <right style="thin">
        <color indexed="55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dashed">
        <color indexed="10"/>
      </left>
      <right style="dashed">
        <color indexed="10"/>
      </right>
      <top style="dashed">
        <color indexed="10"/>
      </top>
      <bottom style="thin">
        <color indexed="55"/>
      </bottom>
      <diagonal/>
    </border>
    <border>
      <left style="dashed">
        <color indexed="10"/>
      </left>
      <right style="dashed">
        <color indexed="10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dashed">
        <color indexed="10"/>
      </left>
      <right style="dashed">
        <color indexed="10"/>
      </right>
      <top style="thin">
        <color indexed="55"/>
      </top>
      <bottom style="dashed">
        <color indexed="1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/>
      <diagonal/>
    </border>
    <border>
      <left/>
      <right style="hair">
        <color indexed="8"/>
      </right>
      <top/>
      <bottom/>
      <diagonal/>
    </border>
    <border>
      <left style="hair">
        <color indexed="8"/>
      </left>
      <right/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/>
      <right/>
      <top/>
      <bottom style="hair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55"/>
      </left>
      <right/>
      <top style="medium">
        <color indexed="64"/>
      </top>
      <bottom/>
      <diagonal/>
    </border>
    <border>
      <left style="thin">
        <color indexed="55"/>
      </left>
      <right/>
      <top/>
      <bottom/>
      <diagonal/>
    </border>
    <border>
      <left style="thin">
        <color indexed="55"/>
      </left>
      <right/>
      <top/>
      <bottom style="thin">
        <color indexed="55"/>
      </bottom>
      <diagonal/>
    </border>
    <border>
      <left/>
      <right style="thin">
        <color indexed="55"/>
      </right>
      <top style="medium">
        <color indexed="64"/>
      </top>
      <bottom/>
      <diagonal/>
    </border>
    <border>
      <left/>
      <right style="thin">
        <color indexed="55"/>
      </right>
      <top/>
      <bottom/>
      <diagonal/>
    </border>
    <border>
      <left/>
      <right style="thin">
        <color indexed="55"/>
      </right>
      <top/>
      <bottom style="thin">
        <color indexed="55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A2A9B1"/>
      </left>
      <right style="thin">
        <color rgb="FFA2A9B1"/>
      </right>
      <top style="medium">
        <color rgb="FFA2A9B1"/>
      </top>
      <bottom style="medium">
        <color rgb="FFA2A9B1"/>
      </bottom>
      <diagonal/>
    </border>
    <border>
      <left style="thin">
        <color rgb="FFA2A9B1"/>
      </left>
      <right style="medium">
        <color rgb="FFA2A9B1"/>
      </right>
      <top style="medium">
        <color rgb="FFA2A9B1"/>
      </top>
      <bottom style="medium">
        <color rgb="FFA2A9B1"/>
      </bottom>
      <diagonal/>
    </border>
    <border>
      <left style="medium">
        <color rgb="FFA2A9B1"/>
      </left>
      <right style="medium">
        <color rgb="FFA2A9B1"/>
      </right>
      <top style="medium">
        <color rgb="FFA2A9B1"/>
      </top>
      <bottom style="medium">
        <color rgb="FFA2A9B1"/>
      </bottom>
      <diagonal/>
    </border>
    <border>
      <left style="medium">
        <color rgb="FFA2A9B1"/>
      </left>
      <right style="medium">
        <color rgb="FFA2A9B1"/>
      </right>
      <top style="dotted">
        <color rgb="FFA2A9B1"/>
      </top>
      <bottom style="medium">
        <color rgb="FFA2A9B1"/>
      </bottom>
      <diagonal/>
    </border>
    <border>
      <left style="medium">
        <color rgb="FFA2A9B1"/>
      </left>
      <right/>
      <top style="medium">
        <color rgb="FFA2A9B1"/>
      </top>
      <bottom style="medium">
        <color rgb="FFA2A9B1"/>
      </bottom>
      <diagonal/>
    </border>
    <border>
      <left/>
      <right style="medium">
        <color rgb="FFA2A9B1"/>
      </right>
      <top style="medium">
        <color rgb="FFA2A9B1"/>
      </top>
      <bottom style="medium">
        <color rgb="FFA2A9B1"/>
      </bottom>
      <diagonal/>
    </border>
    <border>
      <left style="medium">
        <color rgb="FFA2A9B1"/>
      </left>
      <right/>
      <top/>
      <bottom style="medium">
        <color rgb="FFA2A9B1"/>
      </bottom>
      <diagonal/>
    </border>
    <border>
      <left/>
      <right style="medium">
        <color rgb="FFA2A9B1"/>
      </right>
      <top style="medium">
        <color rgb="FFA2A9B1"/>
      </top>
      <bottom/>
      <diagonal/>
    </border>
    <border>
      <left/>
      <right/>
      <top style="medium">
        <color rgb="FFA2A9B1"/>
      </top>
      <bottom style="medium">
        <color rgb="FFA2A9B1"/>
      </bottom>
      <diagonal/>
    </border>
    <border>
      <left/>
      <right/>
      <top/>
      <bottom style="medium">
        <color rgb="FFA2A9B1"/>
      </bottom>
      <diagonal/>
    </border>
    <border>
      <left style="medium">
        <color rgb="FFA2A9B1"/>
      </left>
      <right style="medium">
        <color rgb="FFA2A9B1"/>
      </right>
      <top/>
      <bottom style="medium">
        <color rgb="FFA2A9B1"/>
      </bottom>
      <diagonal/>
    </border>
    <border>
      <left style="medium">
        <color rgb="FFA2A9B1"/>
      </left>
      <right style="medium">
        <color rgb="FFA2A9B1"/>
      </right>
      <top style="medium">
        <color rgb="FFA2A9B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indexed="55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indexed="55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indexed="55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55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9">
    <xf numFmtId="0" fontId="0" fillId="0" borderId="0"/>
    <xf numFmtId="166" fontId="2" fillId="0" borderId="0" applyFon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43" fontId="23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0" fontId="13" fillId="0" borderId="0"/>
    <xf numFmtId="0" fontId="12" fillId="0" borderId="0"/>
    <xf numFmtId="0" fontId="1" fillId="0" borderId="0"/>
  </cellStyleXfs>
  <cellXfs count="336">
    <xf numFmtId="0" fontId="0" fillId="0" borderId="0" xfId="0"/>
    <xf numFmtId="0" fontId="3" fillId="6" borderId="0" xfId="8" applyFont="1" applyFill="1" applyAlignment="1" applyProtection="1">
      <alignment horizontal="center" vertical="center"/>
    </xf>
    <xf numFmtId="0" fontId="2" fillId="6" borderId="0" xfId="5" applyFill="1" applyProtection="1"/>
    <xf numFmtId="0" fontId="4" fillId="6" borderId="0" xfId="5" applyFont="1" applyFill="1" applyProtection="1"/>
    <xf numFmtId="0" fontId="2" fillId="2" borderId="1" xfId="5" applyFill="1" applyBorder="1"/>
    <xf numFmtId="0" fontId="2" fillId="2" borderId="2" xfId="5" applyFill="1" applyBorder="1"/>
    <xf numFmtId="0" fontId="5" fillId="0" borderId="3" xfId="5" applyFont="1" applyBorder="1" applyAlignment="1">
      <alignment horizontal="center"/>
    </xf>
    <xf numFmtId="0" fontId="2" fillId="2" borderId="4" xfId="5" applyFill="1" applyBorder="1"/>
    <xf numFmtId="0" fontId="4" fillId="6" borderId="0" xfId="5" applyFont="1" applyFill="1" applyAlignment="1" applyProtection="1">
      <alignment horizontal="center" vertical="center"/>
    </xf>
    <xf numFmtId="0" fontId="2" fillId="6" borderId="0" xfId="5" applyFont="1" applyFill="1" applyBorder="1" applyProtection="1"/>
    <xf numFmtId="0" fontId="6" fillId="6" borderId="0" xfId="5" applyFont="1" applyFill="1" applyBorder="1" applyProtection="1"/>
    <xf numFmtId="0" fontId="2" fillId="2" borderId="5" xfId="5" applyFill="1" applyBorder="1"/>
    <xf numFmtId="0" fontId="2" fillId="2" borderId="0" xfId="5" applyFill="1" applyBorder="1"/>
    <xf numFmtId="0" fontId="7" fillId="0" borderId="6" xfId="5" applyFont="1" applyBorder="1" applyAlignment="1">
      <alignment horizontal="center"/>
    </xf>
    <xf numFmtId="0" fontId="2" fillId="2" borderId="7" xfId="5" applyFill="1" applyBorder="1"/>
    <xf numFmtId="0" fontId="5" fillId="0" borderId="8" xfId="5" applyFont="1" applyBorder="1" applyAlignment="1">
      <alignment vertical="center"/>
    </xf>
    <xf numFmtId="0" fontId="2" fillId="0" borderId="9" xfId="5" applyFont="1" applyBorder="1"/>
    <xf numFmtId="167" fontId="2" fillId="0" borderId="10" xfId="5" applyNumberFormat="1" applyFont="1" applyBorder="1" applyAlignment="1">
      <alignment horizontal="left" indent="1"/>
    </xf>
    <xf numFmtId="0" fontId="5" fillId="0" borderId="6" xfId="5" applyFont="1" applyBorder="1" applyAlignment="1">
      <alignment vertical="center"/>
    </xf>
    <xf numFmtId="167" fontId="2" fillId="0" borderId="11" xfId="5" applyNumberFormat="1" applyFont="1" applyBorder="1" applyAlignment="1">
      <alignment horizontal="left" indent="1"/>
    </xf>
    <xf numFmtId="0" fontId="5" fillId="0" borderId="12" xfId="5" applyFont="1" applyBorder="1" applyAlignment="1">
      <alignment vertical="center"/>
    </xf>
    <xf numFmtId="167" fontId="2" fillId="0" borderId="13" xfId="5" applyNumberFormat="1" applyFont="1" applyBorder="1" applyAlignment="1">
      <alignment horizontal="left" indent="1"/>
    </xf>
    <xf numFmtId="0" fontId="2" fillId="6" borderId="0" xfId="5" applyFill="1" applyAlignment="1" applyProtection="1">
      <alignment horizontal="center" vertical="center"/>
    </xf>
    <xf numFmtId="0" fontId="2" fillId="2" borderId="14" xfId="5" applyFill="1" applyBorder="1"/>
    <xf numFmtId="0" fontId="2" fillId="2" borderId="15" xfId="5" applyFill="1" applyBorder="1"/>
    <xf numFmtId="0" fontId="2" fillId="2" borderId="16" xfId="5" applyFill="1" applyBorder="1"/>
    <xf numFmtId="0" fontId="24" fillId="0" borderId="0" xfId="2" applyAlignment="1" applyProtection="1"/>
    <xf numFmtId="14" fontId="2" fillId="6" borderId="0" xfId="5" applyNumberFormat="1" applyFill="1" applyAlignment="1" applyProtection="1">
      <alignment horizontal="center" vertical="center"/>
    </xf>
    <xf numFmtId="0" fontId="2" fillId="6" borderId="0" xfId="5" quotePrefix="1" applyFill="1" applyProtection="1"/>
    <xf numFmtId="0" fontId="0" fillId="6" borderId="0" xfId="0" applyFill="1" applyAlignment="1" applyProtection="1">
      <alignment horizontal="center" vertical="center"/>
    </xf>
    <xf numFmtId="0" fontId="0" fillId="6" borderId="0" xfId="0" applyFill="1" applyProtection="1"/>
    <xf numFmtId="0" fontId="25" fillId="6" borderId="0" xfId="0" applyFont="1" applyFill="1" applyAlignment="1" applyProtection="1">
      <alignment horizontal="center" vertical="center"/>
    </xf>
    <xf numFmtId="164" fontId="26" fillId="7" borderId="17" xfId="0" applyNumberFormat="1" applyFont="1" applyFill="1" applyBorder="1" applyAlignment="1" applyProtection="1">
      <alignment vertical="center"/>
    </xf>
    <xf numFmtId="0" fontId="0" fillId="6" borderId="0" xfId="0" applyFill="1" applyProtection="1">
      <protection locked="0"/>
    </xf>
    <xf numFmtId="0" fontId="0" fillId="6" borderId="0" xfId="0" applyFill="1" applyAlignment="1" applyProtection="1">
      <alignment horizontal="center" vertical="center"/>
      <protection locked="0"/>
    </xf>
    <xf numFmtId="164" fontId="25" fillId="6" borderId="0" xfId="0" applyNumberFormat="1" applyFont="1" applyFill="1" applyAlignment="1" applyProtection="1">
      <alignment horizontal="right" vertical="center"/>
      <protection locked="0"/>
    </xf>
    <xf numFmtId="0" fontId="0" fillId="8" borderId="0" xfId="0" applyFill="1" applyAlignment="1" applyProtection="1">
      <alignment horizontal="center" vertical="center"/>
    </xf>
    <xf numFmtId="0" fontId="25" fillId="8" borderId="0" xfId="0" applyFont="1" applyFill="1" applyAlignment="1" applyProtection="1">
      <alignment horizontal="center" vertical="center"/>
    </xf>
    <xf numFmtId="14" fontId="2" fillId="6" borderId="0" xfId="5" applyNumberFormat="1" applyFill="1" applyAlignment="1" applyProtection="1">
      <alignment horizontal="center"/>
    </xf>
    <xf numFmtId="168" fontId="25" fillId="6" borderId="0" xfId="0" applyNumberFormat="1" applyFont="1" applyFill="1" applyAlignment="1" applyProtection="1">
      <alignment horizontal="center" vertical="center"/>
    </xf>
    <xf numFmtId="164" fontId="27" fillId="9" borderId="18" xfId="0" applyNumberFormat="1" applyFont="1" applyFill="1" applyBorder="1" applyAlignment="1" applyProtection="1">
      <alignment horizontal="right" vertical="center"/>
    </xf>
    <xf numFmtId="14" fontId="0" fillId="9" borderId="0" xfId="0" applyNumberFormat="1" applyFill="1" applyProtection="1"/>
    <xf numFmtId="164" fontId="27" fillId="9" borderId="19" xfId="0" applyNumberFormat="1" applyFont="1" applyFill="1" applyBorder="1" applyAlignment="1" applyProtection="1">
      <alignment horizontal="right" vertical="center"/>
    </xf>
    <xf numFmtId="0" fontId="28" fillId="9" borderId="18" xfId="0" applyFont="1" applyFill="1" applyBorder="1" applyAlignment="1" applyProtection="1">
      <alignment horizontal="center" vertical="center"/>
    </xf>
    <xf numFmtId="169" fontId="0" fillId="6" borderId="0" xfId="0" applyNumberFormat="1" applyFill="1" applyAlignment="1" applyProtection="1">
      <alignment horizontal="center" vertical="center"/>
    </xf>
    <xf numFmtId="170" fontId="0" fillId="6" borderId="0" xfId="0" applyNumberFormat="1" applyFill="1" applyAlignment="1" applyProtection="1">
      <alignment horizontal="center" vertical="center"/>
    </xf>
    <xf numFmtId="171" fontId="0" fillId="6" borderId="0" xfId="0" applyNumberFormat="1" applyFill="1" applyAlignment="1" applyProtection="1">
      <alignment horizontal="center" vertical="center"/>
    </xf>
    <xf numFmtId="164" fontId="27" fillId="9" borderId="0" xfId="0" applyNumberFormat="1" applyFont="1" applyFill="1" applyBorder="1" applyAlignment="1" applyProtection="1">
      <alignment horizontal="right" vertical="center"/>
    </xf>
    <xf numFmtId="0" fontId="3" fillId="6" borderId="20" xfId="8" applyFont="1" applyFill="1" applyBorder="1" applyAlignment="1" applyProtection="1">
      <alignment horizontal="center" vertical="center"/>
    </xf>
    <xf numFmtId="0" fontId="3" fillId="6" borderId="2" xfId="8" applyFont="1" applyFill="1" applyBorder="1" applyAlignment="1" applyProtection="1">
      <alignment horizontal="center" vertical="center"/>
    </xf>
    <xf numFmtId="0" fontId="3" fillId="6" borderId="4" xfId="8" applyFont="1" applyFill="1" applyBorder="1" applyAlignment="1" applyProtection="1">
      <alignment horizontal="center" vertical="center"/>
    </xf>
    <xf numFmtId="0" fontId="5" fillId="0" borderId="6" xfId="5" applyFont="1" applyBorder="1" applyAlignment="1">
      <alignment horizontal="center"/>
    </xf>
    <xf numFmtId="0" fontId="0" fillId="0" borderId="0" xfId="0" applyBorder="1"/>
    <xf numFmtId="0" fontId="28" fillId="10" borderId="18" xfId="0" applyFont="1" applyFill="1" applyBorder="1" applyAlignment="1" applyProtection="1">
      <alignment horizontal="center" vertical="center"/>
    </xf>
    <xf numFmtId="0" fontId="29" fillId="9" borderId="18" xfId="0" applyFont="1" applyFill="1" applyBorder="1" applyAlignment="1" applyProtection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21" xfId="0" applyBorder="1"/>
    <xf numFmtId="0" fontId="8" fillId="0" borderId="22" xfId="0" applyFont="1" applyBorder="1" applyAlignment="1">
      <alignment horizontal="center" vertical="center"/>
    </xf>
    <xf numFmtId="0" fontId="8" fillId="0" borderId="22" xfId="0" applyFont="1" applyBorder="1"/>
    <xf numFmtId="173" fontId="8" fillId="5" borderId="23" xfId="0" applyNumberFormat="1" applyFont="1" applyFill="1" applyBorder="1" applyAlignment="1">
      <alignment horizontal="center"/>
    </xf>
    <xf numFmtId="20" fontId="8" fillId="0" borderId="24" xfId="0" applyNumberFormat="1" applyFont="1" applyBorder="1"/>
    <xf numFmtId="20" fontId="8" fillId="0" borderId="25" xfId="0" applyNumberFormat="1" applyFont="1" applyBorder="1"/>
    <xf numFmtId="20" fontId="8" fillId="0" borderId="26" xfId="0" applyNumberFormat="1" applyFont="1" applyBorder="1"/>
    <xf numFmtId="172" fontId="8" fillId="2" borderId="27" xfId="0" applyNumberFormat="1" applyFont="1" applyFill="1" applyBorder="1" applyAlignment="1">
      <alignment horizontal="center"/>
    </xf>
    <xf numFmtId="0" fontId="8" fillId="0" borderId="0" xfId="0" applyFont="1"/>
    <xf numFmtId="174" fontId="9" fillId="0" borderId="22" xfId="0" applyNumberFormat="1" applyFont="1" applyBorder="1"/>
    <xf numFmtId="0" fontId="8" fillId="0" borderId="0" xfId="0" applyFont="1" applyBorder="1"/>
    <xf numFmtId="174" fontId="0" fillId="0" borderId="0" xfId="0" applyNumberFormat="1"/>
    <xf numFmtId="175" fontId="0" fillId="0" borderId="0" xfId="0" applyNumberFormat="1"/>
    <xf numFmtId="0" fontId="0" fillId="0" borderId="0" xfId="0" applyNumberFormat="1"/>
    <xf numFmtId="172" fontId="8" fillId="2" borderId="28" xfId="0" applyNumberFormat="1" applyFont="1" applyFill="1" applyBorder="1" applyAlignment="1">
      <alignment horizontal="center"/>
    </xf>
    <xf numFmtId="173" fontId="8" fillId="5" borderId="29" xfId="0" applyNumberFormat="1" applyFont="1" applyFill="1" applyBorder="1" applyAlignment="1">
      <alignment horizontal="center"/>
    </xf>
    <xf numFmtId="20" fontId="8" fillId="0" borderId="30" xfId="0" applyNumberFormat="1" applyFont="1" applyBorder="1"/>
    <xf numFmtId="168" fontId="0" fillId="0" borderId="0" xfId="0" applyNumberFormat="1"/>
    <xf numFmtId="14" fontId="0" fillId="0" borderId="0" xfId="0" applyNumberFormat="1" applyBorder="1"/>
    <xf numFmtId="176" fontId="0" fillId="0" borderId="0" xfId="0" applyNumberFormat="1" applyBorder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30" fillId="9" borderId="18" xfId="0" applyFont="1" applyFill="1" applyBorder="1" applyAlignment="1" applyProtection="1">
      <alignment horizontal="center" vertical="center"/>
    </xf>
    <xf numFmtId="0" fontId="30" fillId="9" borderId="18" xfId="0" applyFont="1" applyFill="1" applyBorder="1" applyAlignment="1" applyProtection="1">
      <alignment horizontal="left" vertical="center"/>
    </xf>
    <xf numFmtId="0" fontId="30" fillId="6" borderId="0" xfId="0" applyFont="1" applyFill="1" applyAlignment="1" applyProtection="1">
      <alignment horizontal="center" vertical="center"/>
    </xf>
    <xf numFmtId="164" fontId="30" fillId="9" borderId="0" xfId="0" applyNumberFormat="1" applyFont="1" applyFill="1" applyBorder="1" applyAlignment="1" applyProtection="1">
      <alignment horizontal="center" vertical="center"/>
    </xf>
    <xf numFmtId="164" fontId="30" fillId="6" borderId="0" xfId="0" applyNumberFormat="1" applyFont="1" applyFill="1" applyAlignment="1" applyProtection="1">
      <alignment horizontal="center" vertical="center"/>
      <protection locked="0"/>
    </xf>
    <xf numFmtId="164" fontId="30" fillId="9" borderId="18" xfId="0" applyNumberFormat="1" applyFont="1" applyFill="1" applyBorder="1" applyAlignment="1" applyProtection="1">
      <alignment horizontal="center" vertical="center"/>
    </xf>
    <xf numFmtId="164" fontId="30" fillId="9" borderId="0" xfId="0" applyNumberFormat="1" applyFont="1" applyFill="1" applyBorder="1" applyAlignment="1" applyProtection="1">
      <alignment horizontal="left" vertical="center"/>
    </xf>
    <xf numFmtId="0" fontId="30" fillId="6" borderId="0" xfId="0" applyFont="1" applyFill="1" applyAlignment="1" applyProtection="1">
      <alignment horizontal="left" vertical="center"/>
    </xf>
    <xf numFmtId="164" fontId="30" fillId="6" borderId="0" xfId="0" applyNumberFormat="1" applyFont="1" applyFill="1" applyAlignment="1" applyProtection="1">
      <alignment horizontal="left" vertical="center"/>
      <protection locked="0"/>
    </xf>
    <xf numFmtId="0" fontId="30" fillId="10" borderId="0" xfId="0" applyFont="1" applyFill="1" applyBorder="1" applyAlignment="1" applyProtection="1">
      <alignment horizontal="left" vertical="center"/>
    </xf>
    <xf numFmtId="164" fontId="30" fillId="9" borderId="18" xfId="0" applyNumberFormat="1" applyFont="1" applyFill="1" applyBorder="1" applyAlignment="1" applyProtection="1">
      <alignment horizontal="left" vertical="center"/>
    </xf>
    <xf numFmtId="0" fontId="30" fillId="8" borderId="0" xfId="0" applyFont="1" applyFill="1" applyAlignment="1" applyProtection="1">
      <alignment horizontal="left" vertical="center"/>
    </xf>
    <xf numFmtId="164" fontId="31" fillId="9" borderId="18" xfId="0" applyNumberFormat="1" applyFont="1" applyFill="1" applyBorder="1" applyAlignment="1" applyProtection="1">
      <alignment horizontal="left" vertical="center"/>
    </xf>
    <xf numFmtId="164" fontId="27" fillId="9" borderId="0" xfId="0" applyNumberFormat="1" applyFont="1" applyFill="1" applyBorder="1" applyAlignment="1" applyProtection="1">
      <alignment horizontal="left" vertical="center"/>
    </xf>
    <xf numFmtId="0" fontId="25" fillId="6" borderId="0" xfId="0" applyFont="1" applyFill="1" applyAlignment="1" applyProtection="1">
      <alignment horizontal="left" vertical="center"/>
    </xf>
    <xf numFmtId="164" fontId="25" fillId="6" borderId="0" xfId="0" applyNumberFormat="1" applyFont="1" applyFill="1" applyAlignment="1" applyProtection="1">
      <alignment horizontal="left" vertical="center"/>
      <protection locked="0"/>
    </xf>
    <xf numFmtId="0" fontId="30" fillId="6" borderId="0" xfId="0" applyFont="1" applyFill="1" applyAlignment="1" applyProtection="1">
      <alignment horizontal="left"/>
    </xf>
    <xf numFmtId="0" fontId="30" fillId="6" borderId="0" xfId="0" applyFont="1" applyFill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10" fillId="0" borderId="0" xfId="0" applyFont="1" applyBorder="1" applyAlignment="1">
      <alignment horizontal="center"/>
    </xf>
    <xf numFmtId="14" fontId="0" fillId="0" borderId="0" xfId="0" applyNumberFormat="1"/>
    <xf numFmtId="0" fontId="2" fillId="0" borderId="0" xfId="0" applyFont="1" applyFill="1" applyAlignment="1">
      <alignment wrapText="1"/>
    </xf>
    <xf numFmtId="178" fontId="2" fillId="0" borderId="0" xfId="0" applyNumberFormat="1" applyFont="1" applyFill="1" applyAlignment="1">
      <alignment horizontal="center" wrapText="1"/>
    </xf>
    <xf numFmtId="178" fontId="10" fillId="0" borderId="0" xfId="0" applyNumberFormat="1" applyFont="1"/>
    <xf numFmtId="178" fontId="0" fillId="0" borderId="0" xfId="0" applyNumberFormat="1"/>
    <xf numFmtId="20" fontId="0" fillId="0" borderId="0" xfId="0" applyNumberFormat="1"/>
    <xf numFmtId="0" fontId="11" fillId="0" borderId="0" xfId="0" applyFont="1"/>
    <xf numFmtId="0" fontId="32" fillId="11" borderId="62" xfId="0" applyFont="1" applyFill="1" applyBorder="1" applyAlignment="1">
      <alignment horizontal="center" vertical="center" wrapText="1"/>
    </xf>
    <xf numFmtId="0" fontId="32" fillId="11" borderId="63" xfId="0" applyFont="1" applyFill="1" applyBorder="1" applyAlignment="1">
      <alignment horizontal="center" vertical="center" wrapText="1"/>
    </xf>
    <xf numFmtId="15" fontId="33" fillId="12" borderId="64" xfId="0" applyNumberFormat="1" applyFont="1" applyFill="1" applyBorder="1" applyAlignment="1">
      <alignment vertical="center" wrapText="1"/>
    </xf>
    <xf numFmtId="0" fontId="33" fillId="12" borderId="65" xfId="0" applyFont="1" applyFill="1" applyBorder="1" applyAlignment="1">
      <alignment vertical="center" wrapText="1"/>
    </xf>
    <xf numFmtId="0" fontId="33" fillId="12" borderId="64" xfId="0" applyFont="1" applyFill="1" applyBorder="1" applyAlignment="1">
      <alignment vertical="center" wrapText="1"/>
    </xf>
    <xf numFmtId="0" fontId="32" fillId="11" borderId="66" xfId="0" applyFont="1" applyFill="1" applyBorder="1" applyAlignment="1">
      <alignment horizontal="center" vertical="center" wrapText="1"/>
    </xf>
    <xf numFmtId="0" fontId="32" fillId="11" borderId="67" xfId="0" applyFont="1" applyFill="1" applyBorder="1" applyAlignment="1">
      <alignment horizontal="center" vertical="center" wrapText="1"/>
    </xf>
    <xf numFmtId="0" fontId="32" fillId="11" borderId="68" xfId="0" applyFont="1" applyFill="1" applyBorder="1" applyAlignment="1">
      <alignment horizontal="center" vertical="center" wrapText="1"/>
    </xf>
    <xf numFmtId="0" fontId="32" fillId="11" borderId="69" xfId="0" applyFont="1" applyFill="1" applyBorder="1" applyAlignment="1">
      <alignment horizontal="center" vertical="center" wrapText="1"/>
    </xf>
    <xf numFmtId="0" fontId="32" fillId="11" borderId="70" xfId="0" applyFont="1" applyFill="1" applyBorder="1" applyAlignment="1">
      <alignment horizontal="center" vertical="center" wrapText="1"/>
    </xf>
    <xf numFmtId="0" fontId="32" fillId="11" borderId="71" xfId="0" applyFont="1" applyFill="1" applyBorder="1" applyAlignment="1">
      <alignment horizontal="center" vertical="center" wrapText="1"/>
    </xf>
    <xf numFmtId="0" fontId="33" fillId="12" borderId="72" xfId="0" applyNumberFormat="1" applyFont="1" applyFill="1" applyBorder="1" applyAlignment="1">
      <alignment horizontal="center" vertical="center" wrapText="1"/>
    </xf>
    <xf numFmtId="164" fontId="27" fillId="9" borderId="0" xfId="0" applyNumberFormat="1" applyFont="1" applyFill="1" applyBorder="1" applyAlignment="1" applyProtection="1">
      <alignment horizontal="right" vertical="center" wrapText="1"/>
    </xf>
    <xf numFmtId="0" fontId="25" fillId="6" borderId="0" xfId="0" applyFont="1" applyFill="1" applyAlignment="1" applyProtection="1">
      <alignment horizontal="center" vertical="center" wrapText="1"/>
    </xf>
    <xf numFmtId="164" fontId="25" fillId="6" borderId="0" xfId="0" applyNumberFormat="1" applyFont="1" applyFill="1" applyAlignment="1" applyProtection="1">
      <alignment horizontal="right" vertical="center" wrapText="1"/>
      <protection locked="0"/>
    </xf>
    <xf numFmtId="164" fontId="29" fillId="9" borderId="0" xfId="0" applyNumberFormat="1" applyFont="1" applyFill="1" applyBorder="1" applyAlignment="1" applyProtection="1">
      <alignment horizontal="right" vertical="center" wrapText="1"/>
    </xf>
    <xf numFmtId="0" fontId="34" fillId="6" borderId="0" xfId="0" applyFont="1" applyFill="1" applyAlignment="1" applyProtection="1">
      <alignment wrapText="1"/>
    </xf>
    <xf numFmtId="0" fontId="34" fillId="6" borderId="0" xfId="0" applyFont="1" applyFill="1" applyAlignment="1" applyProtection="1">
      <alignment wrapText="1"/>
      <protection locked="0"/>
    </xf>
    <xf numFmtId="164" fontId="27" fillId="9" borderId="18" xfId="0" applyNumberFormat="1" applyFont="1" applyFill="1" applyBorder="1" applyAlignment="1" applyProtection="1">
      <alignment horizontal="right" vertical="center" wrapText="1"/>
    </xf>
    <xf numFmtId="164" fontId="29" fillId="9" borderId="18" xfId="0" applyNumberFormat="1" applyFont="1" applyFill="1" applyBorder="1" applyAlignment="1" applyProtection="1">
      <alignment horizontal="right" vertical="center" wrapText="1"/>
    </xf>
    <xf numFmtId="0" fontId="25" fillId="8" borderId="0" xfId="0" applyFont="1" applyFill="1" applyAlignment="1" applyProtection="1">
      <alignment horizontal="center" vertical="center" wrapText="1"/>
    </xf>
    <xf numFmtId="0" fontId="28" fillId="9" borderId="0" xfId="0" applyFont="1" applyFill="1" applyBorder="1" applyAlignment="1" applyProtection="1">
      <alignment horizontal="center" vertical="center" wrapText="1"/>
    </xf>
    <xf numFmtId="168" fontId="25" fillId="6" borderId="0" xfId="0" applyNumberFormat="1" applyFont="1" applyFill="1" applyAlignment="1" applyProtection="1">
      <alignment horizontal="center" vertical="center" wrapText="1"/>
    </xf>
    <xf numFmtId="0" fontId="16" fillId="0" borderId="0" xfId="0" applyFont="1"/>
    <xf numFmtId="0" fontId="28" fillId="10" borderId="0" xfId="0" applyFont="1" applyFill="1" applyBorder="1" applyAlignment="1" applyProtection="1">
      <alignment horizontal="center" vertical="center"/>
    </xf>
    <xf numFmtId="0" fontId="27" fillId="9" borderId="18" xfId="0" applyNumberFormat="1" applyFont="1" applyFill="1" applyBorder="1" applyAlignment="1" applyProtection="1">
      <alignment horizontal="right" vertical="center"/>
    </xf>
    <xf numFmtId="0" fontId="27" fillId="9" borderId="19" xfId="0" applyNumberFormat="1" applyFont="1" applyFill="1" applyBorder="1" applyAlignment="1" applyProtection="1">
      <alignment horizontal="right" vertical="center"/>
    </xf>
    <xf numFmtId="0" fontId="27" fillId="9" borderId="0" xfId="0" applyNumberFormat="1" applyFont="1" applyFill="1" applyBorder="1" applyAlignment="1" applyProtection="1">
      <alignment horizontal="right" vertical="center"/>
    </xf>
    <xf numFmtId="0" fontId="25" fillId="6" borderId="0" xfId="0" applyNumberFormat="1" applyFont="1" applyFill="1" applyAlignment="1" applyProtection="1">
      <alignment horizontal="right" vertical="center"/>
      <protection locked="0"/>
    </xf>
    <xf numFmtId="0" fontId="25" fillId="8" borderId="0" xfId="0" applyNumberFormat="1" applyFont="1" applyFill="1" applyAlignment="1" applyProtection="1">
      <alignment horizontal="center" vertical="center"/>
    </xf>
    <xf numFmtId="0" fontId="25" fillId="6" borderId="0" xfId="0" applyNumberFormat="1" applyFont="1" applyFill="1" applyAlignment="1" applyProtection="1">
      <alignment horizontal="center" vertical="center"/>
    </xf>
    <xf numFmtId="0" fontId="27" fillId="9" borderId="18" xfId="0" applyFont="1" applyFill="1" applyBorder="1" applyAlignment="1" applyProtection="1">
      <alignment horizontal="left" vertical="center"/>
    </xf>
    <xf numFmtId="0" fontId="0" fillId="0" borderId="0" xfId="0" applyAlignment="1">
      <alignment horizontal="left"/>
    </xf>
    <xf numFmtId="0" fontId="17" fillId="0" borderId="0" xfId="0" applyFont="1"/>
    <xf numFmtId="0" fontId="0" fillId="0" borderId="0" xfId="0" applyFont="1" applyAlignment="1">
      <alignment horizontal="right"/>
    </xf>
    <xf numFmtId="0" fontId="19" fillId="0" borderId="0" xfId="0" applyFont="1"/>
    <xf numFmtId="0" fontId="18" fillId="0" borderId="0" xfId="0" applyFont="1"/>
    <xf numFmtId="0" fontId="20" fillId="0" borderId="31" xfId="0" applyFont="1" applyBorder="1" applyAlignment="1">
      <alignment horizontal="center"/>
    </xf>
    <xf numFmtId="173" fontId="21" fillId="0" borderId="32" xfId="0" applyNumberFormat="1" applyFont="1" applyBorder="1" applyAlignment="1">
      <alignment horizontal="left"/>
    </xf>
    <xf numFmtId="0" fontId="0" fillId="0" borderId="33" xfId="0" applyBorder="1" applyAlignment="1">
      <alignment vertical="top" wrapText="1"/>
    </xf>
    <xf numFmtId="0" fontId="0" fillId="6" borderId="0" xfId="0" applyFill="1" applyAlignment="1">
      <alignment horizontal="center"/>
    </xf>
    <xf numFmtId="0" fontId="0" fillId="13" borderId="0" xfId="0" applyFont="1" applyFill="1" applyAlignment="1">
      <alignment horizontal="right"/>
    </xf>
    <xf numFmtId="0" fontId="0" fillId="13" borderId="0" xfId="0" applyNumberFormat="1" applyFill="1" applyAlignment="1">
      <alignment horizontal="left"/>
    </xf>
    <xf numFmtId="180" fontId="0" fillId="13" borderId="0" xfId="0" applyNumberFormat="1" applyFont="1" applyFill="1" applyAlignment="1">
      <alignment horizontal="right"/>
    </xf>
    <xf numFmtId="180" fontId="0" fillId="0" borderId="0" xfId="0" applyNumberFormat="1"/>
    <xf numFmtId="180" fontId="10" fillId="13" borderId="0" xfId="0" applyNumberFormat="1" applyFont="1" applyFill="1" applyAlignment="1">
      <alignment wrapText="1"/>
    </xf>
    <xf numFmtId="0" fontId="10" fillId="13" borderId="0" xfId="0" applyFont="1" applyFill="1" applyAlignment="1">
      <alignment wrapText="1"/>
    </xf>
    <xf numFmtId="0" fontId="10" fillId="13" borderId="0" xfId="0" applyFont="1" applyFill="1"/>
    <xf numFmtId="180" fontId="10" fillId="13" borderId="0" xfId="0" applyNumberFormat="1" applyFont="1" applyFill="1"/>
    <xf numFmtId="0" fontId="0" fillId="0" borderId="0" xfId="0" applyFont="1" applyAlignment="1">
      <alignment horizontal="center" textRotation="90"/>
    </xf>
    <xf numFmtId="177" fontId="0" fillId="0" borderId="0" xfId="0" applyNumberFormat="1" applyAlignment="1">
      <alignment horizontal="center"/>
    </xf>
    <xf numFmtId="0" fontId="0" fillId="0" borderId="0" xfId="0" applyFont="1"/>
    <xf numFmtId="0" fontId="0" fillId="0" borderId="34" xfId="0" applyBorder="1"/>
    <xf numFmtId="0" fontId="0" fillId="0" borderId="0" xfId="0" applyFill="1"/>
    <xf numFmtId="14" fontId="0" fillId="0" borderId="35" xfId="0" applyNumberFormat="1" applyBorder="1"/>
    <xf numFmtId="14" fontId="10" fillId="0" borderId="36" xfId="0" applyNumberFormat="1" applyFont="1" applyBorder="1"/>
    <xf numFmtId="14" fontId="10" fillId="0" borderId="37" xfId="0" applyNumberFormat="1" applyFont="1" applyBorder="1"/>
    <xf numFmtId="0" fontId="10" fillId="0" borderId="38" xfId="0" applyFont="1" applyBorder="1"/>
    <xf numFmtId="14" fontId="0" fillId="14" borderId="39" xfId="0" applyNumberFormat="1" applyFill="1" applyBorder="1"/>
    <xf numFmtId="14" fontId="0" fillId="14" borderId="40" xfId="0" applyNumberFormat="1" applyFill="1" applyBorder="1"/>
    <xf numFmtId="0" fontId="0" fillId="14" borderId="41" xfId="0" applyFill="1" applyBorder="1"/>
    <xf numFmtId="14" fontId="0" fillId="15" borderId="39" xfId="0" applyNumberFormat="1" applyFill="1" applyBorder="1"/>
    <xf numFmtId="14" fontId="0" fillId="15" borderId="40" xfId="0" applyNumberFormat="1" applyFill="1" applyBorder="1"/>
    <xf numFmtId="0" fontId="0" fillId="15" borderId="41" xfId="0" applyFill="1" applyBorder="1"/>
    <xf numFmtId="14" fontId="0" fillId="16" borderId="39" xfId="0" applyNumberFormat="1" applyFill="1" applyBorder="1"/>
    <xf numFmtId="14" fontId="0" fillId="16" borderId="40" xfId="0" applyNumberFormat="1" applyFill="1" applyBorder="1"/>
    <xf numFmtId="0" fontId="0" fillId="16" borderId="41" xfId="0" applyFill="1" applyBorder="1"/>
    <xf numFmtId="14" fontId="0" fillId="17" borderId="39" xfId="0" applyNumberFormat="1" applyFill="1" applyBorder="1"/>
    <xf numFmtId="14" fontId="0" fillId="17" borderId="40" xfId="0" applyNumberFormat="1" applyFill="1" applyBorder="1"/>
    <xf numFmtId="0" fontId="0" fillId="17" borderId="41" xfId="0" applyFill="1" applyBorder="1"/>
    <xf numFmtId="14" fontId="0" fillId="18" borderId="39" xfId="0" applyNumberFormat="1" applyFill="1" applyBorder="1"/>
    <xf numFmtId="14" fontId="0" fillId="18" borderId="40" xfId="0" applyNumberFormat="1" applyFill="1" applyBorder="1"/>
    <xf numFmtId="0" fontId="0" fillId="18" borderId="41" xfId="0" applyFill="1" applyBorder="1"/>
    <xf numFmtId="14" fontId="0" fillId="19" borderId="39" xfId="0" applyNumberFormat="1" applyFill="1" applyBorder="1"/>
    <xf numFmtId="14" fontId="0" fillId="19" borderId="40" xfId="0" applyNumberFormat="1" applyFill="1" applyBorder="1"/>
    <xf numFmtId="0" fontId="0" fillId="19" borderId="41" xfId="0" applyFill="1" applyBorder="1"/>
    <xf numFmtId="14" fontId="0" fillId="20" borderId="39" xfId="0" applyNumberFormat="1" applyFill="1" applyBorder="1"/>
    <xf numFmtId="14" fontId="0" fillId="20" borderId="40" xfId="0" applyNumberFormat="1" applyFill="1" applyBorder="1"/>
    <xf numFmtId="0" fontId="0" fillId="20" borderId="41" xfId="0" applyFill="1" applyBorder="1"/>
    <xf numFmtId="14" fontId="0" fillId="21" borderId="39" xfId="0" applyNumberFormat="1" applyFill="1" applyBorder="1"/>
    <xf numFmtId="14" fontId="0" fillId="21" borderId="40" xfId="0" applyNumberFormat="1" applyFill="1" applyBorder="1"/>
    <xf numFmtId="0" fontId="0" fillId="21" borderId="41" xfId="0" applyFill="1" applyBorder="1"/>
    <xf numFmtId="14" fontId="0" fillId="22" borderId="39" xfId="0" applyNumberFormat="1" applyFill="1" applyBorder="1"/>
    <xf numFmtId="14" fontId="0" fillId="22" borderId="40" xfId="0" applyNumberFormat="1" applyFill="1" applyBorder="1"/>
    <xf numFmtId="0" fontId="0" fillId="22" borderId="41" xfId="0" applyFill="1" applyBorder="1"/>
    <xf numFmtId="14" fontId="0" fillId="23" borderId="39" xfId="0" applyNumberFormat="1" applyFill="1" applyBorder="1"/>
    <xf numFmtId="14" fontId="0" fillId="23" borderId="40" xfId="0" applyNumberFormat="1" applyFill="1" applyBorder="1"/>
    <xf numFmtId="0" fontId="0" fillId="23" borderId="41" xfId="0" applyFill="1" applyBorder="1"/>
    <xf numFmtId="14" fontId="0" fillId="24" borderId="39" xfId="0" applyNumberFormat="1" applyFill="1" applyBorder="1"/>
    <xf numFmtId="14" fontId="0" fillId="24" borderId="40" xfId="0" applyNumberFormat="1" applyFill="1" applyBorder="1"/>
    <xf numFmtId="0" fontId="0" fillId="24" borderId="41" xfId="0" applyFill="1" applyBorder="1"/>
    <xf numFmtId="14" fontId="0" fillId="25" borderId="39" xfId="0" applyNumberFormat="1" applyFill="1" applyBorder="1"/>
    <xf numFmtId="14" fontId="0" fillId="25" borderId="40" xfId="0" applyNumberFormat="1" applyFill="1" applyBorder="1"/>
    <xf numFmtId="0" fontId="0" fillId="25" borderId="41" xfId="0" applyFill="1" applyBorder="1"/>
    <xf numFmtId="14" fontId="0" fillId="26" borderId="39" xfId="0" applyNumberFormat="1" applyFill="1" applyBorder="1"/>
    <xf numFmtId="14" fontId="0" fillId="26" borderId="40" xfId="0" applyNumberFormat="1" applyFill="1" applyBorder="1"/>
    <xf numFmtId="0" fontId="0" fillId="26" borderId="41" xfId="0" applyFill="1" applyBorder="1"/>
    <xf numFmtId="14" fontId="0" fillId="27" borderId="39" xfId="0" applyNumberFormat="1" applyFill="1" applyBorder="1"/>
    <xf numFmtId="14" fontId="0" fillId="27" borderId="40" xfId="0" applyNumberFormat="1" applyFill="1" applyBorder="1"/>
    <xf numFmtId="0" fontId="0" fillId="27" borderId="41" xfId="0" applyFill="1" applyBorder="1"/>
    <xf numFmtId="14" fontId="0" fillId="28" borderId="39" xfId="0" applyNumberFormat="1" applyFill="1" applyBorder="1"/>
    <xf numFmtId="14" fontId="0" fillId="28" borderId="40" xfId="0" applyNumberFormat="1" applyFill="1" applyBorder="1"/>
    <xf numFmtId="0" fontId="0" fillId="28" borderId="41" xfId="0" applyFill="1" applyBorder="1"/>
    <xf numFmtId="14" fontId="0" fillId="29" borderId="39" xfId="0" applyNumberFormat="1" applyFill="1" applyBorder="1"/>
    <xf numFmtId="14" fontId="0" fillId="29" borderId="40" xfId="0" applyNumberFormat="1" applyFill="1" applyBorder="1"/>
    <xf numFmtId="0" fontId="0" fillId="29" borderId="41" xfId="0" applyFill="1" applyBorder="1"/>
    <xf numFmtId="14" fontId="0" fillId="29" borderId="42" xfId="0" applyNumberFormat="1" applyFill="1" applyBorder="1"/>
    <xf numFmtId="14" fontId="0" fillId="29" borderId="43" xfId="0" applyNumberFormat="1" applyFill="1" applyBorder="1"/>
    <xf numFmtId="0" fontId="0" fillId="29" borderId="44" xfId="0" applyFill="1" applyBorder="1"/>
    <xf numFmtId="14" fontId="0" fillId="14" borderId="45" xfId="0" applyNumberFormat="1" applyFill="1" applyBorder="1"/>
    <xf numFmtId="14" fontId="0" fillId="15" borderId="45" xfId="0" applyNumberFormat="1" applyFill="1" applyBorder="1"/>
    <xf numFmtId="14" fontId="0" fillId="16" borderId="45" xfId="0" applyNumberFormat="1" applyFill="1" applyBorder="1"/>
    <xf numFmtId="14" fontId="0" fillId="17" borderId="45" xfId="0" applyNumberFormat="1" applyFill="1" applyBorder="1"/>
    <xf numFmtId="14" fontId="0" fillId="18" borderId="45" xfId="0" applyNumberFormat="1" applyFill="1" applyBorder="1"/>
    <xf numFmtId="14" fontId="0" fillId="19" borderId="45" xfId="0" applyNumberFormat="1" applyFill="1" applyBorder="1"/>
    <xf numFmtId="14" fontId="0" fillId="20" borderId="45" xfId="0" applyNumberFormat="1" applyFill="1" applyBorder="1"/>
    <xf numFmtId="14" fontId="0" fillId="21" borderId="45" xfId="0" applyNumberFormat="1" applyFill="1" applyBorder="1"/>
    <xf numFmtId="14" fontId="0" fillId="22" borderId="45" xfId="0" applyNumberFormat="1" applyFill="1" applyBorder="1"/>
    <xf numFmtId="14" fontId="0" fillId="23" borderId="45" xfId="0" applyNumberFormat="1" applyFill="1" applyBorder="1"/>
    <xf numFmtId="14" fontId="0" fillId="24" borderId="45" xfId="0" applyNumberFormat="1" applyFill="1" applyBorder="1"/>
    <xf numFmtId="14" fontId="0" fillId="25" borderId="45" xfId="0" applyNumberFormat="1" applyFill="1" applyBorder="1"/>
    <xf numFmtId="14" fontId="0" fillId="26" borderId="45" xfId="0" applyNumberFormat="1" applyFill="1" applyBorder="1"/>
    <xf numFmtId="14" fontId="0" fillId="27" borderId="45" xfId="0" applyNumberFormat="1" applyFill="1" applyBorder="1"/>
    <xf numFmtId="14" fontId="0" fillId="28" borderId="45" xfId="0" applyNumberFormat="1" applyFill="1" applyBorder="1"/>
    <xf numFmtId="14" fontId="0" fillId="29" borderId="45" xfId="0" applyNumberFormat="1" applyFill="1" applyBorder="1"/>
    <xf numFmtId="14" fontId="0" fillId="29" borderId="46" xfId="0" applyNumberFormat="1" applyFill="1" applyBorder="1"/>
    <xf numFmtId="0" fontId="22" fillId="0" borderId="33" xfId="0" applyFont="1" applyBorder="1" applyAlignment="1">
      <alignment horizontal="center" vertical="center" wrapText="1"/>
    </xf>
    <xf numFmtId="179" fontId="18" fillId="0" borderId="47" xfId="0" applyNumberFormat="1" applyFont="1" applyBorder="1" applyAlignment="1">
      <alignment horizontal="center"/>
    </xf>
    <xf numFmtId="168" fontId="37" fillId="0" borderId="0" xfId="0" applyNumberFormat="1" applyFont="1" applyBorder="1" applyAlignment="1">
      <alignment horizontal="right"/>
    </xf>
    <xf numFmtId="0" fontId="0" fillId="6" borderId="0" xfId="0" applyFill="1" applyAlignment="1" applyProtection="1">
      <alignment wrapText="1"/>
    </xf>
    <xf numFmtId="0" fontId="0" fillId="6" borderId="0" xfId="0" applyFill="1" applyAlignment="1" applyProtection="1">
      <alignment wrapText="1"/>
      <protection locked="0"/>
    </xf>
    <xf numFmtId="164" fontId="27" fillId="9" borderId="19" xfId="0" applyNumberFormat="1" applyFont="1" applyFill="1" applyBorder="1" applyAlignment="1" applyProtection="1">
      <alignment horizontal="right" vertical="center" wrapText="1"/>
    </xf>
    <xf numFmtId="0" fontId="29" fillId="0" borderId="18" xfId="0" applyFont="1" applyFill="1" applyBorder="1" applyAlignment="1" applyProtection="1">
      <alignment horizontal="center" vertical="center" wrapText="1"/>
    </xf>
    <xf numFmtId="0" fontId="28" fillId="9" borderId="18" xfId="0" applyFont="1" applyFill="1" applyBorder="1" applyAlignment="1" applyProtection="1">
      <alignment horizontal="center" vertical="center" wrapText="1"/>
    </xf>
    <xf numFmtId="0" fontId="28" fillId="0" borderId="18" xfId="0" applyFont="1" applyFill="1" applyBorder="1" applyAlignment="1" applyProtection="1">
      <alignment horizontal="center" vertical="center" wrapText="1"/>
    </xf>
    <xf numFmtId="164" fontId="27" fillId="0" borderId="19" xfId="0" applyNumberFormat="1" applyFont="1" applyFill="1" applyBorder="1" applyAlignment="1" applyProtection="1">
      <alignment horizontal="right" vertical="center" wrapText="1"/>
    </xf>
    <xf numFmtId="0" fontId="0" fillId="0" borderId="0" xfId="0" applyFill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 vertical="center" wrapText="1"/>
    </xf>
    <xf numFmtId="0" fontId="29" fillId="0" borderId="0" xfId="0" applyFont="1" applyFill="1" applyBorder="1" applyAlignment="1" applyProtection="1">
      <alignment horizontal="center" vertical="center" wrapText="1"/>
    </xf>
    <xf numFmtId="0" fontId="34" fillId="0" borderId="0" xfId="0" applyFont="1" applyFill="1" applyAlignment="1" applyProtection="1">
      <alignment horizontal="center" vertical="center" wrapText="1"/>
      <protection locked="0"/>
    </xf>
    <xf numFmtId="0" fontId="34" fillId="0" borderId="0" xfId="0" applyFont="1" applyFill="1" applyAlignment="1" applyProtection="1">
      <alignment horizontal="center" vertical="center" wrapText="1"/>
    </xf>
    <xf numFmtId="164" fontId="29" fillId="0" borderId="18" xfId="0" applyNumberFormat="1" applyFont="1" applyFill="1" applyBorder="1" applyAlignment="1" applyProtection="1">
      <alignment horizontal="right" vertical="center" wrapText="1"/>
    </xf>
    <xf numFmtId="0" fontId="0" fillId="0" borderId="17" xfId="0" applyFill="1" applyBorder="1" applyAlignment="1">
      <alignment horizontal="center"/>
    </xf>
    <xf numFmtId="168" fontId="40" fillId="0" borderId="74" xfId="0" applyNumberFormat="1" applyFont="1" applyFill="1" applyBorder="1" applyAlignment="1">
      <alignment horizontal="center"/>
    </xf>
    <xf numFmtId="0" fontId="40" fillId="0" borderId="75" xfId="0" applyFont="1" applyFill="1" applyBorder="1" applyAlignment="1">
      <alignment horizontal="center"/>
    </xf>
    <xf numFmtId="0" fontId="0" fillId="0" borderId="76" xfId="0" applyFill="1" applyBorder="1" applyAlignment="1">
      <alignment horizontal="center"/>
    </xf>
    <xf numFmtId="164" fontId="29" fillId="9" borderId="18" xfId="0" applyNumberFormat="1" applyFont="1" applyFill="1" applyBorder="1" applyAlignment="1" applyProtection="1">
      <alignment horizontal="center" vertical="center" wrapText="1"/>
    </xf>
    <xf numFmtId="168" fontId="23" fillId="0" borderId="0" xfId="3" applyNumberFormat="1" applyFont="1"/>
    <xf numFmtId="181" fontId="0" fillId="0" borderId="0" xfId="0" applyNumberFormat="1"/>
    <xf numFmtId="0" fontId="33" fillId="12" borderId="73" xfId="0" applyFont="1" applyFill="1" applyBorder="1" applyAlignment="1">
      <alignment vertical="center" wrapText="1"/>
    </xf>
    <xf numFmtId="0" fontId="33" fillId="12" borderId="73" xfId="0" applyFont="1" applyFill="1" applyBorder="1" applyAlignment="1">
      <alignment vertical="center" wrapText="1"/>
    </xf>
    <xf numFmtId="0" fontId="33" fillId="12" borderId="72" xfId="0" applyFont="1" applyFill="1" applyBorder="1" applyAlignment="1">
      <alignment vertical="center" wrapText="1"/>
    </xf>
    <xf numFmtId="168" fontId="40" fillId="0" borderId="15" xfId="0" applyNumberFormat="1" applyFont="1" applyFill="1" applyBorder="1" applyAlignment="1">
      <alignment horizontal="center"/>
    </xf>
    <xf numFmtId="168" fontId="0" fillId="0" borderId="58" xfId="0" applyNumberFormat="1" applyFill="1" applyBorder="1" applyAlignment="1">
      <alignment horizontal="center"/>
    </xf>
    <xf numFmtId="168" fontId="0" fillId="0" borderId="77" xfId="0" applyNumberFormat="1" applyFill="1" applyBorder="1" applyAlignment="1">
      <alignment horizontal="center"/>
    </xf>
    <xf numFmtId="0" fontId="40" fillId="0" borderId="15" xfId="0" applyNumberFormat="1" applyFont="1" applyFill="1" applyBorder="1" applyAlignment="1">
      <alignment horizontal="center"/>
    </xf>
    <xf numFmtId="0" fontId="0" fillId="33" borderId="0" xfId="0" applyFill="1"/>
    <xf numFmtId="0" fontId="0" fillId="24" borderId="0" xfId="0" applyFill="1"/>
    <xf numFmtId="0" fontId="0" fillId="26" borderId="0" xfId="0" applyFill="1"/>
    <xf numFmtId="0" fontId="0" fillId="25" borderId="0" xfId="0" applyFill="1"/>
    <xf numFmtId="0" fontId="0" fillId="27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2" borderId="0" xfId="0" applyFill="1"/>
    <xf numFmtId="0" fontId="0" fillId="28" borderId="0" xfId="0" applyFill="1"/>
    <xf numFmtId="0" fontId="0" fillId="37" borderId="0" xfId="0" applyFill="1"/>
    <xf numFmtId="0" fontId="0" fillId="31" borderId="0" xfId="0" applyFill="1"/>
    <xf numFmtId="0" fontId="0" fillId="23" borderId="0" xfId="0" applyFill="1"/>
    <xf numFmtId="0" fontId="0" fillId="30" borderId="0" xfId="0" applyFill="1"/>
    <xf numFmtId="0" fontId="0" fillId="38" borderId="0" xfId="0" applyFill="1"/>
    <xf numFmtId="0" fontId="0" fillId="0" borderId="15" xfId="0" applyBorder="1"/>
    <xf numFmtId="167" fontId="2" fillId="0" borderId="79" xfId="5" applyNumberFormat="1" applyFont="1" applyBorder="1" applyAlignment="1">
      <alignment horizontal="left" indent="1"/>
    </xf>
    <xf numFmtId="167" fontId="2" fillId="0" borderId="80" xfId="5" applyNumberFormat="1" applyFont="1" applyBorder="1" applyAlignment="1">
      <alignment horizontal="left" indent="1"/>
    </xf>
    <xf numFmtId="167" fontId="2" fillId="0" borderId="81" xfId="5" applyNumberFormat="1" applyFont="1" applyBorder="1" applyAlignment="1">
      <alignment horizontal="left" indent="1"/>
    </xf>
    <xf numFmtId="167" fontId="2" fillId="0" borderId="82" xfId="5" applyNumberFormat="1" applyFont="1" applyBorder="1" applyAlignment="1">
      <alignment horizontal="left" indent="1"/>
    </xf>
    <xf numFmtId="167" fontId="2" fillId="0" borderId="83" xfId="5" applyNumberFormat="1" applyFont="1" applyBorder="1" applyAlignment="1">
      <alignment horizontal="left" indent="1"/>
    </xf>
    <xf numFmtId="167" fontId="2" fillId="0" borderId="84" xfId="5" applyNumberFormat="1" applyFont="1" applyBorder="1" applyAlignment="1">
      <alignment horizontal="left" indent="1"/>
    </xf>
    <xf numFmtId="0" fontId="0" fillId="15" borderId="0" xfId="0" applyFill="1"/>
    <xf numFmtId="0" fontId="0" fillId="14" borderId="0" xfId="0" applyFill="1"/>
    <xf numFmtId="0" fontId="0" fillId="17" borderId="0" xfId="0" applyFill="1"/>
    <xf numFmtId="0" fontId="0" fillId="16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0" borderId="16" xfId="0" applyFill="1" applyBorder="1" applyAlignment="1">
      <alignment horizontal="center"/>
    </xf>
    <xf numFmtId="0" fontId="0" fillId="0" borderId="88" xfId="0" applyFill="1" applyBorder="1" applyAlignment="1">
      <alignment horizontal="center"/>
    </xf>
    <xf numFmtId="168" fontId="0" fillId="0" borderId="88" xfId="0" applyNumberFormat="1" applyFill="1" applyBorder="1" applyAlignment="1">
      <alignment horizontal="center"/>
    </xf>
    <xf numFmtId="181" fontId="0" fillId="0" borderId="88" xfId="0" applyNumberFormat="1" applyFill="1" applyBorder="1" applyAlignment="1">
      <alignment horizontal="center"/>
    </xf>
    <xf numFmtId="0" fontId="0" fillId="0" borderId="89" xfId="0" applyFill="1" applyBorder="1" applyAlignment="1">
      <alignment horizontal="center"/>
    </xf>
    <xf numFmtId="0" fontId="0" fillId="0" borderId="75" xfId="0" applyFill="1" applyBorder="1" applyAlignment="1">
      <alignment horizontal="center"/>
    </xf>
    <xf numFmtId="0" fontId="0" fillId="0" borderId="78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168" fontId="0" fillId="0" borderId="29" xfId="0" applyNumberFormat="1" applyFill="1" applyBorder="1" applyAlignment="1">
      <alignment horizontal="center"/>
    </xf>
    <xf numFmtId="181" fontId="0" fillId="0" borderId="49" xfId="0" applyNumberFormat="1" applyFill="1" applyBorder="1" applyAlignment="1">
      <alignment horizontal="center"/>
    </xf>
    <xf numFmtId="168" fontId="0" fillId="0" borderId="49" xfId="0" applyNumberFormat="1" applyFill="1" applyBorder="1" applyAlignment="1">
      <alignment horizontal="center"/>
    </xf>
    <xf numFmtId="0" fontId="0" fillId="0" borderId="49" xfId="0" applyFill="1" applyBorder="1" applyAlignment="1">
      <alignment horizontal="center" vertical="center"/>
    </xf>
    <xf numFmtId="0" fontId="0" fillId="0" borderId="50" xfId="0" applyFill="1" applyBorder="1" applyAlignment="1">
      <alignment horizontal="center" vertical="center"/>
    </xf>
    <xf numFmtId="0" fontId="0" fillId="0" borderId="50" xfId="0" applyFill="1" applyBorder="1" applyAlignment="1">
      <alignment horizontal="center"/>
    </xf>
    <xf numFmtId="0" fontId="35" fillId="0" borderId="51" xfId="0" applyFont="1" applyFill="1" applyBorder="1" applyAlignment="1">
      <alignment horizontal="center"/>
    </xf>
    <xf numFmtId="0" fontId="36" fillId="0" borderId="85" xfId="0" applyFont="1" applyFill="1" applyBorder="1" applyAlignment="1">
      <alignment horizontal="center"/>
    </xf>
    <xf numFmtId="0" fontId="0" fillId="0" borderId="86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168" fontId="0" fillId="0" borderId="22" xfId="0" applyNumberFormat="1" applyFill="1" applyBorder="1" applyAlignment="1">
      <alignment horizontal="center"/>
    </xf>
    <xf numFmtId="181" fontId="0" fillId="0" borderId="22" xfId="0" applyNumberFormat="1" applyFill="1" applyBorder="1" applyAlignment="1">
      <alignment horizontal="center"/>
    </xf>
    <xf numFmtId="0" fontId="0" fillId="0" borderId="22" xfId="0" applyFill="1" applyBorder="1" applyAlignment="1">
      <alignment horizontal="center" vertical="center"/>
    </xf>
    <xf numFmtId="0" fontId="0" fillId="0" borderId="48" xfId="0" applyFill="1" applyBorder="1" applyAlignment="1">
      <alignment horizontal="center" vertical="center"/>
    </xf>
    <xf numFmtId="0" fontId="0" fillId="0" borderId="48" xfId="0" applyFill="1" applyBorder="1" applyAlignment="1">
      <alignment horizontal="center"/>
    </xf>
    <xf numFmtId="0" fontId="35" fillId="0" borderId="48" xfId="0" applyFont="1" applyFill="1" applyBorder="1" applyAlignment="1">
      <alignment horizontal="center"/>
    </xf>
    <xf numFmtId="0" fontId="0" fillId="0" borderId="87" xfId="0" applyFill="1" applyBorder="1" applyAlignment="1">
      <alignment horizontal="center"/>
    </xf>
    <xf numFmtId="14" fontId="40" fillId="0" borderId="15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0" fontId="5" fillId="0" borderId="52" xfId="5" applyFont="1" applyBorder="1" applyAlignment="1">
      <alignment horizontal="center" vertical="center" wrapText="1"/>
    </xf>
    <xf numFmtId="0" fontId="5" fillId="0" borderId="53" xfId="5" applyFont="1" applyBorder="1" applyAlignment="1">
      <alignment horizontal="center" vertical="center" wrapText="1"/>
    </xf>
    <xf numFmtId="0" fontId="5" fillId="0" borderId="54" xfId="5" applyFont="1" applyBorder="1" applyAlignment="1">
      <alignment horizontal="center" vertical="center" wrapText="1"/>
    </xf>
    <xf numFmtId="0" fontId="2" fillId="0" borderId="55" xfId="5" applyBorder="1" applyAlignment="1">
      <alignment horizontal="center"/>
    </xf>
    <xf numFmtId="0" fontId="2" fillId="0" borderId="56" xfId="5" applyBorder="1" applyAlignment="1">
      <alignment horizontal="center"/>
    </xf>
    <xf numFmtId="0" fontId="2" fillId="0" borderId="57" xfId="5" applyBorder="1" applyAlignment="1">
      <alignment horizontal="center"/>
    </xf>
    <xf numFmtId="164" fontId="39" fillId="7" borderId="58" xfId="0" applyNumberFormat="1" applyFont="1" applyFill="1" applyBorder="1" applyAlignment="1" applyProtection="1">
      <alignment horizontal="center" vertical="center"/>
    </xf>
    <xf numFmtId="164" fontId="39" fillId="7" borderId="25" xfId="0" applyNumberFormat="1" applyFont="1" applyFill="1" applyBorder="1" applyAlignment="1" applyProtection="1">
      <alignment horizontal="center" vertical="center"/>
    </xf>
    <xf numFmtId="0" fontId="38" fillId="6" borderId="0" xfId="0" applyNumberFormat="1" applyFont="1" applyFill="1" applyBorder="1" applyAlignment="1" applyProtection="1">
      <alignment horizontal="center" vertical="center"/>
    </xf>
    <xf numFmtId="179" fontId="18" fillId="0" borderId="47" xfId="0" applyNumberFormat="1" applyFont="1" applyBorder="1" applyAlignment="1">
      <alignment horizontal="center"/>
    </xf>
    <xf numFmtId="0" fontId="33" fillId="12" borderId="73" xfId="0" applyFont="1" applyFill="1" applyBorder="1" applyAlignment="1">
      <alignment vertical="center" wrapText="1"/>
    </xf>
    <xf numFmtId="0" fontId="33" fillId="12" borderId="72" xfId="0" applyFont="1" applyFill="1" applyBorder="1" applyAlignment="1">
      <alignment vertical="center" wrapText="1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32" borderId="0" xfId="0" applyFill="1" applyAlignment="1">
      <alignment horizontal="center"/>
    </xf>
  </cellXfs>
  <cellStyles count="9">
    <cellStyle name="Euro" xfId="1"/>
    <cellStyle name="Lien hypertexte" xfId="2" builtinId="8"/>
    <cellStyle name="Milliers" xfId="3" builtinId="3"/>
    <cellStyle name="Milliers 2" xfId="4"/>
    <cellStyle name="Normal" xfId="0" builtinId="0"/>
    <cellStyle name="Normal 2" xfId="5"/>
    <cellStyle name="Normal 4" xfId="6"/>
    <cellStyle name="Normal 5" xfId="7"/>
    <cellStyle name="Normal_URSSAF" xfId="8"/>
  </cellStyles>
  <dxfs count="2087"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33CCFF"/>
        </patternFill>
      </fill>
    </dxf>
    <dxf>
      <fill>
        <patternFill>
          <bgColor rgb="FF33CCFF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33CCFF"/>
        </patternFill>
      </fill>
    </dxf>
    <dxf>
      <fill>
        <patternFill>
          <bgColor rgb="FF33CCFF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33CCFF"/>
        </patternFill>
      </fill>
    </dxf>
    <dxf>
      <fill>
        <patternFill>
          <bgColor rgb="FF33CCFF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33CCFF"/>
        </patternFill>
      </fill>
    </dxf>
    <dxf>
      <fill>
        <patternFill>
          <bgColor rgb="FF33CCFF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 tint="-0.14996795556505021"/>
        </patternFill>
      </fill>
      <border>
        <right style="hair">
          <color indexed="64"/>
        </right>
        <bottom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theme="0" tint="-0.14996795556505021"/>
        </patternFill>
      </fill>
      <border>
        <right style="hair">
          <color indexed="64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</border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33CCFF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33CCFF"/>
        </patternFill>
      </fill>
    </dxf>
    <dxf>
      <fill>
        <patternFill>
          <bgColor rgb="FF33CCFF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hair">
          <color indexed="64"/>
        </bottom>
      </border>
    </dxf>
    <dxf>
      <fill>
        <patternFill>
          <bgColor rgb="FF33CCFF"/>
        </patternFill>
      </fill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indexed="64"/>
        </left>
        <right style="hair">
          <color indexed="64"/>
        </right>
        <bottom style="thin">
          <color indexed="64"/>
        </bottom>
      </border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rgb="FFFFFF00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33CCFF"/>
        </patternFill>
      </fill>
    </dxf>
    <dxf>
      <fill>
        <patternFill patternType="solid">
          <fgColor indexed="27"/>
          <bgColor theme="9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rgb="FF33CCFF"/>
        </patternFill>
      </fill>
    </dxf>
    <dxf>
      <fill>
        <patternFill patternType="solid">
          <fgColor indexed="27"/>
          <bgColor theme="9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33CCFF"/>
        </patternFill>
      </fill>
    </dxf>
    <dxf>
      <fill>
        <patternFill patternType="solid">
          <fgColor indexed="27"/>
          <bgColor theme="9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rgb="FF33CCFF"/>
        </patternFill>
      </fill>
    </dxf>
    <dxf>
      <fill>
        <patternFill patternType="solid">
          <fgColor indexed="27"/>
          <bgColor theme="9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33CCFF"/>
        </patternFill>
      </fill>
    </dxf>
    <dxf>
      <fill>
        <patternFill patternType="solid">
          <fgColor indexed="27"/>
          <bgColor theme="9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rgb="FF33CCFF"/>
        </patternFill>
      </fill>
    </dxf>
    <dxf>
      <fill>
        <patternFill patternType="solid">
          <fgColor indexed="27"/>
          <bgColor theme="9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33CCFF"/>
        </patternFill>
      </fill>
    </dxf>
    <dxf>
      <fill>
        <patternFill patternType="solid">
          <fgColor indexed="27"/>
          <bgColor theme="9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rgb="FF33CCFF"/>
        </patternFill>
      </fill>
    </dxf>
    <dxf>
      <fill>
        <patternFill patternType="solid">
          <fgColor indexed="27"/>
          <bgColor theme="9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33CCFF"/>
        </patternFill>
      </fill>
    </dxf>
    <dxf>
      <fill>
        <patternFill patternType="solid">
          <fgColor indexed="27"/>
          <bgColor theme="9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CC66FF"/>
        </patternFill>
      </fill>
    </dxf>
    <dxf>
      <fill>
        <patternFill>
          <bgColor rgb="FFFF7C80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42"/>
        </patternFill>
      </fill>
    </dxf>
    <dxf>
      <font>
        <sz val="10"/>
        <color auto="1"/>
        <name val="Arial"/>
        <scheme val="none"/>
      </font>
      <numFmt numFmtId="19" formatCode="dd/mm/yyyy"/>
      <alignment horizontal="left" vertical="bottom" textRotation="0" wrapText="0" indent="1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168" formatCode="[$-F800]dddd\,\ mmmm\ dd\,\ 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7" formatCode="[$-40C]dddd\ d\ mmmm\ 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167" formatCode="[$-40C]dddd\ d\ mmmm\ 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auto="1"/>
        </left>
        <right style="medium">
          <color indexed="64"/>
        </right>
        <top style="medium">
          <color auto="1"/>
        </top>
        <bottom style="thin">
          <color indexed="64"/>
        </bottom>
      </border>
    </dxf>
    <dxf>
      <border outline="0"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numFmt numFmtId="168" formatCode="[$-F800]dddd\,\ mmmm\ dd\,\ 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81" formatCode="[$-40C]d\-mmm\-yy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68" formatCode="[$-F800]dddd\,\ mmmm\ dd\,\ 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numFmt numFmtId="168" formatCode="[$-F800]dddd\,\ mmmm\ dd\,\ 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>
          <bgColor theme="8" tint="0.39994506668294322"/>
        </patternFill>
      </fill>
      <border>
        <left style="medium">
          <color auto="1"/>
        </left>
        <right style="medium">
          <color auto="1"/>
        </right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9" tint="0.39994506668294322"/>
        </patternFill>
      </fill>
      <border>
        <left style="medium">
          <color auto="1"/>
        </left>
        <right style="medium">
          <color auto="1"/>
        </right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rgb="FF00B0F0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>
          <bgColor theme="9" tint="0.39994506668294322"/>
        </patternFill>
      </fill>
      <border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3" tint="0.39994506668294322"/>
        </patternFill>
      </fill>
      <border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8" tint="0.59996337778862885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8" tint="0.39994506668294322"/>
        </patternFill>
      </fill>
      <border>
        <left style="medium">
          <color auto="1"/>
        </left>
        <right style="medium">
          <color auto="1"/>
        </right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9" tint="0.39994506668294322"/>
        </patternFill>
      </fill>
      <border>
        <left style="medium">
          <color auto="1"/>
        </left>
        <right style="medium">
          <color auto="1"/>
        </right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bgColor rgb="FF33CCFF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2"/>
        </patternFill>
      </fill>
      <border>
        <horizontal/>
      </border>
    </dxf>
    <dxf>
      <font>
        <b/>
        <i val="0"/>
        <color theme="3" tint="9.9948118533890809E-2"/>
      </font>
      <border>
        <horizontal/>
      </border>
    </dxf>
    <dxf>
      <font>
        <b val="0"/>
        <i val="0"/>
        <color theme="3" tint="9.9917600024414813E-2"/>
      </font>
      <border diagonalUp="0" diagonalDown="0">
        <left/>
        <right/>
        <top/>
        <bottom/>
        <vertical/>
        <horizontal/>
      </border>
    </dxf>
    <dxf>
      <font>
        <b/>
        <i val="0"/>
        <color theme="3" tint="9.9948118533890809E-2"/>
      </font>
      <border>
        <top style="thick">
          <color theme="0"/>
        </top>
        <bottom style="thick">
          <color theme="0"/>
        </bottom>
        <vertical style="thick">
          <color theme="0"/>
        </vertical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2"/>
        </patternFill>
      </fill>
      <border>
        <horizontal/>
      </border>
    </dxf>
    <dxf>
      <font>
        <b/>
        <i val="0"/>
        <color theme="3" tint="9.9948118533890809E-2"/>
      </font>
      <border>
        <horizontal/>
      </border>
    </dxf>
    <dxf>
      <font>
        <b val="0"/>
        <i val="0"/>
        <color theme="3" tint="9.9917600024414813E-2"/>
      </font>
      <border diagonalUp="0" diagonalDown="0">
        <left/>
        <right/>
        <top/>
        <bottom/>
        <vertical/>
        <horizontal/>
      </border>
    </dxf>
    <dxf>
      <font>
        <b/>
        <i val="0"/>
        <color theme="3" tint="9.9948118533890809E-2"/>
      </font>
      <border>
        <top style="thick">
          <color theme="0"/>
        </top>
        <bottom style="thick">
          <color theme="0"/>
        </bottom>
        <vertical style="thick">
          <color theme="0"/>
        </vertical>
      </border>
    </dxf>
  </dxfs>
  <tableStyles count="5" defaultTableStyle="TableStyleMedium2" defaultPivotStyle="PivotStyleLight16">
    <tableStyle name="Daily Schedule" pivot="0" count="5">
      <tableStyleElement type="wholeTable" dxfId="2086"/>
      <tableStyleElement type="headerRow" dxfId="2085"/>
      <tableStyleElement type="firstColumn" dxfId="2084"/>
      <tableStyleElement type="firstRowStripe" dxfId="2083"/>
      <tableStyleElement type="firstColumnStripe" dxfId="2082"/>
    </tableStyle>
    <tableStyle name="Daily Schedule 2" pivot="0" count="5">
      <tableStyleElement type="wholeTable" dxfId="2081"/>
      <tableStyleElement type="headerRow" dxfId="2080"/>
      <tableStyleElement type="firstColumn" dxfId="2079"/>
      <tableStyleElement type="firstRowStripe" dxfId="2078"/>
      <tableStyleElement type="firstColumnStripe" dxfId="2077"/>
    </tableStyle>
    <tableStyle name="Style de tableau 1" pivot="0" count="3">
      <tableStyleElement type="headerRow" dxfId="2076"/>
      <tableStyleElement type="firstRowStripe" dxfId="2075"/>
      <tableStyleElement type="secondRowStripe" dxfId="2074"/>
    </tableStyle>
    <tableStyle name="Style de tableau 2" pivot="0" count="3">
      <tableStyleElement type="headerRow" dxfId="2073"/>
      <tableStyleElement type="firstRowStripe" dxfId="2072"/>
      <tableStyleElement type="secondRowStripe" dxfId="2071"/>
    </tableStyle>
    <tableStyle name="Style de tableau croisé dynamique 1" table="0" count="3">
      <tableStyleElement type="headerRow" dxfId="2070"/>
      <tableStyleElement type="firstRowStripe" dxfId="2069"/>
      <tableStyleElement type="secondRowStripe" dxfId="2068"/>
    </tableStyle>
  </tableStyles>
  <colors>
    <mruColors>
      <color rgb="FF00FFFF"/>
      <color rgb="FF99FF33"/>
      <color rgb="FFFF7C80"/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1" max="3000" min="2010" page="10" val="2017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47625</xdr:rowOff>
    </xdr:from>
    <xdr:to>
      <xdr:col>1</xdr:col>
      <xdr:colOff>390525</xdr:colOff>
      <xdr:row>1</xdr:row>
      <xdr:rowOff>152400</xdr:rowOff>
    </xdr:to>
    <xdr:sp macro="" textlink="">
      <xdr:nvSpPr>
        <xdr:cNvPr id="1026" name="Spinner 1" hidden="1"/>
        <xdr:cNvSpPr>
          <a:spLocks noChangeArrowheads="1"/>
        </xdr:cNvSpPr>
      </xdr:nvSpPr>
      <xdr:spPr bwMode="auto">
        <a:xfrm>
          <a:off x="142875" y="47625"/>
          <a:ext cx="361950" cy="495300"/>
        </a:xfrm>
        <a:prstGeom prst="rect">
          <a:avLst/>
        </a:prstGeom>
        <a:solidFill>
          <a:srgbClr val="FFFFFF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28575</xdr:colOff>
      <xdr:row>0</xdr:row>
      <xdr:rowOff>47625</xdr:rowOff>
    </xdr:from>
    <xdr:to>
      <xdr:col>1</xdr:col>
      <xdr:colOff>390525</xdr:colOff>
      <xdr:row>1</xdr:row>
      <xdr:rowOff>152400</xdr:rowOff>
    </xdr:to>
    <xdr:sp macro="" textlink="">
      <xdr:nvSpPr>
        <xdr:cNvPr id="1027" name="Spinner 1" hidden="1"/>
        <xdr:cNvSpPr>
          <a:spLocks noChangeArrowheads="1"/>
        </xdr:cNvSpPr>
      </xdr:nvSpPr>
      <xdr:spPr bwMode="auto">
        <a:xfrm>
          <a:off x="142875" y="47625"/>
          <a:ext cx="361950" cy="495300"/>
        </a:xfrm>
        <a:prstGeom prst="rect">
          <a:avLst/>
        </a:prstGeom>
        <a:solidFill>
          <a:srgbClr val="FFFFFF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0</xdr:row>
          <xdr:rowOff>95250</xdr:rowOff>
        </xdr:from>
        <xdr:to>
          <xdr:col>1</xdr:col>
          <xdr:colOff>409575</xdr:colOff>
          <xdr:row>1</xdr:row>
          <xdr:rowOff>200025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295275</xdr:colOff>
      <xdr:row>13</xdr:row>
      <xdr:rowOff>38100</xdr:rowOff>
    </xdr:from>
    <xdr:to>
      <xdr:col>7</xdr:col>
      <xdr:colOff>371475</xdr:colOff>
      <xdr:row>14</xdr:row>
      <xdr:rowOff>66675</xdr:rowOff>
    </xdr:to>
    <xdr:sp macro="" textlink="">
      <xdr:nvSpPr>
        <xdr:cNvPr id="19457" name="Text Box 57"/>
        <xdr:cNvSpPr txBox="1">
          <a:spLocks noChangeArrowheads="1"/>
        </xdr:cNvSpPr>
      </xdr:nvSpPr>
      <xdr:spPr bwMode="auto">
        <a:xfrm>
          <a:off x="5295900" y="262890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295275</xdr:colOff>
      <xdr:row>13</xdr:row>
      <xdr:rowOff>38100</xdr:rowOff>
    </xdr:from>
    <xdr:to>
      <xdr:col>7</xdr:col>
      <xdr:colOff>371475</xdr:colOff>
      <xdr:row>14</xdr:row>
      <xdr:rowOff>66675</xdr:rowOff>
    </xdr:to>
    <xdr:sp macro="" textlink="">
      <xdr:nvSpPr>
        <xdr:cNvPr id="19458" name="Text Box 57"/>
        <xdr:cNvSpPr txBox="1">
          <a:spLocks noChangeArrowheads="1"/>
        </xdr:cNvSpPr>
      </xdr:nvSpPr>
      <xdr:spPr bwMode="auto">
        <a:xfrm>
          <a:off x="5295900" y="262890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295275</xdr:colOff>
      <xdr:row>18</xdr:row>
      <xdr:rowOff>38100</xdr:rowOff>
    </xdr:from>
    <xdr:to>
      <xdr:col>7</xdr:col>
      <xdr:colOff>371475</xdr:colOff>
      <xdr:row>19</xdr:row>
      <xdr:rowOff>66675</xdr:rowOff>
    </xdr:to>
    <xdr:sp macro="" textlink="">
      <xdr:nvSpPr>
        <xdr:cNvPr id="19459" name="Text Box 57"/>
        <xdr:cNvSpPr txBox="1">
          <a:spLocks noChangeArrowheads="1"/>
        </xdr:cNvSpPr>
      </xdr:nvSpPr>
      <xdr:spPr bwMode="auto">
        <a:xfrm>
          <a:off x="5295900" y="362902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295275</xdr:colOff>
      <xdr:row>23</xdr:row>
      <xdr:rowOff>38100</xdr:rowOff>
    </xdr:from>
    <xdr:to>
      <xdr:col>7</xdr:col>
      <xdr:colOff>371475</xdr:colOff>
      <xdr:row>24</xdr:row>
      <xdr:rowOff>66675</xdr:rowOff>
    </xdr:to>
    <xdr:sp macro="" textlink="">
      <xdr:nvSpPr>
        <xdr:cNvPr id="19460" name="Text Box 57"/>
        <xdr:cNvSpPr txBox="1">
          <a:spLocks noChangeArrowheads="1"/>
        </xdr:cNvSpPr>
      </xdr:nvSpPr>
      <xdr:spPr bwMode="auto">
        <a:xfrm>
          <a:off x="5295900" y="46291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295275</xdr:colOff>
      <xdr:row>28</xdr:row>
      <xdr:rowOff>38100</xdr:rowOff>
    </xdr:from>
    <xdr:to>
      <xdr:col>7</xdr:col>
      <xdr:colOff>371475</xdr:colOff>
      <xdr:row>29</xdr:row>
      <xdr:rowOff>66675</xdr:rowOff>
    </xdr:to>
    <xdr:sp macro="" textlink="">
      <xdr:nvSpPr>
        <xdr:cNvPr id="19461" name="Text Box 57"/>
        <xdr:cNvSpPr txBox="1">
          <a:spLocks noChangeArrowheads="1"/>
        </xdr:cNvSpPr>
      </xdr:nvSpPr>
      <xdr:spPr bwMode="auto">
        <a:xfrm>
          <a:off x="5295900" y="562927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295275</xdr:colOff>
      <xdr:row>33</xdr:row>
      <xdr:rowOff>38100</xdr:rowOff>
    </xdr:from>
    <xdr:to>
      <xdr:col>7</xdr:col>
      <xdr:colOff>371475</xdr:colOff>
      <xdr:row>34</xdr:row>
      <xdr:rowOff>66675</xdr:rowOff>
    </xdr:to>
    <xdr:sp macro="" textlink="">
      <xdr:nvSpPr>
        <xdr:cNvPr id="19462" name="Text Box 57"/>
        <xdr:cNvSpPr txBox="1">
          <a:spLocks noChangeArrowheads="1"/>
        </xdr:cNvSpPr>
      </xdr:nvSpPr>
      <xdr:spPr bwMode="auto">
        <a:xfrm>
          <a:off x="5295900" y="662940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Agenda%20quotidien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inique.audeou/Downloads/anniversaire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ification"/>
      <sheetName val="Saisie de données"/>
      <sheetName val="Recherche de nom"/>
      <sheetName val="Agenda quotidien1"/>
    </sheetNames>
    <sheetDataSet>
      <sheetData sheetId="0" refreshError="1"/>
      <sheetData sheetId="1"/>
      <sheetData sheetId="2">
        <row r="2">
          <cell r="B2" t="str">
            <v>NUMÉRO DE LIGNE</v>
          </cell>
        </row>
        <row r="3">
          <cell r="A3" t="str">
            <v>Anna</v>
          </cell>
          <cell r="B3">
            <v>3</v>
          </cell>
        </row>
        <row r="4">
          <cell r="B4">
            <v>4</v>
          </cell>
        </row>
        <row r="5">
          <cell r="B5" t="str">
            <v/>
          </cell>
        </row>
        <row r="6">
          <cell r="B6" t="str">
            <v/>
          </cell>
        </row>
        <row r="7">
          <cell r="B7" t="str">
            <v/>
          </cell>
        </row>
        <row r="8">
          <cell r="B8" t="str">
            <v/>
          </cell>
        </row>
        <row r="9">
          <cell r="B9" t="str">
            <v/>
          </cell>
        </row>
        <row r="10">
          <cell r="B10" t="str">
            <v/>
          </cell>
        </row>
        <row r="11">
          <cell r="B11" t="str">
            <v/>
          </cell>
        </row>
        <row r="12">
          <cell r="B12" t="str">
            <v/>
          </cell>
        </row>
        <row r="13">
          <cell r="B13" t="str">
            <v/>
          </cell>
        </row>
        <row r="14">
          <cell r="B14" t="str">
            <v/>
          </cell>
        </row>
        <row r="15">
          <cell r="B15" t="str">
            <v/>
          </cell>
        </row>
        <row r="16">
          <cell r="B16" t="str">
            <v/>
          </cell>
        </row>
        <row r="17">
          <cell r="B17" t="str">
            <v/>
          </cell>
        </row>
        <row r="18">
          <cell r="B18" t="str">
            <v/>
          </cell>
        </row>
        <row r="19">
          <cell r="B19" t="str">
            <v/>
          </cell>
        </row>
        <row r="20">
          <cell r="B20" t="str">
            <v/>
          </cell>
        </row>
        <row r="21">
          <cell r="B21" t="str">
            <v/>
          </cell>
        </row>
        <row r="22">
          <cell r="B22" t="str">
            <v/>
          </cell>
        </row>
        <row r="23">
          <cell r="B23" t="str">
            <v/>
          </cell>
        </row>
        <row r="24">
          <cell r="B24" t="str">
            <v/>
          </cell>
        </row>
        <row r="25">
          <cell r="B25" t="str">
            <v/>
          </cell>
        </row>
        <row r="26">
          <cell r="B26" t="str">
            <v/>
          </cell>
        </row>
        <row r="27">
          <cell r="B27" t="str">
            <v/>
          </cell>
        </row>
        <row r="28">
          <cell r="B28" t="str">
            <v/>
          </cell>
        </row>
        <row r="29">
          <cell r="B29" t="str">
            <v/>
          </cell>
        </row>
        <row r="30">
          <cell r="B30" t="str">
            <v/>
          </cell>
        </row>
        <row r="31">
          <cell r="B31" t="str">
            <v/>
          </cell>
        </row>
        <row r="32">
          <cell r="B32" t="str">
            <v/>
          </cell>
        </row>
        <row r="33">
          <cell r="B33" t="str">
            <v/>
          </cell>
        </row>
        <row r="34">
          <cell r="B34" t="str">
            <v/>
          </cell>
        </row>
        <row r="35">
          <cell r="B35" t="str">
            <v/>
          </cell>
        </row>
        <row r="36">
          <cell r="B36" t="str">
            <v/>
          </cell>
        </row>
        <row r="37">
          <cell r="B37" t="str">
            <v/>
          </cell>
        </row>
        <row r="38">
          <cell r="B38" t="str">
            <v/>
          </cell>
        </row>
        <row r="39">
          <cell r="B39" t="str">
            <v/>
          </cell>
        </row>
        <row r="40">
          <cell r="B40" t="str">
            <v/>
          </cell>
        </row>
        <row r="41">
          <cell r="B41" t="str">
            <v/>
          </cell>
        </row>
        <row r="42">
          <cell r="B42" t="str">
            <v/>
          </cell>
        </row>
        <row r="43">
          <cell r="B43" t="str">
            <v/>
          </cell>
        </row>
        <row r="44">
          <cell r="B44" t="str">
            <v/>
          </cell>
        </row>
        <row r="45">
          <cell r="B45" t="str">
            <v/>
          </cell>
        </row>
        <row r="46">
          <cell r="B46" t="str">
            <v/>
          </cell>
        </row>
        <row r="47">
          <cell r="B47" t="str">
            <v/>
          </cell>
        </row>
        <row r="48">
          <cell r="B48" t="str">
            <v/>
          </cell>
        </row>
        <row r="49">
          <cell r="B49" t="str">
            <v/>
          </cell>
        </row>
        <row r="50">
          <cell r="B50" t="str">
            <v/>
          </cell>
        </row>
        <row r="51">
          <cell r="B51" t="str">
            <v/>
          </cell>
        </row>
        <row r="52">
          <cell r="B52" t="str">
            <v/>
          </cell>
        </row>
        <row r="53">
          <cell r="B53" t="str">
            <v/>
          </cell>
        </row>
        <row r="54">
          <cell r="B54" t="str">
            <v/>
          </cell>
        </row>
        <row r="55">
          <cell r="B55" t="str">
            <v/>
          </cell>
        </row>
        <row r="56">
          <cell r="B56" t="str">
            <v/>
          </cell>
        </row>
        <row r="57">
          <cell r="B57" t="str">
            <v/>
          </cell>
        </row>
        <row r="58">
          <cell r="B58" t="str">
            <v/>
          </cell>
        </row>
        <row r="59">
          <cell r="B59" t="str">
            <v/>
          </cell>
        </row>
        <row r="60">
          <cell r="B60" t="str">
            <v/>
          </cell>
        </row>
        <row r="61">
          <cell r="B61" t="str">
            <v/>
          </cell>
        </row>
        <row r="62">
          <cell r="B62" t="str">
            <v/>
          </cell>
        </row>
        <row r="63">
          <cell r="B63" t="str">
            <v/>
          </cell>
        </row>
        <row r="64">
          <cell r="B64" t="str">
            <v/>
          </cell>
        </row>
        <row r="65">
          <cell r="B65" t="str">
            <v/>
          </cell>
        </row>
        <row r="66">
          <cell r="B66" t="str">
            <v/>
          </cell>
        </row>
        <row r="67">
          <cell r="B67" t="str">
            <v/>
          </cell>
        </row>
        <row r="68">
          <cell r="B68" t="str">
            <v/>
          </cell>
        </row>
        <row r="69">
          <cell r="B69" t="str">
            <v/>
          </cell>
        </row>
        <row r="70">
          <cell r="B70" t="str">
            <v/>
          </cell>
        </row>
        <row r="71">
          <cell r="B71" t="str">
            <v/>
          </cell>
        </row>
        <row r="72">
          <cell r="B72" t="str">
            <v/>
          </cell>
        </row>
        <row r="73">
          <cell r="B73" t="str">
            <v/>
          </cell>
        </row>
        <row r="74">
          <cell r="B74" t="str">
            <v/>
          </cell>
        </row>
        <row r="75">
          <cell r="B75" t="str">
            <v/>
          </cell>
        </row>
        <row r="76">
          <cell r="B76" t="str">
            <v/>
          </cell>
        </row>
        <row r="77">
          <cell r="B77" t="str">
            <v/>
          </cell>
        </row>
        <row r="78">
          <cell r="B78" t="str">
            <v/>
          </cell>
        </row>
        <row r="79">
          <cell r="B79" t="str">
            <v/>
          </cell>
        </row>
        <row r="80">
          <cell r="B80" t="str">
            <v/>
          </cell>
        </row>
        <row r="81">
          <cell r="B81" t="str">
            <v/>
          </cell>
        </row>
        <row r="82">
          <cell r="B82" t="str">
            <v/>
          </cell>
        </row>
        <row r="83">
          <cell r="B83" t="str">
            <v/>
          </cell>
        </row>
        <row r="84">
          <cell r="B84" t="str">
            <v/>
          </cell>
        </row>
        <row r="85">
          <cell r="B85" t="str">
            <v/>
          </cell>
        </row>
        <row r="86">
          <cell r="B86" t="str">
            <v/>
          </cell>
        </row>
        <row r="87">
          <cell r="B87" t="str">
            <v/>
          </cell>
        </row>
        <row r="88">
          <cell r="B88" t="str">
            <v/>
          </cell>
        </row>
        <row r="89">
          <cell r="B89" t="str">
            <v/>
          </cell>
        </row>
        <row r="90">
          <cell r="B90" t="str">
            <v/>
          </cell>
        </row>
        <row r="91">
          <cell r="B91" t="str">
            <v/>
          </cell>
        </row>
        <row r="92">
          <cell r="B92" t="str">
            <v/>
          </cell>
        </row>
        <row r="93">
          <cell r="B93" t="str">
            <v/>
          </cell>
        </row>
        <row r="94">
          <cell r="B94" t="str">
            <v/>
          </cell>
        </row>
        <row r="95">
          <cell r="B95" t="str">
            <v/>
          </cell>
        </row>
        <row r="96">
          <cell r="B96" t="str">
            <v/>
          </cell>
        </row>
        <row r="97">
          <cell r="B97" t="str">
            <v/>
          </cell>
        </row>
        <row r="98">
          <cell r="B98" t="str">
            <v/>
          </cell>
        </row>
        <row r="99">
          <cell r="B99" t="str">
            <v/>
          </cell>
        </row>
        <row r="100">
          <cell r="B100" t="str">
            <v/>
          </cell>
        </row>
        <row r="101">
          <cell r="B101" t="str">
            <v/>
          </cell>
        </row>
        <row r="102">
          <cell r="B102" t="str">
            <v/>
          </cell>
        </row>
        <row r="103">
          <cell r="B103" t="str">
            <v/>
          </cell>
        </row>
        <row r="104">
          <cell r="B104" t="str">
            <v/>
          </cell>
        </row>
        <row r="105">
          <cell r="B105" t="str">
            <v/>
          </cell>
        </row>
        <row r="106">
          <cell r="B106" t="str">
            <v/>
          </cell>
        </row>
        <row r="107">
          <cell r="B107" t="str">
            <v/>
          </cell>
        </row>
        <row r="108">
          <cell r="B108" t="str">
            <v/>
          </cell>
        </row>
        <row r="109">
          <cell r="B109" t="str">
            <v/>
          </cell>
        </row>
        <row r="110">
          <cell r="B110" t="str">
            <v/>
          </cell>
        </row>
        <row r="111">
          <cell r="B111" t="str">
            <v/>
          </cell>
        </row>
        <row r="112">
          <cell r="B112" t="str">
            <v/>
          </cell>
        </row>
        <row r="113">
          <cell r="B113" t="str">
            <v/>
          </cell>
        </row>
        <row r="114">
          <cell r="B114" t="str">
            <v/>
          </cell>
        </row>
        <row r="115">
          <cell r="B115" t="str">
            <v/>
          </cell>
        </row>
        <row r="116">
          <cell r="B116" t="str">
            <v/>
          </cell>
        </row>
        <row r="117">
          <cell r="B117" t="str">
            <v/>
          </cell>
        </row>
        <row r="118">
          <cell r="B118" t="str">
            <v/>
          </cell>
        </row>
        <row r="119">
          <cell r="B119" t="str">
            <v/>
          </cell>
        </row>
        <row r="120">
          <cell r="B120" t="str">
            <v/>
          </cell>
        </row>
        <row r="121">
          <cell r="B121" t="str">
            <v/>
          </cell>
        </row>
        <row r="122">
          <cell r="B122" t="str">
            <v/>
          </cell>
        </row>
        <row r="123">
          <cell r="B123" t="str">
            <v/>
          </cell>
        </row>
        <row r="124">
          <cell r="B124" t="str">
            <v/>
          </cell>
        </row>
        <row r="125">
          <cell r="B125" t="str">
            <v/>
          </cell>
        </row>
        <row r="126">
          <cell r="B126" t="str">
            <v/>
          </cell>
        </row>
        <row r="127">
          <cell r="B127" t="str">
            <v/>
          </cell>
        </row>
        <row r="128">
          <cell r="B128" t="str">
            <v/>
          </cell>
        </row>
        <row r="129">
          <cell r="B129" t="str">
            <v/>
          </cell>
        </row>
        <row r="130">
          <cell r="B130" t="str">
            <v/>
          </cell>
        </row>
        <row r="131">
          <cell r="B131" t="str">
            <v/>
          </cell>
        </row>
        <row r="132">
          <cell r="B132" t="str">
            <v/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Data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2" name="Tableau2" displayName="Tableau2" ref="A1:N100" totalsRowShown="0" headerRowDxfId="2067" dataDxfId="2065" headerRowBorderDxfId="2066" tableBorderDxfId="2064">
  <autoFilter ref="A1:N100"/>
  <tableColumns count="14">
    <tableColumn id="1" name="Nom" dataDxfId="2063"/>
    <tableColumn id="2" name="Prénom" dataDxfId="2062"/>
    <tableColumn id="3" name="Nom Prénom" dataDxfId="2061">
      <calculatedColumnFormula>CONCATENATE(A2,"  ",B2)</calculatedColumnFormula>
    </tableColumn>
    <tableColumn id="4" name="Colonne1" dataDxfId="2060">
      <calculatedColumnFormula>CONCATENATE(C2,"  ",K2)</calculatedColumnFormula>
    </tableColumn>
    <tableColumn id="5" name="date" dataDxfId="2059"/>
    <tableColumn id="6" name="date2" dataDxfId="2058">
      <calculatedColumnFormula>IF(E2&lt;1/1/1900,"",E2)</calculatedColumnFormula>
    </tableColumn>
    <tableColumn id="7" name="date3" dataDxfId="2057">
      <calculatedColumnFormula>IF(E2&lt;1/1/2000,"",DATE(YEAR(TODAY()),MONTH(E2),DAY(F2)))</calculatedColumnFormula>
    </tableColumn>
    <tableColumn id="8" name="comentaire" dataDxfId="2056"/>
    <tableColumn id="9" name="âge" dataDxfId="2055">
      <calculatedColumnFormula>IF(E2&gt;$AB$1,"",IF(B2="","",IF(H2&lt;&gt;"naissance",IF(F2&lt;1/1/19000," ",DATEDIF(F2,TODAY(),"y")),"")))</calculatedColumnFormula>
    </tableColumn>
    <tableColumn id="10" name="âge4" dataDxfId="2054">
      <calculatedColumnFormula>IF(H2="naissance",IF(F2&lt;1/1/19000," ",DATEDIF(F2,TODAY(),"y")),"")</calculatedColumnFormula>
    </tableColumn>
    <tableColumn id="11" name="âge5" dataDxfId="2053">
      <calculatedColumnFormula>CONCATENATE(I2,"  ",J2)</calculatedColumnFormula>
    </tableColumn>
    <tableColumn id="12" name="zodiac" dataDxfId="2052">
      <calculatedColumnFormula>IF(H2="naissance",IF(E2="","",INDEX({"Capricorne";"Verseau";"Poisson";"Bélier";"Taureau";"Gémeaux";"Cancer";"Lion";"Vierge";"Balance";"Scorpion";"Sagittaire";"Capricorne";""},MATCH(DATE(,MONTH(E2),DAY(E2)),{0;20;51;81;111;142;173;205;237;267;297;327;357},1))),"")</calculatedColumnFormula>
    </tableColumn>
    <tableColumn id="13" name="zodiac6" dataDxfId="2051">
      <calculatedColumnFormula>IF(H2="naissance",IF(F2="","",INDEX({"g";"h";"i";"^";"_";"z";"a";"b";"c";"d";"e";"f";"g";""},MATCH(DATE(,MONTH(F2),DAY(F2)),{0;20;51;81;111;142;173;205;237;267;297;327;357},1))),"")</calculatedColumnFormula>
    </tableColumn>
    <tableColumn id="14" name="signe chinois" dataDxfId="2050">
      <calculatedColumnFormula>IF(H2="naissance",OFFSET($U$3,MATCH(E2,$S$4:$S$123,1)+1,),"")</calculatedColumnFormula>
    </tableColumn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I190" totalsRowShown="0" headerRowBorderDxfId="2049" tableBorderDxfId="2048" totalsRowBorderDxfId="2047">
  <autoFilter ref="A2:I190"/>
  <tableColumns count="9">
    <tableColumn id="1" name="date debut" dataDxfId="2046"/>
    <tableColumn id="3" name="date fin" dataDxfId="2045"/>
    <tableColumn id="5" name="Colonne1" dataDxfId="2038" dataCellStyle="Normal 2">
      <calculatedColumnFormula>IF(Tableau1[[#This Row],[date fin]]&lt;&gt;0,Tableau1[[#This Row],[date fin]],IF(Tableau1[[#This Row],[type]]="travail",TODAY(),""))</calculatedColumnFormula>
    </tableColumn>
    <tableColumn id="2" name="évènement" dataDxfId="2044"/>
    <tableColumn id="6" name="type" dataDxfId="2043"/>
    <tableColumn id="4" name="Jours1" dataDxfId="2042">
      <calculatedColumnFormula>IF(Tableau1[[#This Row],[date debut]]=0,"",IF(Tableau1[[#This Row],[date fin]]=0,"",Tableau1[[#This Row],[Colonne1]]-Tableau1[[#This Row],[date debut]]+1))</calculatedColumnFormula>
    </tableColumn>
    <tableColumn id="8" name="jours2" dataDxfId="2041">
      <calculatedColumnFormula>IF(Tableau1[[#This Row],[date debut]]=0,"",IF(Tableau1[[#This Row],[date fin]]=0,IF(Tableau1[[#This Row],[type]]="travail",Tableau1[[#This Row],[Colonne1]]-Tableau1[[#This Row],[date debut]]+1,""),""))</calculatedColumnFormula>
    </tableColumn>
    <tableColumn id="7" name="Jours" dataDxfId="2040">
      <calculatedColumnFormula>CONCATENATE(Tableau1[[#This Row],[Jours1]],"",Tableau1[[#This Row],[jours2]])</calculatedColumnFormula>
    </tableColumn>
    <tableColumn id="9" name="ouvrés" dataDxfId="2039">
      <calculatedColumnFormula>IF(C3="","",NETWORKDAYS(A3,C3))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education.gouv.fr/pid25058/le-calendrier-scolaire.html?annee=108&amp;zone=0&amp;search_input=%A0D%E9partement%2C+Code+postal+ou+ville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AE58"/>
  <sheetViews>
    <sheetView zoomScaleNormal="100" workbookViewId="0">
      <pane xSplit="2" ySplit="4" topLeftCell="C21" activePane="bottomRight" state="frozen"/>
      <selection pane="topRight" activeCell="C1" sqref="C1"/>
      <selection pane="bottomLeft" activeCell="A5" sqref="A5"/>
      <selection pane="bottomRight" activeCell="E5" sqref="E5:E38"/>
    </sheetView>
  </sheetViews>
  <sheetFormatPr baseColWidth="10" defaultRowHeight="12.75" x14ac:dyDescent="0.2"/>
  <cols>
    <col min="1" max="1" width="0.7109375" style="2" customWidth="1"/>
    <col min="2" max="2" width="10.28515625" style="2" customWidth="1"/>
    <col min="3" max="3" width="10" style="2" customWidth="1"/>
    <col min="4" max="4" width="0.7109375" style="2" customWidth="1"/>
    <col min="5" max="5" width="26.28515625" style="2" customWidth="1"/>
    <col min="6" max="6" width="0.7109375" style="2" customWidth="1"/>
    <col min="7" max="7" width="26.28515625" style="2" customWidth="1"/>
    <col min="8" max="8" width="0.7109375" style="2" customWidth="1"/>
    <col min="9" max="9" width="11.42578125" style="2" customWidth="1"/>
    <col min="10" max="11" width="11.42578125" style="2"/>
    <col min="12" max="12" width="4.140625" style="2" customWidth="1"/>
    <col min="13" max="14" width="11.42578125" style="2"/>
    <col min="15" max="15" width="2.5703125" style="2" customWidth="1"/>
    <col min="16" max="16" width="24.42578125" style="2" bestFit="1" customWidth="1"/>
    <col min="17" max="17" width="3" style="2" customWidth="1"/>
    <col min="18" max="18" width="26" style="2" bestFit="1" customWidth="1"/>
    <col min="19" max="16384" width="11.42578125" style="2"/>
  </cols>
  <sheetData>
    <row r="1" spans="1:31" ht="9.9499999999999993" customHeight="1" thickBot="1" x14ac:dyDescent="0.25">
      <c r="A1" s="48"/>
      <c r="B1" s="49"/>
      <c r="C1" s="49"/>
      <c r="D1" s="49"/>
      <c r="E1" s="49"/>
      <c r="F1" s="49"/>
      <c r="G1" s="49"/>
      <c r="H1" s="50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ht="15.75" customHeight="1" x14ac:dyDescent="0.25">
      <c r="A2" s="4"/>
      <c r="B2" s="320" t="s">
        <v>1</v>
      </c>
      <c r="C2" s="323"/>
      <c r="D2" s="5"/>
      <c r="E2" s="6" t="s">
        <v>2</v>
      </c>
      <c r="F2" s="5"/>
      <c r="G2" s="6" t="s">
        <v>3</v>
      </c>
      <c r="H2" s="7"/>
      <c r="K2" s="26" t="s">
        <v>6</v>
      </c>
      <c r="L2" s="3"/>
      <c r="M2" s="3"/>
      <c r="N2" s="3"/>
      <c r="O2" s="3"/>
      <c r="P2" s="3"/>
      <c r="Q2" s="3"/>
      <c r="R2" s="3"/>
      <c r="S2" s="8"/>
      <c r="T2" s="8"/>
      <c r="U2" s="8"/>
      <c r="V2" s="8"/>
      <c r="W2" s="8"/>
      <c r="X2" s="8"/>
      <c r="Y2" s="3"/>
      <c r="Z2" s="9"/>
      <c r="AA2" s="10"/>
      <c r="AB2" s="10"/>
      <c r="AC2" s="10"/>
    </row>
    <row r="3" spans="1:31" ht="15.75" customHeight="1" x14ac:dyDescent="0.25">
      <c r="A3" s="11"/>
      <c r="B3" s="321"/>
      <c r="C3" s="324"/>
      <c r="D3" s="12"/>
      <c r="E3" s="51" t="s">
        <v>7</v>
      </c>
      <c r="F3" s="12"/>
      <c r="G3" s="51" t="s">
        <v>7</v>
      </c>
      <c r="H3" s="14"/>
      <c r="K3" s="26"/>
      <c r="L3" s="3"/>
      <c r="M3" s="3"/>
      <c r="N3" s="3"/>
      <c r="O3" s="3"/>
      <c r="P3" s="3"/>
      <c r="Q3" s="3"/>
      <c r="R3" s="3"/>
      <c r="S3" s="8"/>
      <c r="T3" s="8"/>
      <c r="U3" s="8"/>
      <c r="V3" s="8"/>
      <c r="W3" s="8"/>
      <c r="X3" s="8"/>
      <c r="Y3" s="3"/>
      <c r="Z3" s="9"/>
      <c r="AA3" s="10"/>
      <c r="AB3" s="10"/>
      <c r="AC3" s="10"/>
    </row>
    <row r="4" spans="1:31" ht="26.25" customHeight="1" x14ac:dyDescent="0.2">
      <c r="A4" s="11"/>
      <c r="B4" s="322"/>
      <c r="C4" s="325"/>
      <c r="D4" s="12"/>
      <c r="E4" s="13" t="s">
        <v>9</v>
      </c>
      <c r="F4" s="12"/>
      <c r="G4" s="13" t="s">
        <v>10</v>
      </c>
      <c r="H4" s="14"/>
      <c r="K4" s="28"/>
    </row>
    <row r="5" spans="1:31" ht="26.25" customHeight="1" x14ac:dyDescent="0.2">
      <c r="A5" s="11"/>
      <c r="B5" s="15" t="s">
        <v>12</v>
      </c>
      <c r="C5" s="16" t="s">
        <v>13</v>
      </c>
      <c r="D5" s="12"/>
      <c r="E5" s="17">
        <v>41265</v>
      </c>
      <c r="F5" s="12"/>
      <c r="G5" s="17">
        <v>41280</v>
      </c>
      <c r="H5" s="14"/>
      <c r="I5" s="2" t="s">
        <v>0</v>
      </c>
      <c r="J5" s="22" t="s">
        <v>5</v>
      </c>
    </row>
    <row r="6" spans="1:31" ht="15" customHeight="1" x14ac:dyDescent="0.2">
      <c r="A6" s="11"/>
      <c r="B6" s="18"/>
      <c r="C6" s="16" t="s">
        <v>15</v>
      </c>
      <c r="D6" s="12"/>
      <c r="E6" s="17">
        <v>41328</v>
      </c>
      <c r="F6" s="12"/>
      <c r="G6" s="17">
        <v>41343</v>
      </c>
      <c r="H6" s="14"/>
      <c r="I6" s="2" t="s">
        <v>4</v>
      </c>
      <c r="J6" s="27">
        <f>DATE(calendriers!An-1,1,1)</f>
        <v>42370</v>
      </c>
    </row>
    <row r="7" spans="1:31" ht="15" customHeight="1" x14ac:dyDescent="0.2">
      <c r="A7" s="11"/>
      <c r="B7" s="18"/>
      <c r="C7" s="16" t="s">
        <v>17</v>
      </c>
      <c r="D7" s="12"/>
      <c r="E7" s="19">
        <v>41384</v>
      </c>
      <c r="F7" s="12"/>
      <c r="G7" s="19">
        <v>41399</v>
      </c>
      <c r="H7" s="14"/>
      <c r="I7" s="2" t="s">
        <v>8</v>
      </c>
      <c r="J7" s="27">
        <f>ROUND(DATE(calendriers!An-1,4,MOD(234-11*MOD(calendriers!An-1,19),30))/7,0)*7-6+1</f>
        <v>42457</v>
      </c>
    </row>
    <row r="8" spans="1:31" ht="15" customHeight="1" x14ac:dyDescent="0.2">
      <c r="A8" s="11"/>
      <c r="B8" s="18"/>
      <c r="C8" s="16" t="s">
        <v>19</v>
      </c>
      <c r="D8" s="12"/>
      <c r="E8" s="19">
        <v>41461</v>
      </c>
      <c r="F8" s="12"/>
      <c r="G8" s="19">
        <v>41518</v>
      </c>
      <c r="H8" s="14"/>
      <c r="I8" s="2" t="s">
        <v>11</v>
      </c>
      <c r="J8" s="27">
        <f>DATE(calendriers!An-1,5,1)</f>
        <v>42491</v>
      </c>
    </row>
    <row r="9" spans="1:31" ht="15" customHeight="1" x14ac:dyDescent="0.2">
      <c r="A9" s="11"/>
      <c r="B9" s="18"/>
      <c r="C9" s="16" t="s">
        <v>21</v>
      </c>
      <c r="D9" s="12"/>
      <c r="E9" s="19">
        <v>41566</v>
      </c>
      <c r="F9" s="12"/>
      <c r="G9" s="19">
        <v>41581</v>
      </c>
      <c r="H9" s="14"/>
      <c r="I9" s="2" t="s">
        <v>14</v>
      </c>
      <c r="J9" s="27">
        <f>DATE(calendriers!An-1,5,8)</f>
        <v>42498</v>
      </c>
    </row>
    <row r="10" spans="1:31" ht="15" customHeight="1" x14ac:dyDescent="0.2">
      <c r="A10" s="11"/>
      <c r="B10" s="20"/>
      <c r="C10" s="16" t="s">
        <v>13</v>
      </c>
      <c r="D10" s="12"/>
      <c r="E10" s="21">
        <v>41629</v>
      </c>
      <c r="F10" s="12"/>
      <c r="G10" s="21">
        <v>41644</v>
      </c>
      <c r="H10" s="14"/>
      <c r="I10" s="2" t="s">
        <v>16</v>
      </c>
      <c r="J10" s="27">
        <f>J7+38</f>
        <v>42495</v>
      </c>
    </row>
    <row r="11" spans="1:31" ht="15" customHeight="1" x14ac:dyDescent="0.2">
      <c r="A11" s="11"/>
      <c r="B11" s="12"/>
      <c r="C11" s="12"/>
      <c r="D11" s="12"/>
      <c r="E11" s="12"/>
      <c r="F11" s="12"/>
      <c r="G11" s="12"/>
      <c r="H11" s="14"/>
      <c r="I11" s="2" t="s">
        <v>18</v>
      </c>
      <c r="J11" s="27">
        <f>J7+49</f>
        <v>42506</v>
      </c>
    </row>
    <row r="12" spans="1:31" ht="15" customHeight="1" x14ac:dyDescent="0.2">
      <c r="A12" s="11"/>
      <c r="B12" s="15" t="str">
        <f>IF(E12="","",YEAR(E12)&amp;"/"&amp;YEAR(G16))</f>
        <v>2014/2015</v>
      </c>
      <c r="C12" s="16" t="s">
        <v>15</v>
      </c>
      <c r="D12" s="12"/>
      <c r="E12" s="17">
        <v>41699</v>
      </c>
      <c r="F12" s="12"/>
      <c r="G12" s="17">
        <v>41714</v>
      </c>
      <c r="H12" s="14"/>
      <c r="I12" s="2" t="s">
        <v>20</v>
      </c>
      <c r="J12" s="27">
        <f>DATE(calendriers!An-1,7,14)</f>
        <v>42565</v>
      </c>
    </row>
    <row r="13" spans="1:31" ht="15" customHeight="1" x14ac:dyDescent="0.2">
      <c r="A13" s="11"/>
      <c r="B13" s="18"/>
      <c r="C13" s="16" t="s">
        <v>17</v>
      </c>
      <c r="D13" s="12"/>
      <c r="E13" s="19">
        <v>41755</v>
      </c>
      <c r="F13" s="12"/>
      <c r="G13" s="19">
        <v>41770</v>
      </c>
      <c r="H13" s="14"/>
      <c r="I13" s="2" t="s">
        <v>22</v>
      </c>
      <c r="J13" s="27">
        <f>DATE(calendriers!An-1,8,15)</f>
        <v>42597</v>
      </c>
    </row>
    <row r="14" spans="1:31" ht="15" customHeight="1" x14ac:dyDescent="0.2">
      <c r="A14" s="11"/>
      <c r="B14" s="18"/>
      <c r="C14" s="16" t="s">
        <v>19</v>
      </c>
      <c r="D14" s="12"/>
      <c r="E14" s="19">
        <v>41825</v>
      </c>
      <c r="F14" s="12"/>
      <c r="G14" s="19">
        <v>41882</v>
      </c>
      <c r="H14" s="14"/>
      <c r="I14" s="2" t="s">
        <v>23</v>
      </c>
      <c r="J14" s="27">
        <f>DATE(calendriers!An-1,11,1)</f>
        <v>42675</v>
      </c>
    </row>
    <row r="15" spans="1:31" ht="15" customHeight="1" x14ac:dyDescent="0.2">
      <c r="A15" s="11"/>
      <c r="B15" s="18"/>
      <c r="C15" s="16" t="s">
        <v>21</v>
      </c>
      <c r="D15" s="12"/>
      <c r="E15" s="19">
        <v>41930</v>
      </c>
      <c r="F15" s="12"/>
      <c r="G15" s="19">
        <v>41945</v>
      </c>
      <c r="H15" s="14"/>
      <c r="I15" s="2" t="s">
        <v>24</v>
      </c>
      <c r="J15" s="27">
        <f>DATE(calendriers!An-1,11,11)</f>
        <v>42685</v>
      </c>
    </row>
    <row r="16" spans="1:31" ht="15" customHeight="1" x14ac:dyDescent="0.2">
      <c r="A16" s="11"/>
      <c r="B16" s="20"/>
      <c r="C16" s="16" t="s">
        <v>13</v>
      </c>
      <c r="D16" s="12"/>
      <c r="E16" s="21">
        <v>41993</v>
      </c>
      <c r="F16" s="12"/>
      <c r="G16" s="21">
        <v>42008</v>
      </c>
      <c r="H16" s="14"/>
      <c r="I16" s="2" t="s">
        <v>25</v>
      </c>
      <c r="J16" s="27">
        <f>DATE(calendriers!An-1,12,25)</f>
        <v>42729</v>
      </c>
    </row>
    <row r="17" spans="1:10" ht="15" customHeight="1" x14ac:dyDescent="0.2">
      <c r="A17" s="11"/>
      <c r="B17" s="12"/>
      <c r="C17" s="12"/>
      <c r="D17" s="12"/>
      <c r="E17" s="12"/>
      <c r="F17" s="12"/>
      <c r="G17" s="12"/>
      <c r="H17" s="14"/>
      <c r="J17" s="27">
        <f>DATE(calendriers!An,1,1)</f>
        <v>42736</v>
      </c>
    </row>
    <row r="18" spans="1:10" ht="15" customHeight="1" x14ac:dyDescent="0.2">
      <c r="A18" s="11"/>
      <c r="B18" s="15" t="str">
        <f>IF(E18="","",YEAR(E18)&amp;"/"&amp;YEAR(G22))</f>
        <v>2015/2016</v>
      </c>
      <c r="C18" s="16" t="s">
        <v>15</v>
      </c>
      <c r="D18" s="12"/>
      <c r="E18" s="17">
        <v>42042</v>
      </c>
      <c r="F18" s="12"/>
      <c r="G18" s="17">
        <v>42057</v>
      </c>
      <c r="H18" s="14"/>
      <c r="J18" s="27">
        <f>ROUND(DATE(calendriers!An,4,MOD(234-11*MOD(calendriers!An,19),30))/7,0)*7-6+1</f>
        <v>42842</v>
      </c>
    </row>
    <row r="19" spans="1:10" ht="15" customHeight="1" x14ac:dyDescent="0.2">
      <c r="A19" s="11"/>
      <c r="B19" s="18"/>
      <c r="C19" s="16" t="s">
        <v>17</v>
      </c>
      <c r="D19" s="12"/>
      <c r="E19" s="19">
        <v>42105</v>
      </c>
      <c r="F19" s="12"/>
      <c r="G19" s="19">
        <v>42120</v>
      </c>
      <c r="H19" s="14"/>
      <c r="J19" s="27">
        <f>DATE(calendriers!An,5,1)</f>
        <v>42856</v>
      </c>
    </row>
    <row r="20" spans="1:10" ht="15" customHeight="1" x14ac:dyDescent="0.2">
      <c r="A20" s="11"/>
      <c r="B20" s="18"/>
      <c r="C20" s="16" t="s">
        <v>19</v>
      </c>
      <c r="D20" s="12"/>
      <c r="E20" s="19">
        <v>42189</v>
      </c>
      <c r="F20" s="12"/>
      <c r="G20" s="19">
        <v>42246</v>
      </c>
      <c r="H20" s="14"/>
      <c r="J20" s="27">
        <f>DATE(calendriers!An,5,8)</f>
        <v>42863</v>
      </c>
    </row>
    <row r="21" spans="1:10" ht="15" x14ac:dyDescent="0.2">
      <c r="A21" s="11"/>
      <c r="B21" s="18"/>
      <c r="C21" s="16" t="s">
        <v>21</v>
      </c>
      <c r="D21" s="12"/>
      <c r="E21" s="19">
        <v>42294</v>
      </c>
      <c r="F21" s="12"/>
      <c r="G21" s="19">
        <v>42309</v>
      </c>
      <c r="H21" s="14"/>
      <c r="J21" s="27">
        <f>J18+38</f>
        <v>42880</v>
      </c>
    </row>
    <row r="22" spans="1:10" ht="15" x14ac:dyDescent="0.2">
      <c r="A22" s="11"/>
      <c r="B22" s="20"/>
      <c r="C22" s="16" t="s">
        <v>13</v>
      </c>
      <c r="D22" s="12"/>
      <c r="E22" s="21">
        <v>42357</v>
      </c>
      <c r="F22" s="12"/>
      <c r="G22" s="21">
        <v>42372</v>
      </c>
      <c r="H22" s="14"/>
      <c r="J22" s="27">
        <f>J18+49</f>
        <v>42891</v>
      </c>
    </row>
    <row r="23" spans="1:10" x14ac:dyDescent="0.2">
      <c r="A23" s="11"/>
      <c r="B23" s="12"/>
      <c r="C23" s="12"/>
      <c r="D23" s="12"/>
      <c r="E23" s="12"/>
      <c r="F23" s="12"/>
      <c r="G23" s="12"/>
      <c r="H23" s="14"/>
      <c r="J23" s="27">
        <f>DATE(calendriers!An,7,14)</f>
        <v>42930</v>
      </c>
    </row>
    <row r="24" spans="1:10" ht="15" x14ac:dyDescent="0.2">
      <c r="A24" s="11"/>
      <c r="B24" s="15" t="str">
        <f>IF(E24="","",YEAR(E24)&amp;"/"&amp;YEAR(G28))</f>
        <v>2016/2017</v>
      </c>
      <c r="C24" s="16" t="s">
        <v>15</v>
      </c>
      <c r="D24" s="12"/>
      <c r="E24" s="17">
        <v>42418</v>
      </c>
      <c r="F24" s="12"/>
      <c r="G24" s="17">
        <v>42435</v>
      </c>
      <c r="H24" s="14"/>
      <c r="J24" s="27">
        <f>DATE(calendriers!An,8,15)</f>
        <v>42962</v>
      </c>
    </row>
    <row r="25" spans="1:10" ht="15" x14ac:dyDescent="0.2">
      <c r="A25" s="11"/>
      <c r="B25" s="18"/>
      <c r="C25" s="16" t="s">
        <v>17</v>
      </c>
      <c r="D25" s="12"/>
      <c r="E25" s="19">
        <v>42475</v>
      </c>
      <c r="F25" s="12"/>
      <c r="G25" s="19">
        <v>42492</v>
      </c>
      <c r="H25" s="14"/>
      <c r="J25" s="27">
        <f>DATE(calendriers!An,11,1)</f>
        <v>43040</v>
      </c>
    </row>
    <row r="26" spans="1:10" ht="15" x14ac:dyDescent="0.2">
      <c r="A26" s="11"/>
      <c r="B26" s="18"/>
      <c r="C26" s="16" t="s">
        <v>19</v>
      </c>
      <c r="D26" s="12"/>
      <c r="E26" s="19">
        <v>42559</v>
      </c>
      <c r="F26" s="12"/>
      <c r="G26" s="19">
        <v>42614</v>
      </c>
      <c r="H26" s="14"/>
      <c r="J26" s="27">
        <f>DATE(calendriers!An,11,11)</f>
        <v>43050</v>
      </c>
    </row>
    <row r="27" spans="1:10" ht="15" x14ac:dyDescent="0.2">
      <c r="A27" s="11"/>
      <c r="B27" s="18"/>
      <c r="C27" s="16" t="s">
        <v>21</v>
      </c>
      <c r="D27" s="12"/>
      <c r="E27" s="19">
        <v>42662</v>
      </c>
      <c r="F27" s="12"/>
      <c r="G27" s="19">
        <v>42677</v>
      </c>
      <c r="H27" s="14"/>
      <c r="J27" s="27">
        <f>DATE(calendriers!An,12,25)</f>
        <v>43094</v>
      </c>
    </row>
    <row r="28" spans="1:10" ht="15" x14ac:dyDescent="0.2">
      <c r="A28" s="11"/>
      <c r="B28" s="20"/>
      <c r="C28" s="16" t="s">
        <v>13</v>
      </c>
      <c r="D28" s="12"/>
      <c r="E28" s="21">
        <v>42721</v>
      </c>
      <c r="F28" s="12"/>
      <c r="G28" s="21">
        <v>42738</v>
      </c>
      <c r="H28" s="14"/>
      <c r="J28" s="38">
        <f>DATE(calendriers!An+1,1,1)</f>
        <v>43101</v>
      </c>
    </row>
    <row r="29" spans="1:10" x14ac:dyDescent="0.2">
      <c r="A29" s="11"/>
      <c r="B29" s="12"/>
      <c r="C29" s="12"/>
      <c r="D29" s="12"/>
      <c r="E29" s="12"/>
      <c r="F29" s="12"/>
      <c r="G29" s="12"/>
      <c r="H29" s="14"/>
      <c r="J29" s="27">
        <f>ROUND(DATE(calendriers!An+1,4,MOD(234-11*MOD(calendriers!An+1,19),30))/7,0)*7-6+1</f>
        <v>43192</v>
      </c>
    </row>
    <row r="30" spans="1:10" ht="15" x14ac:dyDescent="0.2">
      <c r="A30" s="11"/>
      <c r="B30" s="15" t="str">
        <f>IF(E30="","",YEAR(E30)&amp;"/"&amp;YEAR(G34))</f>
        <v>2017/2018</v>
      </c>
      <c r="C30" s="16" t="s">
        <v>15</v>
      </c>
      <c r="D30" s="12"/>
      <c r="E30" s="17">
        <v>42776</v>
      </c>
      <c r="F30" s="12"/>
      <c r="G30" s="17">
        <v>42792</v>
      </c>
      <c r="H30" s="14"/>
      <c r="J30" s="27">
        <f>DATE(calendriers!An+1,5,1)</f>
        <v>43221</v>
      </c>
    </row>
    <row r="31" spans="1:10" ht="15" x14ac:dyDescent="0.2">
      <c r="A31" s="11"/>
      <c r="B31" s="18"/>
      <c r="C31" s="16" t="s">
        <v>17</v>
      </c>
      <c r="D31" s="12"/>
      <c r="E31" s="19">
        <v>42832</v>
      </c>
      <c r="F31" s="12"/>
      <c r="G31" s="19">
        <v>42848</v>
      </c>
      <c r="H31" s="14"/>
      <c r="J31" s="27">
        <f>DATE(calendriers!An+1,5,8)</f>
        <v>43228</v>
      </c>
    </row>
    <row r="32" spans="1:10" ht="15" x14ac:dyDescent="0.2">
      <c r="A32" s="11"/>
      <c r="B32" s="18"/>
      <c r="C32" s="16" t="s">
        <v>19</v>
      </c>
      <c r="D32" s="12"/>
      <c r="E32" s="19">
        <v>42923</v>
      </c>
      <c r="F32" s="12"/>
      <c r="G32" s="19">
        <v>42979</v>
      </c>
      <c r="H32" s="14"/>
      <c r="J32" s="27">
        <f>J29+38</f>
        <v>43230</v>
      </c>
    </row>
    <row r="33" spans="1:10" ht="15" x14ac:dyDescent="0.2">
      <c r="A33" s="11"/>
      <c r="B33" s="18"/>
      <c r="C33" s="16" t="s">
        <v>21</v>
      </c>
      <c r="D33" s="12"/>
      <c r="E33" s="19">
        <v>43029</v>
      </c>
      <c r="F33" s="12"/>
      <c r="G33" s="19">
        <v>43044</v>
      </c>
      <c r="H33" s="14"/>
      <c r="J33" s="27">
        <f>J29+49</f>
        <v>43241</v>
      </c>
    </row>
    <row r="34" spans="1:10" ht="15" x14ac:dyDescent="0.2">
      <c r="A34" s="11"/>
      <c r="B34" s="20"/>
      <c r="C34" s="16" t="s">
        <v>13</v>
      </c>
      <c r="D34" s="12"/>
      <c r="E34" s="21">
        <v>43092</v>
      </c>
      <c r="F34" s="12"/>
      <c r="G34" s="21">
        <v>43108</v>
      </c>
      <c r="H34" s="14"/>
      <c r="J34" s="27">
        <f>DATE(calendriers!An+1,7,14)</f>
        <v>43295</v>
      </c>
    </row>
    <row r="35" spans="1:10" x14ac:dyDescent="0.2">
      <c r="A35" s="11"/>
      <c r="B35" s="12"/>
      <c r="C35" s="12"/>
      <c r="D35" s="12"/>
      <c r="E35" s="12"/>
      <c r="F35" s="12"/>
      <c r="G35" s="12"/>
      <c r="H35" s="14"/>
      <c r="J35" s="27">
        <f>DATE(calendriers!An+1,8,15)</f>
        <v>43327</v>
      </c>
    </row>
    <row r="36" spans="1:10" ht="15" x14ac:dyDescent="0.2">
      <c r="A36" s="11"/>
      <c r="B36" s="15" t="str">
        <f>IF(E36="","",YEAR(E36)&amp;"/"&amp;YEAR(G40))</f>
        <v>2018/2013</v>
      </c>
      <c r="C36" s="16" t="s">
        <v>15</v>
      </c>
      <c r="D36" s="12"/>
      <c r="E36" s="17">
        <v>43141</v>
      </c>
      <c r="F36" s="12"/>
      <c r="G36" s="17">
        <v>43157</v>
      </c>
      <c r="H36" s="14"/>
      <c r="J36" s="27">
        <f>DATE(calendriers!An+1,11,1)</f>
        <v>43405</v>
      </c>
    </row>
    <row r="37" spans="1:10" ht="15" x14ac:dyDescent="0.2">
      <c r="A37" s="11"/>
      <c r="B37" s="18"/>
      <c r="C37" s="16" t="s">
        <v>17</v>
      </c>
      <c r="D37" s="12"/>
      <c r="E37" s="19">
        <v>43197</v>
      </c>
      <c r="F37" s="12"/>
      <c r="G37" s="19">
        <v>43213</v>
      </c>
      <c r="H37" s="14"/>
      <c r="J37" s="27">
        <f>DATE(calendriers!An+1,11,11)</f>
        <v>43415</v>
      </c>
    </row>
    <row r="38" spans="1:10" ht="15" x14ac:dyDescent="0.2">
      <c r="A38" s="11"/>
      <c r="B38" s="18"/>
      <c r="C38" s="16" t="s">
        <v>19</v>
      </c>
      <c r="D38" s="12"/>
      <c r="E38" s="19">
        <v>43288</v>
      </c>
      <c r="F38" s="12"/>
      <c r="G38" s="19">
        <v>43345</v>
      </c>
      <c r="H38" s="14"/>
      <c r="J38" s="27">
        <f>DATE(calendriers!An+1,12,25)</f>
        <v>43459</v>
      </c>
    </row>
    <row r="39" spans="1:10" ht="15" x14ac:dyDescent="0.2">
      <c r="A39" s="11"/>
      <c r="B39" s="18"/>
      <c r="C39" s="16" t="s">
        <v>21</v>
      </c>
      <c r="D39" s="12"/>
      <c r="E39" s="19"/>
      <c r="F39" s="12"/>
      <c r="G39" s="17">
        <v>41280</v>
      </c>
      <c r="H39" s="14"/>
      <c r="J39" s="27"/>
    </row>
    <row r="40" spans="1:10" ht="15" x14ac:dyDescent="0.2">
      <c r="A40" s="11"/>
      <c r="B40" s="20"/>
      <c r="C40" s="16" t="s">
        <v>13</v>
      </c>
      <c r="D40" s="12"/>
      <c r="E40" s="21"/>
      <c r="F40" s="12"/>
      <c r="G40" s="17">
        <v>41343</v>
      </c>
      <c r="H40" s="14"/>
      <c r="J40" s="27"/>
    </row>
    <row r="41" spans="1:10" ht="13.5" thickBot="1" x14ac:dyDescent="0.25">
      <c r="A41" s="23"/>
      <c r="B41" s="24"/>
      <c r="C41" s="24"/>
      <c r="D41" s="24"/>
      <c r="E41" s="24"/>
      <c r="F41" s="24"/>
      <c r="G41" s="24"/>
      <c r="H41" s="25"/>
      <c r="J41" s="27"/>
    </row>
    <row r="42" spans="1:10" x14ac:dyDescent="0.2">
      <c r="J42" s="27"/>
    </row>
    <row r="43" spans="1:10" x14ac:dyDescent="0.2">
      <c r="J43" s="27"/>
    </row>
    <row r="44" spans="1:10" x14ac:dyDescent="0.2">
      <c r="J44" s="27"/>
    </row>
    <row r="45" spans="1:10" x14ac:dyDescent="0.2">
      <c r="J45" s="27"/>
    </row>
    <row r="46" spans="1:10" x14ac:dyDescent="0.2">
      <c r="J46" s="27"/>
    </row>
    <row r="47" spans="1:10" x14ac:dyDescent="0.2">
      <c r="J47" s="38"/>
    </row>
    <row r="48" spans="1:10" x14ac:dyDescent="0.2">
      <c r="J48" s="27"/>
    </row>
    <row r="49" spans="10:10" x14ac:dyDescent="0.2">
      <c r="J49" s="27"/>
    </row>
    <row r="50" spans="10:10" x14ac:dyDescent="0.2">
      <c r="J50" s="27"/>
    </row>
    <row r="51" spans="10:10" x14ac:dyDescent="0.2">
      <c r="J51" s="27"/>
    </row>
    <row r="52" spans="10:10" x14ac:dyDescent="0.2">
      <c r="J52" s="27"/>
    </row>
    <row r="53" spans="10:10" x14ac:dyDescent="0.2">
      <c r="J53" s="27"/>
    </row>
    <row r="54" spans="10:10" x14ac:dyDescent="0.2">
      <c r="J54" s="27"/>
    </row>
    <row r="55" spans="10:10" x14ac:dyDescent="0.2">
      <c r="J55" s="27"/>
    </row>
    <row r="56" spans="10:10" x14ac:dyDescent="0.2">
      <c r="J56" s="27"/>
    </row>
    <row r="57" spans="10:10" x14ac:dyDescent="0.2">
      <c r="J57" s="27"/>
    </row>
    <row r="58" spans="10:10" x14ac:dyDescent="0.2">
      <c r="J58" s="38"/>
    </row>
  </sheetData>
  <mergeCells count="2">
    <mergeCell ref="B2:B4"/>
    <mergeCell ref="C2:C4"/>
  </mergeCells>
  <hyperlinks>
    <hyperlink ref="K2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F0"/>
    <pageSetUpPr fitToPage="1"/>
  </sheetPr>
  <dimension ref="A1:EW41"/>
  <sheetViews>
    <sheetView showGridLines="0" tabSelected="1" topLeftCell="AR2" zoomScaleNormal="100" workbookViewId="0">
      <selection activeCell="U6" sqref="U6"/>
    </sheetView>
  </sheetViews>
  <sheetFormatPr baseColWidth="10" defaultColWidth="0" defaultRowHeight="0" customHeight="1" zeroHeight="1" x14ac:dyDescent="0.25"/>
  <cols>
    <col min="1" max="1" width="1.7109375" style="34" customWidth="1"/>
    <col min="2" max="2" width="7" style="34" customWidth="1"/>
    <col min="3" max="3" width="1.28515625" style="34" customWidth="1"/>
    <col min="4" max="4" width="6.85546875" style="35" customWidth="1"/>
    <col min="5" max="5" width="2.140625" style="35" bestFit="1" customWidth="1"/>
    <col min="6" max="6" width="4.7109375" style="87" customWidth="1"/>
    <col min="7" max="8" width="12" style="120" customWidth="1"/>
    <col min="9" max="10" width="12" style="120" hidden="1" customWidth="1"/>
    <col min="11" max="11" width="12" style="120" customWidth="1"/>
    <col min="12" max="12" width="9.7109375" style="242" customWidth="1"/>
    <col min="13" max="13" width="1.28515625" style="34" customWidth="1"/>
    <col min="14" max="14" width="6.85546875" style="35" customWidth="1"/>
    <col min="15" max="15" width="2.140625" style="134" bestFit="1" customWidth="1"/>
    <col min="16" max="16" width="4.7109375" style="87" customWidth="1"/>
    <col min="17" max="18" width="12" style="120" customWidth="1"/>
    <col min="19" max="20" width="12" style="120" hidden="1" customWidth="1"/>
    <col min="21" max="21" width="12" style="120" customWidth="1"/>
    <col min="22" max="22" width="9.7109375" style="242" customWidth="1"/>
    <col min="23" max="23" width="1.28515625" style="34" customWidth="1"/>
    <col min="24" max="24" width="6.85546875" style="35" customWidth="1"/>
    <col min="25" max="25" width="3" style="134" bestFit="1" customWidth="1"/>
    <col min="26" max="26" width="4.7109375" style="87" customWidth="1"/>
    <col min="27" max="28" width="12" style="120" customWidth="1"/>
    <col min="29" max="30" width="12" style="120" hidden="1" customWidth="1"/>
    <col min="31" max="31" width="12" style="120" customWidth="1"/>
    <col min="32" max="32" width="9.7109375" style="245" customWidth="1"/>
    <col min="33" max="33" width="1.28515625" style="34" customWidth="1"/>
    <col min="34" max="34" width="6.85546875" style="35" customWidth="1"/>
    <col min="35" max="35" width="3" style="35" bestFit="1" customWidth="1"/>
    <col min="36" max="36" width="4.7109375" style="87" customWidth="1"/>
    <col min="37" max="38" width="12" style="120" customWidth="1"/>
    <col min="39" max="40" width="12" style="120" hidden="1" customWidth="1"/>
    <col min="41" max="41" width="12" style="120" customWidth="1"/>
    <col min="42" max="42" width="9.7109375" style="245" customWidth="1"/>
    <col min="43" max="43" width="1.28515625" style="34" customWidth="1"/>
    <col min="44" max="44" width="7.42578125" style="35" bestFit="1" customWidth="1"/>
    <col min="45" max="45" width="3.28515625" style="35" bestFit="1" customWidth="1"/>
    <col min="46" max="46" width="4.7109375" style="83" customWidth="1"/>
    <col min="47" max="48" width="12" style="120" customWidth="1"/>
    <col min="49" max="50" width="12" style="120" hidden="1" customWidth="1"/>
    <col min="51" max="51" width="12" style="120" customWidth="1"/>
    <col min="52" max="52" width="9.7109375" style="245" customWidth="1"/>
    <col min="53" max="53" width="1.28515625" style="34" customWidth="1"/>
    <col min="54" max="54" width="7.42578125" style="35" bestFit="1" customWidth="1"/>
    <col min="55" max="55" width="3.28515625" style="35" bestFit="1" customWidth="1"/>
    <col min="56" max="56" width="4.7109375" style="83" customWidth="1"/>
    <col min="57" max="58" width="12" style="120" customWidth="1"/>
    <col min="59" max="60" width="12" style="120" hidden="1" customWidth="1"/>
    <col min="61" max="61" width="12" style="120" customWidth="1"/>
    <col min="62" max="62" width="9.7109375" style="245" customWidth="1"/>
    <col min="63" max="63" width="1.28515625" style="34" customWidth="1"/>
    <col min="64" max="64" width="6.85546875" style="35" customWidth="1"/>
    <col min="65" max="65" width="3.28515625" style="35" bestFit="1" customWidth="1"/>
    <col min="66" max="66" width="4.7109375" style="87" customWidth="1"/>
    <col min="67" max="68" width="12" style="120" customWidth="1"/>
    <col min="69" max="70" width="12" style="120" hidden="1" customWidth="1"/>
    <col min="71" max="71" width="12" style="120" customWidth="1"/>
    <col min="72" max="72" width="9.7109375" style="245" customWidth="1"/>
    <col min="73" max="73" width="1.28515625" style="34" customWidth="1"/>
    <col min="74" max="74" width="6.85546875" style="35" customWidth="1"/>
    <col min="75" max="75" width="3.28515625" style="35" bestFit="1" customWidth="1"/>
    <col min="76" max="76" width="4.7109375" style="94" customWidth="1"/>
    <col min="77" max="78" width="12" style="120" customWidth="1"/>
    <col min="79" max="80" width="12" style="120" hidden="1" customWidth="1"/>
    <col min="81" max="81" width="12" style="120" customWidth="1"/>
    <col min="82" max="82" width="9.7109375" style="245" customWidth="1"/>
    <col min="83" max="83" width="1.28515625" style="34" customWidth="1"/>
    <col min="84" max="84" width="6.85546875" style="35" customWidth="1"/>
    <col min="85" max="85" width="3.28515625" style="35" bestFit="1" customWidth="1"/>
    <col min="86" max="86" width="4.7109375" style="87" customWidth="1"/>
    <col min="87" max="88" width="12" style="120" customWidth="1"/>
    <col min="89" max="90" width="12" style="120" hidden="1" customWidth="1"/>
    <col min="91" max="91" width="12" style="120" customWidth="1"/>
    <col min="92" max="92" width="9.7109375" style="245" customWidth="1"/>
    <col min="93" max="93" width="1.28515625" style="34" customWidth="1"/>
    <col min="94" max="94" width="6.85546875" style="35" customWidth="1"/>
    <col min="95" max="95" width="3.28515625" style="35" bestFit="1" customWidth="1"/>
    <col min="96" max="96" width="4.7109375" style="87" customWidth="1"/>
    <col min="97" max="98" width="12" style="120" customWidth="1"/>
    <col min="99" max="100" width="12" style="120" hidden="1" customWidth="1"/>
    <col min="101" max="101" width="12" style="120" customWidth="1"/>
    <col min="102" max="102" width="9.7109375" style="245" customWidth="1"/>
    <col min="103" max="103" width="1.28515625" style="34" customWidth="1"/>
    <col min="104" max="104" width="7.42578125" style="35" bestFit="1" customWidth="1"/>
    <col min="105" max="105" width="3.28515625" style="35" bestFit="1" customWidth="1"/>
    <col min="106" max="106" width="4.7109375" style="87" customWidth="1"/>
    <col min="107" max="108" width="12" style="120" customWidth="1"/>
    <col min="109" max="110" width="12" style="120" hidden="1" customWidth="1"/>
    <col min="111" max="111" width="12" style="120" customWidth="1"/>
    <col min="112" max="112" width="9.7109375" style="245" customWidth="1"/>
    <col min="113" max="113" width="1.28515625" style="34" customWidth="1"/>
    <col min="114" max="114" width="7.42578125" style="35" bestFit="1" customWidth="1"/>
    <col min="115" max="115" width="3.28515625" style="35" bestFit="1" customWidth="1"/>
    <col min="116" max="116" width="4.7109375" style="87" customWidth="1"/>
    <col min="117" max="118" width="12" style="120" customWidth="1"/>
    <col min="119" max="120" width="12" style="120" hidden="1" customWidth="1"/>
    <col min="121" max="121" width="12" style="120" customWidth="1"/>
    <col min="122" max="122" width="9.7109375" style="245" customWidth="1"/>
    <col min="123" max="123" width="1.28515625" style="33" customWidth="1"/>
    <col min="124" max="124" width="6.85546875" style="33" customWidth="1"/>
    <col min="125" max="125" width="2.42578125" style="33" customWidth="1"/>
    <col min="126" max="126" width="4.7109375" style="96" customWidth="1"/>
    <col min="127" max="127" width="12" style="236" customWidth="1"/>
    <col min="128" max="128" width="12" style="123" customWidth="1"/>
    <col min="129" max="130" width="12" style="120" hidden="1" customWidth="1"/>
    <col min="131" max="131" width="12" style="120" customWidth="1"/>
    <col min="132" max="132" width="9.7109375" style="245" customWidth="1"/>
    <col min="133" max="133" width="6.85546875" style="34" customWidth="1"/>
    <col min="134" max="153" width="0" style="34" hidden="1" customWidth="1"/>
    <col min="154" max="16384" width="6.85546875" style="34" hidden="1"/>
  </cols>
  <sheetData>
    <row r="1" spans="2:132" ht="30.75" customHeight="1" x14ac:dyDescent="0.25">
      <c r="B1" s="29"/>
      <c r="C1" s="328">
        <v>2017</v>
      </c>
      <c r="D1" s="328"/>
      <c r="E1" s="328"/>
      <c r="F1" s="328"/>
      <c r="G1" s="328"/>
      <c r="H1" s="328"/>
      <c r="I1" s="328"/>
      <c r="J1" s="328"/>
      <c r="K1" s="328"/>
      <c r="L1" s="328"/>
      <c r="M1" s="328" t="str">
        <f>IF(MONTH(1&amp;N2)=1,An+1,"")</f>
        <v/>
      </c>
      <c r="N1" s="328"/>
      <c r="O1" s="328"/>
      <c r="P1" s="328"/>
      <c r="Q1" s="328"/>
      <c r="R1" s="328"/>
      <c r="S1" s="328"/>
      <c r="T1" s="328"/>
      <c r="U1" s="328"/>
      <c r="V1" s="328"/>
      <c r="W1" s="328" t="str">
        <f>IF(MONTH(1&amp;X2)=1,An+1,"")</f>
        <v/>
      </c>
      <c r="X1" s="328"/>
      <c r="Y1" s="328"/>
      <c r="Z1" s="328"/>
      <c r="AA1" s="328"/>
      <c r="AB1" s="328"/>
      <c r="AC1" s="328"/>
      <c r="AD1" s="328"/>
      <c r="AE1" s="328"/>
      <c r="AF1" s="328"/>
      <c r="AG1" s="328" t="str">
        <f>IF(MONTH(1&amp;AH2)=1,An+1,"")</f>
        <v/>
      </c>
      <c r="AH1" s="328"/>
      <c r="AI1" s="328"/>
      <c r="AJ1" s="328"/>
      <c r="AK1" s="328"/>
      <c r="AL1" s="328"/>
      <c r="AM1" s="328"/>
      <c r="AN1" s="328"/>
      <c r="AO1" s="328"/>
      <c r="AP1" s="328"/>
      <c r="AQ1" s="328" t="str">
        <f>IF(MONTH(1&amp;AR2)=1,An+1,"")</f>
        <v/>
      </c>
      <c r="AR1" s="328"/>
      <c r="AS1" s="328"/>
      <c r="AT1" s="328"/>
      <c r="AU1" s="328"/>
      <c r="AV1" s="328"/>
      <c r="AW1" s="328"/>
      <c r="AX1" s="328"/>
      <c r="AY1" s="328"/>
      <c r="AZ1" s="328"/>
      <c r="BA1" s="328" t="str">
        <f>IF(MONTH(1&amp;BB2)=1,An+1,"")</f>
        <v/>
      </c>
      <c r="BB1" s="328"/>
      <c r="BC1" s="328"/>
      <c r="BD1" s="328"/>
      <c r="BE1" s="328"/>
      <c r="BF1" s="328"/>
      <c r="BG1" s="328"/>
      <c r="BH1" s="328"/>
      <c r="BI1" s="328"/>
      <c r="BJ1" s="328"/>
      <c r="BK1" s="328" t="str">
        <f>IF(MONTH(1&amp;BL2)=1,An+1,"")</f>
        <v/>
      </c>
      <c r="BL1" s="328"/>
      <c r="BM1" s="328"/>
      <c r="BN1" s="328"/>
      <c r="BO1" s="328"/>
      <c r="BP1" s="328"/>
      <c r="BQ1" s="328"/>
      <c r="BR1" s="328"/>
      <c r="BS1" s="328"/>
      <c r="BT1" s="328"/>
      <c r="BU1" s="328" t="str">
        <f>IF(MONTH(1&amp;BV2)=1,An+1,"")</f>
        <v/>
      </c>
      <c r="BV1" s="328"/>
      <c r="BW1" s="328"/>
      <c r="BX1" s="328"/>
      <c r="BY1" s="328"/>
      <c r="BZ1" s="328"/>
      <c r="CA1" s="328"/>
      <c r="CB1" s="328"/>
      <c r="CC1" s="328"/>
      <c r="CD1" s="328"/>
      <c r="CE1" s="328" t="str">
        <f>IF(MONTH(1&amp;CF2)=1,An+1,"")</f>
        <v/>
      </c>
      <c r="CF1" s="328"/>
      <c r="CG1" s="328"/>
      <c r="CH1" s="328"/>
      <c r="CI1" s="328"/>
      <c r="CJ1" s="328"/>
      <c r="CK1" s="328"/>
      <c r="CL1" s="328"/>
      <c r="CM1" s="328"/>
      <c r="CN1" s="328"/>
      <c r="CO1" s="328" t="str">
        <f>IF(MONTH(1&amp;CP2)=1,An+1,"")</f>
        <v/>
      </c>
      <c r="CP1" s="328"/>
      <c r="CQ1" s="328"/>
      <c r="CR1" s="328"/>
      <c r="CS1" s="328"/>
      <c r="CT1" s="328"/>
      <c r="CU1" s="328"/>
      <c r="CV1" s="328"/>
      <c r="CW1" s="328"/>
      <c r="CX1" s="328"/>
      <c r="CY1" s="328" t="str">
        <f>IF(MONTH(1&amp;CZ2)=1,An+1,"")</f>
        <v/>
      </c>
      <c r="CZ1" s="328"/>
      <c r="DA1" s="328"/>
      <c r="DB1" s="328"/>
      <c r="DC1" s="328"/>
      <c r="DD1" s="328"/>
      <c r="DE1" s="328"/>
      <c r="DF1" s="328"/>
      <c r="DG1" s="328"/>
      <c r="DH1" s="328"/>
      <c r="DI1" s="328" t="str">
        <f>IF(MONTH(1&amp;DJ2)=1,An+1,"")</f>
        <v/>
      </c>
      <c r="DJ1" s="328"/>
      <c r="DK1" s="328"/>
      <c r="DL1" s="328"/>
      <c r="DM1" s="328"/>
      <c r="DN1" s="328"/>
      <c r="DO1" s="328"/>
      <c r="DP1" s="328"/>
      <c r="DQ1" s="328"/>
      <c r="DR1" s="328"/>
      <c r="DS1" s="328">
        <f>IF(MONTH(1&amp;DT2)=1,An+1,"")</f>
        <v>2018</v>
      </c>
      <c r="DT1" s="328"/>
      <c r="DU1" s="328"/>
      <c r="DV1" s="328"/>
      <c r="DW1" s="328"/>
      <c r="DX1" s="328"/>
      <c r="DY1" s="328"/>
      <c r="DZ1" s="328"/>
      <c r="EA1" s="328"/>
      <c r="EB1" s="328"/>
    </row>
    <row r="2" spans="2:132" ht="35.25" customHeight="1" x14ac:dyDescent="0.25">
      <c r="C2" s="32">
        <f>MONTH(1&amp;D2)</f>
        <v>1</v>
      </c>
      <c r="D2" s="326" t="s">
        <v>0</v>
      </c>
      <c r="E2" s="326"/>
      <c r="F2" s="326"/>
      <c r="G2" s="326"/>
      <c r="H2" s="326"/>
      <c r="I2" s="326"/>
      <c r="J2" s="326"/>
      <c r="K2" s="326"/>
      <c r="L2" s="326"/>
      <c r="M2" s="32">
        <f>MONTH(1&amp;N2)</f>
        <v>2</v>
      </c>
      <c r="N2" s="326" t="str">
        <f>CHOOSE(IF(MONTH(1&amp;D2)=12,1,MONTH(1&amp;D2)+1),"Janvier","Février","Mars","Avril","Mai","Juin","Juillet","Août","Septembre","Octobre","Novembre","Décembre")</f>
        <v>Février</v>
      </c>
      <c r="O2" s="326"/>
      <c r="P2" s="326"/>
      <c r="Q2" s="326"/>
      <c r="R2" s="326"/>
      <c r="S2" s="326"/>
      <c r="T2" s="326"/>
      <c r="U2" s="326"/>
      <c r="V2" s="327"/>
      <c r="W2" s="32">
        <f>MONTH(1&amp;X2)</f>
        <v>3</v>
      </c>
      <c r="X2" s="326" t="str">
        <f>CHOOSE(IF(MONTH(1&amp;N2)=12,1,MONTH(1&amp;N2)+1),"Janvier","Février","Mars","Avril","Mai","Juin","Juillet","Août","Septembre","Octobre","Novembre","Décembre")</f>
        <v>Mars</v>
      </c>
      <c r="Y2" s="326"/>
      <c r="Z2" s="326"/>
      <c r="AA2" s="326"/>
      <c r="AB2" s="326"/>
      <c r="AC2" s="326"/>
      <c r="AD2" s="326"/>
      <c r="AE2" s="326"/>
      <c r="AF2" s="326"/>
      <c r="AG2" s="32">
        <f>MONTH(1&amp;AH2)</f>
        <v>4</v>
      </c>
      <c r="AH2" s="326" t="str">
        <f>CHOOSE(IF(MONTH(1&amp;X2)=12,1,MONTH(1&amp;X2)+1),"Janvier","Février","Mars","Avril","Mai","Juin","Juillet","Août","Septembre","Octobre","Novembre","Décembre")</f>
        <v>Avril</v>
      </c>
      <c r="AI2" s="326"/>
      <c r="AJ2" s="326"/>
      <c r="AK2" s="326"/>
      <c r="AL2" s="326"/>
      <c r="AM2" s="326"/>
      <c r="AN2" s="326"/>
      <c r="AO2" s="326"/>
      <c r="AP2" s="327"/>
      <c r="AQ2" s="32">
        <f>MONTH(1&amp;AR2)</f>
        <v>5</v>
      </c>
      <c r="AR2" s="326" t="str">
        <f>CHOOSE(IF(MONTH(1&amp;AH2)=12,1,MONTH(1&amp;AH2)+1),"Janvier","Février","Mars","Avril","Mai","Juin","Juillet","Août","Septembre","Octobre","Novembre","Décembre")</f>
        <v>Mai</v>
      </c>
      <c r="AS2" s="326"/>
      <c r="AT2" s="326"/>
      <c r="AU2" s="326"/>
      <c r="AV2" s="326"/>
      <c r="AW2" s="326"/>
      <c r="AX2" s="326"/>
      <c r="AY2" s="326"/>
      <c r="AZ2" s="326"/>
      <c r="BA2" s="32">
        <f>MONTH(1&amp;BB2)</f>
        <v>6</v>
      </c>
      <c r="BB2" s="326" t="str">
        <f>CHOOSE(IF(MONTH(1&amp;AR2)=12,1,MONTH(1&amp;AR2)+1),"Janvier","Février","Mars","Avril","Mai","Juin","Juillet","Août","Septembre","Octobre","Novembre","Décembre")</f>
        <v>Juin</v>
      </c>
      <c r="BC2" s="326"/>
      <c r="BD2" s="326"/>
      <c r="BE2" s="326"/>
      <c r="BF2" s="326"/>
      <c r="BG2" s="326"/>
      <c r="BH2" s="326"/>
      <c r="BI2" s="326"/>
      <c r="BJ2" s="326"/>
      <c r="BK2" s="32">
        <f>MONTH(1&amp;BL2)</f>
        <v>7</v>
      </c>
      <c r="BL2" s="326" t="str">
        <f>CHOOSE(IF(MONTH(1&amp;BB2)=12,1,MONTH(1&amp;BB2)+1),"Janvier","Février","Mars","Avril","Mai","Juin","Juillet","Août","Septembre","Octobre","Novembre","Décembre")</f>
        <v>Juillet</v>
      </c>
      <c r="BM2" s="326"/>
      <c r="BN2" s="326"/>
      <c r="BO2" s="326"/>
      <c r="BP2" s="326"/>
      <c r="BQ2" s="326"/>
      <c r="BR2" s="326"/>
      <c r="BS2" s="326"/>
      <c r="BT2" s="326"/>
      <c r="BU2" s="32">
        <f>MONTH(1&amp;BV2)</f>
        <v>8</v>
      </c>
      <c r="BV2" s="326" t="str">
        <f>CHOOSE(IF(MONTH(1&amp;BL2)=12,1,MONTH(1&amp;BL2)+1),"Janvier","Février","Mars","Avril","Mai","Juin","Juillet","Août","Septembre","Octobre","Novembre","Décembre")</f>
        <v>Août</v>
      </c>
      <c r="BW2" s="326"/>
      <c r="BX2" s="326"/>
      <c r="BY2" s="326"/>
      <c r="BZ2" s="326"/>
      <c r="CA2" s="326"/>
      <c r="CB2" s="326"/>
      <c r="CC2" s="326"/>
      <c r="CD2" s="326"/>
      <c r="CE2" s="32">
        <f>MONTH(1&amp;CF2)</f>
        <v>9</v>
      </c>
      <c r="CF2" s="326" t="str">
        <f>CHOOSE(IF(MONTH(1&amp;BV2)=12,1,MONTH(1&amp;BV2)+1),"Janvier","Février","Mars","Avril","Mai","Juin","Juillet","Août","Septembre","Octobre","Novembre","Décembre")</f>
        <v>Septembre</v>
      </c>
      <c r="CG2" s="326"/>
      <c r="CH2" s="326"/>
      <c r="CI2" s="326"/>
      <c r="CJ2" s="326"/>
      <c r="CK2" s="326"/>
      <c r="CL2" s="326"/>
      <c r="CM2" s="326"/>
      <c r="CN2" s="327"/>
      <c r="CO2" s="32">
        <f>MONTH(1&amp;CP2)</f>
        <v>10</v>
      </c>
      <c r="CP2" s="326" t="str">
        <f>CHOOSE(IF(MONTH(1&amp;CF2)=12,1,MONTH(1&amp;CF2)+1),"Janvier","Février","Mars","Avril","Mai","Juin","Juillet","Août","Septembre","Octobre","Novembre","Décembre")</f>
        <v>Octobre</v>
      </c>
      <c r="CQ2" s="326"/>
      <c r="CR2" s="326"/>
      <c r="CS2" s="326"/>
      <c r="CT2" s="326"/>
      <c r="CU2" s="326"/>
      <c r="CV2" s="326"/>
      <c r="CW2" s="326"/>
      <c r="CX2" s="326"/>
      <c r="CY2" s="32">
        <f>MONTH(1&amp;CZ2)</f>
        <v>11</v>
      </c>
      <c r="CZ2" s="326" t="str">
        <f>CHOOSE(IF(MONTH(1&amp;CP2)=12,1,MONTH(1&amp;CP2)+1),"Janvier","Février","Mars","Avril","Mai","Juin","Juillet","Août","Septembre","Octobre","Novembre","Décembre")</f>
        <v>Novembre</v>
      </c>
      <c r="DA2" s="326"/>
      <c r="DB2" s="326"/>
      <c r="DC2" s="326"/>
      <c r="DD2" s="326"/>
      <c r="DE2" s="326"/>
      <c r="DF2" s="326"/>
      <c r="DG2" s="326"/>
      <c r="DH2" s="326"/>
      <c r="DI2" s="32">
        <f>MONTH(1&amp;DJ2)</f>
        <v>12</v>
      </c>
      <c r="DJ2" s="326" t="str">
        <f>CHOOSE(IF(MONTH(1&amp;CZ2)=12,1,MONTH(1&amp;CZ2)+1),"Janvier","Février","Mars","Avril","Mai","Juin","Juillet","Août","Septembre","Octobre","Novembre","Décembre")</f>
        <v>Décembre</v>
      </c>
      <c r="DK2" s="326"/>
      <c r="DL2" s="326"/>
      <c r="DM2" s="326"/>
      <c r="DN2" s="326"/>
      <c r="DO2" s="326"/>
      <c r="DP2" s="326"/>
      <c r="DQ2" s="326"/>
      <c r="DR2" s="326"/>
      <c r="DS2" s="32">
        <f>MONTH(1&amp;DT2)</f>
        <v>1</v>
      </c>
      <c r="DT2" s="326" t="str">
        <f>CHOOSE(IF(MONTH(1&amp;DJ2)=12,1,MONTH(1&amp;DJ2)+1),"Janvier","Février","Mars","Avril","Mai","Juin","Juillet","Août","Septembre","Octobre","Novembre","Décembre")</f>
        <v>Janvier</v>
      </c>
      <c r="DU2" s="326"/>
      <c r="DV2" s="326"/>
      <c r="DW2" s="326"/>
      <c r="DX2" s="326"/>
      <c r="DY2" s="326"/>
      <c r="DZ2" s="326"/>
      <c r="EA2" s="326"/>
      <c r="EB2" s="326"/>
    </row>
    <row r="3" spans="2:132" ht="15" customHeight="1" x14ac:dyDescent="0.25">
      <c r="B3" s="44"/>
      <c r="C3" s="41">
        <f>D3</f>
        <v>42736</v>
      </c>
      <c r="D3" s="40">
        <f>DATE(An,MONTH(1&amp;D$2),1)</f>
        <v>42736</v>
      </c>
      <c r="E3" s="131" t="str">
        <f>IF(D3="","",IF(ISERROR(MATCH(D3,Lune!$A$1:$A$1000,0)),IF(WEEKDAY(D3)=5,INT((D3-DATE(YEAR(D3),1,1))/7+1),IF(AND(WEEKDAY(D3)=4,NOT( ISERROR(MATCH(D3+1,Lune!$A$1:$A$1000,0)))),INT((D3+1-DATE(YEAR(D3+1),1,1))/7+1),"")),INDEX(Lune!$B$1:$B$1000,MATCH(D3,Lune!$A$1:$A$1000,0),1)))</f>
        <v/>
      </c>
      <c r="F3" s="91" t="str">
        <f t="shared" ref="F3:F33" ca="1" si="0">IF(G3="",""," '")</f>
        <v/>
      </c>
      <c r="G3" s="125" t="str">
        <f ca="1">IF(ISERROR(VLOOKUP(D3,anniversaire!$X$2:$Z$100,2,0)),"",VLOOKUP(D3,anniversaire!$X$2:$Z$100,2,0))</f>
        <v/>
      </c>
      <c r="H3" s="54" t="str">
        <f>IF(ISERROR(VLOOKUP(D3,fête!$B$2:$C$367,2,0)),"",VLOOKUP(D3,fête!$B$2:$C$367,2,0))</f>
        <v>Jour de l'an</v>
      </c>
      <c r="I3" s="239" t="str">
        <f>IF(ISERROR(VLOOKUP(D3,évènements!$A$3:$E$200,3,0)),"",VLOOKUP(D3,évènements!$A$3:$E$200,3,0))</f>
        <v/>
      </c>
      <c r="J3" s="239" t="str">
        <f>IF(ISERROR(VLOOKUP(D3,évènements!$B$3:$E$200,2,0)),"",VLOOKUP(D3,évènements!$B$3:$E$200,2,0))</f>
        <v/>
      </c>
      <c r="K3" s="239" t="str">
        <f ca="1">IF(ISNA(VLOOKUP(D3,Tableau1[[#All],[Colonne1]:[ouvrés]],3,FALSE)),"",VLOOKUP(D3,Tableau1[[#All],[Colonne1]:[ouvrés]],3,FALSE))</f>
        <v/>
      </c>
      <c r="L3" s="239" t="str">
        <f t="shared" ref="L3:L21" si="1">CONCATENATE(I3,"  ",J3)</f>
        <v xml:space="preserve">  </v>
      </c>
      <c r="M3" s="41">
        <f>N3</f>
        <v>42767</v>
      </c>
      <c r="N3" s="42">
        <f>DATE(IF(MONTH(1&amp;N$2)=1,An+1,An),MONTH(1&amp;N$2),1)</f>
        <v>42767</v>
      </c>
      <c r="O3" s="131" t="str">
        <f>IF(N3="","",IF(ISERROR(MATCH(N3,Lune!$A$1:$A$1000,0)),IF(WEEKDAY(N3)=5,INT((N3-DATE(YEAR(N3),1,1))/7+1),IF(AND(WEEKDAY(N3)=4,NOT( ISERROR(MATCH(N3+1,Lune!$A$1:$A$1000,0)))),INT((N3+1-DATE(YEAR(N3+1),1,1))/7+1),"")),INDEX(Lune!$B$1:$B$1000,MATCH(N3,Lune!$A$1:$A$1000,0),1)))</f>
        <v/>
      </c>
      <c r="P3" s="80" t="str">
        <f t="shared" ref="P3:P14" ca="1" si="2">IF(Q3="",""," '")</f>
        <v/>
      </c>
      <c r="Q3" s="54" t="str">
        <f ca="1">IF(ISERROR(VLOOKUP(N3,anniversaire!$X$2:$Z$100,2,0)),"",VLOOKUP(N3,anniversaire!$X$2:$Z$100,2,0))</f>
        <v/>
      </c>
      <c r="R3" s="54" t="str">
        <f>IF(ISERROR(VLOOKUP(N3,fête!$B$2:$C$367,2,0)),"",VLOOKUP(N3,fête!$B$2:$C$367,2,0))</f>
        <v>Ella</v>
      </c>
      <c r="S3" s="54" t="str">
        <f>IF(ISERROR(VLOOKUP(N3,évènements!$A$3:$E$200,3,0)),"",VLOOKUP(N3,évènements!$A$3:$E$200,3,0))</f>
        <v/>
      </c>
      <c r="T3" s="54" t="str">
        <f>IF(ISERROR(VLOOKUP(N3,évènements!$B$3:$E$200,2,0)),"",VLOOKUP(N3,évènements!$B$3:$E$200,2,0))</f>
        <v/>
      </c>
      <c r="U3" s="54" t="str">
        <f ca="1">IF(ISNA(VLOOKUP(N3,Tableau1[[#All],[Colonne1]:[ouvrés]],3,FALSE)),"",VLOOKUP(N3,Tableau1[[#All],[Colonne1]:[ouvrés]],3,FALSE))</f>
        <v/>
      </c>
      <c r="V3" s="54" t="str">
        <f t="shared" ref="V3:V31" si="3">CONCATENATE(S3,"  ",T3)</f>
        <v xml:space="preserve">  </v>
      </c>
      <c r="W3" s="41">
        <f>X3</f>
        <v>42795</v>
      </c>
      <c r="X3" s="42">
        <f>DATE(IF(MONTH(1&amp;N$2)&lt;MONTH(1&amp;X$2),YEAR(N3),An+1),MONTH(1&amp;X$2),1)</f>
        <v>42795</v>
      </c>
      <c r="Y3" s="132" t="str">
        <f>IF(X3="","",IF(ISERROR(MATCH(X3,Lune!$A$1:$A$1000,0)),IF(WEEKDAY(X3)=5,INT((X3-DATE(YEAR(X3),1,1))/7+1),IF(AND(WEEKDAY(X3)=4,NOT( ISERROR(MATCH(X3+1,Lune!$A$1:$A$1000,0)))),INT((X3+1-DATE(YEAR(X3+1),1,1))/7+1),"")),INDEX(Lune!$B$1:$B$1000,MATCH(X3,Lune!$A$1:$A$1000,0),1)))</f>
        <v/>
      </c>
      <c r="Z3" s="89" t="str">
        <f t="shared" ref="Z3:Z31" ca="1" si="4">IF(AA3="",""," '")</f>
        <v/>
      </c>
      <c r="AA3" s="125" t="str">
        <f ca="1">IF(ISERROR(VLOOKUP(X3,anniversaire!$X$2:$Z$100,2,0)),"",VLOOKUP(X3,anniversaire!$X$2:$Z$100,2,0))</f>
        <v/>
      </c>
      <c r="AB3" s="54" t="str">
        <f>IF(ISERROR(VLOOKUP(X3,fête!$B$2:$C$367,2,0)),"",VLOOKUP(X3,fête!$B$2:$C$367,2,0))</f>
        <v>Auguste</v>
      </c>
      <c r="AC3" s="54" t="str">
        <f>IF(ISERROR(VLOOKUP(X3,évènements!$A$3:$E$200,3,0)),"",VLOOKUP(X3,évènements!$A$3:$E$200,3,0))</f>
        <v/>
      </c>
      <c r="AD3" s="54" t="str">
        <f>IF(ISERROR(VLOOKUP(X3,évènements!$B$3:$E$200,2,0)),"",VLOOKUP(X3,évènements!$B$3:$E$200,2,0))</f>
        <v/>
      </c>
      <c r="AE3" s="54" t="str">
        <f ca="1">IF(ISNA(VLOOKUP(X3,Tableau1[[#All],[Colonne1]:[ouvrés]],3,FALSE)),"",VLOOKUP(X3,Tableau1[[#All],[Colonne1]:[ouvrés]],3,FALSE))</f>
        <v/>
      </c>
      <c r="AF3" s="54" t="str">
        <f t="shared" ref="AF3:AF19" si="5">CONCATENATE(AC3,"  ",AD3)</f>
        <v xml:space="preserve">  </v>
      </c>
      <c r="AG3" s="41">
        <f>AH3</f>
        <v>42826</v>
      </c>
      <c r="AH3" s="42">
        <f>DATE(IF(MONTH(1&amp;X$2)&lt;MONTH(1&amp;AH$2),YEAR(X3),An+1),MONTH(1&amp;AH$2),1)</f>
        <v>42826</v>
      </c>
      <c r="AI3" s="137" t="str">
        <f>IF(AH3="","",IF(ISERROR(MATCH(AH3,Lune!$A$1:$A$1000,0)),IF(WEEKDAY(AH3)=5,INT((AH3-DATE(YEAR(AH3),1,1))/7+1),IF(AND(WEEKDAY(AH3)=4,NOT( ISERROR(MATCH(AH3+1,Lune!$A$1:$A$1000,0)))),INT((AH3+1-DATE(YEAR(AH3+1),1,1))/7+1),"")),INDEX(Lune!$B$1:$B$1000,MATCH(AH3,Lune!$A$1:$A$1000,0),1)))</f>
        <v/>
      </c>
      <c r="AJ3" s="80" t="str">
        <f t="shared" ref="AJ3:AJ32" ca="1" si="6">IF(AK3="",""," '")</f>
        <v/>
      </c>
      <c r="AK3" s="54" t="str">
        <f ca="1">IF(ISERROR(VLOOKUP(AH3,anniversaire!$X$2:$Z$100,2,0)),"",VLOOKUP(AH3,anniversaire!$X$2:$Z$100,2,0))</f>
        <v/>
      </c>
      <c r="AL3" s="54" t="str">
        <f>IF(ISERROR(VLOOKUP(AH3,fête!$B$2:$C$367,2,0)),"",VLOOKUP(AH3,fête!$B$2:$C$367,2,0))</f>
        <v>Hugues</v>
      </c>
      <c r="AM3" s="54" t="str">
        <f>IF(ISERROR(VLOOKUP(AH3,évènements!$A$3:$E$200,3,0)),"",VLOOKUP(AH3,évènements!$A$3:$E$200,3,0))</f>
        <v/>
      </c>
      <c r="AN3" s="54" t="str">
        <f>IF(ISERROR(VLOOKUP(AH3,évènements!$B$3:$E$200,2,0)),"",VLOOKUP(AH3,évènements!$B$3:$E$200,2,0))</f>
        <v/>
      </c>
      <c r="AO3" s="54" t="str">
        <f ca="1">IF(ISNA(VLOOKUP(AH3,Tableau1[[#All],[Colonne1]:[ouvrés]],3,FALSE)),"",VLOOKUP(AH3,Tableau1[[#All],[Colonne1]:[ouvrés]],3,FALSE))</f>
        <v/>
      </c>
      <c r="AP3" s="238" t="str">
        <f t="shared" ref="AP3:AP15" si="7">CONCATENATE(AM3,"  ",AN3)</f>
        <v xml:space="preserve">  </v>
      </c>
      <c r="AQ3" s="41">
        <f>AR3</f>
        <v>42856</v>
      </c>
      <c r="AR3" s="42">
        <f>DATE(IF(MONTH(1&amp;AH$2)&lt;MONTH(1&amp;AR$2),YEAR(AH3),An+1),MONTH(1&amp;AR$2),1)</f>
        <v>42856</v>
      </c>
      <c r="AS3" s="43" t="str">
        <f>IF(AR3="","",IF(ISERROR(MATCH(AR3,Lune!$A$1:$A$1000,0)),IF(WEEKDAY(AR3)=5,INT((AR3-DATE(YEAR(AR3),1,1))/7+1),IF(AND(WEEKDAY(AR3)=4,NOT( ISERROR(MATCH(AR3+1,Lune!$A$1:$A$1000,0)))),INT((AR3+1-DATE(YEAR(AR3+1),1,1))/7+1),"")),INDEX(Lune!$B$1:$B$1000,MATCH(AR3,Lune!$A$1:$A$1000,0),1)))</f>
        <v/>
      </c>
      <c r="AT3" s="79" t="str">
        <f t="shared" ref="AT3:AT33" ca="1" si="8">IF(AU3="","","'")</f>
        <v/>
      </c>
      <c r="AU3" s="54" t="str">
        <f ca="1">IF(ISERROR(VLOOKUP(AR3,anniversaire!$X$2:$Z$100,2,0)),"",VLOOKUP(AR3,anniversaire!$X$2:$Z$100,2,0))</f>
        <v/>
      </c>
      <c r="AV3" s="54" t="str">
        <f>IF(ISERROR(VLOOKUP(AR3,fête!$B$2:$C$367,2,0)),"",VLOOKUP(AR3,fête!$B$2:$C$367,2,0))</f>
        <v>Fête du travail</v>
      </c>
      <c r="AW3" s="238" t="str">
        <f>IF(ISERROR(VLOOKUP(AR3,évènements!$A$3:$E$200,3,0)),"",VLOOKUP(AR3,évènements!$A$3:$E$200,3,0))</f>
        <v/>
      </c>
      <c r="AX3" s="238" t="str">
        <f>IF(ISERROR(VLOOKUP(AR3,évènements!$B$3:$E$200,2,0)),"",VLOOKUP(AR3,évènements!$B$3:$E$200,2,0))</f>
        <v/>
      </c>
      <c r="AY3" s="238" t="str">
        <f ca="1">IF(ISNA(VLOOKUP(AR3,Tableau1[[#All],[Colonne1]:[ouvrés]],3,FALSE)),"",VLOOKUP(AR3,Tableau1[[#All],[Colonne1]:[ouvrés]],3,FALSE))</f>
        <v/>
      </c>
      <c r="AZ3" s="238" t="str">
        <f t="shared" ref="AZ3:AZ33" si="9">CONCATENATE(AW3,"  ",AX3)</f>
        <v xml:space="preserve">  </v>
      </c>
      <c r="BA3" s="41">
        <f>BB3</f>
        <v>42887</v>
      </c>
      <c r="BB3" s="42">
        <f>DATE(IF(MONTH(1&amp;AR$2)&lt;MONTH(1&amp;BB$2),YEAR(AR3),An+1),MONTH(1&amp;BB$2),1)</f>
        <v>42887</v>
      </c>
      <c r="BC3" s="43" t="str">
        <f>IF(BB3="","",IF(ISERROR(MATCH(BB3,Lune!$A$1:$A$1000,0)),IF(WEEKDAY(BB3)=5,INT((BB3-DATE(YEAR(BB3),1,1))/7+1),IF(AND(WEEKDAY(BB3)=4,NOT( ISERROR(MATCH(BB3+1,Lune!$A$1:$A$1000,0)))),INT((BB3+1-DATE(YEAR(BB3+1),1,1))/7+1),"")),INDEX(Lune!$B$1:$B$1000,MATCH(BB3,Lune!$A$1:$A$1000,0),1)))</f>
        <v>◐</v>
      </c>
      <c r="BD3" s="79" t="str">
        <f t="shared" ref="BD3:BD32" ca="1" si="10">IF(BE3="",""," '")</f>
        <v/>
      </c>
      <c r="BE3" s="54" t="str">
        <f ca="1">IF(ISERROR(VLOOKUP(BB3,anniversaire!$X$2:$Z$100,2,0)),"",VLOOKUP(BB3,anniversaire!$X$2:$Z$100,2,0))</f>
        <v/>
      </c>
      <c r="BF3" s="54" t="str">
        <f>IF(ISERROR(VLOOKUP(BB3,fête!$B$2:$C$367,2,0)),"",VLOOKUP(BB3,fête!$B$2:$C$367,2,0))</f>
        <v>Justin</v>
      </c>
      <c r="BG3" s="54" t="str">
        <f>IF(ISERROR(VLOOKUP(BB3,évènements!$A$3:$E$200,3,0)),"",VLOOKUP(BB3,évènements!$A$3:$E$200,3,0))</f>
        <v/>
      </c>
      <c r="BH3" s="54" t="str">
        <f>IF(ISERROR(VLOOKUP(BB3,évènements!$B$3:$E$200,2,0)),"",VLOOKUP(BB3,évènements!$B$3:$E$200,2,0))</f>
        <v/>
      </c>
      <c r="BI3" s="54" t="str">
        <f ca="1">IF(ISNA(VLOOKUP(BB3,Tableau1[[#All],[Colonne1]:[ouvrés]],3,FALSE)),"",VLOOKUP(BB3,Tableau1[[#All],[Colonne1]:[ouvrés]],3,FALSE))</f>
        <v>travail</v>
      </c>
      <c r="BJ3" s="54" t="str">
        <f t="shared" ref="BJ3:BJ15" si="11">CONCATENATE(BG3,"  ",BH3)</f>
        <v xml:space="preserve">  </v>
      </c>
      <c r="BK3" s="41">
        <f>BL3</f>
        <v>42917</v>
      </c>
      <c r="BL3" s="42">
        <f>DATE(IF(MONTH(1&amp;BB$2)&lt;MONTH(1&amp;BL$2),YEAR(BB3),An+1),MONTH(1&amp;BL$2),1)</f>
        <v>42917</v>
      </c>
      <c r="BM3" s="43" t="str">
        <f>IF(BL3="","",IF(ISERROR(MATCH(BL3,Lune!$A$1:$A$1000,0)),IF(WEEKDAY(BL3)=5,INT((BL3-DATE(YEAR(BL3),1,1))/7+1),IF(AND(WEEKDAY(BL3)=4,NOT( ISERROR(MATCH(BL3+1,Lune!$A$1:$A$1000,0)))),INT((BL3+1-DATE(YEAR(BL3+1),1,1))/7+1),"")),INDEX(Lune!$B$1:$B$1000,MATCH(BL3,Lune!$A$1:$A$1000,0),1)))</f>
        <v>◐</v>
      </c>
      <c r="BN3" s="80" t="str">
        <f t="shared" ref="BN3:BN33" ca="1" si="12">IF(BO3="",""," '")</f>
        <v/>
      </c>
      <c r="BO3" s="54" t="str">
        <f ca="1">IF(ISERROR(VLOOKUP(BL3,anniversaire!$X$2:$Z$100,2,0)),"",VLOOKUP(BL3,anniversaire!$X$2:$Z$100,2,0))</f>
        <v/>
      </c>
      <c r="BP3" s="54" t="str">
        <f>IF(ISERROR(VLOOKUP(BL3,fête!$B$2:$C$367,2,0)),"",VLOOKUP(BL3,fête!$B$2:$C$367,2,0))</f>
        <v>Thierry</v>
      </c>
      <c r="BQ3" s="54" t="str">
        <f>IF(ISERROR(VLOOKUP(BL3,évènements!$A$3:$E$200,3,0)),"",VLOOKUP(BL3,évènements!$A$3:$E$200,3,0))</f>
        <v/>
      </c>
      <c r="BR3" s="54" t="str">
        <f>IF(ISERROR(VLOOKUP(BL3,évènements!$B$3:$E$200,2,0)),"",VLOOKUP(BL3,évènements!$B$3:$E$200,2,0))</f>
        <v/>
      </c>
      <c r="BS3" s="54" t="str">
        <f ca="1">IF(ISNA(VLOOKUP(BL3,Tableau1[[#All],[Colonne1]:[ouvrés]],3,FALSE)),"",VLOOKUP(BL3,Tableau1[[#All],[Colonne1]:[ouvrés]],3,FALSE))</f>
        <v/>
      </c>
      <c r="BT3" s="54" t="str">
        <f>CONCATENATE(BQ3,"  ",BR3)</f>
        <v xml:space="preserve">  </v>
      </c>
      <c r="BU3" s="41">
        <f>BV3</f>
        <v>42948</v>
      </c>
      <c r="BV3" s="42">
        <f>DATE(IF(MONTH(1&amp;BL$2)&lt;MONTH(1&amp;BV$2),YEAR(BL3),An+1),MONTH(1&amp;BV$2),1)</f>
        <v>42948</v>
      </c>
      <c r="BW3" s="43" t="str">
        <f>IF(BV3="","",IF(ISERROR(MATCH(BV3,Lune!$A$1:$A$1000,0)),IF(WEEKDAY(BV3)=5,INT((BV3-DATE(YEAR(BV3),1,1))/7+1),IF(AND(WEEKDAY(BV3)=4,NOT( ISERROR(MATCH(BV3+1,Lune!$A$1:$A$1000,0)))),INT((BV3+1-DATE(YEAR(BV3+1),1,1))/7+1),"")),INDEX(Lune!$B$1:$B$1000,MATCH(BV3,Lune!$A$1:$A$1000,0),1)))</f>
        <v/>
      </c>
      <c r="BX3" s="80" t="str">
        <f t="shared" ref="BX3:BX33" ca="1" si="13">IF(BY3="",""," '")</f>
        <v/>
      </c>
      <c r="BY3" s="54" t="str">
        <f ca="1">IF(ISERROR(VLOOKUP(BV3,anniversaire!$X$2:$Z$100,2,0)),"",VLOOKUP(BV3,anniversaire!$X$2:$Z$100,2,0))</f>
        <v/>
      </c>
      <c r="BZ3" s="54" t="str">
        <f>IF(ISERROR(VLOOKUP(BV3,fête!$B$2:$C$367,2,0)),"",VLOOKUP(BV3,fête!$B$2:$C$367,2,0))</f>
        <v>Alphonse</v>
      </c>
      <c r="CA3" s="54" t="str">
        <f>IF(ISERROR(VLOOKUP(BV3,évènements!$A$3:$E$200,3,0)),"",VLOOKUP(BV3,évènements!$A$3:$E$200,3,0))</f>
        <v/>
      </c>
      <c r="CB3" s="54" t="str">
        <f>IF(ISERROR(VLOOKUP(BV3,évènements!$B$3:$E$200,2,0)),"",VLOOKUP(BV3,évènements!$B$3:$E$200,2,0))</f>
        <v/>
      </c>
      <c r="CC3" s="54" t="str">
        <f ca="1">IF(ISNA(VLOOKUP(BV3,Tableau1[[#All],[Colonne1]:[ouvrés]],3,FALSE)),"",VLOOKUP(BV3,Tableau1[[#All],[Colonne1]:[ouvrés]],3,FALSE))</f>
        <v/>
      </c>
      <c r="CD3" s="54" t="str">
        <f t="shared" ref="CD3:CD33" si="14">CONCATENATE(CA3,"  ",CB3)</f>
        <v xml:space="preserve">  </v>
      </c>
      <c r="CE3" s="41">
        <f>CF3</f>
        <v>42979</v>
      </c>
      <c r="CF3" s="42">
        <f>DATE(IF(MONTH(1&amp;BV$2)&lt;MONTH(1&amp;CF$2),YEAR(BV3),An+1),MONTH(1&amp;CF$2),1)</f>
        <v>42979</v>
      </c>
      <c r="CG3" s="43" t="str">
        <f>IF(CF3="","",IF(ISERROR(MATCH(CF3,Lune!$A$1:$A$1000,0)),IF(WEEKDAY(CF3)=5,INT((CF3-DATE(YEAR(CF3),1,1))/7+1),IF(AND(WEEKDAY(CF3)=4,NOT( ISERROR(MATCH(CF3+1,Lune!$A$1:$A$1000,0)))),INT((CF3+1-DATE(YEAR(CF3+1),1,1))/7+1),"")),INDEX(Lune!$B$1:$B$1000,MATCH(CF3,Lune!$A$1:$A$1000,0),1)))</f>
        <v/>
      </c>
      <c r="CH3" s="80" t="str">
        <f t="shared" ref="CH3:CH32" ca="1" si="15">IF(CI3="",""," '")</f>
        <v/>
      </c>
      <c r="CI3" s="54" t="str">
        <f ca="1">IF(ISERROR(VLOOKUP(CF3,anniversaire!$X$2:$Z$100,2,0)),"",VLOOKUP(CF3,anniversaire!$X$2:$Z$100,2,0))</f>
        <v/>
      </c>
      <c r="CJ3" s="54" t="str">
        <f>IF(ISERROR(VLOOKUP(CF3,fête!$B$2:$C$367,2,0)),"",VLOOKUP(CF3,fête!$B$2:$C$367,2,0))</f>
        <v>Gilles</v>
      </c>
      <c r="CK3" s="54" t="str">
        <f>IF(ISERROR(VLOOKUP(CF3,évènements!$A$3:$E$200,3,0)),"",VLOOKUP(CF3,évènements!$A$3:$E$200,3,0))</f>
        <v/>
      </c>
      <c r="CL3" s="54" t="str">
        <f>IF(ISERROR(VLOOKUP(CF3,évènements!$B$3:$E$200,2,0)),"",VLOOKUP(CF3,évènements!$B$3:$E$200,2,0))</f>
        <v/>
      </c>
      <c r="CM3" s="54" t="str">
        <f ca="1">IF(ISNA(VLOOKUP(CF3,Tableau1[[#All],[Colonne1]:[ouvrés]],3,FALSE)),"",VLOOKUP(CF3,Tableau1[[#All],[Colonne1]:[ouvrés]],3,FALSE))</f>
        <v/>
      </c>
      <c r="CN3" s="54" t="str">
        <f t="shared" ref="CN3:CN33" si="16">CONCATENATE(CK3,"  ",CL3)</f>
        <v xml:space="preserve">  </v>
      </c>
      <c r="CO3" s="41">
        <f>CP3</f>
        <v>43009</v>
      </c>
      <c r="CP3" s="42">
        <f>DATE(IF(MONTH(1&amp;CF$2)&lt;MONTH(1&amp;CP$2),YEAR(CF3),An+1),MONTH(1&amp;CP$2),1)</f>
        <v>43009</v>
      </c>
      <c r="CQ3" s="43" t="str">
        <f>IF(CP3="","",IF(ISERROR(MATCH(CP3,Lune!$A$1:$A$1000,0)),IF(WEEKDAY(CP3)=5,INT((CP3-DATE(YEAR(CP3),1,1))/7+1),IF(AND(WEEKDAY(CP3)=4,NOT( ISERROR(MATCH(CP3+1,Lune!$A$1:$A$1000,0)))),INT((CP3+1-DATE(YEAR(CP3+1),1,1))/7+1),"")),INDEX(Lune!$B$1:$B$1000,MATCH(CP3,Lune!$A$1:$A$1000,0),1)))</f>
        <v/>
      </c>
      <c r="CR3" s="80" t="str">
        <f t="shared" ref="CR3:CR33" ca="1" si="17">IF(CS3="",""," '")</f>
        <v/>
      </c>
      <c r="CS3" s="54" t="str">
        <f ca="1">IF(ISERROR(VLOOKUP(CP3,anniversaire!$X$2:$Z$100,2,0)),"",VLOOKUP(CP3,anniversaire!$X$2:$Z$100,2,0))</f>
        <v/>
      </c>
      <c r="CT3" s="54" t="str">
        <f>IF(ISERROR(VLOOKUP(CP3,fête!$B$2:$C$367,2,0)),"",VLOOKUP(CP3,fête!$B$2:$C$367,2,0))</f>
        <v>Thérèse de l'Enfant Jésus</v>
      </c>
      <c r="CU3" s="54" t="str">
        <f>IF(ISERROR(VLOOKUP(CP3,évènements!$A$3:$E$200,3,0)),"",VLOOKUP(CP3,évènements!$A$3:$E$200,3,0))</f>
        <v/>
      </c>
      <c r="CV3" s="54" t="str">
        <f>IF(ISERROR(VLOOKUP(CP3,évènements!$B$3:$E$200,2,0)),"",VLOOKUP(CP3,évènements!$B$3:$E$200,2,0))</f>
        <v/>
      </c>
      <c r="CW3" s="54" t="str">
        <f ca="1">IF(ISNA(VLOOKUP(CP3,Tableau1[[#All],[Colonne1]:[ouvrés]],3,FALSE)),"",VLOOKUP(CP3,Tableau1[[#All],[Colonne1]:[ouvrés]],3,FALSE))</f>
        <v/>
      </c>
      <c r="CX3" s="54" t="str">
        <f t="shared" ref="CX3:CX33" si="18">CONCATENATE(CU3,"  ",CV3)</f>
        <v xml:space="preserve">  </v>
      </c>
      <c r="CY3" s="41">
        <f>CZ3</f>
        <v>43040</v>
      </c>
      <c r="CZ3" s="42">
        <f>DATE(IF(MONTH(1&amp;CP$2)&lt;MONTH(1&amp;CZ$2),YEAR(CP3),An+1),MONTH(1&amp;CZ$2),1)</f>
        <v>43040</v>
      </c>
      <c r="DA3" s="43" t="str">
        <f>IF(CZ3="","",IF(ISERROR(MATCH(CZ3,Lune!$A$1:$A$1000,0)),IF(WEEKDAY(CZ3)=5,INT((CZ3-DATE(YEAR(CZ3),1,1))/7+1),IF(AND(WEEKDAY(CZ3)=4,NOT( ISERROR(MATCH(CZ3+1,Lune!$A$1:$A$1000,0)))),INT((CZ3+1-DATE(YEAR(CZ3+1),1,1))/7+1),"")),INDEX(Lune!$B$1:$B$1000,MATCH(CZ3,Lune!$A$1:$A$1000,0),1)))</f>
        <v/>
      </c>
      <c r="DB3" s="80" t="str">
        <f t="shared" ref="DB3:DB32" ca="1" si="19">IF(DC3="",""," '")</f>
        <v/>
      </c>
      <c r="DC3" s="54" t="str">
        <f ca="1">IF(ISERROR(VLOOKUP(CZ3,anniversaire!$X$2:$Z$100,2,0)),"",VLOOKUP(CZ3,anniversaire!$X$2:$Z$100,2,0))</f>
        <v/>
      </c>
      <c r="DD3" s="54" t="str">
        <f>IF(ISERROR(VLOOKUP(CZ3,fête!$B$2:$C$367,2,0)),"",VLOOKUP(CZ3,fête!$B$2:$C$367,2,0))</f>
        <v>Toussaint</v>
      </c>
      <c r="DE3" s="54" t="str">
        <f>IF(ISERROR(VLOOKUP(CZ3,évènements!$A$3:$E$200,3,0)),"",VLOOKUP(CZ3,évènements!$A$3:$E$200,3,0))</f>
        <v/>
      </c>
      <c r="DF3" s="54" t="str">
        <f>IF(ISERROR(VLOOKUP(CZ3,évènements!$B$3:$E$200,2,0)),"",VLOOKUP(CZ3,évènements!$B$3:$E$200,2,0))</f>
        <v/>
      </c>
      <c r="DG3" s="54"/>
      <c r="DH3" s="54" t="str">
        <f t="shared" ref="DH3:DH33" si="20">CONCATENATE(DE3,"  ",DF3)</f>
        <v xml:space="preserve">  </v>
      </c>
      <c r="DI3" s="41">
        <f>DJ3</f>
        <v>43070</v>
      </c>
      <c r="DJ3" s="42">
        <f>DATE(IF(MONTH(1&amp;CZ$2)&lt;MONTH(1&amp;DJ$2),YEAR(CZ3),An+1),MONTH(1&amp;DJ$2),1)</f>
        <v>43070</v>
      </c>
      <c r="DK3" s="43" t="str">
        <f>IF(DJ3="","",IF(ISERROR(MATCH(DJ3,Lune!$A$1:$A$1000,0)),IF(WEEKDAY(DJ3)=5,INT((DJ3-DATE(YEAR(DJ3),1,1))/7+1),IF(AND(WEEKDAY(DJ3)=4,NOT( ISERROR(MATCH(DJ3+1,Lune!$A$1:$A$1000,0)))),INT((DJ3+1-DATE(YEAR(DJ3+1),1,1))/7+1),"")),INDEX(Lune!$B$1:$B$1000,MATCH(DJ3,Lune!$A$1:$A$1000,0),1)))</f>
        <v/>
      </c>
      <c r="DL3" s="80" t="str">
        <f t="shared" ref="DL3:DL33" ca="1" si="21">IF(DM3="",""," '")</f>
        <v/>
      </c>
      <c r="DM3" s="54" t="str">
        <f ca="1">IF(ISERROR(VLOOKUP(DJ3,anniversaire!$X$2:$Z$100,2,0)),"",VLOOKUP(DJ3,anniversaire!$X$2:$Z$100,2,0))</f>
        <v/>
      </c>
      <c r="DN3" s="54" t="str">
        <f>IF(ISERROR(VLOOKUP(DJ3,fête!$B$2:$C$367,2,0)),"",VLOOKUP(DJ3,fête!$B$2:$C$367,2,0))</f>
        <v>Florence</v>
      </c>
      <c r="DO3" s="54" t="str">
        <f>IF(ISERROR(VLOOKUP(DJ3,évènements!$A$3:$E$200,3,0)),"",VLOOKUP(DJ3,évènements!$A$3:$E$200,3,0))</f>
        <v/>
      </c>
      <c r="DP3" s="54" t="str">
        <f>IF(ISERROR(VLOOKUP(DJ3,évènements!$B$3:$E$200,2,0)),"",VLOOKUP(DJ3,évènements!$B$3:$E$200,2,0))</f>
        <v/>
      </c>
      <c r="DQ3" s="54" t="str">
        <f ca="1">IF(ISNA(VLOOKUP(DJ3,Tableau1[[#All],[Colonne1]:[ouvrés]],3,FALSE)),"",VLOOKUP(DJ3,Tableau1[[#All],[Colonne1]:[ouvrés]],3,FALSE))</f>
        <v/>
      </c>
      <c r="DR3" s="54" t="str">
        <f t="shared" ref="DR3:DR33" si="22">CONCATENATE(DO3,"  ",DP3)</f>
        <v xml:space="preserve">  </v>
      </c>
      <c r="DS3" s="41">
        <f>DT3</f>
        <v>43101</v>
      </c>
      <c r="DT3" s="42">
        <f>DATE(IF(MONTH(1&amp;DJ$2)&lt;MONTH(1&amp;DT$2),YEAR(DJ3),YEAR(DJ3)+1),MONTH(1&amp;DT$2),1)</f>
        <v>43101</v>
      </c>
      <c r="DU3" s="43" t="str">
        <f>IF(DT3="","",IF(ISERROR(MATCH(DT3,Lune!$A$1:$A$1000,0)),IF(WEEKDAY(DT3)=5,INT((DT3-DATE(YEAR(DT3),1,1))/7+1),IF(AND(WEEKDAY(DT3)=4,NOT( ISERROR(MATCH(DT3+1,Lune!$A$1:$A$1000,0)))),INT((DT3+1-DATE(YEAR(DT3+1),1,1))/7+1),"")),INDEX(Lune!$B$1:$B$1000,MATCH(DT3,Lune!$A$1:$A$1000,0),1)))</f>
        <v/>
      </c>
      <c r="DV3" s="89" t="str">
        <f t="shared" ref="DV3:DV33" ca="1" si="23">F3</f>
        <v/>
      </c>
      <c r="DW3" s="252" t="str">
        <f t="shared" ref="DW3:DW33" ca="1" si="24">G3</f>
        <v/>
      </c>
      <c r="DX3" s="252" t="str">
        <f t="shared" ref="DX3:DX33" si="25">H3</f>
        <v>Jour de l'an</v>
      </c>
      <c r="DY3" s="252" t="str">
        <f>IF(ISERROR(VLOOKUP(DT3,évènements!$A$3:$E$200,3,0)),"",VLOOKUP(DT3,évènements!$A$3:$E$200,3,0))</f>
        <v/>
      </c>
      <c r="DZ3" s="252" t="str">
        <f>IF(ISERROR(VLOOKUP(DT3,évènements!$B$3:$E$200,2,0)),"",VLOOKUP(DT3,évènements!$B$3:$E$200,2,0))</f>
        <v/>
      </c>
      <c r="EA3" s="252" t="str">
        <f ca="1">IF(ISNA(VLOOKUP(DT3,Tableau1[[#All],[Colonne1]:[ouvrés]],3,FALSE)),"",VLOOKUP(DT3,Tableau1[[#All],[Colonne1]:[ouvrés]],3,FALSE))</f>
        <v/>
      </c>
      <c r="EB3" s="252" t="str">
        <f t="shared" ref="EB3:EB33" si="26">CONCATENATE(DY3,"  ",DZ3)</f>
        <v xml:space="preserve">  </v>
      </c>
    </row>
    <row r="4" spans="2:132" ht="15" customHeight="1" x14ac:dyDescent="0.25">
      <c r="B4" s="45"/>
      <c r="C4" s="41">
        <f t="shared" ref="C4:C33" si="27">D4</f>
        <v>42737</v>
      </c>
      <c r="D4" s="40">
        <f>D3+1</f>
        <v>42737</v>
      </c>
      <c r="E4" s="131" t="str">
        <f>IF(D4="","",IF(ISERROR(MATCH(D4,Lune!$A$1:$A$1000,0)),IF(WEEKDAY(D4)=5,INT((D4-DATE(YEAR(D4),1,1))/7+1),IF(AND(WEEKDAY(D4)=4,NOT( ISERROR(MATCH(D4+1,Lune!$A$1:$A$1000,0)))),INT((D4+1-DATE(YEAR(D4+1),1,1))/7+1),"")),INDEX(Lune!$B$1:$B$1000,MATCH(D4,Lune!$A$1:$A$1000,0),1)))</f>
        <v/>
      </c>
      <c r="F4" s="89" t="str">
        <f t="shared" ca="1" si="0"/>
        <v xml:space="preserve"> '</v>
      </c>
      <c r="G4" s="125" t="str">
        <f ca="1">IF(ISERROR(VLOOKUP(D4,anniversaire!$X$2:$Z$100,2,0)),"",VLOOKUP(D4,anniversaire!$X$2:$Z$100,2,0))</f>
        <v>boireau  louane    1</v>
      </c>
      <c r="H4" s="54" t="str">
        <f>IF(ISERROR(VLOOKUP(D4,fête!$B$2:$C$367,2,0)),"",VLOOKUP(D4,fête!$B$2:$C$367,2,0))</f>
        <v>Basile</v>
      </c>
      <c r="I4" s="239" t="str">
        <f>IF(ISERROR(VLOOKUP(D4,évènements!$A$3:$E$200,3,0)),"",VLOOKUP(D4,évènements!$A$3:$E$200,3,0))</f>
        <v/>
      </c>
      <c r="J4" s="239" t="str">
        <f>IF(ISERROR(VLOOKUP(D4,évènements!$B$3:$E$200,2,0)),"",VLOOKUP(D4,évènements!$B$3:$E$200,2,0))</f>
        <v/>
      </c>
      <c r="K4" s="239" t="str">
        <f ca="1">IF(ISNA(VLOOKUP(D4,Tableau1[[#All],[Colonne1]:[ouvrés]],3,FALSE)),"",VLOOKUP(D4,Tableau1[[#All],[Colonne1]:[ouvrés]],3,FALSE))</f>
        <v/>
      </c>
      <c r="L4" s="239" t="str">
        <f t="shared" si="1"/>
        <v xml:space="preserve">  </v>
      </c>
      <c r="M4" s="41">
        <f t="shared" ref="M4:M33" si="28">N4</f>
        <v>42768</v>
      </c>
      <c r="N4" s="42">
        <f>N3+1</f>
        <v>42768</v>
      </c>
      <c r="O4" s="131">
        <f>IF(N4="","",IF(ISERROR(MATCH(N4,Lune!$A$1:$A$1000,0)),IF(WEEKDAY(N4)=5,INT((N4-DATE(YEAR(N4),1,1))/7+1),IF(AND(WEEKDAY(N4)=4,NOT( ISERROR(MATCH(N4+1,Lune!$A$1:$A$1000,0)))),INT((N4+1-DATE(YEAR(N4+1),1,1))/7+1),"")),INDEX(Lune!$B$1:$B$1000,MATCH(N4,Lune!$A$1:$A$1000,0),1)))</f>
        <v>5</v>
      </c>
      <c r="P4" s="80" t="str">
        <f t="shared" ca="1" si="2"/>
        <v/>
      </c>
      <c r="Q4" s="54" t="str">
        <f ca="1">IF(ISERROR(VLOOKUP(N4,anniversaire!$X$2:$Z$100,2,0)),"",VLOOKUP(N4,anniversaire!$X$2:$Z$100,2,0))</f>
        <v/>
      </c>
      <c r="R4" s="54" t="str">
        <f>IF(ISERROR(VLOOKUP(N4,fête!$B$2:$C$367,2,0)),"",VLOOKUP(N4,fête!$B$2:$C$367,2,0))</f>
        <v>Présentation</v>
      </c>
      <c r="S4" s="54" t="str">
        <f>IF(ISERROR(VLOOKUP(N4,évènements!$A$3:$E$200,3,0)),"",VLOOKUP(N4,évènements!$A$3:$E$200,3,0))</f>
        <v/>
      </c>
      <c r="T4" s="54" t="str">
        <f>IF(ISERROR(VLOOKUP(N4,évènements!$B$3:$E$200,2,0)),"",VLOOKUP(N4,évènements!$B$3:$E$200,2,0))</f>
        <v/>
      </c>
      <c r="U4" s="54" t="str">
        <f ca="1">IF(ISNA(VLOOKUP(N4,Tableau1[[#All],[Colonne1]:[ouvrés]],3,FALSE)),"",VLOOKUP(N4,Tableau1[[#All],[Colonne1]:[ouvrés]],3,FALSE))</f>
        <v/>
      </c>
      <c r="V4" s="54" t="str">
        <f t="shared" si="3"/>
        <v xml:space="preserve">  </v>
      </c>
      <c r="W4" s="41">
        <f t="shared" ref="W4:W33" si="29">X4</f>
        <v>42796</v>
      </c>
      <c r="X4" s="42">
        <f>X3+1</f>
        <v>42796</v>
      </c>
      <c r="Y4" s="132">
        <f>IF(X4="","",IF(ISERROR(MATCH(X4,Lune!$A$1:$A$1000,0)),IF(WEEKDAY(X4)=5,INT((X4-DATE(YEAR(X4),1,1))/7+1),IF(AND(WEEKDAY(X4)=4,NOT( ISERROR(MATCH(X4+1,Lune!$A$1:$A$1000,0)))),INT((X4+1-DATE(YEAR(X4+1),1,1))/7+1),"")),INDEX(Lune!$B$1:$B$1000,MATCH(X4,Lune!$A$1:$A$1000,0),1)))</f>
        <v>9</v>
      </c>
      <c r="Z4" s="89" t="str">
        <f t="shared" ca="1" si="4"/>
        <v/>
      </c>
      <c r="AA4" s="125" t="str">
        <f ca="1">IF(ISERROR(VLOOKUP(X4,anniversaire!$X$2:$Z$100,2,0)),"",VLOOKUP(X4,anniversaire!$X$2:$Z$100,2,0))</f>
        <v/>
      </c>
      <c r="AB4" s="54" t="str">
        <f>IF(ISERROR(VLOOKUP(X4,fête!$B$2:$C$367,2,0)),"",VLOOKUP(X4,fête!$B$2:$C$367,2,0))</f>
        <v>Charles le Bon</v>
      </c>
      <c r="AC4" s="54" t="str">
        <f>IF(ISERROR(VLOOKUP(X4,évènements!$A$3:$E$200,3,0)),"",VLOOKUP(X4,évènements!$A$3:$E$200,3,0))</f>
        <v/>
      </c>
      <c r="AD4" s="54" t="str">
        <f>IF(ISERROR(VLOOKUP(X4,évènements!$B$3:$E$200,2,0)),"",VLOOKUP(X4,évènements!$B$3:$E$200,2,0))</f>
        <v/>
      </c>
      <c r="AE4" s="54" t="str">
        <f ca="1">IF(ISNA(VLOOKUP(X4,Tableau1[[#All],[Colonne1]:[ouvrés]],3,FALSE)),"",VLOOKUP(X4,Tableau1[[#All],[Colonne1]:[ouvrés]],3,FALSE))</f>
        <v/>
      </c>
      <c r="AF4" s="54" t="str">
        <f t="shared" si="5"/>
        <v xml:space="preserve">  </v>
      </c>
      <c r="AG4" s="41">
        <f t="shared" ref="AG4:AG33" si="30">AH4</f>
        <v>42827</v>
      </c>
      <c r="AH4" s="42">
        <f>AH3+1</f>
        <v>42827</v>
      </c>
      <c r="AI4" s="137" t="str">
        <f>IF(AH4="","",IF(ISERROR(MATCH(AH4,Lune!$A$1:$A$1000,0)),IF(WEEKDAY(AH4)=5,INT((AH4-DATE(YEAR(AH4),1,1))/7+1),IF(AND(WEEKDAY(AH4)=4,NOT( ISERROR(MATCH(AH4+1,Lune!$A$1:$A$1000,0)))),INT((AH4+1-DATE(YEAR(AH4+1),1,1))/7+1),"")),INDEX(Lune!$B$1:$B$1000,MATCH(AH4,Lune!$A$1:$A$1000,0),1)))</f>
        <v/>
      </c>
      <c r="AJ4" s="80" t="str">
        <f t="shared" ca="1" si="6"/>
        <v/>
      </c>
      <c r="AK4" s="54" t="str">
        <f ca="1">IF(ISERROR(VLOOKUP(AH4,anniversaire!$X$2:$Z$100,2,0)),"",VLOOKUP(AH4,anniversaire!$X$2:$Z$100,2,0))</f>
        <v/>
      </c>
      <c r="AL4" s="54" t="str">
        <f>IF(ISERROR(VLOOKUP(AH4,fête!$B$2:$C$367,2,0)),"",VLOOKUP(AH4,fête!$B$2:$C$367,2,0))</f>
        <v>Sandrine</v>
      </c>
      <c r="AM4" s="54" t="str">
        <f>IF(ISERROR(VLOOKUP(AH4,évènements!$A$3:$E$200,3,0)),"",VLOOKUP(AH4,évènements!$A$3:$E$200,3,0))</f>
        <v/>
      </c>
      <c r="AN4" s="54" t="str">
        <f>IF(ISERROR(VLOOKUP(AH4,évènements!$B$3:$E$200,2,0)),"",VLOOKUP(AH4,évènements!$B$3:$E$200,2,0))</f>
        <v/>
      </c>
      <c r="AO4" s="54" t="str">
        <f ca="1">IF(ISNA(VLOOKUP(AH4,Tableau1[[#All],[Colonne1]:[ouvrés]],3,FALSE)),"",VLOOKUP(AH4,Tableau1[[#All],[Colonne1]:[ouvrés]],3,FALSE))</f>
        <v/>
      </c>
      <c r="AP4" s="238" t="str">
        <f t="shared" si="7"/>
        <v xml:space="preserve">  </v>
      </c>
      <c r="AQ4" s="41">
        <f t="shared" ref="AQ4:AQ33" si="31">AR4</f>
        <v>42857</v>
      </c>
      <c r="AR4" s="42">
        <f>AR3+1</f>
        <v>42857</v>
      </c>
      <c r="AS4" s="43" t="str">
        <f>IF(AR4="","",IF(ISERROR(MATCH(AR4,Lune!$A$1:$A$1000,0)),IF(WEEKDAY(AR4)=5,INT((AR4-DATE(YEAR(AR4),1,1))/7+1),IF(AND(WEEKDAY(AR4)=4,NOT( ISERROR(MATCH(AR4+1,Lune!$A$1:$A$1000,0)))),INT((AR4+1-DATE(YEAR(AR4+1),1,1))/7+1),"")),INDEX(Lune!$B$1:$B$1000,MATCH(AR4,Lune!$A$1:$A$1000,0),1)))</f>
        <v/>
      </c>
      <c r="AT4" s="79" t="str">
        <f t="shared" ca="1" si="8"/>
        <v/>
      </c>
      <c r="AU4" s="54" t="str">
        <f ca="1">IF(ISERROR(VLOOKUP(AR4,anniversaire!$X$2:$Z$100,2,0)),"",VLOOKUP(AR4,anniversaire!$X$2:$Z$100,2,0))</f>
        <v/>
      </c>
      <c r="AV4" s="54" t="str">
        <f>IF(ISERROR(VLOOKUP(AR4,fête!$B$2:$C$367,2,0)),"",VLOOKUP(AR4,fête!$B$2:$C$367,2,0))</f>
        <v>Boris</v>
      </c>
      <c r="AW4" s="238" t="str">
        <f>IF(ISERROR(VLOOKUP(AR4,évènements!$A$3:$E$200,3,0)),"",VLOOKUP(AR4,évènements!$A$3:$E$200,3,0))</f>
        <v/>
      </c>
      <c r="AX4" s="238" t="str">
        <f>IF(ISERROR(VLOOKUP(AR4,évènements!$B$3:$E$200,2,0)),"",VLOOKUP(AR4,évènements!$B$3:$E$200,2,0))</f>
        <v/>
      </c>
      <c r="AY4" s="238" t="str">
        <f ca="1">IF(ISNA(VLOOKUP(AR4,Tableau1[[#All],[Colonne1]:[ouvrés]],3,FALSE)),"",VLOOKUP(AR4,Tableau1[[#All],[Colonne1]:[ouvrés]],3,FALSE))</f>
        <v/>
      </c>
      <c r="AZ4" s="238" t="str">
        <f t="shared" si="9"/>
        <v xml:space="preserve">  </v>
      </c>
      <c r="BA4" s="41">
        <f t="shared" ref="BA4:BA33" si="32">BB4</f>
        <v>42888</v>
      </c>
      <c r="BB4" s="42">
        <f>BB3+1</f>
        <v>42888</v>
      </c>
      <c r="BC4" s="43" t="str">
        <f>IF(BB4="","",IF(ISERROR(MATCH(BB4,Lune!$A$1:$A$1000,0)),IF(WEEKDAY(BB4)=5,INT((BB4-DATE(YEAR(BB4),1,1))/7+1),IF(AND(WEEKDAY(BB4)=4,NOT( ISERROR(MATCH(BB4+1,Lune!$A$1:$A$1000,0)))),INT((BB4+1-DATE(YEAR(BB4+1),1,1))/7+1),"")),INDEX(Lune!$B$1:$B$1000,MATCH(BB4,Lune!$A$1:$A$1000,0),1)))</f>
        <v/>
      </c>
      <c r="BD4" s="79" t="str">
        <f t="shared" ca="1" si="10"/>
        <v/>
      </c>
      <c r="BE4" s="54" t="str">
        <f ca="1">IF(ISERROR(VLOOKUP(BB4,anniversaire!$X$2:$Z$100,2,0)),"",VLOOKUP(BB4,anniversaire!$X$2:$Z$100,2,0))</f>
        <v/>
      </c>
      <c r="BF4" s="54" t="str">
        <f>IF(ISERROR(VLOOKUP(BB4,fête!$B$2:$C$367,2,0)),"",VLOOKUP(BB4,fête!$B$2:$C$367,2,0))</f>
        <v>Blandine</v>
      </c>
      <c r="BG4" s="54" t="str">
        <f>IF(ISERROR(VLOOKUP(BB4,évènements!$A$3:$E$200,3,0)),"",VLOOKUP(BB4,évènements!$A$3:$E$200,3,0))</f>
        <v/>
      </c>
      <c r="BH4" s="54" t="str">
        <f>IF(ISERROR(VLOOKUP(BB4,évènements!$B$3:$E$200,2,0)),"",VLOOKUP(BB4,évènements!$B$3:$E$200,2,0))</f>
        <v/>
      </c>
      <c r="BI4" s="54" t="str">
        <f ca="1">IF(ISNA(VLOOKUP(BB4,Tableau1[[#All],[Colonne1]:[ouvrés]],3,FALSE)),"",VLOOKUP(BB4,Tableau1[[#All],[Colonne1]:[ouvrés]],3,FALSE))</f>
        <v/>
      </c>
      <c r="BJ4" s="54" t="str">
        <f t="shared" si="11"/>
        <v xml:space="preserve">  </v>
      </c>
      <c r="BK4" s="41">
        <f t="shared" ref="BK4:BK33" si="33">BL4</f>
        <v>42918</v>
      </c>
      <c r="BL4" s="42">
        <f>BL3+1</f>
        <v>42918</v>
      </c>
      <c r="BM4" s="43" t="str">
        <f>IF(BL4="","",IF(ISERROR(MATCH(BL4,Lune!$A$1:$A$1000,0)),IF(WEEKDAY(BL4)=5,INT((BL4-DATE(YEAR(BL4),1,1))/7+1),IF(AND(WEEKDAY(BL4)=4,NOT( ISERROR(MATCH(BL4+1,Lune!$A$1:$A$1000,0)))),INT((BL4+1-DATE(YEAR(BL4+1),1,1))/7+1),"")),INDEX(Lune!$B$1:$B$1000,MATCH(BL4,Lune!$A$1:$A$1000,0),1)))</f>
        <v/>
      </c>
      <c r="BN4" s="80" t="str">
        <f t="shared" ca="1" si="12"/>
        <v/>
      </c>
      <c r="BO4" s="54" t="str">
        <f ca="1">IF(ISERROR(VLOOKUP(BL4,anniversaire!$X$2:$Z$100,2,0)),"",VLOOKUP(BL4,anniversaire!$X$2:$Z$100,2,0))</f>
        <v/>
      </c>
      <c r="BP4" s="54" t="str">
        <f>IF(ISERROR(VLOOKUP(BL4,fête!$B$2:$C$367,2,0)),"",VLOOKUP(BL4,fête!$B$2:$C$367,2,0))</f>
        <v>Martinien</v>
      </c>
      <c r="BQ4" s="54" t="str">
        <f>IF(ISERROR(VLOOKUP(BL4,évènements!$A$3:$E$200,3,0)),"",VLOOKUP(BL4,évènements!$A$3:$E$200,3,0))</f>
        <v/>
      </c>
      <c r="BR4" s="54" t="str">
        <f>IF(ISERROR(VLOOKUP(BL4,évènements!$B$3:$E$200,2,0)),"",VLOOKUP(BL4,évènements!$B$3:$E$200,2,0))</f>
        <v/>
      </c>
      <c r="BS4" s="54" t="str">
        <f ca="1">IF(ISNA(VLOOKUP(BL4,Tableau1[[#All],[Colonne1]:[ouvrés]],3,FALSE)),"",VLOOKUP(BL4,Tableau1[[#All],[Colonne1]:[ouvrés]],3,FALSE))</f>
        <v/>
      </c>
      <c r="BT4" s="54" t="str">
        <f t="shared" ref="BT4:BT33" si="34">CONCATENATE(BQ4,"  ",BR4)</f>
        <v xml:space="preserve">  </v>
      </c>
      <c r="BU4" s="41">
        <f t="shared" ref="BU4:BU33" si="35">BV4</f>
        <v>42949</v>
      </c>
      <c r="BV4" s="42">
        <f>BV3+1</f>
        <v>42949</v>
      </c>
      <c r="BW4" s="43" t="str">
        <f>IF(BV4="","",IF(ISERROR(MATCH(BV4,Lune!$A$1:$A$1000,0)),IF(WEEKDAY(BV4)=5,INT((BV4-DATE(YEAR(BV4),1,1))/7+1),IF(AND(WEEKDAY(BV4)=4,NOT( ISERROR(MATCH(BV4+1,Lune!$A$1:$A$1000,0)))),INT((BV4+1-DATE(YEAR(BV4+1),1,1))/7+1),"")),INDEX(Lune!$B$1:$B$1000,MATCH(BV4,Lune!$A$1:$A$1000,0),1)))</f>
        <v/>
      </c>
      <c r="BX4" s="80" t="str">
        <f t="shared" ca="1" si="13"/>
        <v/>
      </c>
      <c r="BY4" s="54" t="str">
        <f ca="1">IF(ISERROR(VLOOKUP(BV4,anniversaire!$X$2:$Z$100,2,0)),"",VLOOKUP(BV4,anniversaire!$X$2:$Z$100,2,0))</f>
        <v/>
      </c>
      <c r="BZ4" s="54" t="str">
        <f>IF(ISERROR(VLOOKUP(BV4,fête!$B$2:$C$367,2,0)),"",VLOOKUP(BV4,fête!$B$2:$C$367,2,0))</f>
        <v>Julien Eymard</v>
      </c>
      <c r="CA4" s="54" t="str">
        <f>IF(ISERROR(VLOOKUP(BV4,évènements!$A$3:$E$200,3,0)),"",VLOOKUP(BV4,évènements!$A$3:$E$200,3,0))</f>
        <v/>
      </c>
      <c r="CB4" s="54" t="str">
        <f>IF(ISERROR(VLOOKUP(BV4,évènements!$B$3:$E$200,2,0)),"",VLOOKUP(BV4,évènements!$B$3:$E$200,2,0))</f>
        <v/>
      </c>
      <c r="CC4" s="54" t="str">
        <f ca="1">IF(ISNA(VLOOKUP(BV4,Tableau1[[#All],[Colonne1]:[ouvrés]],3,FALSE)),"",VLOOKUP(BV4,Tableau1[[#All],[Colonne1]:[ouvrés]],3,FALSE))</f>
        <v/>
      </c>
      <c r="CD4" s="54" t="str">
        <f t="shared" si="14"/>
        <v xml:space="preserve">  </v>
      </c>
      <c r="CE4" s="41">
        <f t="shared" ref="CE4:CE33" si="36">CF4</f>
        <v>42980</v>
      </c>
      <c r="CF4" s="42">
        <f>CF3+1</f>
        <v>42980</v>
      </c>
      <c r="CG4" s="43" t="str">
        <f>IF(CF4="","",IF(ISERROR(MATCH(CF4,Lune!$A$1:$A$1000,0)),IF(WEEKDAY(CF4)=5,INT((CF4-DATE(YEAR(CF4),1,1))/7+1),IF(AND(WEEKDAY(CF4)=4,NOT( ISERROR(MATCH(CF4+1,Lune!$A$1:$A$1000,0)))),INT((CF4+1-DATE(YEAR(CF4+1),1,1))/7+1),"")),INDEX(Lune!$B$1:$B$1000,MATCH(CF4,Lune!$A$1:$A$1000,0),1)))</f>
        <v/>
      </c>
      <c r="CH4" s="80" t="str">
        <f t="shared" ca="1" si="15"/>
        <v/>
      </c>
      <c r="CI4" s="54" t="str">
        <f ca="1">IF(ISERROR(VLOOKUP(CF4,anniversaire!$X$2:$Z$100,2,0)),"",VLOOKUP(CF4,anniversaire!$X$2:$Z$100,2,0))</f>
        <v/>
      </c>
      <c r="CJ4" s="54" t="str">
        <f>IF(ISERROR(VLOOKUP(CF4,fête!$B$2:$C$367,2,0)),"",VLOOKUP(CF4,fête!$B$2:$C$367,2,0))</f>
        <v>Ingrid</v>
      </c>
      <c r="CK4" s="54" t="str">
        <f>IF(ISERROR(VLOOKUP(CF4,évènements!$A$3:$E$200,3,0)),"",VLOOKUP(CF4,évènements!$A$3:$E$200,3,0))</f>
        <v/>
      </c>
      <c r="CL4" s="54" t="str">
        <f>IF(ISERROR(VLOOKUP(CF4,évènements!$B$3:$E$200,2,0)),"",VLOOKUP(CF4,évènements!$B$3:$E$200,2,0))</f>
        <v/>
      </c>
      <c r="CM4" s="54" t="str">
        <f ca="1">IF(ISNA(VLOOKUP(CF4,Tableau1[[#All],[Colonne1]:[ouvrés]],3,FALSE)),"",VLOOKUP(CF4,Tableau1[[#All],[Colonne1]:[ouvrés]],3,FALSE))</f>
        <v/>
      </c>
      <c r="CN4" s="54" t="str">
        <f t="shared" si="16"/>
        <v xml:space="preserve">  </v>
      </c>
      <c r="CO4" s="41">
        <f t="shared" ref="CO4:CO33" si="37">CP4</f>
        <v>43010</v>
      </c>
      <c r="CP4" s="42">
        <f>CP3+1</f>
        <v>43010</v>
      </c>
      <c r="CQ4" s="43" t="str">
        <f>IF(CP4="","",IF(ISERROR(MATCH(CP4,Lune!$A$1:$A$1000,0)),IF(WEEKDAY(CP4)=5,INT((CP4-DATE(YEAR(CP4),1,1))/7+1),IF(AND(WEEKDAY(CP4)=4,NOT( ISERROR(MATCH(CP4+1,Lune!$A$1:$A$1000,0)))),INT((CP4+1-DATE(YEAR(CP4+1),1,1))/7+1),"")),INDEX(Lune!$B$1:$B$1000,MATCH(CP4,Lune!$A$1:$A$1000,0),1)))</f>
        <v/>
      </c>
      <c r="CR4" s="80" t="str">
        <f t="shared" ca="1" si="17"/>
        <v/>
      </c>
      <c r="CS4" s="54" t="str">
        <f ca="1">IF(ISERROR(VLOOKUP(CP4,anniversaire!$X$2:$Z$100,2,0)),"",VLOOKUP(CP4,anniversaire!$X$2:$Z$100,2,0))</f>
        <v/>
      </c>
      <c r="CT4" s="54" t="str">
        <f>IF(ISERROR(VLOOKUP(CP4,fête!$B$2:$C$367,2,0)),"",VLOOKUP(CP4,fête!$B$2:$C$367,2,0))</f>
        <v>Léger</v>
      </c>
      <c r="CU4" s="54" t="str">
        <f>IF(ISERROR(VLOOKUP(CP4,évènements!$A$3:$E$200,3,0)),"",VLOOKUP(CP4,évènements!$A$3:$E$200,3,0))</f>
        <v/>
      </c>
      <c r="CV4" s="54" t="str">
        <f>IF(ISERROR(VLOOKUP(CP4,évènements!$B$3:$E$200,2,0)),"",VLOOKUP(CP4,évènements!$B$3:$E$200,2,0))</f>
        <v/>
      </c>
      <c r="CW4" s="54" t="str">
        <f ca="1">IF(ISNA(VLOOKUP(CP4,Tableau1[[#All],[Colonne1]:[ouvrés]],3,FALSE)),"",VLOOKUP(CP4,Tableau1[[#All],[Colonne1]:[ouvrés]],3,FALSE))</f>
        <v/>
      </c>
      <c r="CX4" s="54" t="str">
        <f t="shared" si="18"/>
        <v xml:space="preserve">  </v>
      </c>
      <c r="CY4" s="41">
        <f t="shared" ref="CY4:CY33" si="38">CZ4</f>
        <v>43041</v>
      </c>
      <c r="CZ4" s="42">
        <f>CZ3+1</f>
        <v>43041</v>
      </c>
      <c r="DA4" s="43">
        <f>IF(CZ4="","",IF(ISERROR(MATCH(CZ4,Lune!$A$1:$A$1000,0)),IF(WEEKDAY(CZ4)=5,INT((CZ4-DATE(YEAR(CZ4),1,1))/7+1),IF(AND(WEEKDAY(CZ4)=4,NOT( ISERROR(MATCH(CZ4+1,Lune!$A$1:$A$1000,0)))),INT((CZ4+1-DATE(YEAR(CZ4+1),1,1))/7+1),"")),INDEX(Lune!$B$1:$B$1000,MATCH(CZ4,Lune!$A$1:$A$1000,0),1)))</f>
        <v>44</v>
      </c>
      <c r="DB4" s="80" t="str">
        <f t="shared" ca="1" si="19"/>
        <v/>
      </c>
      <c r="DC4" s="54" t="str">
        <f ca="1">IF(ISERROR(VLOOKUP(CZ4,anniversaire!$X$2:$Z$100,2,0)),"",VLOOKUP(CZ4,anniversaire!$X$2:$Z$100,2,0))</f>
        <v/>
      </c>
      <c r="DD4" s="54" t="str">
        <f>IF(ISERROR(VLOOKUP(CZ4,fête!$B$2:$C$367,2,0)),"",VLOOKUP(CZ4,fête!$B$2:$C$367,2,0))</f>
        <v>Défunts</v>
      </c>
      <c r="DE4" s="54" t="str">
        <f>IF(ISERROR(VLOOKUP(CZ4,évènements!$A$3:$E$200,3,0)),"",VLOOKUP(CZ4,évènements!$A$3:$E$200,3,0))</f>
        <v/>
      </c>
      <c r="DF4" s="54" t="str">
        <f>IF(ISERROR(VLOOKUP(CZ4,évènements!$B$3:$E$200,2,0)),"",VLOOKUP(CZ4,évènements!$B$3:$E$200,2,0))</f>
        <v/>
      </c>
      <c r="DG4" s="54"/>
      <c r="DH4" s="54" t="str">
        <f t="shared" si="20"/>
        <v xml:space="preserve">  </v>
      </c>
      <c r="DI4" s="41">
        <f t="shared" ref="DI4:DI33" si="39">DJ4</f>
        <v>43071</v>
      </c>
      <c r="DJ4" s="42">
        <f>DJ3+1</f>
        <v>43071</v>
      </c>
      <c r="DK4" s="43" t="str">
        <f>IF(DJ4="","",IF(ISERROR(MATCH(DJ4,Lune!$A$1:$A$1000,0)),IF(WEEKDAY(DJ4)=5,INT((DJ4-DATE(YEAR(DJ4),1,1))/7+1),IF(AND(WEEKDAY(DJ4)=4,NOT( ISERROR(MATCH(DJ4+1,Lune!$A$1:$A$1000,0)))),INT((DJ4+1-DATE(YEAR(DJ4+1),1,1))/7+1),"")),INDEX(Lune!$B$1:$B$1000,MATCH(DJ4,Lune!$A$1:$A$1000,0),1)))</f>
        <v/>
      </c>
      <c r="DL4" s="80" t="str">
        <f t="shared" ca="1" si="21"/>
        <v/>
      </c>
      <c r="DM4" s="54" t="str">
        <f ca="1">IF(ISERROR(VLOOKUP(DJ4,anniversaire!$X$2:$Z$100,2,0)),"",VLOOKUP(DJ4,anniversaire!$X$2:$Z$100,2,0))</f>
        <v/>
      </c>
      <c r="DN4" s="54" t="str">
        <f>IF(ISERROR(VLOOKUP(DJ4,fête!$B$2:$C$367,2,0)),"",VLOOKUP(DJ4,fête!$B$2:$C$367,2,0))</f>
        <v>Viviane</v>
      </c>
      <c r="DO4" s="54" t="str">
        <f>IF(ISERROR(VLOOKUP(DJ4,évènements!$A$3:$E$200,3,0)),"",VLOOKUP(DJ4,évènements!$A$3:$E$200,3,0))</f>
        <v/>
      </c>
      <c r="DP4" s="54" t="str">
        <f>IF(ISERROR(VLOOKUP(DJ4,évènements!$B$3:$E$200,2,0)),"",VLOOKUP(DJ4,évènements!$B$3:$E$200,2,0))</f>
        <v/>
      </c>
      <c r="DQ4" s="54" t="str">
        <f ca="1">IF(ISNA(VLOOKUP(DJ4,Tableau1[[#All],[Colonne1]:[ouvrés]],3,FALSE)),"",VLOOKUP(DJ4,Tableau1[[#All],[Colonne1]:[ouvrés]],3,FALSE))</f>
        <v/>
      </c>
      <c r="DR4" s="54" t="str">
        <f t="shared" si="22"/>
        <v xml:space="preserve">  </v>
      </c>
      <c r="DS4" s="41">
        <f t="shared" ref="DS4:DS33" si="40">DT4</f>
        <v>43102</v>
      </c>
      <c r="DT4" s="42">
        <f>DT3+1</f>
        <v>43102</v>
      </c>
      <c r="DU4" s="43" t="str">
        <f>IF(DT4="","",IF(ISERROR(MATCH(DT4,Lune!$A$1:$A$1000,0)),IF(WEEKDAY(DT4)=5,INT((DT4-DATE(YEAR(DT4),1,1))/7+1),IF(AND(WEEKDAY(DT4)=4,NOT( ISERROR(MATCH(DT4+1,Lune!$A$1:$A$1000,0)))),INT((DT4+1-DATE(YEAR(DT4+1),1,1))/7+1),"")),INDEX(Lune!$B$1:$B$1000,MATCH(DT4,Lune!$A$1:$A$1000,0),1)))</f>
        <v>○</v>
      </c>
      <c r="DV4" s="89" t="str">
        <f t="shared" ca="1" si="23"/>
        <v xml:space="preserve"> '</v>
      </c>
      <c r="DW4" s="252" t="str">
        <f t="shared" ca="1" si="24"/>
        <v>boireau  louane    1</v>
      </c>
      <c r="DX4" s="252" t="str">
        <f t="shared" si="25"/>
        <v>Basile</v>
      </c>
      <c r="DY4" s="252" t="str">
        <f>IF(ISERROR(VLOOKUP(DT4,évènements!$A$3:$E$200,3,0)),"",VLOOKUP(DT4,évènements!$A$3:$E$200,3,0))</f>
        <v/>
      </c>
      <c r="DZ4" s="252" t="str">
        <f>IF(ISERROR(VLOOKUP(DT4,évènements!$B$3:$E$200,2,0)),"",VLOOKUP(DT4,évènements!$B$3:$E$200,2,0))</f>
        <v/>
      </c>
      <c r="EA4" s="252" t="str">
        <f ca="1">IF(ISNA(VLOOKUP(DT4,Tableau1[[#All],[Colonne1]:[ouvrés]],3,FALSE)),"",VLOOKUP(DT4,Tableau1[[#All],[Colonne1]:[ouvrés]],3,FALSE))</f>
        <v/>
      </c>
      <c r="EB4" s="252" t="str">
        <f t="shared" si="26"/>
        <v xml:space="preserve">  </v>
      </c>
    </row>
    <row r="5" spans="2:132" ht="15" customHeight="1" x14ac:dyDescent="0.25">
      <c r="B5" s="46"/>
      <c r="C5" s="41">
        <f t="shared" si="27"/>
        <v>42738</v>
      </c>
      <c r="D5" s="40">
        <f t="shared" ref="D5:D30" si="41">D4+1</f>
        <v>42738</v>
      </c>
      <c r="E5" s="131" t="str">
        <f>IF(D5="","",IF(ISERROR(MATCH(D5,Lune!$A$1:$A$1000,0)),IF(WEEKDAY(D5)=5,INT((D5-DATE(YEAR(D5),1,1))/7+1),IF(AND(WEEKDAY(D5)=4,NOT( ISERROR(MATCH(D5+1,Lune!$A$1:$A$1000,0)))),INT((D5+1-DATE(YEAR(D5+1),1,1))/7+1),"")),INDEX(Lune!$B$1:$B$1000,MATCH(D5,Lune!$A$1:$A$1000,0),1)))</f>
        <v/>
      </c>
      <c r="F5" s="89" t="str">
        <f t="shared" ca="1" si="0"/>
        <v/>
      </c>
      <c r="G5" s="125" t="str">
        <f ca="1">IF(ISERROR(VLOOKUP(D5,anniversaire!$X$2:$Z$100,2,0)),"",VLOOKUP(D5,anniversaire!$X$2:$Z$100,2,0))</f>
        <v/>
      </c>
      <c r="H5" s="54" t="str">
        <f>IF(ISERROR(VLOOKUP(D5,fête!$B$2:$C$367,2,0)),"",VLOOKUP(D5,fête!$B$2:$C$367,2,0))</f>
        <v>Geneviève</v>
      </c>
      <c r="I5" s="239" t="str">
        <f>IF(ISERROR(VLOOKUP(D5,évènements!$A$3:$E$200,3,0)),"",VLOOKUP(D5,évènements!$A$3:$E$200,3,0))</f>
        <v/>
      </c>
      <c r="J5" s="239" t="str">
        <f>IF(ISERROR(VLOOKUP(D5,évènements!$B$3:$E$200,2,0)),"",VLOOKUP(D5,évènements!$B$3:$E$200,2,0))</f>
        <v/>
      </c>
      <c r="K5" s="239" t="str">
        <f ca="1">IF(ISNA(VLOOKUP(D5,Tableau1[[#All],[Colonne1]:[ouvrés]],3,FALSE)),"",VLOOKUP(D5,Tableau1[[#All],[Colonne1]:[ouvrés]],3,FALSE))</f>
        <v/>
      </c>
      <c r="L5" s="239" t="str">
        <f t="shared" si="1"/>
        <v xml:space="preserve">  </v>
      </c>
      <c r="M5" s="41">
        <f t="shared" si="28"/>
        <v>42769</v>
      </c>
      <c r="N5" s="42">
        <f t="shared" ref="N5:N30" si="42">N4+1</f>
        <v>42769</v>
      </c>
      <c r="O5" s="131" t="str">
        <f>IF(N5="","",IF(ISERROR(MATCH(N5,Lune!$A$1:$A$1000,0)),IF(WEEKDAY(N5)=5,INT((N5-DATE(YEAR(N5),1,1))/7+1),IF(AND(WEEKDAY(N5)=4,NOT( ISERROR(MATCH(N5+1,Lune!$A$1:$A$1000,0)))),INT((N5+1-DATE(YEAR(N5+1),1,1))/7+1),"")),INDEX(Lune!$B$1:$B$1000,MATCH(N5,Lune!$A$1:$A$1000,0),1)))</f>
        <v/>
      </c>
      <c r="P5" s="80" t="str">
        <f t="shared" ca="1" si="2"/>
        <v/>
      </c>
      <c r="Q5" s="54" t="str">
        <f ca="1">IF(ISERROR(VLOOKUP(N5,anniversaire!$X$2:$Z$100,2,0)),"",VLOOKUP(N5,anniversaire!$X$2:$Z$100,2,0))</f>
        <v/>
      </c>
      <c r="R5" s="54" t="str">
        <f>IF(ISERROR(VLOOKUP(N5,fête!$B$2:$C$367,2,0)),"",VLOOKUP(N5,fête!$B$2:$C$367,2,0))</f>
        <v>Blaise</v>
      </c>
      <c r="S5" s="54" t="str">
        <f>IF(ISERROR(VLOOKUP(N5,évènements!$A$3:$E$200,3,0)),"",VLOOKUP(N5,évènements!$A$3:$E$200,3,0))</f>
        <v/>
      </c>
      <c r="T5" s="54" t="str">
        <f>IF(ISERROR(VLOOKUP(N5,évènements!$B$3:$E$200,2,0)),"",VLOOKUP(N5,évènements!$B$3:$E$200,2,0))</f>
        <v/>
      </c>
      <c r="U5" s="54" t="str">
        <f ca="1">IF(ISNA(VLOOKUP(N5,Tableau1[[#All],[Colonne1]:[ouvrés]],3,FALSE)),"",VLOOKUP(N5,Tableau1[[#All],[Colonne1]:[ouvrés]],3,FALSE))</f>
        <v/>
      </c>
      <c r="V5" s="54" t="str">
        <f t="shared" si="3"/>
        <v xml:space="preserve">  </v>
      </c>
      <c r="W5" s="41">
        <f t="shared" si="29"/>
        <v>42797</v>
      </c>
      <c r="X5" s="42">
        <f t="shared" ref="X5:X30" si="43">X4+1</f>
        <v>42797</v>
      </c>
      <c r="Y5" s="132" t="str">
        <f>IF(X5="","",IF(ISERROR(MATCH(X5,Lune!$A$1:$A$1000,0)),IF(WEEKDAY(X5)=5,INT((X5-DATE(YEAR(X5),1,1))/7+1),IF(AND(WEEKDAY(X5)=4,NOT( ISERROR(MATCH(X5+1,Lune!$A$1:$A$1000,0)))),INT((X5+1-DATE(YEAR(X5+1),1,1))/7+1),"")),INDEX(Lune!$B$1:$B$1000,MATCH(X5,Lune!$A$1:$A$1000,0),1)))</f>
        <v/>
      </c>
      <c r="Z5" s="89" t="str">
        <f t="shared" ca="1" si="4"/>
        <v xml:space="preserve"> '</v>
      </c>
      <c r="AA5" s="125" t="str">
        <f ca="1">IF(ISERROR(VLOOKUP(X5,anniversaire!$X$2:$Z$100,2,0)),"",VLOOKUP(X5,anniversaire!$X$2:$Z$100,2,0))</f>
        <v>Taraud  stéphanie    38</v>
      </c>
      <c r="AB5" s="54" t="str">
        <f>IF(ISERROR(VLOOKUP(X5,fête!$B$2:$C$367,2,0)),"",VLOOKUP(X5,fête!$B$2:$C$367,2,0))</f>
        <v>Guénolé</v>
      </c>
      <c r="AC5" s="54" t="str">
        <f>IF(ISERROR(VLOOKUP(X5,évènements!$A$3:$E$200,3,0)),"",VLOOKUP(X5,évènements!$A$3:$E$200,3,0))</f>
        <v/>
      </c>
      <c r="AD5" s="54" t="str">
        <f>IF(ISERROR(VLOOKUP(X5,évènements!$B$3:$E$200,2,0)),"",VLOOKUP(X5,évènements!$B$3:$E$200,2,0))</f>
        <v/>
      </c>
      <c r="AE5" s="54" t="str">
        <f ca="1">IF(ISNA(VLOOKUP(X5,Tableau1[[#All],[Colonne1]:[ouvrés]],3,FALSE)),"",VLOOKUP(X5,Tableau1[[#All],[Colonne1]:[ouvrés]],3,FALSE))</f>
        <v/>
      </c>
      <c r="AF5" s="54" t="str">
        <f t="shared" si="5"/>
        <v xml:space="preserve">  </v>
      </c>
      <c r="AG5" s="41">
        <f t="shared" si="30"/>
        <v>42828</v>
      </c>
      <c r="AH5" s="42">
        <f t="shared" ref="AH5:AH30" si="44">AH4+1</f>
        <v>42828</v>
      </c>
      <c r="AI5" s="137" t="str">
        <f>IF(AH5="","",IF(ISERROR(MATCH(AH5,Lune!$A$1:$A$1000,0)),IF(WEEKDAY(AH5)=5,INT((AH5-DATE(YEAR(AH5),1,1))/7+1),IF(AND(WEEKDAY(AH5)=4,NOT( ISERROR(MATCH(AH5+1,Lune!$A$1:$A$1000,0)))),INT((AH5+1-DATE(YEAR(AH5+1),1,1))/7+1),"")),INDEX(Lune!$B$1:$B$1000,MATCH(AH5,Lune!$A$1:$A$1000,0),1)))</f>
        <v>◐</v>
      </c>
      <c r="AJ5" s="80" t="str">
        <f t="shared" ca="1" si="6"/>
        <v/>
      </c>
      <c r="AK5" s="54" t="str">
        <f ca="1">IF(ISERROR(VLOOKUP(AH5,anniversaire!$X$2:$Z$100,2,0)),"",VLOOKUP(AH5,anniversaire!$X$2:$Z$100,2,0))</f>
        <v/>
      </c>
      <c r="AL5" s="54" t="str">
        <f>IF(ISERROR(VLOOKUP(AH5,fête!$B$2:$C$367,2,0)),"",VLOOKUP(AH5,fête!$B$2:$C$367,2,0))</f>
        <v>Richard</v>
      </c>
      <c r="AM5" s="54" t="str">
        <f>IF(ISERROR(VLOOKUP(AH5,évènements!$A$3:$E$200,3,0)),"",VLOOKUP(AH5,évènements!$A$3:$E$200,3,0))</f>
        <v/>
      </c>
      <c r="AN5" s="54" t="str">
        <f>IF(ISERROR(VLOOKUP(AH5,évènements!$B$3:$E$200,2,0)),"",VLOOKUP(AH5,évènements!$B$3:$E$200,2,0))</f>
        <v/>
      </c>
      <c r="AO5" s="54" t="str">
        <f ca="1">IF(ISNA(VLOOKUP(AH5,Tableau1[[#All],[Colonne1]:[ouvrés]],3,FALSE)),"",VLOOKUP(AH5,Tableau1[[#All],[Colonne1]:[ouvrés]],3,FALSE))</f>
        <v/>
      </c>
      <c r="AP5" s="238" t="str">
        <f t="shared" si="7"/>
        <v xml:space="preserve">  </v>
      </c>
      <c r="AQ5" s="41">
        <f t="shared" si="31"/>
        <v>42858</v>
      </c>
      <c r="AR5" s="42">
        <f t="shared" ref="AR5:AR30" si="45">AR4+1</f>
        <v>42858</v>
      </c>
      <c r="AS5" s="43" t="str">
        <f>IF(AR5="","",IF(ISERROR(MATCH(AR5,Lune!$A$1:$A$1000,0)),IF(WEEKDAY(AR5)=5,INT((AR5-DATE(YEAR(AR5),1,1))/7+1),IF(AND(WEEKDAY(AR5)=4,NOT( ISERROR(MATCH(AR5+1,Lune!$A$1:$A$1000,0)))),INT((AR5+1-DATE(YEAR(AR5+1),1,1))/7+1),"")),INDEX(Lune!$B$1:$B$1000,MATCH(AR5,Lune!$A$1:$A$1000,0),1)))</f>
        <v>◐</v>
      </c>
      <c r="AT5" s="79" t="str">
        <f t="shared" ca="1" si="8"/>
        <v/>
      </c>
      <c r="AU5" s="54" t="str">
        <f ca="1">IF(ISERROR(VLOOKUP(AR5,anniversaire!$X$2:$Z$100,2,0)),"",VLOOKUP(AR5,anniversaire!$X$2:$Z$100,2,0))</f>
        <v/>
      </c>
      <c r="AV5" s="54" t="str">
        <f>IF(ISERROR(VLOOKUP(AR5,fête!$B$2:$C$367,2,0)),"",VLOOKUP(AR5,fête!$B$2:$C$367,2,0))</f>
        <v>Philippe, Jacques</v>
      </c>
      <c r="AW5" s="238" t="str">
        <f>IF(ISERROR(VLOOKUP(AR5,évènements!$A$3:$E$200,3,0)),"",VLOOKUP(AR5,évènements!$A$3:$E$200,3,0))</f>
        <v/>
      </c>
      <c r="AX5" s="238" t="str">
        <f>IF(ISERROR(VLOOKUP(AR5,évènements!$B$3:$E$200,2,0)),"",VLOOKUP(AR5,évènements!$B$3:$E$200,2,0))</f>
        <v/>
      </c>
      <c r="AY5" s="238" t="str">
        <f ca="1">IF(ISNA(VLOOKUP(AR5,Tableau1[[#All],[Colonne1]:[ouvrés]],3,FALSE)),"",VLOOKUP(AR5,Tableau1[[#All],[Colonne1]:[ouvrés]],3,FALSE))</f>
        <v/>
      </c>
      <c r="AZ5" s="238" t="str">
        <f t="shared" si="9"/>
        <v xml:space="preserve">  </v>
      </c>
      <c r="BA5" s="41">
        <f t="shared" si="32"/>
        <v>42889</v>
      </c>
      <c r="BB5" s="42">
        <f t="shared" ref="BB5:BB30" si="46">BB4+1</f>
        <v>42889</v>
      </c>
      <c r="BC5" s="43" t="str">
        <f>IF(BB5="","",IF(ISERROR(MATCH(BB5,Lune!$A$1:$A$1000,0)),IF(WEEKDAY(BB5)=5,INT((BB5-DATE(YEAR(BB5),1,1))/7+1),IF(AND(WEEKDAY(BB5)=4,NOT( ISERROR(MATCH(BB5+1,Lune!$A$1:$A$1000,0)))),INT((BB5+1-DATE(YEAR(BB5+1),1,1))/7+1),"")),INDEX(Lune!$B$1:$B$1000,MATCH(BB5,Lune!$A$1:$A$1000,0),1)))</f>
        <v/>
      </c>
      <c r="BD5" s="79" t="str">
        <f t="shared" ca="1" si="10"/>
        <v/>
      </c>
      <c r="BE5" s="54" t="str">
        <f ca="1">IF(ISERROR(VLOOKUP(BB5,anniversaire!$X$2:$Z$100,2,0)),"",VLOOKUP(BB5,anniversaire!$X$2:$Z$100,2,0))</f>
        <v/>
      </c>
      <c r="BF5" s="54" t="str">
        <f>IF(ISERROR(VLOOKUP(BB5,fête!$B$2:$C$367,2,0)),"",VLOOKUP(BB5,fête!$B$2:$C$367,2,0))</f>
        <v>Kévin</v>
      </c>
      <c r="BG5" s="54" t="str">
        <f>IF(ISERROR(VLOOKUP(BB5,évènements!$A$3:$E$200,3,0)),"",VLOOKUP(BB5,évènements!$A$3:$E$200,3,0))</f>
        <v/>
      </c>
      <c r="BH5" s="54" t="str">
        <f>IF(ISERROR(VLOOKUP(BB5,évènements!$B$3:$E$200,2,0)),"",VLOOKUP(BB5,évènements!$B$3:$E$200,2,0))</f>
        <v/>
      </c>
      <c r="BI5" s="54" t="str">
        <f ca="1">IF(ISNA(VLOOKUP(BB5,Tableau1[[#All],[Colonne1]:[ouvrés]],3,FALSE)),"",VLOOKUP(BB5,Tableau1[[#All],[Colonne1]:[ouvrés]],3,FALSE))</f>
        <v/>
      </c>
      <c r="BJ5" s="54" t="str">
        <f t="shared" si="11"/>
        <v xml:space="preserve">  </v>
      </c>
      <c r="BK5" s="41">
        <f t="shared" si="33"/>
        <v>42919</v>
      </c>
      <c r="BL5" s="42">
        <f t="shared" ref="BL5:BL30" si="47">BL4+1</f>
        <v>42919</v>
      </c>
      <c r="BM5" s="43" t="str">
        <f>IF(BL5="","",IF(ISERROR(MATCH(BL5,Lune!$A$1:$A$1000,0)),IF(WEEKDAY(BL5)=5,INT((BL5-DATE(YEAR(BL5),1,1))/7+1),IF(AND(WEEKDAY(BL5)=4,NOT( ISERROR(MATCH(BL5+1,Lune!$A$1:$A$1000,0)))),INT((BL5+1-DATE(YEAR(BL5+1),1,1))/7+1),"")),INDEX(Lune!$B$1:$B$1000,MATCH(BL5,Lune!$A$1:$A$1000,0),1)))</f>
        <v/>
      </c>
      <c r="BN5" s="80" t="str">
        <f t="shared" ca="1" si="12"/>
        <v/>
      </c>
      <c r="BO5" s="54" t="str">
        <f ca="1">IF(ISERROR(VLOOKUP(BL5,anniversaire!$X$2:$Z$100,2,0)),"",VLOOKUP(BL5,anniversaire!$X$2:$Z$100,2,0))</f>
        <v/>
      </c>
      <c r="BP5" s="54" t="str">
        <f>IF(ISERROR(VLOOKUP(BL5,fête!$B$2:$C$367,2,0)),"",VLOOKUP(BL5,fête!$B$2:$C$367,2,0))</f>
        <v>Thomas</v>
      </c>
      <c r="BQ5" s="54" t="str">
        <f>IF(ISERROR(VLOOKUP(BL5,évènements!$A$3:$E$200,3,0)),"",VLOOKUP(BL5,évènements!$A$3:$E$200,3,0))</f>
        <v/>
      </c>
      <c r="BR5" s="54" t="str">
        <f>IF(ISERROR(VLOOKUP(BL5,évènements!$B$3:$E$200,2,0)),"",VLOOKUP(BL5,évènements!$B$3:$E$200,2,0))</f>
        <v/>
      </c>
      <c r="BS5" s="54" t="str">
        <f ca="1">IF(ISNA(VLOOKUP(BL5,Tableau1[[#All],[Colonne1]:[ouvrés]],3,FALSE)),"",VLOOKUP(BL5,Tableau1[[#All],[Colonne1]:[ouvrés]],3,FALSE))</f>
        <v/>
      </c>
      <c r="BT5" s="54" t="str">
        <f t="shared" si="34"/>
        <v xml:space="preserve">  </v>
      </c>
      <c r="BU5" s="41">
        <f t="shared" si="35"/>
        <v>42950</v>
      </c>
      <c r="BV5" s="42">
        <f t="shared" ref="BV5:BV30" si="48">BV4+1</f>
        <v>42950</v>
      </c>
      <c r="BW5" s="43">
        <f>IF(BV5="","",IF(ISERROR(MATCH(BV5,Lune!$A$1:$A$1000,0)),IF(WEEKDAY(BV5)=5,INT((BV5-DATE(YEAR(BV5),1,1))/7+1),IF(AND(WEEKDAY(BV5)=4,NOT( ISERROR(MATCH(BV5+1,Lune!$A$1:$A$1000,0)))),INT((BV5+1-DATE(YEAR(BV5+1),1,1))/7+1),"")),INDEX(Lune!$B$1:$B$1000,MATCH(BV5,Lune!$A$1:$A$1000,0),1)))</f>
        <v>31</v>
      </c>
      <c r="BX5" s="80" t="str">
        <f t="shared" ca="1" si="13"/>
        <v/>
      </c>
      <c r="BY5" s="54" t="str">
        <f ca="1">IF(ISERROR(VLOOKUP(BV5,anniversaire!$X$2:$Z$100,2,0)),"",VLOOKUP(BV5,anniversaire!$X$2:$Z$100,2,0))</f>
        <v/>
      </c>
      <c r="BZ5" s="54" t="str">
        <f>IF(ISERROR(VLOOKUP(BV5,fête!$B$2:$C$367,2,0)),"",VLOOKUP(BV5,fête!$B$2:$C$367,2,0))</f>
        <v>Lydie</v>
      </c>
      <c r="CA5" s="54" t="str">
        <f>IF(ISERROR(VLOOKUP(BV5,évènements!$A$3:$E$200,3,0)),"",VLOOKUP(BV5,évènements!$A$3:$E$200,3,0))</f>
        <v/>
      </c>
      <c r="CB5" s="54" t="str">
        <f>IF(ISERROR(VLOOKUP(BV5,évènements!$B$3:$E$200,2,0)),"",VLOOKUP(BV5,évènements!$B$3:$E$200,2,0))</f>
        <v/>
      </c>
      <c r="CC5" s="54" t="str">
        <f ca="1">IF(ISNA(VLOOKUP(BV5,Tableau1[[#All],[Colonne1]:[ouvrés]],3,FALSE)),"",VLOOKUP(BV5,Tableau1[[#All],[Colonne1]:[ouvrés]],3,FALSE))</f>
        <v/>
      </c>
      <c r="CD5" s="54" t="str">
        <f t="shared" si="14"/>
        <v xml:space="preserve">  </v>
      </c>
      <c r="CE5" s="41">
        <f t="shared" si="36"/>
        <v>42981</v>
      </c>
      <c r="CF5" s="42">
        <f t="shared" ref="CF5:CF30" si="49">CF4+1</f>
        <v>42981</v>
      </c>
      <c r="CG5" s="43" t="str">
        <f>IF(CF5="","",IF(ISERROR(MATCH(CF5,Lune!$A$1:$A$1000,0)),IF(WEEKDAY(CF5)=5,INT((CF5-DATE(YEAR(CF5),1,1))/7+1),IF(AND(WEEKDAY(CF5)=4,NOT( ISERROR(MATCH(CF5+1,Lune!$A$1:$A$1000,0)))),INT((CF5+1-DATE(YEAR(CF5+1),1,1))/7+1),"")),INDEX(Lune!$B$1:$B$1000,MATCH(CF5,Lune!$A$1:$A$1000,0),1)))</f>
        <v/>
      </c>
      <c r="CH5" s="80" t="str">
        <f t="shared" ca="1" si="15"/>
        <v/>
      </c>
      <c r="CI5" s="54" t="str">
        <f ca="1">IF(ISERROR(VLOOKUP(CF5,anniversaire!$X$2:$Z$100,2,0)),"",VLOOKUP(CF5,anniversaire!$X$2:$Z$100,2,0))</f>
        <v/>
      </c>
      <c r="CJ5" s="54" t="str">
        <f>IF(ISERROR(VLOOKUP(CF5,fête!$B$2:$C$367,2,0)),"",VLOOKUP(CF5,fête!$B$2:$C$367,2,0))</f>
        <v>Grégoire</v>
      </c>
      <c r="CK5" s="54" t="str">
        <f>IF(ISERROR(VLOOKUP(CF5,évènements!$A$3:$E$200,3,0)),"",VLOOKUP(CF5,évènements!$A$3:$E$200,3,0))</f>
        <v/>
      </c>
      <c r="CL5" s="54" t="str">
        <f>IF(ISERROR(VLOOKUP(CF5,évènements!$B$3:$E$200,2,0)),"",VLOOKUP(CF5,évènements!$B$3:$E$200,2,0))</f>
        <v/>
      </c>
      <c r="CM5" s="54" t="str">
        <f ca="1">IF(ISNA(VLOOKUP(CF5,Tableau1[[#All],[Colonne1]:[ouvrés]],3,FALSE)),"",VLOOKUP(CF5,Tableau1[[#All],[Colonne1]:[ouvrés]],3,FALSE))</f>
        <v/>
      </c>
      <c r="CN5" s="54" t="str">
        <f t="shared" si="16"/>
        <v xml:space="preserve">  </v>
      </c>
      <c r="CO5" s="41">
        <f t="shared" si="37"/>
        <v>43011</v>
      </c>
      <c r="CP5" s="42">
        <f t="shared" ref="CP5:CP30" si="50">CP4+1</f>
        <v>43011</v>
      </c>
      <c r="CQ5" s="43" t="str">
        <f>IF(CP5="","",IF(ISERROR(MATCH(CP5,Lune!$A$1:$A$1000,0)),IF(WEEKDAY(CP5)=5,INT((CP5-DATE(YEAR(CP5),1,1))/7+1),IF(AND(WEEKDAY(CP5)=4,NOT( ISERROR(MATCH(CP5+1,Lune!$A$1:$A$1000,0)))),INT((CP5+1-DATE(YEAR(CP5+1),1,1))/7+1),"")),INDEX(Lune!$B$1:$B$1000,MATCH(CP5,Lune!$A$1:$A$1000,0),1)))</f>
        <v/>
      </c>
      <c r="CR5" s="80" t="str">
        <f t="shared" ca="1" si="17"/>
        <v/>
      </c>
      <c r="CS5" s="54" t="str">
        <f ca="1">IF(ISERROR(VLOOKUP(CP5,anniversaire!$X$2:$Z$100,2,0)),"",VLOOKUP(CP5,anniversaire!$X$2:$Z$100,2,0))</f>
        <v/>
      </c>
      <c r="CT5" s="54" t="str">
        <f>IF(ISERROR(VLOOKUP(CP5,fête!$B$2:$C$367,2,0)),"",VLOOKUP(CP5,fête!$B$2:$C$367,2,0))</f>
        <v>Gérard</v>
      </c>
      <c r="CU5" s="54" t="str">
        <f>IF(ISERROR(VLOOKUP(CP5,évènements!$A$3:$E$200,3,0)),"",VLOOKUP(CP5,évènements!$A$3:$E$200,3,0))</f>
        <v/>
      </c>
      <c r="CV5" s="54" t="str">
        <f>IF(ISERROR(VLOOKUP(CP5,évènements!$B$3:$E$200,2,0)),"",VLOOKUP(CP5,évènements!$B$3:$E$200,2,0))</f>
        <v/>
      </c>
      <c r="CW5" s="54" t="str">
        <f ca="1">IF(ISNA(VLOOKUP(CP5,Tableau1[[#All],[Colonne1]:[ouvrés]],3,FALSE)),"",VLOOKUP(CP5,Tableau1[[#All],[Colonne1]:[ouvrés]],3,FALSE))</f>
        <v/>
      </c>
      <c r="CX5" s="54" t="str">
        <f t="shared" si="18"/>
        <v xml:space="preserve">  </v>
      </c>
      <c r="CY5" s="41">
        <f t="shared" si="38"/>
        <v>43042</v>
      </c>
      <c r="CZ5" s="42">
        <f t="shared" ref="CZ5:CZ30" si="51">CZ4+1</f>
        <v>43042</v>
      </c>
      <c r="DA5" s="43" t="str">
        <f>IF(CZ5="","",IF(ISERROR(MATCH(CZ5,Lune!$A$1:$A$1000,0)),IF(WEEKDAY(CZ5)=5,INT((CZ5-DATE(YEAR(CZ5),1,1))/7+1),IF(AND(WEEKDAY(CZ5)=4,NOT( ISERROR(MATCH(CZ5+1,Lune!$A$1:$A$1000,0)))),INT((CZ5+1-DATE(YEAR(CZ5+1),1,1))/7+1),"")),INDEX(Lune!$B$1:$B$1000,MATCH(CZ5,Lune!$A$1:$A$1000,0),1)))</f>
        <v/>
      </c>
      <c r="DB5" s="80" t="str">
        <f t="shared" ca="1" si="19"/>
        <v xml:space="preserve"> '</v>
      </c>
      <c r="DC5" s="54" t="str">
        <f ca="1">IF(ISERROR(VLOOKUP(CZ5,anniversaire!$X$2:$Z$100,2,0)),"",VLOOKUP(CZ5,anniversaire!$X$2:$Z$100,2,0))</f>
        <v>Taraud  audrey    36</v>
      </c>
      <c r="DD5" s="54" t="str">
        <f>IF(ISERROR(VLOOKUP(CZ5,fête!$B$2:$C$367,2,0)),"",VLOOKUP(CZ5,fête!$B$2:$C$367,2,0))</f>
        <v>Hubert</v>
      </c>
      <c r="DE5" s="54" t="str">
        <f>IF(ISERROR(VLOOKUP(CZ5,évènements!$A$3:$E$200,3,0)),"",VLOOKUP(CZ5,évènements!$A$3:$E$200,3,0))</f>
        <v/>
      </c>
      <c r="DF5" s="54" t="str">
        <f>IF(ISERROR(VLOOKUP(CZ5,évènements!$B$3:$E$200,2,0)),"",VLOOKUP(CZ5,évènements!$B$3:$E$200,2,0))</f>
        <v/>
      </c>
      <c r="DG5" s="54"/>
      <c r="DH5" s="54" t="str">
        <f t="shared" si="20"/>
        <v xml:space="preserve">  </v>
      </c>
      <c r="DI5" s="41">
        <f t="shared" si="39"/>
        <v>43072</v>
      </c>
      <c r="DJ5" s="42">
        <f t="shared" ref="DJ5:DJ30" si="52">DJ4+1</f>
        <v>43072</v>
      </c>
      <c r="DK5" s="43" t="str">
        <f>IF(DJ5="","",IF(ISERROR(MATCH(DJ5,Lune!$A$1:$A$1000,0)),IF(WEEKDAY(DJ5)=5,INT((DJ5-DATE(YEAR(DJ5),1,1))/7+1),IF(AND(WEEKDAY(DJ5)=4,NOT( ISERROR(MATCH(DJ5+1,Lune!$A$1:$A$1000,0)))),INT((DJ5+1-DATE(YEAR(DJ5+1),1,1))/7+1),"")),INDEX(Lune!$B$1:$B$1000,MATCH(DJ5,Lune!$A$1:$A$1000,0),1)))</f>
        <v>○</v>
      </c>
      <c r="DL5" s="80" t="str">
        <f t="shared" ca="1" si="21"/>
        <v/>
      </c>
      <c r="DM5" s="54" t="str">
        <f ca="1">IF(ISERROR(VLOOKUP(DJ5,anniversaire!$X$2:$Z$100,2,0)),"",VLOOKUP(DJ5,anniversaire!$X$2:$Z$100,2,0))</f>
        <v/>
      </c>
      <c r="DN5" s="54" t="str">
        <f>IF(ISERROR(VLOOKUP(DJ5,fête!$B$2:$C$367,2,0)),"",VLOOKUP(DJ5,fête!$B$2:$C$367,2,0))</f>
        <v>François-Xavier</v>
      </c>
      <c r="DO5" s="54" t="str">
        <f>IF(ISERROR(VLOOKUP(DJ5,évènements!$A$3:$E$200,3,0)),"",VLOOKUP(DJ5,évènements!$A$3:$E$200,3,0))</f>
        <v/>
      </c>
      <c r="DP5" s="54" t="str">
        <f>IF(ISERROR(VLOOKUP(DJ5,évènements!$B$3:$E$200,2,0)),"",VLOOKUP(DJ5,évènements!$B$3:$E$200,2,0))</f>
        <v/>
      </c>
      <c r="DQ5" s="54" t="str">
        <f ca="1">IF(ISNA(VLOOKUP(DJ5,Tableau1[[#All],[Colonne1]:[ouvrés]],3,FALSE)),"",VLOOKUP(DJ5,Tableau1[[#All],[Colonne1]:[ouvrés]],3,FALSE))</f>
        <v/>
      </c>
      <c r="DR5" s="54" t="str">
        <f t="shared" si="22"/>
        <v xml:space="preserve">  </v>
      </c>
      <c r="DS5" s="41">
        <f t="shared" si="40"/>
        <v>43103</v>
      </c>
      <c r="DT5" s="42">
        <f t="shared" ref="DT5:DT30" si="53">DT4+1</f>
        <v>43103</v>
      </c>
      <c r="DU5" s="43" t="str">
        <f>IF(DT5="","",IF(ISERROR(MATCH(DT5,Lune!$A$1:$A$1000,0)),IF(WEEKDAY(DT5)=5,INT((DT5-DATE(YEAR(DT5),1,1))/7+1),IF(AND(WEEKDAY(DT5)=4,NOT( ISERROR(MATCH(DT5+1,Lune!$A$1:$A$1000,0)))),INT((DT5+1-DATE(YEAR(DT5+1),1,1))/7+1),"")),INDEX(Lune!$B$1:$B$1000,MATCH(DT5,Lune!$A$1:$A$1000,0),1)))</f>
        <v/>
      </c>
      <c r="DV5" s="89" t="str">
        <f t="shared" ca="1" si="23"/>
        <v/>
      </c>
      <c r="DW5" s="252" t="str">
        <f t="shared" ca="1" si="24"/>
        <v/>
      </c>
      <c r="DX5" s="252" t="str">
        <f t="shared" si="25"/>
        <v>Geneviève</v>
      </c>
      <c r="DY5" s="252" t="str">
        <f>IF(ISERROR(VLOOKUP(DT5,évènements!$A$3:$E$200,3,0)),"",VLOOKUP(DT5,évènements!$A$3:$E$200,3,0))</f>
        <v/>
      </c>
      <c r="DZ5" s="252" t="str">
        <f>IF(ISERROR(VLOOKUP(DT5,évènements!$B$3:$E$200,2,0)),"",VLOOKUP(DT5,évènements!$B$3:$E$200,2,0))</f>
        <v/>
      </c>
      <c r="EA5" s="252" t="str">
        <f ca="1">IF(ISNA(VLOOKUP(DT5,Tableau1[[#All],[Colonne1]:[ouvrés]],3,FALSE)),"",VLOOKUP(DT5,Tableau1[[#All],[Colonne1]:[ouvrés]],3,FALSE))</f>
        <v/>
      </c>
      <c r="EB5" s="252" t="str">
        <f t="shared" si="26"/>
        <v xml:space="preserve">  </v>
      </c>
    </row>
    <row r="6" spans="2:132" ht="15" customHeight="1" x14ac:dyDescent="0.25">
      <c r="C6" s="41">
        <f t="shared" si="27"/>
        <v>42739</v>
      </c>
      <c r="D6" s="40">
        <f t="shared" si="41"/>
        <v>42739</v>
      </c>
      <c r="E6" s="131">
        <f>IF(D6="","",IF(ISERROR(MATCH(D6,Lune!$A$1:$A$1000,0)),IF(WEEKDAY(D6)=5,INT((D6-DATE(YEAR(D6),1,1))/7+1),IF(AND(WEEKDAY(D6)=4,NOT( ISERROR(MATCH(D6+1,Lune!$A$1:$A$1000,0)))),INT((D6+1-DATE(YEAR(D6+1),1,1))/7+1),"")),INDEX(Lune!$B$1:$B$1000,MATCH(D6,Lune!$A$1:$A$1000,0),1)))</f>
        <v>1</v>
      </c>
      <c r="F6" s="89" t="str">
        <f t="shared" ca="1" si="0"/>
        <v/>
      </c>
      <c r="G6" s="125" t="str">
        <f ca="1">IF(ISERROR(VLOOKUP(D6,anniversaire!$X$2:$Z$100,2,0)),"",VLOOKUP(D6,anniversaire!$X$2:$Z$100,2,0))</f>
        <v/>
      </c>
      <c r="H6" s="54" t="str">
        <f>IF(ISERROR(VLOOKUP(D6,fête!$B$2:$C$367,2,0)),"",VLOOKUP(D6,fête!$B$2:$C$367,2,0))</f>
        <v>Odilon</v>
      </c>
      <c r="I6" s="239" t="str">
        <f>IF(ISERROR(VLOOKUP(D6,évènements!$A$3:$E$200,3,0)),"",VLOOKUP(D6,évènements!$A$3:$E$200,3,0))</f>
        <v/>
      </c>
      <c r="J6" s="239" t="str">
        <f>IF(ISERROR(VLOOKUP(D6,évènements!$B$3:$E$200,2,0)),"",VLOOKUP(D6,évènements!$B$3:$E$200,2,0))</f>
        <v/>
      </c>
      <c r="K6" s="239" t="str">
        <f ca="1">IF(ISNA(VLOOKUP(D6,Tableau1[[#All],[Colonne1]:[ouvrés]],3,FALSE)),"",VLOOKUP(D6,Tableau1[[#All],[Colonne1]:[ouvrés]],3,FALSE))</f>
        <v/>
      </c>
      <c r="L6" s="239" t="str">
        <f t="shared" si="1"/>
        <v xml:space="preserve">  </v>
      </c>
      <c r="M6" s="41">
        <f t="shared" si="28"/>
        <v>42770</v>
      </c>
      <c r="N6" s="42">
        <f t="shared" si="42"/>
        <v>42770</v>
      </c>
      <c r="O6" s="131" t="str">
        <f>IF(N6="","",IF(ISERROR(MATCH(N6,Lune!$A$1:$A$1000,0)),IF(WEEKDAY(N6)=5,INT((N6-DATE(YEAR(N6),1,1))/7+1),IF(AND(WEEKDAY(N6)=4,NOT( ISERROR(MATCH(N6+1,Lune!$A$1:$A$1000,0)))),INT((N6+1-DATE(YEAR(N6+1),1,1))/7+1),"")),INDEX(Lune!$B$1:$B$1000,MATCH(N6,Lune!$A$1:$A$1000,0),1)))</f>
        <v>◐</v>
      </c>
      <c r="P6" s="80" t="str">
        <f t="shared" ca="1" si="2"/>
        <v/>
      </c>
      <c r="Q6" s="54" t="str">
        <f ca="1">IF(ISERROR(VLOOKUP(N6,anniversaire!$X$2:$Z$100,2,0)),"",VLOOKUP(N6,anniversaire!$X$2:$Z$100,2,0))</f>
        <v/>
      </c>
      <c r="R6" s="54" t="str">
        <f>IF(ISERROR(VLOOKUP(N6,fête!$B$2:$C$367,2,0)),"",VLOOKUP(N6,fête!$B$2:$C$367,2,0))</f>
        <v>Véronique</v>
      </c>
      <c r="S6" s="54" t="str">
        <f>IF(ISERROR(VLOOKUP(N6,évènements!$A$3:$E$200,3,0)),"",VLOOKUP(N6,évènements!$A$3:$E$200,3,0))</f>
        <v/>
      </c>
      <c r="T6" s="54" t="str">
        <f>IF(ISERROR(VLOOKUP(N6,évènements!$B$3:$E$200,2,0)),"",VLOOKUP(N6,évènements!$B$3:$E$200,2,0))</f>
        <v/>
      </c>
      <c r="U6" s="54" t="str">
        <f ca="1">IF(ISNA(VLOOKUP(N6,Tableau1[[#All],[Colonne1]:[ouvrés]],3,FALSE)),"",VLOOKUP(N6,Tableau1[[#All],[Colonne1]:[ouvrés]],3,FALSE))</f>
        <v/>
      </c>
      <c r="V6" s="54" t="str">
        <f t="shared" si="3"/>
        <v xml:space="preserve">  </v>
      </c>
      <c r="W6" s="41">
        <f t="shared" si="29"/>
        <v>42798</v>
      </c>
      <c r="X6" s="42">
        <f t="shared" si="43"/>
        <v>42798</v>
      </c>
      <c r="Y6" s="132" t="str">
        <f>IF(X6="","",IF(ISERROR(MATCH(X6,Lune!$A$1:$A$1000,0)),IF(WEEKDAY(X6)=5,INT((X6-DATE(YEAR(X6),1,1))/7+1),IF(AND(WEEKDAY(X6)=4,NOT( ISERROR(MATCH(X6+1,Lune!$A$1:$A$1000,0)))),INT((X6+1-DATE(YEAR(X6+1),1,1))/7+1),"")),INDEX(Lune!$B$1:$B$1000,MATCH(X6,Lune!$A$1:$A$1000,0),1)))</f>
        <v/>
      </c>
      <c r="Z6" s="89" t="str">
        <f t="shared" ca="1" si="4"/>
        <v xml:space="preserve"> '</v>
      </c>
      <c r="AA6" s="125" t="str">
        <f ca="1">IF(ISERROR(VLOOKUP(X6,anniversaire!$X$2:$Z$100,2,0)),"",VLOOKUP(X6,anniversaire!$X$2:$Z$100,2,0))</f>
        <v>boireau   andrée    82</v>
      </c>
      <c r="AB6" s="54" t="str">
        <f>IF(ISERROR(VLOOKUP(X6,fête!$B$2:$C$367,2,0)),"",VLOOKUP(X6,fête!$B$2:$C$367,2,0))</f>
        <v>Casimir</v>
      </c>
      <c r="AC6" s="54" t="str">
        <f>IF(ISERROR(VLOOKUP(X6,évènements!$A$3:$E$200,3,0)),"",VLOOKUP(X6,évènements!$A$3:$E$200,3,0))</f>
        <v/>
      </c>
      <c r="AD6" s="54" t="str">
        <f>IF(ISERROR(VLOOKUP(X6,évènements!$B$3:$E$200,2,0)),"",VLOOKUP(X6,évènements!$B$3:$E$200,2,0))</f>
        <v/>
      </c>
      <c r="AE6" s="54" t="str">
        <f ca="1">IF(ISNA(VLOOKUP(X6,Tableau1[[#All],[Colonne1]:[ouvrés]],3,FALSE)),"",VLOOKUP(X6,Tableau1[[#All],[Colonne1]:[ouvrés]],3,FALSE))</f>
        <v/>
      </c>
      <c r="AF6" s="54" t="str">
        <f t="shared" si="5"/>
        <v xml:space="preserve">  </v>
      </c>
      <c r="AG6" s="41">
        <f t="shared" si="30"/>
        <v>42829</v>
      </c>
      <c r="AH6" s="42">
        <f t="shared" si="44"/>
        <v>42829</v>
      </c>
      <c r="AI6" s="137" t="str">
        <f>IF(AH6="","",IF(ISERROR(MATCH(AH6,Lune!$A$1:$A$1000,0)),IF(WEEKDAY(AH6)=5,INT((AH6-DATE(YEAR(AH6),1,1))/7+1),IF(AND(WEEKDAY(AH6)=4,NOT( ISERROR(MATCH(AH6+1,Lune!$A$1:$A$1000,0)))),INT((AH6+1-DATE(YEAR(AH6+1),1,1))/7+1),"")),INDEX(Lune!$B$1:$B$1000,MATCH(AH6,Lune!$A$1:$A$1000,0),1)))</f>
        <v/>
      </c>
      <c r="AJ6" s="80" t="str">
        <f t="shared" ca="1" si="6"/>
        <v/>
      </c>
      <c r="AK6" s="54" t="str">
        <f ca="1">IF(ISERROR(VLOOKUP(AH6,anniversaire!$X$2:$Z$100,2,0)),"",VLOOKUP(AH6,anniversaire!$X$2:$Z$100,2,0))</f>
        <v/>
      </c>
      <c r="AL6" s="54" t="str">
        <f>IF(ISERROR(VLOOKUP(AH6,fête!$B$2:$C$367,2,0)),"",VLOOKUP(AH6,fête!$B$2:$C$367,2,0))</f>
        <v>Isidore</v>
      </c>
      <c r="AM6" s="54" t="str">
        <f>IF(ISERROR(VLOOKUP(AH6,évènements!$A$3:$E$200,3,0)),"",VLOOKUP(AH6,évènements!$A$3:$E$200,3,0))</f>
        <v/>
      </c>
      <c r="AN6" s="54" t="str">
        <f>IF(ISERROR(VLOOKUP(AH6,évènements!$B$3:$E$200,2,0)),"",VLOOKUP(AH6,évènements!$B$3:$E$200,2,0))</f>
        <v/>
      </c>
      <c r="AO6" s="54" t="str">
        <f ca="1">IF(ISNA(VLOOKUP(AH6,Tableau1[[#All],[Colonne1]:[ouvrés]],3,FALSE)),"",VLOOKUP(AH6,Tableau1[[#All],[Colonne1]:[ouvrés]],3,FALSE))</f>
        <v/>
      </c>
      <c r="AP6" s="238" t="str">
        <f t="shared" si="7"/>
        <v xml:space="preserve">  </v>
      </c>
      <c r="AQ6" s="41">
        <f t="shared" si="31"/>
        <v>42859</v>
      </c>
      <c r="AR6" s="42">
        <f t="shared" si="45"/>
        <v>42859</v>
      </c>
      <c r="AS6" s="43">
        <f>IF(AR6="","",IF(ISERROR(MATCH(AR6,Lune!$A$1:$A$1000,0)),IF(WEEKDAY(AR6)=5,INT((AR6-DATE(YEAR(AR6),1,1))/7+1),IF(AND(WEEKDAY(AR6)=4,NOT( ISERROR(MATCH(AR6+1,Lune!$A$1:$A$1000,0)))),INT((AR6+1-DATE(YEAR(AR6+1),1,1))/7+1),"")),INDEX(Lune!$B$1:$B$1000,MATCH(AR6,Lune!$A$1:$A$1000,0),1)))</f>
        <v>18</v>
      </c>
      <c r="AT6" s="79" t="str">
        <f t="shared" ca="1" si="8"/>
        <v/>
      </c>
      <c r="AU6" s="54" t="str">
        <f ca="1">IF(ISERROR(VLOOKUP(AR6,anniversaire!$X$2:$Z$100,2,0)),"",VLOOKUP(AR6,anniversaire!$X$2:$Z$100,2,0))</f>
        <v/>
      </c>
      <c r="AV6" s="54" t="str">
        <f>IF(ISERROR(VLOOKUP(AR6,fête!$B$2:$C$367,2,0)),"",VLOOKUP(AR6,fête!$B$2:$C$367,2,0))</f>
        <v>Sylvain</v>
      </c>
      <c r="AW6" s="238" t="str">
        <f>IF(ISERROR(VLOOKUP(AR6,évènements!$A$3:$E$200,3,0)),"",VLOOKUP(AR6,évènements!$A$3:$E$200,3,0))</f>
        <v/>
      </c>
      <c r="AX6" s="238" t="str">
        <f>IF(ISERROR(VLOOKUP(AR6,évènements!$B$3:$E$200,2,0)),"",VLOOKUP(AR6,évènements!$B$3:$E$200,2,0))</f>
        <v/>
      </c>
      <c r="AY6" s="238" t="str">
        <f ca="1">IF(ISNA(VLOOKUP(AR6,Tableau1[[#All],[Colonne1]:[ouvrés]],3,FALSE)),"",VLOOKUP(AR6,Tableau1[[#All],[Colonne1]:[ouvrés]],3,FALSE))</f>
        <v/>
      </c>
      <c r="AZ6" s="238" t="str">
        <f t="shared" si="9"/>
        <v xml:space="preserve">  </v>
      </c>
      <c r="BA6" s="41">
        <f t="shared" si="32"/>
        <v>42890</v>
      </c>
      <c r="BB6" s="42">
        <f t="shared" si="46"/>
        <v>42890</v>
      </c>
      <c r="BC6" s="43" t="str">
        <f>IF(BB6="","",IF(ISERROR(MATCH(BB6,Lune!$A$1:$A$1000,0)),IF(WEEKDAY(BB6)=5,INT((BB6-DATE(YEAR(BB6),1,1))/7+1),IF(AND(WEEKDAY(BB6)=4,NOT( ISERROR(MATCH(BB6+1,Lune!$A$1:$A$1000,0)))),INT((BB6+1-DATE(YEAR(BB6+1),1,1))/7+1),"")),INDEX(Lune!$B$1:$B$1000,MATCH(BB6,Lune!$A$1:$A$1000,0),1)))</f>
        <v/>
      </c>
      <c r="BD6" s="79" t="str">
        <f t="shared" ca="1" si="10"/>
        <v/>
      </c>
      <c r="BE6" s="54" t="str">
        <f ca="1">IF(ISERROR(VLOOKUP(BB6,anniversaire!$X$2:$Z$100,2,0)),"",VLOOKUP(BB6,anniversaire!$X$2:$Z$100,2,0))</f>
        <v/>
      </c>
      <c r="BF6" s="54" t="str">
        <f>IF(ISERROR(VLOOKUP(BB6,fête!$B$2:$C$367,2,0)),"",VLOOKUP(BB6,fête!$B$2:$C$367,2,0))</f>
        <v>Clotilde</v>
      </c>
      <c r="BG6" s="54" t="str">
        <f>IF(ISERROR(VLOOKUP(BB6,évènements!$A$3:$E$200,3,0)),"",VLOOKUP(BB6,évènements!$A$3:$E$200,3,0))</f>
        <v/>
      </c>
      <c r="BH6" s="54" t="str">
        <f>IF(ISERROR(VLOOKUP(BB6,évènements!$B$3:$E$200,2,0)),"",VLOOKUP(BB6,évènements!$B$3:$E$200,2,0))</f>
        <v/>
      </c>
      <c r="BI6" s="54" t="str">
        <f ca="1">IF(ISNA(VLOOKUP(BB6,Tableau1[[#All],[Colonne1]:[ouvrés]],3,FALSE)),"",VLOOKUP(BB6,Tableau1[[#All],[Colonne1]:[ouvrés]],3,FALSE))</f>
        <v/>
      </c>
      <c r="BJ6" s="54" t="str">
        <f t="shared" si="11"/>
        <v xml:space="preserve">  </v>
      </c>
      <c r="BK6" s="41">
        <f t="shared" si="33"/>
        <v>42920</v>
      </c>
      <c r="BL6" s="42">
        <f t="shared" si="47"/>
        <v>42920</v>
      </c>
      <c r="BM6" s="43" t="str">
        <f>IF(BL6="","",IF(ISERROR(MATCH(BL6,Lune!$A$1:$A$1000,0)),IF(WEEKDAY(BL6)=5,INT((BL6-DATE(YEAR(BL6),1,1))/7+1),IF(AND(WEEKDAY(BL6)=4,NOT( ISERROR(MATCH(BL6+1,Lune!$A$1:$A$1000,0)))),INT((BL6+1-DATE(YEAR(BL6+1),1,1))/7+1),"")),INDEX(Lune!$B$1:$B$1000,MATCH(BL6,Lune!$A$1:$A$1000,0),1)))</f>
        <v/>
      </c>
      <c r="BN6" s="80" t="str">
        <f t="shared" ca="1" si="12"/>
        <v/>
      </c>
      <c r="BO6" s="54" t="str">
        <f ca="1">IF(ISERROR(VLOOKUP(BL6,anniversaire!$X$2:$Z$100,2,0)),"",VLOOKUP(BL6,anniversaire!$X$2:$Z$100,2,0))</f>
        <v/>
      </c>
      <c r="BP6" s="54" t="str">
        <f>IF(ISERROR(VLOOKUP(BL6,fête!$B$2:$C$367,2,0)),"",VLOOKUP(BL6,fête!$B$2:$C$367,2,0))</f>
        <v>Florent</v>
      </c>
      <c r="BQ6" s="54" t="str">
        <f>IF(ISERROR(VLOOKUP(BL6,évènements!$A$3:$E$200,3,0)),"",VLOOKUP(BL6,évènements!$A$3:$E$200,3,0))</f>
        <v/>
      </c>
      <c r="BR6" s="54" t="str">
        <f>IF(ISERROR(VLOOKUP(BL6,évènements!$B$3:$E$200,2,0)),"",VLOOKUP(BL6,évènements!$B$3:$E$200,2,0))</f>
        <v/>
      </c>
      <c r="BS6" s="54" t="str">
        <f ca="1">IF(ISNA(VLOOKUP(BL6,Tableau1[[#All],[Colonne1]:[ouvrés]],3,FALSE)),"",VLOOKUP(BL6,Tableau1[[#All],[Colonne1]:[ouvrés]],3,FALSE))</f>
        <v/>
      </c>
      <c r="BT6" s="54" t="str">
        <f t="shared" si="34"/>
        <v xml:space="preserve">  </v>
      </c>
      <c r="BU6" s="41">
        <f t="shared" si="35"/>
        <v>42951</v>
      </c>
      <c r="BV6" s="42">
        <f t="shared" si="48"/>
        <v>42951</v>
      </c>
      <c r="BW6" s="43" t="str">
        <f>IF(BV6="","",IF(ISERROR(MATCH(BV6,Lune!$A$1:$A$1000,0)),IF(WEEKDAY(BV6)=5,INT((BV6-DATE(YEAR(BV6),1,1))/7+1),IF(AND(WEEKDAY(BV6)=4,NOT( ISERROR(MATCH(BV6+1,Lune!$A$1:$A$1000,0)))),INT((BV6+1-DATE(YEAR(BV6+1),1,1))/7+1),"")),INDEX(Lune!$B$1:$B$1000,MATCH(BV6,Lune!$A$1:$A$1000,0),1)))</f>
        <v/>
      </c>
      <c r="BX6" s="80" t="str">
        <f t="shared" ca="1" si="13"/>
        <v/>
      </c>
      <c r="BY6" s="54" t="str">
        <f ca="1">IF(ISERROR(VLOOKUP(BV6,anniversaire!$X$2:$Z$100,2,0)),"",VLOOKUP(BV6,anniversaire!$X$2:$Z$100,2,0))</f>
        <v/>
      </c>
      <c r="BZ6" s="54" t="str">
        <f>IF(ISERROR(VLOOKUP(BV6,fête!$B$2:$C$367,2,0)),"",VLOOKUP(BV6,fête!$B$2:$C$367,2,0))</f>
        <v>Jean-Marie Vianney</v>
      </c>
      <c r="CA6" s="54" t="str">
        <f>IF(ISERROR(VLOOKUP(BV6,évènements!$A$3:$E$200,3,0)),"",VLOOKUP(BV6,évènements!$A$3:$E$200,3,0))</f>
        <v/>
      </c>
      <c r="CB6" s="54" t="str">
        <f>IF(ISERROR(VLOOKUP(BV6,évènements!$B$3:$E$200,2,0)),"",VLOOKUP(BV6,évènements!$B$3:$E$200,2,0))</f>
        <v/>
      </c>
      <c r="CC6" s="54" t="str">
        <f ca="1">IF(ISNA(VLOOKUP(BV6,Tableau1[[#All],[Colonne1]:[ouvrés]],3,FALSE)),"",VLOOKUP(BV6,Tableau1[[#All],[Colonne1]:[ouvrés]],3,FALSE))</f>
        <v/>
      </c>
      <c r="CD6" s="54" t="str">
        <f t="shared" si="14"/>
        <v xml:space="preserve">  </v>
      </c>
      <c r="CE6" s="41">
        <f t="shared" si="36"/>
        <v>42982</v>
      </c>
      <c r="CF6" s="42">
        <f t="shared" si="49"/>
        <v>42982</v>
      </c>
      <c r="CG6" s="43" t="str">
        <f>IF(CF6="","",IF(ISERROR(MATCH(CF6,Lune!$A$1:$A$1000,0)),IF(WEEKDAY(CF6)=5,INT((CF6-DATE(YEAR(CF6),1,1))/7+1),IF(AND(WEEKDAY(CF6)=4,NOT( ISERROR(MATCH(CF6+1,Lune!$A$1:$A$1000,0)))),INT((CF6+1-DATE(YEAR(CF6+1),1,1))/7+1),"")),INDEX(Lune!$B$1:$B$1000,MATCH(CF6,Lune!$A$1:$A$1000,0),1)))</f>
        <v/>
      </c>
      <c r="CH6" s="80" t="str">
        <f t="shared" ca="1" si="15"/>
        <v/>
      </c>
      <c r="CI6" s="54" t="str">
        <f ca="1">IF(ISERROR(VLOOKUP(CF6,anniversaire!$X$2:$Z$100,2,0)),"",VLOOKUP(CF6,anniversaire!$X$2:$Z$100,2,0))</f>
        <v/>
      </c>
      <c r="CJ6" s="54" t="str">
        <f>IF(ISERROR(VLOOKUP(CF6,fête!$B$2:$C$367,2,0)),"",VLOOKUP(CF6,fête!$B$2:$C$367,2,0))</f>
        <v>Rosalie</v>
      </c>
      <c r="CK6" s="54" t="str">
        <f>IF(ISERROR(VLOOKUP(CF6,évènements!$A$3:$E$200,3,0)),"",VLOOKUP(CF6,évènements!$A$3:$E$200,3,0))</f>
        <v/>
      </c>
      <c r="CL6" s="54" t="str">
        <f>IF(ISERROR(VLOOKUP(CF6,évènements!$B$3:$E$200,2,0)),"",VLOOKUP(CF6,évènements!$B$3:$E$200,2,0))</f>
        <v/>
      </c>
      <c r="CM6" s="54" t="str">
        <f ca="1">IF(ISNA(VLOOKUP(CF6,Tableau1[[#All],[Colonne1]:[ouvrés]],3,FALSE)),"",VLOOKUP(CF6,Tableau1[[#All],[Colonne1]:[ouvrés]],3,FALSE))</f>
        <v/>
      </c>
      <c r="CN6" s="54" t="str">
        <f t="shared" si="16"/>
        <v xml:space="preserve">  </v>
      </c>
      <c r="CO6" s="41">
        <f t="shared" si="37"/>
        <v>43012</v>
      </c>
      <c r="CP6" s="42">
        <f t="shared" si="50"/>
        <v>43012</v>
      </c>
      <c r="CQ6" s="43">
        <f>IF(CP6="","",IF(ISERROR(MATCH(CP6,Lune!$A$1:$A$1000,0)),IF(WEEKDAY(CP6)=5,INT((CP6-DATE(YEAR(CP6),1,1))/7+1),IF(AND(WEEKDAY(CP6)=4,NOT( ISERROR(MATCH(CP6+1,Lune!$A$1:$A$1000,0)))),INT((CP6+1-DATE(YEAR(CP6+1),1,1))/7+1),"")),INDEX(Lune!$B$1:$B$1000,MATCH(CP6,Lune!$A$1:$A$1000,0),1)))</f>
        <v>40</v>
      </c>
      <c r="CR6" s="80" t="str">
        <f t="shared" ca="1" si="17"/>
        <v/>
      </c>
      <c r="CS6" s="54" t="str">
        <f ca="1">IF(ISERROR(VLOOKUP(CP6,anniversaire!$X$2:$Z$100,2,0)),"",VLOOKUP(CP6,anniversaire!$X$2:$Z$100,2,0))</f>
        <v/>
      </c>
      <c r="CT6" s="54" t="str">
        <f>IF(ISERROR(VLOOKUP(CP6,fête!$B$2:$C$367,2,0)),"",VLOOKUP(CP6,fête!$B$2:$C$367,2,0))</f>
        <v>François d'Assise</v>
      </c>
      <c r="CU6" s="54" t="str">
        <f>IF(ISERROR(VLOOKUP(CP6,évènements!$A$3:$E$200,3,0)),"",VLOOKUP(CP6,évènements!$A$3:$E$200,3,0))</f>
        <v/>
      </c>
      <c r="CV6" s="54" t="str">
        <f>IF(ISERROR(VLOOKUP(CP6,évènements!$B$3:$E$200,2,0)),"",VLOOKUP(CP6,évènements!$B$3:$E$200,2,0))</f>
        <v/>
      </c>
      <c r="CW6" s="54" t="str">
        <f ca="1">IF(ISNA(VLOOKUP(CP6,Tableau1[[#All],[Colonne1]:[ouvrés]],3,FALSE)),"",VLOOKUP(CP6,Tableau1[[#All],[Colonne1]:[ouvrés]],3,FALSE))</f>
        <v/>
      </c>
      <c r="CX6" s="54" t="str">
        <f t="shared" si="18"/>
        <v xml:space="preserve">  </v>
      </c>
      <c r="CY6" s="41">
        <f t="shared" si="38"/>
        <v>43043</v>
      </c>
      <c r="CZ6" s="42">
        <f t="shared" si="51"/>
        <v>43043</v>
      </c>
      <c r="DA6" s="43" t="str">
        <f>IF(CZ6="","",IF(ISERROR(MATCH(CZ6,Lune!$A$1:$A$1000,0)),IF(WEEKDAY(CZ6)=5,INT((CZ6-DATE(YEAR(CZ6),1,1))/7+1),IF(AND(WEEKDAY(CZ6)=4,NOT( ISERROR(MATCH(CZ6+1,Lune!$A$1:$A$1000,0)))),INT((CZ6+1-DATE(YEAR(CZ6+1),1,1))/7+1),"")),INDEX(Lune!$B$1:$B$1000,MATCH(CZ6,Lune!$A$1:$A$1000,0),1)))</f>
        <v>○</v>
      </c>
      <c r="DB6" s="80" t="str">
        <f t="shared" ca="1" si="19"/>
        <v/>
      </c>
      <c r="DC6" s="54" t="str">
        <f ca="1">IF(ISERROR(VLOOKUP(CZ6,anniversaire!$X$2:$Z$100,2,0)),"",VLOOKUP(CZ6,anniversaire!$X$2:$Z$100,2,0))</f>
        <v/>
      </c>
      <c r="DD6" s="54" t="str">
        <f>IF(ISERROR(VLOOKUP(CZ6,fête!$B$2:$C$367,2,0)),"",VLOOKUP(CZ6,fête!$B$2:$C$367,2,0))</f>
        <v>Charles</v>
      </c>
      <c r="DE6" s="54" t="str">
        <f>IF(ISERROR(VLOOKUP(CZ6,évènements!$A$3:$E$200,3,0)),"",VLOOKUP(CZ6,évènements!$A$3:$E$200,3,0))</f>
        <v/>
      </c>
      <c r="DF6" s="54" t="str">
        <f>IF(ISERROR(VLOOKUP(CZ6,évènements!$B$3:$E$200,2,0)),"",VLOOKUP(CZ6,évènements!$B$3:$E$200,2,0))</f>
        <v/>
      </c>
      <c r="DG6" s="54"/>
      <c r="DH6" s="54" t="str">
        <f t="shared" si="20"/>
        <v xml:space="preserve">  </v>
      </c>
      <c r="DI6" s="41">
        <f t="shared" si="39"/>
        <v>43073</v>
      </c>
      <c r="DJ6" s="42">
        <f t="shared" si="52"/>
        <v>43073</v>
      </c>
      <c r="DK6" s="43" t="str">
        <f>IF(DJ6="","",IF(ISERROR(MATCH(DJ6,Lune!$A$1:$A$1000,0)),IF(WEEKDAY(DJ6)=5,INT((DJ6-DATE(YEAR(DJ6),1,1))/7+1),IF(AND(WEEKDAY(DJ6)=4,NOT( ISERROR(MATCH(DJ6+1,Lune!$A$1:$A$1000,0)))),INT((DJ6+1-DATE(YEAR(DJ6+1),1,1))/7+1),"")),INDEX(Lune!$B$1:$B$1000,MATCH(DJ6,Lune!$A$1:$A$1000,0),1)))</f>
        <v/>
      </c>
      <c r="DL6" s="80" t="str">
        <f t="shared" ca="1" si="21"/>
        <v/>
      </c>
      <c r="DM6" s="54" t="str">
        <f ca="1">IF(ISERROR(VLOOKUP(DJ6,anniversaire!$X$2:$Z$100,2,0)),"",VLOOKUP(DJ6,anniversaire!$X$2:$Z$100,2,0))</f>
        <v/>
      </c>
      <c r="DN6" s="54" t="str">
        <f>IF(ISERROR(VLOOKUP(DJ6,fête!$B$2:$C$367,2,0)),"",VLOOKUP(DJ6,fête!$B$2:$C$367,2,0))</f>
        <v>Barbara</v>
      </c>
      <c r="DO6" s="54" t="str">
        <f>IF(ISERROR(VLOOKUP(DJ6,évènements!$A$3:$E$200,3,0)),"",VLOOKUP(DJ6,évènements!$A$3:$E$200,3,0))</f>
        <v/>
      </c>
      <c r="DP6" s="54" t="str">
        <f>IF(ISERROR(VLOOKUP(DJ6,évènements!$B$3:$E$200,2,0)),"",VLOOKUP(DJ6,évènements!$B$3:$E$200,2,0))</f>
        <v/>
      </c>
      <c r="DQ6" s="54" t="str">
        <f ca="1">IF(ISNA(VLOOKUP(DJ6,Tableau1[[#All],[Colonne1]:[ouvrés]],3,FALSE)),"",VLOOKUP(DJ6,Tableau1[[#All],[Colonne1]:[ouvrés]],3,FALSE))</f>
        <v/>
      </c>
      <c r="DR6" s="54" t="str">
        <f>CONCATENATE(DO6,"  ",DP6)</f>
        <v xml:space="preserve">  </v>
      </c>
      <c r="DS6" s="41">
        <f t="shared" si="40"/>
        <v>43104</v>
      </c>
      <c r="DT6" s="42">
        <f t="shared" si="53"/>
        <v>43104</v>
      </c>
      <c r="DU6" s="43">
        <f>IF(DT6="","",IF(ISERROR(MATCH(DT6,Lune!$A$1:$A$1000,0)),IF(WEEKDAY(DT6)=5,INT((DT6-DATE(YEAR(DT6),1,1))/7+1),IF(AND(WEEKDAY(DT6)=4,NOT( ISERROR(MATCH(DT6+1,Lune!$A$1:$A$1000,0)))),INT((DT6+1-DATE(YEAR(DT6+1),1,1))/7+1),"")),INDEX(Lune!$B$1:$B$1000,MATCH(DT6,Lune!$A$1:$A$1000,0),1)))</f>
        <v>1</v>
      </c>
      <c r="DV6" s="89" t="str">
        <f t="shared" ca="1" si="23"/>
        <v/>
      </c>
      <c r="DW6" s="252" t="str">
        <f t="shared" ca="1" si="24"/>
        <v/>
      </c>
      <c r="DX6" s="252" t="str">
        <f t="shared" si="25"/>
        <v>Odilon</v>
      </c>
      <c r="DY6" s="252" t="str">
        <f>IF(ISERROR(VLOOKUP(DT6,évènements!$A$3:$E$200,3,0)),"",VLOOKUP(DT6,évènements!$A$3:$E$200,3,0))</f>
        <v/>
      </c>
      <c r="DZ6" s="252" t="str">
        <f>IF(ISERROR(VLOOKUP(DT6,évènements!$B$3:$E$200,2,0)),"",VLOOKUP(DT6,évènements!$B$3:$E$200,2,0))</f>
        <v/>
      </c>
      <c r="EA6" s="252" t="str">
        <f ca="1">IF(ISNA(VLOOKUP(DT6,Tableau1[[#All],[Colonne1]:[ouvrés]],3,FALSE)),"",VLOOKUP(DT6,Tableau1[[#All],[Colonne1]:[ouvrés]],3,FALSE))</f>
        <v/>
      </c>
      <c r="EB6" s="252" t="str">
        <f>CONCATENATE(DY6,"  ",DZ6)</f>
        <v xml:space="preserve">  </v>
      </c>
    </row>
    <row r="7" spans="2:132" ht="15" customHeight="1" x14ac:dyDescent="0.25">
      <c r="B7" s="29"/>
      <c r="C7" s="41">
        <f t="shared" si="27"/>
        <v>42740</v>
      </c>
      <c r="D7" s="40">
        <f t="shared" si="41"/>
        <v>42740</v>
      </c>
      <c r="E7" s="131" t="str">
        <f>IF(D7="","",IF(ISERROR(MATCH(D7,Lune!$A$1:$A$1000,0)),IF(WEEKDAY(D7)=5,INT((D7-DATE(YEAR(D7),1,1))/7+1),IF(AND(WEEKDAY(D7)=4,NOT( ISERROR(MATCH(D7+1,Lune!$A$1:$A$1000,0)))),INT((D7+1-DATE(YEAR(D7+1),1,1))/7+1),"")),INDEX(Lune!$B$1:$B$1000,MATCH(D7,Lune!$A$1:$A$1000,0),1)))</f>
        <v>◐</v>
      </c>
      <c r="F7" s="89" t="str">
        <f t="shared" ca="1" si="0"/>
        <v/>
      </c>
      <c r="G7" s="125" t="str">
        <f ca="1">IF(ISERROR(VLOOKUP(D7,anniversaire!$X$2:$Z$100,2,0)),"",VLOOKUP(D7,anniversaire!$X$2:$Z$100,2,0))</f>
        <v/>
      </c>
      <c r="H7" s="54" t="str">
        <f>IF(ISERROR(VLOOKUP(D7,fête!$B$2:$C$367,2,0)),"",VLOOKUP(D7,fête!$B$2:$C$367,2,0))</f>
        <v>Edouard</v>
      </c>
      <c r="I7" s="239" t="str">
        <f>IF(ISERROR(VLOOKUP(D7,évènements!$A$3:$E$200,3,0)),"",VLOOKUP(D7,évènements!$A$3:$E$200,3,0))</f>
        <v/>
      </c>
      <c r="J7" s="239" t="str">
        <f>IF(ISERROR(VLOOKUP(D7,évènements!$B$3:$E$200,2,0)),"",VLOOKUP(D7,évènements!$B$3:$E$200,2,0))</f>
        <v/>
      </c>
      <c r="K7" s="239" t="str">
        <f ca="1">IF(ISNA(VLOOKUP(D7,Tableau1[[#All],[Colonne1]:[ouvrés]],3,FALSE)),"",VLOOKUP(D7,Tableau1[[#All],[Colonne1]:[ouvrés]],3,FALSE))</f>
        <v/>
      </c>
      <c r="L7" s="239" t="str">
        <f t="shared" si="1"/>
        <v xml:space="preserve">  </v>
      </c>
      <c r="M7" s="41">
        <f t="shared" si="28"/>
        <v>42771</v>
      </c>
      <c r="N7" s="42">
        <f t="shared" si="42"/>
        <v>42771</v>
      </c>
      <c r="O7" s="131" t="str">
        <f>IF(N7="","",IF(ISERROR(MATCH(N7,Lune!$A$1:$A$1000,0)),IF(WEEKDAY(N7)=5,INT((N7-DATE(YEAR(N7),1,1))/7+1),IF(AND(WEEKDAY(N7)=4,NOT( ISERROR(MATCH(N7+1,Lune!$A$1:$A$1000,0)))),INT((N7+1-DATE(YEAR(N7+1),1,1))/7+1),"")),INDEX(Lune!$B$1:$B$1000,MATCH(N7,Lune!$A$1:$A$1000,0),1)))</f>
        <v/>
      </c>
      <c r="P7" s="80" t="str">
        <f t="shared" ca="1" si="2"/>
        <v/>
      </c>
      <c r="Q7" s="54" t="str">
        <f ca="1">IF(ISERROR(VLOOKUP(N7,anniversaire!$X$2:$Z$100,2,0)),"",VLOOKUP(N7,anniversaire!$X$2:$Z$100,2,0))</f>
        <v/>
      </c>
      <c r="R7" s="54" t="str">
        <f>IF(ISERROR(VLOOKUP(N7,fête!$B$2:$C$367,2,0)),"",VLOOKUP(N7,fête!$B$2:$C$367,2,0))</f>
        <v>Agathe</v>
      </c>
      <c r="S7" s="54" t="str">
        <f>IF(ISERROR(VLOOKUP(N7,évènements!$A$3:$E$200,3,0)),"",VLOOKUP(N7,évènements!$A$3:$E$200,3,0))</f>
        <v/>
      </c>
      <c r="T7" s="54" t="str">
        <f>IF(ISERROR(VLOOKUP(N7,évènements!$B$3:$E$200,2,0)),"",VLOOKUP(N7,évènements!$B$3:$E$200,2,0))</f>
        <v/>
      </c>
      <c r="U7" s="54" t="str">
        <f ca="1">IF(ISNA(VLOOKUP(N7,Tableau1[[#All],[Colonne1]:[ouvrés]],3,FALSE)),"",VLOOKUP(N7,Tableau1[[#All],[Colonne1]:[ouvrés]],3,FALSE))</f>
        <v/>
      </c>
      <c r="V7" s="54" t="str">
        <f t="shared" si="3"/>
        <v xml:space="preserve">  </v>
      </c>
      <c r="W7" s="41">
        <f t="shared" si="29"/>
        <v>42799</v>
      </c>
      <c r="X7" s="42">
        <f t="shared" si="43"/>
        <v>42799</v>
      </c>
      <c r="Y7" s="132" t="str">
        <f>IF(X7="","",IF(ISERROR(MATCH(X7,Lune!$A$1:$A$1000,0)),IF(WEEKDAY(X7)=5,INT((X7-DATE(YEAR(X7),1,1))/7+1),IF(AND(WEEKDAY(X7)=4,NOT( ISERROR(MATCH(X7+1,Lune!$A$1:$A$1000,0)))),INT((X7+1-DATE(YEAR(X7+1),1,1))/7+1),"")),INDEX(Lune!$B$1:$B$1000,MATCH(X7,Lune!$A$1:$A$1000,0),1)))</f>
        <v>◐</v>
      </c>
      <c r="Z7" s="89" t="str">
        <f t="shared" ca="1" si="4"/>
        <v/>
      </c>
      <c r="AA7" s="125" t="str">
        <f ca="1">IF(ISERROR(VLOOKUP(X7,anniversaire!$X$2:$Z$100,2,0)),"",VLOOKUP(X7,anniversaire!$X$2:$Z$100,2,0))</f>
        <v/>
      </c>
      <c r="AB7" s="54" t="str">
        <f>IF(ISERROR(VLOOKUP(X7,fête!$B$2:$C$367,2,0)),"",VLOOKUP(X7,fête!$B$2:$C$367,2,0))</f>
        <v>Olive</v>
      </c>
      <c r="AC7" s="54" t="str">
        <f>IF(ISERROR(VLOOKUP(X7,évènements!$A$3:$E$200,3,0)),"",VLOOKUP(X7,évènements!$A$3:$E$200,3,0))</f>
        <v/>
      </c>
      <c r="AD7" s="54" t="str">
        <f>IF(ISERROR(VLOOKUP(X7,évènements!$B$3:$E$200,2,0)),"",VLOOKUP(X7,évènements!$B$3:$E$200,2,0))</f>
        <v/>
      </c>
      <c r="AE7" s="54" t="str">
        <f ca="1">IF(ISNA(VLOOKUP(X7,Tableau1[[#All],[Colonne1]:[ouvrés]],3,FALSE)),"",VLOOKUP(X7,Tableau1[[#All],[Colonne1]:[ouvrés]],3,FALSE))</f>
        <v/>
      </c>
      <c r="AF7" s="54" t="str">
        <f t="shared" si="5"/>
        <v xml:space="preserve">  </v>
      </c>
      <c r="AG7" s="41">
        <f t="shared" si="30"/>
        <v>42830</v>
      </c>
      <c r="AH7" s="42">
        <f t="shared" si="44"/>
        <v>42830</v>
      </c>
      <c r="AI7" s="137" t="str">
        <f>IF(AH7="","",IF(ISERROR(MATCH(AH7,Lune!$A$1:$A$1000,0)),IF(WEEKDAY(AH7)=5,INT((AH7-DATE(YEAR(AH7),1,1))/7+1),IF(AND(WEEKDAY(AH7)=4,NOT( ISERROR(MATCH(AH7+1,Lune!$A$1:$A$1000,0)))),INT((AH7+1-DATE(YEAR(AH7+1),1,1))/7+1),"")),INDEX(Lune!$B$1:$B$1000,MATCH(AH7,Lune!$A$1:$A$1000,0),1)))</f>
        <v/>
      </c>
      <c r="AJ7" s="80" t="str">
        <f t="shared" ca="1" si="6"/>
        <v/>
      </c>
      <c r="AK7" s="54" t="str">
        <f ca="1">IF(ISERROR(VLOOKUP(AH7,anniversaire!$X$2:$Z$100,2,0)),"",VLOOKUP(AH7,anniversaire!$X$2:$Z$100,2,0))</f>
        <v/>
      </c>
      <c r="AL7" s="54" t="str">
        <f>IF(ISERROR(VLOOKUP(AH7,fête!$B$2:$C$367,2,0)),"",VLOOKUP(AH7,fête!$B$2:$C$367,2,0))</f>
        <v>Irène</v>
      </c>
      <c r="AM7" s="54" t="str">
        <f>IF(ISERROR(VLOOKUP(AH7,évènements!$A$3:$E$200,3,0)),"",VLOOKUP(AH7,évènements!$A$3:$E$200,3,0))</f>
        <v/>
      </c>
      <c r="AN7" s="54" t="str">
        <f>IF(ISERROR(VLOOKUP(AH7,évènements!$B$3:$E$200,2,0)),"",VLOOKUP(AH7,évènements!$B$3:$E$200,2,0))</f>
        <v/>
      </c>
      <c r="AO7" s="54" t="str">
        <f ca="1">IF(ISNA(VLOOKUP(AH7,Tableau1[[#All],[Colonne1]:[ouvrés]],3,FALSE)),"",VLOOKUP(AH7,Tableau1[[#All],[Colonne1]:[ouvrés]],3,FALSE))</f>
        <v/>
      </c>
      <c r="AP7" s="238" t="str">
        <f t="shared" si="7"/>
        <v xml:space="preserve">  </v>
      </c>
      <c r="AQ7" s="41">
        <f t="shared" si="31"/>
        <v>42860</v>
      </c>
      <c r="AR7" s="42">
        <f t="shared" si="45"/>
        <v>42860</v>
      </c>
      <c r="AS7" s="43" t="str">
        <f>IF(AR7="","",IF(ISERROR(MATCH(AR7,Lune!$A$1:$A$1000,0)),IF(WEEKDAY(AR7)=5,INT((AR7-DATE(YEAR(AR7),1,1))/7+1),IF(AND(WEEKDAY(AR7)=4,NOT( ISERROR(MATCH(AR7+1,Lune!$A$1:$A$1000,0)))),INT((AR7+1-DATE(YEAR(AR7+1),1,1))/7+1),"")),INDEX(Lune!$B$1:$B$1000,MATCH(AR7,Lune!$A$1:$A$1000,0),1)))</f>
        <v/>
      </c>
      <c r="AT7" s="79" t="str">
        <f t="shared" ca="1" si="8"/>
        <v/>
      </c>
      <c r="AU7" s="54" t="str">
        <f ca="1">IF(ISERROR(VLOOKUP(AR7,anniversaire!$X$2:$Z$100,2,0)),"",VLOOKUP(AR7,anniversaire!$X$2:$Z$100,2,0))</f>
        <v/>
      </c>
      <c r="AV7" s="54" t="str">
        <f>IF(ISERROR(VLOOKUP(AR7,fête!$B$2:$C$367,2,0)),"",VLOOKUP(AR7,fête!$B$2:$C$367,2,0))</f>
        <v>Judith</v>
      </c>
      <c r="AW7" s="238">
        <f ca="1">IF(ISERROR(VLOOKUP(AR7,évènements!$A$3:$E$200,3,0)),"",VLOOKUP(AR7,évènements!$A$3:$E$200,3,0))</f>
        <v>42895</v>
      </c>
      <c r="AX7" s="238" t="str">
        <f>IF(ISERROR(VLOOKUP(AR7,évènements!$B$3:$E$200,2,0)),"",VLOOKUP(AR7,évènements!$B$3:$E$200,2,0))</f>
        <v/>
      </c>
      <c r="AY7" s="238" t="str">
        <f ca="1">IF(ISNA(VLOOKUP(AR7,Tableau1[[#All],[Colonne1]:[ouvrés]],3,FALSE)),"",VLOOKUP(AR7,Tableau1[[#All],[Colonne1]:[ouvrés]],3,FALSE))</f>
        <v/>
      </c>
      <c r="AZ7" s="238" t="str">
        <f t="shared" ca="1" si="9"/>
        <v xml:space="preserve">42895  </v>
      </c>
      <c r="BA7" s="41">
        <f t="shared" si="32"/>
        <v>42891</v>
      </c>
      <c r="BB7" s="42">
        <f t="shared" si="46"/>
        <v>42891</v>
      </c>
      <c r="BC7" s="43" t="str">
        <f>IF(BB7="","",IF(ISERROR(MATCH(BB7,Lune!$A$1:$A$1000,0)),IF(WEEKDAY(BB7)=5,INT((BB7-DATE(YEAR(BB7),1,1))/7+1),IF(AND(WEEKDAY(BB7)=4,NOT( ISERROR(MATCH(BB7+1,Lune!$A$1:$A$1000,0)))),INT((BB7+1-DATE(YEAR(BB7+1),1,1))/7+1),"")),INDEX(Lune!$B$1:$B$1000,MATCH(BB7,Lune!$A$1:$A$1000,0),1)))</f>
        <v/>
      </c>
      <c r="BD7" s="79" t="str">
        <f t="shared" ca="1" si="10"/>
        <v/>
      </c>
      <c r="BE7" s="54" t="str">
        <f ca="1">IF(ISERROR(VLOOKUP(BB7,anniversaire!$X$2:$Z$100,2,0)),"",VLOOKUP(BB7,anniversaire!$X$2:$Z$100,2,0))</f>
        <v/>
      </c>
      <c r="BF7" s="54" t="str">
        <f>IF(ISERROR(VLOOKUP(BB7,fête!$B$2:$C$367,2,0)),"",VLOOKUP(BB7,fête!$B$2:$C$367,2,0))</f>
        <v>Igor</v>
      </c>
      <c r="BG7" s="54" t="str">
        <f>IF(ISERROR(VLOOKUP(BB7,évènements!$A$3:$E$200,3,0)),"",VLOOKUP(BB7,évènements!$A$3:$E$200,3,0))</f>
        <v/>
      </c>
      <c r="BH7" s="54" t="str">
        <f>IF(ISERROR(VLOOKUP(BB7,évènements!$B$3:$E$200,2,0)),"",VLOOKUP(BB7,évènements!$B$3:$E$200,2,0))</f>
        <v/>
      </c>
      <c r="BI7" s="54" t="str">
        <f ca="1">IF(ISNA(VLOOKUP(BB7,Tableau1[[#All],[Colonne1]:[ouvrés]],3,FALSE)),"",VLOOKUP(BB7,Tableau1[[#All],[Colonne1]:[ouvrés]],3,FALSE))</f>
        <v/>
      </c>
      <c r="BJ7" s="54" t="str">
        <f t="shared" si="11"/>
        <v xml:space="preserve">  </v>
      </c>
      <c r="BK7" s="41">
        <f t="shared" si="33"/>
        <v>42921</v>
      </c>
      <c r="BL7" s="42">
        <f t="shared" si="47"/>
        <v>42921</v>
      </c>
      <c r="BM7" s="43" t="str">
        <f>IF(BL7="","",IF(ISERROR(MATCH(BL7,Lune!$A$1:$A$1000,0)),IF(WEEKDAY(BL7)=5,INT((BL7-DATE(YEAR(BL7),1,1))/7+1),IF(AND(WEEKDAY(BL7)=4,NOT( ISERROR(MATCH(BL7+1,Lune!$A$1:$A$1000,0)))),INT((BL7+1-DATE(YEAR(BL7+1),1,1))/7+1),"")),INDEX(Lune!$B$1:$B$1000,MATCH(BL7,Lune!$A$1:$A$1000,0),1)))</f>
        <v/>
      </c>
      <c r="BN7" s="80" t="str">
        <f t="shared" ca="1" si="12"/>
        <v/>
      </c>
      <c r="BO7" s="54" t="str">
        <f ca="1">IF(ISERROR(VLOOKUP(BL7,anniversaire!$X$2:$Z$100,2,0)),"",VLOOKUP(BL7,anniversaire!$X$2:$Z$100,2,0))</f>
        <v/>
      </c>
      <c r="BP7" s="54" t="str">
        <f>IF(ISERROR(VLOOKUP(BL7,fête!$B$2:$C$367,2,0)),"",VLOOKUP(BL7,fête!$B$2:$C$367,2,0))</f>
        <v>Antoine</v>
      </c>
      <c r="BQ7" s="54" t="str">
        <f>IF(ISERROR(VLOOKUP(BL7,évènements!$A$3:$E$200,3,0)),"",VLOOKUP(BL7,évènements!$A$3:$E$200,3,0))</f>
        <v/>
      </c>
      <c r="BR7" s="54" t="str">
        <f>IF(ISERROR(VLOOKUP(BL7,évènements!$B$3:$E$200,2,0)),"",VLOOKUP(BL7,évènements!$B$3:$E$200,2,0))</f>
        <v/>
      </c>
      <c r="BS7" s="54" t="str">
        <f ca="1">IF(ISNA(VLOOKUP(BL7,Tableau1[[#All],[Colonne1]:[ouvrés]],3,FALSE)),"",VLOOKUP(BL7,Tableau1[[#All],[Colonne1]:[ouvrés]],3,FALSE))</f>
        <v/>
      </c>
      <c r="BT7" s="54" t="str">
        <f t="shared" si="34"/>
        <v xml:space="preserve">  </v>
      </c>
      <c r="BU7" s="41">
        <f t="shared" si="35"/>
        <v>42952</v>
      </c>
      <c r="BV7" s="42">
        <f t="shared" si="48"/>
        <v>42952</v>
      </c>
      <c r="BW7" s="43" t="str">
        <f>IF(BV7="","",IF(ISERROR(MATCH(BV7,Lune!$A$1:$A$1000,0)),IF(WEEKDAY(BV7)=5,INT((BV7-DATE(YEAR(BV7),1,1))/7+1),IF(AND(WEEKDAY(BV7)=4,NOT( ISERROR(MATCH(BV7+1,Lune!$A$1:$A$1000,0)))),INT((BV7+1-DATE(YEAR(BV7+1),1,1))/7+1),"")),INDEX(Lune!$B$1:$B$1000,MATCH(BV7,Lune!$A$1:$A$1000,0),1)))</f>
        <v/>
      </c>
      <c r="BX7" s="80" t="str">
        <f t="shared" ca="1" si="13"/>
        <v/>
      </c>
      <c r="BY7" s="54" t="str">
        <f ca="1">IF(ISERROR(VLOOKUP(BV7,anniversaire!$X$2:$Z$100,2,0)),"",VLOOKUP(BV7,anniversaire!$X$2:$Z$100,2,0))</f>
        <v/>
      </c>
      <c r="BZ7" s="54" t="str">
        <f>IF(ISERROR(VLOOKUP(BV7,fête!$B$2:$C$367,2,0)),"",VLOOKUP(BV7,fête!$B$2:$C$367,2,0))</f>
        <v>Abel</v>
      </c>
      <c r="CA7" s="54" t="str">
        <f>IF(ISERROR(VLOOKUP(BV7,évènements!$A$3:$E$200,3,0)),"",VLOOKUP(BV7,évènements!$A$3:$E$200,3,0))</f>
        <v/>
      </c>
      <c r="CB7" s="54" t="str">
        <f>IF(ISERROR(VLOOKUP(BV7,évènements!$B$3:$E$200,2,0)),"",VLOOKUP(BV7,évènements!$B$3:$E$200,2,0))</f>
        <v/>
      </c>
      <c r="CC7" s="54" t="str">
        <f ca="1">IF(ISNA(VLOOKUP(BV7,Tableau1[[#All],[Colonne1]:[ouvrés]],3,FALSE)),"",VLOOKUP(BV7,Tableau1[[#All],[Colonne1]:[ouvrés]],3,FALSE))</f>
        <v/>
      </c>
      <c r="CD7" s="54" t="str">
        <f t="shared" si="14"/>
        <v xml:space="preserve">  </v>
      </c>
      <c r="CE7" s="41">
        <f t="shared" si="36"/>
        <v>42983</v>
      </c>
      <c r="CF7" s="42">
        <f t="shared" si="49"/>
        <v>42983</v>
      </c>
      <c r="CG7" s="43" t="str">
        <f>IF(CF7="","",IF(ISERROR(MATCH(CF7,Lune!$A$1:$A$1000,0)),IF(WEEKDAY(CF7)=5,INT((CF7-DATE(YEAR(CF7),1,1))/7+1),IF(AND(WEEKDAY(CF7)=4,NOT( ISERROR(MATCH(CF7+1,Lune!$A$1:$A$1000,0)))),INT((CF7+1-DATE(YEAR(CF7+1),1,1))/7+1),"")),INDEX(Lune!$B$1:$B$1000,MATCH(CF7,Lune!$A$1:$A$1000,0),1)))</f>
        <v/>
      </c>
      <c r="CH7" s="80" t="str">
        <f t="shared" ca="1" si="15"/>
        <v/>
      </c>
      <c r="CI7" s="54" t="str">
        <f ca="1">IF(ISERROR(VLOOKUP(CF7,anniversaire!$X$2:$Z$100,2,0)),"",VLOOKUP(CF7,anniversaire!$X$2:$Z$100,2,0))</f>
        <v/>
      </c>
      <c r="CJ7" s="54" t="str">
        <f>IF(ISERROR(VLOOKUP(CF7,fête!$B$2:$C$367,2,0)),"",VLOOKUP(CF7,fête!$B$2:$C$367,2,0))</f>
        <v>Raïssa</v>
      </c>
      <c r="CK7" s="54" t="str">
        <f>IF(ISERROR(VLOOKUP(CF7,évènements!$A$3:$E$200,3,0)),"",VLOOKUP(CF7,évènements!$A$3:$E$200,3,0))</f>
        <v/>
      </c>
      <c r="CL7" s="54" t="str">
        <f>IF(ISERROR(VLOOKUP(CF7,évènements!$B$3:$E$200,2,0)),"",VLOOKUP(CF7,évènements!$B$3:$E$200,2,0))</f>
        <v/>
      </c>
      <c r="CM7" s="54" t="str">
        <f ca="1">IF(ISNA(VLOOKUP(CF7,Tableau1[[#All],[Colonne1]:[ouvrés]],3,FALSE)),"",VLOOKUP(CF7,Tableau1[[#All],[Colonne1]:[ouvrés]],3,FALSE))</f>
        <v/>
      </c>
      <c r="CN7" s="54" t="str">
        <f>CONCATENATE(CK7,"  ",CL7)</f>
        <v xml:space="preserve">  </v>
      </c>
      <c r="CO7" s="41">
        <f t="shared" si="37"/>
        <v>43013</v>
      </c>
      <c r="CP7" s="42">
        <f t="shared" si="50"/>
        <v>43013</v>
      </c>
      <c r="CQ7" s="43" t="str">
        <f>IF(CP7="","",IF(ISERROR(MATCH(CP7,Lune!$A$1:$A$1000,0)),IF(WEEKDAY(CP7)=5,INT((CP7-DATE(YEAR(CP7),1,1))/7+1),IF(AND(WEEKDAY(CP7)=4,NOT( ISERROR(MATCH(CP7+1,Lune!$A$1:$A$1000,0)))),INT((CP7+1-DATE(YEAR(CP7+1),1,1))/7+1),"")),INDEX(Lune!$B$1:$B$1000,MATCH(CP7,Lune!$A$1:$A$1000,0),1)))</f>
        <v>○</v>
      </c>
      <c r="CR7" s="80" t="str">
        <f t="shared" ca="1" si="17"/>
        <v xml:space="preserve"> '</v>
      </c>
      <c r="CS7" s="54" t="str">
        <f ca="1">IF(ISERROR(VLOOKUP(CP7,anniversaire!$X$2:$Z$100,2,0)),"",VLOOKUP(CP7,anniversaire!$X$2:$Z$100,2,0))</f>
        <v>Virely  Maël    3</v>
      </c>
      <c r="CT7" s="54" t="str">
        <f>IF(ISERROR(VLOOKUP(CP7,fête!$B$2:$C$367,2,0)),"",VLOOKUP(CP7,fête!$B$2:$C$367,2,0))</f>
        <v>Fleur</v>
      </c>
      <c r="CU7" s="54" t="str">
        <f>IF(ISERROR(VLOOKUP(CP7,évènements!$A$3:$E$200,3,0)),"",VLOOKUP(CP7,évènements!$A$3:$E$200,3,0))</f>
        <v/>
      </c>
      <c r="CV7" s="54" t="str">
        <f>IF(ISERROR(VLOOKUP(CP7,évènements!$B$3:$E$200,2,0)),"",VLOOKUP(CP7,évènements!$B$3:$E$200,2,0))</f>
        <v/>
      </c>
      <c r="CW7" s="54" t="str">
        <f ca="1">IF(ISNA(VLOOKUP(CP7,Tableau1[[#All],[Colonne1]:[ouvrés]],3,FALSE)),"",VLOOKUP(CP7,Tableau1[[#All],[Colonne1]:[ouvrés]],3,FALSE))</f>
        <v/>
      </c>
      <c r="CX7" s="54" t="str">
        <f>CONCATENATE(CU7,"  ",CV7)</f>
        <v xml:space="preserve">  </v>
      </c>
      <c r="CY7" s="41">
        <f t="shared" si="38"/>
        <v>43044</v>
      </c>
      <c r="CZ7" s="42">
        <f t="shared" si="51"/>
        <v>43044</v>
      </c>
      <c r="DA7" s="43" t="str">
        <f>IF(CZ7="","",IF(ISERROR(MATCH(CZ7,Lune!$A$1:$A$1000,0)),IF(WEEKDAY(CZ7)=5,INT((CZ7-DATE(YEAR(CZ7),1,1))/7+1),IF(AND(WEEKDAY(CZ7)=4,NOT( ISERROR(MATCH(CZ7+1,Lune!$A$1:$A$1000,0)))),INT((CZ7+1-DATE(YEAR(CZ7+1),1,1))/7+1),"")),INDEX(Lune!$B$1:$B$1000,MATCH(CZ7,Lune!$A$1:$A$1000,0),1)))</f>
        <v/>
      </c>
      <c r="DB7" s="80" t="str">
        <f t="shared" ca="1" si="19"/>
        <v/>
      </c>
      <c r="DC7" s="54" t="str">
        <f ca="1">IF(ISERROR(VLOOKUP(CZ7,anniversaire!$X$2:$Z$100,2,0)),"",VLOOKUP(CZ7,anniversaire!$X$2:$Z$100,2,0))</f>
        <v/>
      </c>
      <c r="DD7" s="54" t="str">
        <f>IF(ISERROR(VLOOKUP(CZ7,fête!$B$2:$C$367,2,0)),"",VLOOKUP(CZ7,fête!$B$2:$C$367,2,0))</f>
        <v>Sylvie</v>
      </c>
      <c r="DE7" s="54" t="str">
        <f>IF(ISERROR(VLOOKUP(CZ7,évènements!$A$3:$E$200,3,0)),"",VLOOKUP(CZ7,évènements!$A$3:$E$200,3,0))</f>
        <v/>
      </c>
      <c r="DF7" s="54" t="str">
        <f>IF(ISERROR(VLOOKUP(CZ7,évènements!$B$3:$E$200,2,0)),"",VLOOKUP(CZ7,évènements!$B$3:$E$200,2,0))</f>
        <v/>
      </c>
      <c r="DG7" s="54"/>
      <c r="DH7" s="54" t="str">
        <f t="shared" si="20"/>
        <v xml:space="preserve">  </v>
      </c>
      <c r="DI7" s="41">
        <f t="shared" si="39"/>
        <v>43074</v>
      </c>
      <c r="DJ7" s="42">
        <f t="shared" si="52"/>
        <v>43074</v>
      </c>
      <c r="DK7" s="43" t="str">
        <f>IF(DJ7="","",IF(ISERROR(MATCH(DJ7,Lune!$A$1:$A$1000,0)),IF(WEEKDAY(DJ7)=5,INT((DJ7-DATE(YEAR(DJ7),1,1))/7+1),IF(AND(WEEKDAY(DJ7)=4,NOT( ISERROR(MATCH(DJ7+1,Lune!$A$1:$A$1000,0)))),INT((DJ7+1-DATE(YEAR(DJ7+1),1,1))/7+1),"")),INDEX(Lune!$B$1:$B$1000,MATCH(DJ7,Lune!$A$1:$A$1000,0),1)))</f>
        <v/>
      </c>
      <c r="DL7" s="80" t="str">
        <f t="shared" ca="1" si="21"/>
        <v/>
      </c>
      <c r="DM7" s="54" t="str">
        <f ca="1">IF(ISERROR(VLOOKUP(DJ7,anniversaire!$X$2:$Z$100,2,0)),"",VLOOKUP(DJ7,anniversaire!$X$2:$Z$100,2,0))</f>
        <v/>
      </c>
      <c r="DN7" s="54" t="str">
        <f>IF(ISERROR(VLOOKUP(DJ7,fête!$B$2:$C$367,2,0)),"",VLOOKUP(DJ7,fête!$B$2:$C$367,2,0))</f>
        <v>Gérald</v>
      </c>
      <c r="DO7" s="54" t="str">
        <f>IF(ISERROR(VLOOKUP(DJ7,évènements!$A$3:$E$200,3,0)),"",VLOOKUP(DJ7,évènements!$A$3:$E$200,3,0))</f>
        <v/>
      </c>
      <c r="DP7" s="54" t="str">
        <f>IF(ISERROR(VLOOKUP(DJ7,évènements!$B$3:$E$200,2,0)),"",VLOOKUP(DJ7,évènements!$B$3:$E$200,2,0))</f>
        <v/>
      </c>
      <c r="DQ7" s="54" t="str">
        <f ca="1">IF(ISNA(VLOOKUP(DJ7,Tableau1[[#All],[Colonne1]:[ouvrés]],3,FALSE)),"",VLOOKUP(DJ7,Tableau1[[#All],[Colonne1]:[ouvrés]],3,FALSE))</f>
        <v/>
      </c>
      <c r="DR7" s="54" t="str">
        <f t="shared" si="22"/>
        <v xml:space="preserve">  </v>
      </c>
      <c r="DS7" s="41">
        <f t="shared" si="40"/>
        <v>43105</v>
      </c>
      <c r="DT7" s="42">
        <f t="shared" si="53"/>
        <v>43105</v>
      </c>
      <c r="DU7" s="43" t="str">
        <f>IF(DT7="","",IF(ISERROR(MATCH(DT7,Lune!$A$1:$A$1000,0)),IF(WEEKDAY(DT7)=5,INT((DT7-DATE(YEAR(DT7),1,1))/7+1),IF(AND(WEEKDAY(DT7)=4,NOT( ISERROR(MATCH(DT7+1,Lune!$A$1:$A$1000,0)))),INT((DT7+1-DATE(YEAR(DT7+1),1,1))/7+1),"")),INDEX(Lune!$B$1:$B$1000,MATCH(DT7,Lune!$A$1:$A$1000,0),1)))</f>
        <v/>
      </c>
      <c r="DV7" s="89" t="str">
        <f t="shared" ca="1" si="23"/>
        <v/>
      </c>
      <c r="DW7" s="252" t="str">
        <f t="shared" ca="1" si="24"/>
        <v/>
      </c>
      <c r="DX7" s="252" t="str">
        <f t="shared" si="25"/>
        <v>Edouard</v>
      </c>
      <c r="DY7" s="252" t="str">
        <f>IF(ISERROR(VLOOKUP(DT7,évènements!$A$3:$E$200,3,0)),"",VLOOKUP(DT7,évènements!$A$3:$E$200,3,0))</f>
        <v/>
      </c>
      <c r="DZ7" s="252" t="str">
        <f>IF(ISERROR(VLOOKUP(DT7,évènements!$B$3:$E$200,2,0)),"",VLOOKUP(DT7,évènements!$B$3:$E$200,2,0))</f>
        <v/>
      </c>
      <c r="EA7" s="252" t="str">
        <f ca="1">IF(ISNA(VLOOKUP(DT7,Tableau1[[#All],[Colonne1]:[ouvrés]],3,FALSE)),"",VLOOKUP(DT7,Tableau1[[#All],[Colonne1]:[ouvrés]],3,FALSE))</f>
        <v/>
      </c>
      <c r="EB7" s="252" t="str">
        <f t="shared" si="26"/>
        <v xml:space="preserve">  </v>
      </c>
    </row>
    <row r="8" spans="2:132" ht="15" customHeight="1" x14ac:dyDescent="0.25">
      <c r="B8" s="29"/>
      <c r="C8" s="41">
        <f t="shared" si="27"/>
        <v>42741</v>
      </c>
      <c r="D8" s="40">
        <f t="shared" si="41"/>
        <v>42741</v>
      </c>
      <c r="E8" s="131" t="str">
        <f>IF(D8="","",IF(ISERROR(MATCH(D8,Lune!$A$1:$A$1000,0)),IF(WEEKDAY(D8)=5,INT((D8-DATE(YEAR(D8),1,1))/7+1),IF(AND(WEEKDAY(D8)=4,NOT( ISERROR(MATCH(D8+1,Lune!$A$1:$A$1000,0)))),INT((D8+1-DATE(YEAR(D8+1),1,1))/7+1),"")),INDEX(Lune!$B$1:$B$1000,MATCH(D8,Lune!$A$1:$A$1000,0),1)))</f>
        <v/>
      </c>
      <c r="F8" s="89" t="str">
        <f t="shared" ca="1" si="0"/>
        <v/>
      </c>
      <c r="G8" s="125" t="str">
        <f ca="1">IF(ISERROR(VLOOKUP(D8,anniversaire!$X$2:$Z$100,2,0)),"",VLOOKUP(D8,anniversaire!$X$2:$Z$100,2,0))</f>
        <v/>
      </c>
      <c r="H8" s="54" t="str">
        <f>IF(ISERROR(VLOOKUP(D8,fête!$B$2:$C$367,2,0)),"",VLOOKUP(D8,fête!$B$2:$C$367,2,0))</f>
        <v>Mélaine</v>
      </c>
      <c r="I8" s="239" t="str">
        <f>IF(ISERROR(VLOOKUP(D8,évènements!$A$3:$E$200,3,0)),"",VLOOKUP(D8,évènements!$A$3:$E$200,3,0))</f>
        <v/>
      </c>
      <c r="J8" s="239" t="str">
        <f>IF(ISERROR(VLOOKUP(D8,évènements!$B$3:$E$200,2,0)),"",VLOOKUP(D8,évènements!$B$3:$E$200,2,0))</f>
        <v/>
      </c>
      <c r="K8" s="239" t="str">
        <f ca="1">IF(ISNA(VLOOKUP(D8,Tableau1[[#All],[Colonne1]:[ouvrés]],3,FALSE)),"",VLOOKUP(D8,Tableau1[[#All],[Colonne1]:[ouvrés]],3,FALSE))</f>
        <v/>
      </c>
      <c r="L8" s="239" t="str">
        <f t="shared" si="1"/>
        <v xml:space="preserve">  </v>
      </c>
      <c r="M8" s="41">
        <f t="shared" si="28"/>
        <v>42772</v>
      </c>
      <c r="N8" s="42">
        <f t="shared" si="42"/>
        <v>42772</v>
      </c>
      <c r="O8" s="131" t="str">
        <f>IF(N8="","",IF(ISERROR(MATCH(N8,Lune!$A$1:$A$1000,0)),IF(WEEKDAY(N8)=5,INT((N8-DATE(YEAR(N8),1,1))/7+1),IF(AND(WEEKDAY(N8)=4,NOT( ISERROR(MATCH(N8+1,Lune!$A$1:$A$1000,0)))),INT((N8+1-DATE(YEAR(N8+1),1,1))/7+1),"")),INDEX(Lune!$B$1:$B$1000,MATCH(N8,Lune!$A$1:$A$1000,0),1)))</f>
        <v/>
      </c>
      <c r="P8" s="80" t="str">
        <f t="shared" ca="1" si="2"/>
        <v/>
      </c>
      <c r="Q8" s="54" t="str">
        <f ca="1">IF(ISERROR(VLOOKUP(N8,anniversaire!$X$2:$Z$100,2,0)),"",VLOOKUP(N8,anniversaire!$X$2:$Z$100,2,0))</f>
        <v/>
      </c>
      <c r="R8" s="54" t="str">
        <f>IF(ISERROR(VLOOKUP(N8,fête!$B$2:$C$367,2,0)),"",VLOOKUP(N8,fête!$B$2:$C$367,2,0))</f>
        <v>Gaston</v>
      </c>
      <c r="S8" s="54" t="str">
        <f>IF(ISERROR(VLOOKUP(N8,évènements!$A$3:$E$200,3,0)),"",VLOOKUP(N8,évènements!$A$3:$E$200,3,0))</f>
        <v/>
      </c>
      <c r="T8" s="54" t="str">
        <f>IF(ISERROR(VLOOKUP(N8,évènements!$B$3:$E$200,2,0)),"",VLOOKUP(N8,évènements!$B$3:$E$200,2,0))</f>
        <v/>
      </c>
      <c r="U8" s="54" t="str">
        <f ca="1">IF(ISNA(VLOOKUP(N8,Tableau1[[#All],[Colonne1]:[ouvrés]],3,FALSE)),"",VLOOKUP(N8,Tableau1[[#All],[Colonne1]:[ouvrés]],3,FALSE))</f>
        <v/>
      </c>
      <c r="V8" s="54" t="str">
        <f t="shared" si="3"/>
        <v xml:space="preserve">  </v>
      </c>
      <c r="W8" s="41">
        <f t="shared" si="29"/>
        <v>42800</v>
      </c>
      <c r="X8" s="42">
        <f t="shared" si="43"/>
        <v>42800</v>
      </c>
      <c r="Y8" s="132" t="str">
        <f>IF(X8="","",IF(ISERROR(MATCH(X8,Lune!$A$1:$A$1000,0)),IF(WEEKDAY(X8)=5,INT((X8-DATE(YEAR(X8),1,1))/7+1),IF(AND(WEEKDAY(X8)=4,NOT( ISERROR(MATCH(X8+1,Lune!$A$1:$A$1000,0)))),INT((X8+1-DATE(YEAR(X8+1),1,1))/7+1),"")),INDEX(Lune!$B$1:$B$1000,MATCH(X8,Lune!$A$1:$A$1000,0),1)))</f>
        <v/>
      </c>
      <c r="Z8" s="89" t="str">
        <f t="shared" ca="1" si="4"/>
        <v/>
      </c>
      <c r="AA8" s="125" t="str">
        <f ca="1">IF(ISERROR(VLOOKUP(X8,anniversaire!$X$2:$Z$100,2,0)),"",VLOOKUP(X8,anniversaire!$X$2:$Z$100,2,0))</f>
        <v/>
      </c>
      <c r="AB8" s="54" t="str">
        <f>IF(ISERROR(VLOOKUP(X8,fête!$B$2:$C$367,2,0)),"",VLOOKUP(X8,fête!$B$2:$C$367,2,0))</f>
        <v>Colette</v>
      </c>
      <c r="AC8" s="54" t="str">
        <f>IF(ISERROR(VLOOKUP(X8,évènements!$A$3:$E$200,3,0)),"",VLOOKUP(X8,évènements!$A$3:$E$200,3,0))</f>
        <v/>
      </c>
      <c r="AD8" s="54" t="str">
        <f>IF(ISERROR(VLOOKUP(X8,évènements!$B$3:$E$200,2,0)),"",VLOOKUP(X8,évènements!$B$3:$E$200,2,0))</f>
        <v/>
      </c>
      <c r="AE8" s="54" t="str">
        <f ca="1">IF(ISNA(VLOOKUP(X8,Tableau1[[#All],[Colonne1]:[ouvrés]],3,FALSE)),"",VLOOKUP(X8,Tableau1[[#All],[Colonne1]:[ouvrés]],3,FALSE))</f>
        <v/>
      </c>
      <c r="AF8" s="54" t="str">
        <f t="shared" si="5"/>
        <v xml:space="preserve">  </v>
      </c>
      <c r="AG8" s="41">
        <f t="shared" si="30"/>
        <v>42831</v>
      </c>
      <c r="AH8" s="42">
        <f t="shared" si="44"/>
        <v>42831</v>
      </c>
      <c r="AI8" s="137">
        <f>IF(AH8="","",IF(ISERROR(MATCH(AH8,Lune!$A$1:$A$1000,0)),IF(WEEKDAY(AH8)=5,INT((AH8-DATE(YEAR(AH8),1,1))/7+1),IF(AND(WEEKDAY(AH8)=4,NOT( ISERROR(MATCH(AH8+1,Lune!$A$1:$A$1000,0)))),INT((AH8+1-DATE(YEAR(AH8+1),1,1))/7+1),"")),INDEX(Lune!$B$1:$B$1000,MATCH(AH8,Lune!$A$1:$A$1000,0),1)))</f>
        <v>14</v>
      </c>
      <c r="AJ8" s="80" t="str">
        <f t="shared" ca="1" si="6"/>
        <v/>
      </c>
      <c r="AK8" s="54" t="str">
        <f ca="1">IF(ISERROR(VLOOKUP(AH8,anniversaire!$X$2:$Z$100,2,0)),"",VLOOKUP(AH8,anniversaire!$X$2:$Z$100,2,0))</f>
        <v/>
      </c>
      <c r="AL8" s="54" t="str">
        <f>IF(ISERROR(VLOOKUP(AH8,fête!$B$2:$C$367,2,0)),"",VLOOKUP(AH8,fête!$B$2:$C$367,2,0))</f>
        <v>Marcellin</v>
      </c>
      <c r="AM8" s="54" t="str">
        <f>IF(ISERROR(VLOOKUP(AH8,évènements!$A$3:$E$200,3,0)),"",VLOOKUP(AH8,évènements!$A$3:$E$200,3,0))</f>
        <v/>
      </c>
      <c r="AN8" s="54" t="str">
        <f>IF(ISERROR(VLOOKUP(AH8,évènements!$B$3:$E$200,2,0)),"",VLOOKUP(AH8,évènements!$B$3:$E$200,2,0))</f>
        <v/>
      </c>
      <c r="AO8" s="54" t="str">
        <f ca="1">IF(ISNA(VLOOKUP(AH8,Tableau1[[#All],[Colonne1]:[ouvrés]],3,FALSE)),"",VLOOKUP(AH8,Tableau1[[#All],[Colonne1]:[ouvrés]],3,FALSE))</f>
        <v/>
      </c>
      <c r="AP8" s="238" t="str">
        <f t="shared" si="7"/>
        <v xml:space="preserve">  </v>
      </c>
      <c r="AQ8" s="41">
        <f t="shared" si="31"/>
        <v>42861</v>
      </c>
      <c r="AR8" s="42">
        <f t="shared" si="45"/>
        <v>42861</v>
      </c>
      <c r="AS8" s="43" t="str">
        <f>IF(AR8="","",IF(ISERROR(MATCH(AR8,Lune!$A$1:$A$1000,0)),IF(WEEKDAY(AR8)=5,INT((AR8-DATE(YEAR(AR8),1,1))/7+1),IF(AND(WEEKDAY(AR8)=4,NOT( ISERROR(MATCH(AR8+1,Lune!$A$1:$A$1000,0)))),INT((AR8+1-DATE(YEAR(AR8+1),1,1))/7+1),"")),INDEX(Lune!$B$1:$B$1000,MATCH(AR8,Lune!$A$1:$A$1000,0),1)))</f>
        <v/>
      </c>
      <c r="AT8" s="79" t="str">
        <f t="shared" ca="1" si="8"/>
        <v/>
      </c>
      <c r="AU8" s="54" t="str">
        <f ca="1">IF(ISERROR(VLOOKUP(AR8,anniversaire!$X$2:$Z$100,2,0)),"",VLOOKUP(AR8,anniversaire!$X$2:$Z$100,2,0))</f>
        <v/>
      </c>
      <c r="AV8" s="54" t="str">
        <f>IF(ISERROR(VLOOKUP(AR8,fête!$B$2:$C$367,2,0)),"",VLOOKUP(AR8,fête!$B$2:$C$367,2,0))</f>
        <v>Prudence</v>
      </c>
      <c r="AW8" s="238" t="str">
        <f>IF(ISERROR(VLOOKUP(AR8,évènements!$A$3:$E$200,3,0)),"",VLOOKUP(AR8,évènements!$A$3:$E$200,3,0))</f>
        <v/>
      </c>
      <c r="AX8" s="238" t="str">
        <f>IF(ISERROR(VLOOKUP(AR8,évènements!$B$3:$E$200,2,0)),"",VLOOKUP(AR8,évènements!$B$3:$E$200,2,0))</f>
        <v/>
      </c>
      <c r="AY8" s="238" t="str">
        <f ca="1">IF(ISNA(VLOOKUP(AR8,Tableau1[[#All],[Colonne1]:[ouvrés]],3,FALSE)),"",VLOOKUP(AR8,Tableau1[[#All],[Colonne1]:[ouvrés]],3,FALSE))</f>
        <v/>
      </c>
      <c r="AZ8" s="238" t="str">
        <f t="shared" si="9"/>
        <v xml:space="preserve">  </v>
      </c>
      <c r="BA8" s="41">
        <f t="shared" si="32"/>
        <v>42892</v>
      </c>
      <c r="BB8" s="42">
        <f t="shared" si="46"/>
        <v>42892</v>
      </c>
      <c r="BC8" s="43" t="str">
        <f>IF(BB8="","",IF(ISERROR(MATCH(BB8,Lune!$A$1:$A$1000,0)),IF(WEEKDAY(BB8)=5,INT((BB8-DATE(YEAR(BB8),1,1))/7+1),IF(AND(WEEKDAY(BB8)=4,NOT( ISERROR(MATCH(BB8+1,Lune!$A$1:$A$1000,0)))),INT((BB8+1-DATE(YEAR(BB8+1),1,1))/7+1),"")),INDEX(Lune!$B$1:$B$1000,MATCH(BB8,Lune!$A$1:$A$1000,0),1)))</f>
        <v/>
      </c>
      <c r="BD8" s="79" t="str">
        <f t="shared" ca="1" si="10"/>
        <v/>
      </c>
      <c r="BE8" s="54" t="str">
        <f ca="1">IF(ISERROR(VLOOKUP(BB8,anniversaire!$X$2:$Z$100,2,0)),"",VLOOKUP(BB8,anniversaire!$X$2:$Z$100,2,0))</f>
        <v/>
      </c>
      <c r="BF8" s="54" t="str">
        <f>IF(ISERROR(VLOOKUP(BB8,fête!$B$2:$C$367,2,0)),"",VLOOKUP(BB8,fête!$B$2:$C$367,2,0))</f>
        <v>Norbert</v>
      </c>
      <c r="BG8" s="54" t="str">
        <f>IF(ISERROR(VLOOKUP(BB8,évènements!$A$3:$E$200,3,0)),"",VLOOKUP(BB8,évènements!$A$3:$E$200,3,0))</f>
        <v/>
      </c>
      <c r="BH8" s="54" t="str">
        <f>IF(ISERROR(VLOOKUP(BB8,évènements!$B$3:$E$200,2,0)),"",VLOOKUP(BB8,évènements!$B$3:$E$200,2,0))</f>
        <v/>
      </c>
      <c r="BI8" s="54" t="str">
        <f ca="1">IF(ISNA(VLOOKUP(BB8,Tableau1[[#All],[Colonne1]:[ouvrés]],3,FALSE)),"",VLOOKUP(BB8,Tableau1[[#All],[Colonne1]:[ouvrés]],3,FALSE))</f>
        <v/>
      </c>
      <c r="BJ8" s="54" t="str">
        <f t="shared" si="11"/>
        <v xml:space="preserve">  </v>
      </c>
      <c r="BK8" s="41">
        <f t="shared" si="33"/>
        <v>42922</v>
      </c>
      <c r="BL8" s="42">
        <f t="shared" si="47"/>
        <v>42922</v>
      </c>
      <c r="BM8" s="43">
        <f>IF(BL8="","",IF(ISERROR(MATCH(BL8,Lune!$A$1:$A$1000,0)),IF(WEEKDAY(BL8)=5,INT((BL8-DATE(YEAR(BL8),1,1))/7+1),IF(AND(WEEKDAY(BL8)=4,NOT( ISERROR(MATCH(BL8+1,Lune!$A$1:$A$1000,0)))),INT((BL8+1-DATE(YEAR(BL8+1),1,1))/7+1),"")),INDEX(Lune!$B$1:$B$1000,MATCH(BL8,Lune!$A$1:$A$1000,0),1)))</f>
        <v>27</v>
      </c>
      <c r="BN8" s="80" t="str">
        <f t="shared" ca="1" si="12"/>
        <v/>
      </c>
      <c r="BO8" s="54" t="str">
        <f ca="1">IF(ISERROR(VLOOKUP(BL8,anniversaire!$X$2:$Z$100,2,0)),"",VLOOKUP(BL8,anniversaire!$X$2:$Z$100,2,0))</f>
        <v/>
      </c>
      <c r="BP8" s="54" t="str">
        <f>IF(ISERROR(VLOOKUP(BL8,fête!$B$2:$C$367,2,0)),"",VLOOKUP(BL8,fête!$B$2:$C$367,2,0))</f>
        <v>Mariette</v>
      </c>
      <c r="BQ8" s="54" t="str">
        <f>IF(ISERROR(VLOOKUP(BL8,évènements!$A$3:$E$200,3,0)),"",VLOOKUP(BL8,évènements!$A$3:$E$200,3,0))</f>
        <v/>
      </c>
      <c r="BR8" s="54" t="str">
        <f>IF(ISERROR(VLOOKUP(BL8,évènements!$B$3:$E$200,2,0)),"",VLOOKUP(BL8,évènements!$B$3:$E$200,2,0))</f>
        <v/>
      </c>
      <c r="BS8" s="54" t="str">
        <f ca="1">IF(ISNA(VLOOKUP(BL8,Tableau1[[#All],[Colonne1]:[ouvrés]],3,FALSE)),"",VLOOKUP(BL8,Tableau1[[#All],[Colonne1]:[ouvrés]],3,FALSE))</f>
        <v/>
      </c>
      <c r="BT8" s="54" t="str">
        <f t="shared" si="34"/>
        <v xml:space="preserve">  </v>
      </c>
      <c r="BU8" s="41">
        <f t="shared" si="35"/>
        <v>42953</v>
      </c>
      <c r="BV8" s="42">
        <f t="shared" si="48"/>
        <v>42953</v>
      </c>
      <c r="BW8" s="43" t="str">
        <f>IF(BV8="","",IF(ISERROR(MATCH(BV8,Lune!$A$1:$A$1000,0)),IF(WEEKDAY(BV8)=5,INT((BV8-DATE(YEAR(BV8),1,1))/7+1),IF(AND(WEEKDAY(BV8)=4,NOT( ISERROR(MATCH(BV8+1,Lune!$A$1:$A$1000,0)))),INT((BV8+1-DATE(YEAR(BV8+1),1,1))/7+1),"")),INDEX(Lune!$B$1:$B$1000,MATCH(BV8,Lune!$A$1:$A$1000,0),1)))</f>
        <v/>
      </c>
      <c r="BX8" s="80" t="str">
        <f t="shared" ca="1" si="13"/>
        <v/>
      </c>
      <c r="BY8" s="54" t="str">
        <f ca="1">IF(ISERROR(VLOOKUP(BV8,anniversaire!$X$2:$Z$100,2,0)),"",VLOOKUP(BV8,anniversaire!$X$2:$Z$100,2,0))</f>
        <v/>
      </c>
      <c r="BZ8" s="54" t="str">
        <f>IF(ISERROR(VLOOKUP(BV8,fête!$B$2:$C$367,2,0)),"",VLOOKUP(BV8,fête!$B$2:$C$367,2,0))</f>
        <v>Transfiguration</v>
      </c>
      <c r="CA8" s="54" t="str">
        <f>IF(ISERROR(VLOOKUP(BV8,évènements!$A$3:$E$200,3,0)),"",VLOOKUP(BV8,évènements!$A$3:$E$200,3,0))</f>
        <v/>
      </c>
      <c r="CB8" s="54" t="str">
        <f>IF(ISERROR(VLOOKUP(BV8,évènements!$B$3:$E$200,2,0)),"",VLOOKUP(BV8,évènements!$B$3:$E$200,2,0))</f>
        <v/>
      </c>
      <c r="CC8" s="54" t="str">
        <f ca="1">IF(ISNA(VLOOKUP(BV8,Tableau1[[#All],[Colonne1]:[ouvrés]],3,FALSE)),"",VLOOKUP(BV8,Tableau1[[#All],[Colonne1]:[ouvrés]],3,FALSE))</f>
        <v/>
      </c>
      <c r="CD8" s="54" t="str">
        <f t="shared" si="14"/>
        <v xml:space="preserve">  </v>
      </c>
      <c r="CE8" s="41">
        <f t="shared" si="36"/>
        <v>42984</v>
      </c>
      <c r="CF8" s="42">
        <f t="shared" si="49"/>
        <v>42984</v>
      </c>
      <c r="CG8" s="43" t="str">
        <f>IF(CF8="","",IF(ISERROR(MATCH(CF8,Lune!$A$1:$A$1000,0)),IF(WEEKDAY(CF8)=5,INT((CF8-DATE(YEAR(CF8),1,1))/7+1),IF(AND(WEEKDAY(CF8)=4,NOT( ISERROR(MATCH(CF8+1,Lune!$A$1:$A$1000,0)))),INT((CF8+1-DATE(YEAR(CF8+1),1,1))/7+1),"")),INDEX(Lune!$B$1:$B$1000,MATCH(CF8,Lune!$A$1:$A$1000,0),1)))</f>
        <v>○</v>
      </c>
      <c r="CH8" s="80" t="str">
        <f t="shared" ca="1" si="15"/>
        <v/>
      </c>
      <c r="CI8" s="54" t="str">
        <f ca="1">IF(ISERROR(VLOOKUP(CF8,anniversaire!$X$2:$Z$100,2,0)),"",VLOOKUP(CF8,anniversaire!$X$2:$Z$100,2,0))</f>
        <v/>
      </c>
      <c r="CJ8" s="54" t="str">
        <f>IF(ISERROR(VLOOKUP(CF8,fête!$B$2:$C$367,2,0)),"",VLOOKUP(CF8,fête!$B$2:$C$367,2,0))</f>
        <v>Bertrand</v>
      </c>
      <c r="CK8" s="54" t="str">
        <f>IF(ISERROR(VLOOKUP(CF8,évènements!$A$3:$E$200,3,0)),"",VLOOKUP(CF8,évènements!$A$3:$E$200,3,0))</f>
        <v/>
      </c>
      <c r="CL8" s="54" t="str">
        <f>IF(ISERROR(VLOOKUP(CF8,évènements!$B$3:$E$200,2,0)),"",VLOOKUP(CF8,évènements!$B$3:$E$200,2,0))</f>
        <v/>
      </c>
      <c r="CM8" s="54" t="str">
        <f ca="1">IF(ISNA(VLOOKUP(CF8,Tableau1[[#All],[Colonne1]:[ouvrés]],3,FALSE)),"",VLOOKUP(CF8,Tableau1[[#All],[Colonne1]:[ouvrés]],3,FALSE))</f>
        <v/>
      </c>
      <c r="CN8" s="54" t="str">
        <f t="shared" si="16"/>
        <v xml:space="preserve">  </v>
      </c>
      <c r="CO8" s="41">
        <f t="shared" si="37"/>
        <v>43014</v>
      </c>
      <c r="CP8" s="42">
        <f t="shared" si="50"/>
        <v>43014</v>
      </c>
      <c r="CQ8" s="43" t="str">
        <f>IF(CP8="","",IF(ISERROR(MATCH(CP8,Lune!$A$1:$A$1000,0)),IF(WEEKDAY(CP8)=5,INT((CP8-DATE(YEAR(CP8),1,1))/7+1),IF(AND(WEEKDAY(CP8)=4,NOT( ISERROR(MATCH(CP8+1,Lune!$A$1:$A$1000,0)))),INT((CP8+1-DATE(YEAR(CP8+1),1,1))/7+1),"")),INDEX(Lune!$B$1:$B$1000,MATCH(CP8,Lune!$A$1:$A$1000,0),1)))</f>
        <v/>
      </c>
      <c r="CR8" s="80" t="str">
        <f t="shared" ca="1" si="17"/>
        <v/>
      </c>
      <c r="CS8" s="54" t="str">
        <f ca="1">IF(ISERROR(VLOOKUP(CP8,anniversaire!$X$2:$Z$100,2,0)),"",VLOOKUP(CP8,anniversaire!$X$2:$Z$100,2,0))</f>
        <v/>
      </c>
      <c r="CT8" s="54" t="str">
        <f>IF(ISERROR(VLOOKUP(CP8,fête!$B$2:$C$367,2,0)),"",VLOOKUP(CP8,fête!$B$2:$C$367,2,0))</f>
        <v>Bruno</v>
      </c>
      <c r="CU8" s="54" t="str">
        <f>IF(ISERROR(VLOOKUP(CP8,évènements!$A$3:$E$200,3,0)),"",VLOOKUP(CP8,évènements!$A$3:$E$200,3,0))</f>
        <v/>
      </c>
      <c r="CV8" s="54" t="str">
        <f>IF(ISERROR(VLOOKUP(CP8,évènements!$B$3:$E$200,2,0)),"",VLOOKUP(CP8,évènements!$B$3:$E$200,2,0))</f>
        <v/>
      </c>
      <c r="CW8" s="54" t="str">
        <f ca="1">IF(ISNA(VLOOKUP(CP8,Tableau1[[#All],[Colonne1]:[ouvrés]],3,FALSE)),"",VLOOKUP(CP8,Tableau1[[#All],[Colonne1]:[ouvrés]],3,FALSE))</f>
        <v/>
      </c>
      <c r="CX8" s="54" t="str">
        <f t="shared" si="18"/>
        <v xml:space="preserve">  </v>
      </c>
      <c r="CY8" s="41">
        <f t="shared" si="38"/>
        <v>43045</v>
      </c>
      <c r="CZ8" s="42">
        <f t="shared" si="51"/>
        <v>43045</v>
      </c>
      <c r="DA8" s="43" t="str">
        <f>IF(CZ8="","",IF(ISERROR(MATCH(CZ8,Lune!$A$1:$A$1000,0)),IF(WEEKDAY(CZ8)=5,INT((CZ8-DATE(YEAR(CZ8),1,1))/7+1),IF(AND(WEEKDAY(CZ8)=4,NOT( ISERROR(MATCH(CZ8+1,Lune!$A$1:$A$1000,0)))),INT((CZ8+1-DATE(YEAR(CZ8+1),1,1))/7+1),"")),INDEX(Lune!$B$1:$B$1000,MATCH(CZ8,Lune!$A$1:$A$1000,0),1)))</f>
        <v/>
      </c>
      <c r="DB8" s="80" t="str">
        <f t="shared" ca="1" si="19"/>
        <v/>
      </c>
      <c r="DC8" s="54" t="str">
        <f ca="1">IF(ISERROR(VLOOKUP(CZ8,anniversaire!$X$2:$Z$100,2,0)),"",VLOOKUP(CZ8,anniversaire!$X$2:$Z$100,2,0))</f>
        <v/>
      </c>
      <c r="DD8" s="54" t="str">
        <f>IF(ISERROR(VLOOKUP(CZ8,fête!$B$2:$C$367,2,0)),"",VLOOKUP(CZ8,fête!$B$2:$C$367,2,0))</f>
        <v>Bertille</v>
      </c>
      <c r="DE8" s="54" t="str">
        <f>IF(ISERROR(VLOOKUP(CZ8,évènements!$A$3:$E$200,3,0)),"",VLOOKUP(CZ8,évènements!$A$3:$E$200,3,0))</f>
        <v/>
      </c>
      <c r="DF8" s="54" t="str">
        <f>IF(ISERROR(VLOOKUP(CZ8,évènements!$B$3:$E$200,2,0)),"",VLOOKUP(CZ8,évènements!$B$3:$E$200,2,0))</f>
        <v/>
      </c>
      <c r="DG8" s="54"/>
      <c r="DH8" s="54" t="str">
        <f>CONCATENATE(DE8,"  ",DF8)</f>
        <v xml:space="preserve">  </v>
      </c>
      <c r="DI8" s="41">
        <f t="shared" si="39"/>
        <v>43075</v>
      </c>
      <c r="DJ8" s="42">
        <f t="shared" si="52"/>
        <v>43075</v>
      </c>
      <c r="DK8" s="43" t="str">
        <f>IF(DJ8="","",IF(ISERROR(MATCH(DJ8,Lune!$A$1:$A$1000,0)),IF(WEEKDAY(DJ8)=5,INT((DJ8-DATE(YEAR(DJ8),1,1))/7+1),IF(AND(WEEKDAY(DJ8)=4,NOT( ISERROR(MATCH(DJ8+1,Lune!$A$1:$A$1000,0)))),INT((DJ8+1-DATE(YEAR(DJ8+1),1,1))/7+1),"")),INDEX(Lune!$B$1:$B$1000,MATCH(DJ8,Lune!$A$1:$A$1000,0),1)))</f>
        <v/>
      </c>
      <c r="DL8" s="80" t="str">
        <f t="shared" ca="1" si="21"/>
        <v/>
      </c>
      <c r="DM8" s="54" t="str">
        <f ca="1">IF(ISERROR(VLOOKUP(DJ8,anniversaire!$X$2:$Z$100,2,0)),"",VLOOKUP(DJ8,anniversaire!$X$2:$Z$100,2,0))</f>
        <v/>
      </c>
      <c r="DN8" s="54" t="str">
        <f>IF(ISERROR(VLOOKUP(DJ8,fête!$B$2:$C$367,2,0)),"",VLOOKUP(DJ8,fête!$B$2:$C$367,2,0))</f>
        <v>Nicolas</v>
      </c>
      <c r="DO8" s="54" t="str">
        <f>IF(ISERROR(VLOOKUP(DJ8,évènements!$A$3:$E$200,3,0)),"",VLOOKUP(DJ8,évènements!$A$3:$E$200,3,0))</f>
        <v/>
      </c>
      <c r="DP8" s="54" t="str">
        <f>IF(ISERROR(VLOOKUP(DJ8,évènements!$B$3:$E$200,2,0)),"",VLOOKUP(DJ8,évènements!$B$3:$E$200,2,0))</f>
        <v/>
      </c>
      <c r="DQ8" s="54" t="str">
        <f ca="1">IF(ISNA(VLOOKUP(DJ8,Tableau1[[#All],[Colonne1]:[ouvrés]],3,FALSE)),"",VLOOKUP(DJ8,Tableau1[[#All],[Colonne1]:[ouvrés]],3,FALSE))</f>
        <v/>
      </c>
      <c r="DR8" s="54" t="str">
        <f>CONCATENATE(DO8,"  ",DP8)</f>
        <v xml:space="preserve">  </v>
      </c>
      <c r="DS8" s="41">
        <f t="shared" si="40"/>
        <v>43106</v>
      </c>
      <c r="DT8" s="42">
        <f t="shared" si="53"/>
        <v>43106</v>
      </c>
      <c r="DU8" s="43" t="str">
        <f>IF(DT8="","",IF(ISERROR(MATCH(DT8,Lune!$A$1:$A$1000,0)),IF(WEEKDAY(DT8)=5,INT((DT8-DATE(YEAR(DT8),1,1))/7+1),IF(AND(WEEKDAY(DT8)=4,NOT( ISERROR(MATCH(DT8+1,Lune!$A$1:$A$1000,0)))),INT((DT8+1-DATE(YEAR(DT8+1),1,1))/7+1),"")),INDEX(Lune!$B$1:$B$1000,MATCH(DT8,Lune!$A$1:$A$1000,0),1)))</f>
        <v/>
      </c>
      <c r="DV8" s="89" t="str">
        <f t="shared" ca="1" si="23"/>
        <v/>
      </c>
      <c r="DW8" s="252" t="str">
        <f t="shared" ca="1" si="24"/>
        <v/>
      </c>
      <c r="DX8" s="252" t="str">
        <f t="shared" si="25"/>
        <v>Mélaine</v>
      </c>
      <c r="DY8" s="252" t="str">
        <f>IF(ISERROR(VLOOKUP(DT8,évènements!$A$3:$E$200,3,0)),"",VLOOKUP(DT8,évènements!$A$3:$E$200,3,0))</f>
        <v/>
      </c>
      <c r="DZ8" s="252" t="str">
        <f>IF(ISERROR(VLOOKUP(DT8,évènements!$B$3:$E$200,2,0)),"",VLOOKUP(DT8,évènements!$B$3:$E$200,2,0))</f>
        <v/>
      </c>
      <c r="EA8" s="252" t="str">
        <f ca="1">IF(ISNA(VLOOKUP(DT8,Tableau1[[#All],[Colonne1]:[ouvrés]],3,FALSE)),"",VLOOKUP(DT8,Tableau1[[#All],[Colonne1]:[ouvrés]],3,FALSE))</f>
        <v/>
      </c>
      <c r="EB8" s="252" t="str">
        <f t="shared" si="26"/>
        <v xml:space="preserve">  </v>
      </c>
    </row>
    <row r="9" spans="2:132" ht="15" customHeight="1" x14ac:dyDescent="0.25">
      <c r="B9" s="29"/>
      <c r="C9" s="41">
        <f t="shared" si="27"/>
        <v>42742</v>
      </c>
      <c r="D9" s="40">
        <f t="shared" si="41"/>
        <v>42742</v>
      </c>
      <c r="E9" s="131" t="str">
        <f>IF(D9="","",IF(ISERROR(MATCH(D9,Lune!$A$1:$A$1000,0)),IF(WEEKDAY(D9)=5,INT((D9-DATE(YEAR(D9),1,1))/7+1),IF(AND(WEEKDAY(D9)=4,NOT( ISERROR(MATCH(D9+1,Lune!$A$1:$A$1000,0)))),INT((D9+1-DATE(YEAR(D9+1),1,1))/7+1),"")),INDEX(Lune!$B$1:$B$1000,MATCH(D9,Lune!$A$1:$A$1000,0),1)))</f>
        <v/>
      </c>
      <c r="F9" s="89" t="str">
        <f t="shared" ca="1" si="0"/>
        <v/>
      </c>
      <c r="G9" s="125" t="str">
        <f ca="1">IF(ISERROR(VLOOKUP(D9,anniversaire!$X$2:$Z$100,2,0)),"",VLOOKUP(D9,anniversaire!$X$2:$Z$100,2,0))</f>
        <v/>
      </c>
      <c r="H9" s="54" t="str">
        <f>IF(ISERROR(VLOOKUP(D9,fête!$B$2:$C$367,2,0)),"",VLOOKUP(D9,fête!$B$2:$C$367,2,0))</f>
        <v>Raymond</v>
      </c>
      <c r="I9" s="239" t="str">
        <f>IF(ISERROR(VLOOKUP(D9,évènements!$A$3:$E$200,3,0)),"",VLOOKUP(D9,évènements!$A$3:$E$200,3,0))</f>
        <v/>
      </c>
      <c r="J9" s="239" t="str">
        <f>IF(ISERROR(VLOOKUP(D9,évènements!$B$3:$E$200,2,0)),"",VLOOKUP(D9,évènements!$B$3:$E$200,2,0))</f>
        <v/>
      </c>
      <c r="K9" s="239" t="str">
        <f ca="1">IF(ISNA(VLOOKUP(D9,Tableau1[[#All],[Colonne1]:[ouvrés]],3,FALSE)),"",VLOOKUP(D9,Tableau1[[#All],[Colonne1]:[ouvrés]],3,FALSE))</f>
        <v/>
      </c>
      <c r="L9" s="239" t="str">
        <f t="shared" si="1"/>
        <v xml:space="preserve">  </v>
      </c>
      <c r="M9" s="41">
        <f t="shared" si="28"/>
        <v>42773</v>
      </c>
      <c r="N9" s="42">
        <f t="shared" si="42"/>
        <v>42773</v>
      </c>
      <c r="O9" s="131" t="str">
        <f>IF(N9="","",IF(ISERROR(MATCH(N9,Lune!$A$1:$A$1000,0)),IF(WEEKDAY(N9)=5,INT((N9-DATE(YEAR(N9),1,1))/7+1),IF(AND(WEEKDAY(N9)=4,NOT( ISERROR(MATCH(N9+1,Lune!$A$1:$A$1000,0)))),INT((N9+1-DATE(YEAR(N9+1),1,1))/7+1),"")),INDEX(Lune!$B$1:$B$1000,MATCH(N9,Lune!$A$1:$A$1000,0),1)))</f>
        <v/>
      </c>
      <c r="P9" s="80" t="str">
        <f t="shared" ca="1" si="2"/>
        <v/>
      </c>
      <c r="Q9" s="54" t="str">
        <f ca="1">IF(ISERROR(VLOOKUP(N9,anniversaire!$X$2:$Z$100,2,0)),"",VLOOKUP(N9,anniversaire!$X$2:$Z$100,2,0))</f>
        <v/>
      </c>
      <c r="R9" s="54" t="str">
        <f>IF(ISERROR(VLOOKUP(N9,fête!$B$2:$C$367,2,0)),"",VLOOKUP(N9,fête!$B$2:$C$367,2,0))</f>
        <v>Eugènie</v>
      </c>
      <c r="S9" s="54" t="str">
        <f>IF(ISERROR(VLOOKUP(N9,évènements!$A$3:$E$200,3,0)),"",VLOOKUP(N9,évènements!$A$3:$E$200,3,0))</f>
        <v/>
      </c>
      <c r="T9" s="54" t="str">
        <f>IF(ISERROR(VLOOKUP(N9,évènements!$B$3:$E$200,2,0)),"",VLOOKUP(N9,évènements!$B$3:$E$200,2,0))</f>
        <v/>
      </c>
      <c r="U9" s="54" t="str">
        <f ca="1">IF(ISNA(VLOOKUP(N9,Tableau1[[#All],[Colonne1]:[ouvrés]],3,FALSE)),"",VLOOKUP(N9,Tableau1[[#All],[Colonne1]:[ouvrés]],3,FALSE))</f>
        <v/>
      </c>
      <c r="V9" s="54" t="str">
        <f t="shared" si="3"/>
        <v xml:space="preserve">  </v>
      </c>
      <c r="W9" s="41">
        <f t="shared" si="29"/>
        <v>42801</v>
      </c>
      <c r="X9" s="42">
        <f t="shared" si="43"/>
        <v>42801</v>
      </c>
      <c r="Y9" s="132" t="str">
        <f>IF(X9="","",IF(ISERROR(MATCH(X9,Lune!$A$1:$A$1000,0)),IF(WEEKDAY(X9)=5,INT((X9-DATE(YEAR(X9),1,1))/7+1),IF(AND(WEEKDAY(X9)=4,NOT( ISERROR(MATCH(X9+1,Lune!$A$1:$A$1000,0)))),INT((X9+1-DATE(YEAR(X9+1),1,1))/7+1),"")),INDEX(Lune!$B$1:$B$1000,MATCH(X9,Lune!$A$1:$A$1000,0),1)))</f>
        <v/>
      </c>
      <c r="Z9" s="89" t="str">
        <f t="shared" ca="1" si="4"/>
        <v/>
      </c>
      <c r="AA9" s="125" t="str">
        <f ca="1">IF(ISERROR(VLOOKUP(X9,anniversaire!$X$2:$Z$100,2,0)),"",VLOOKUP(X9,anniversaire!$X$2:$Z$100,2,0))</f>
        <v/>
      </c>
      <c r="AB9" s="54" t="str">
        <f>IF(ISERROR(VLOOKUP(X9,fête!$B$2:$C$367,2,0)),"",VLOOKUP(X9,fête!$B$2:$C$367,2,0))</f>
        <v>Félicité</v>
      </c>
      <c r="AC9" s="54" t="str">
        <f>IF(ISERROR(VLOOKUP(X9,évènements!$A$3:$E$200,3,0)),"",VLOOKUP(X9,évènements!$A$3:$E$200,3,0))</f>
        <v/>
      </c>
      <c r="AD9" s="54" t="str">
        <f>IF(ISERROR(VLOOKUP(X9,évènements!$B$3:$E$200,2,0)),"",VLOOKUP(X9,évènements!$B$3:$E$200,2,0))</f>
        <v/>
      </c>
      <c r="AE9" s="54" t="str">
        <f ca="1">IF(ISNA(VLOOKUP(X9,Tableau1[[#All],[Colonne1]:[ouvrés]],3,FALSE)),"",VLOOKUP(X9,Tableau1[[#All],[Colonne1]:[ouvrés]],3,FALSE))</f>
        <v/>
      </c>
      <c r="AF9" s="54" t="str">
        <f t="shared" si="5"/>
        <v xml:space="preserve">  </v>
      </c>
      <c r="AG9" s="41">
        <f t="shared" si="30"/>
        <v>42832</v>
      </c>
      <c r="AH9" s="42">
        <f t="shared" si="44"/>
        <v>42832</v>
      </c>
      <c r="AI9" s="137" t="str">
        <f>IF(AH9="","",IF(ISERROR(MATCH(AH9,Lune!$A$1:$A$1000,0)),IF(WEEKDAY(AH9)=5,INT((AH9-DATE(YEAR(AH9),1,1))/7+1),IF(AND(WEEKDAY(AH9)=4,NOT( ISERROR(MATCH(AH9+1,Lune!$A$1:$A$1000,0)))),INT((AH9+1-DATE(YEAR(AH9+1),1,1))/7+1),"")),INDEX(Lune!$B$1:$B$1000,MATCH(AH9,Lune!$A$1:$A$1000,0),1)))</f>
        <v/>
      </c>
      <c r="AJ9" s="80" t="str">
        <f t="shared" ca="1" si="6"/>
        <v/>
      </c>
      <c r="AK9" s="54" t="str">
        <f ca="1">IF(ISERROR(VLOOKUP(AH9,anniversaire!$X$2:$Z$100,2,0)),"",VLOOKUP(AH9,anniversaire!$X$2:$Z$100,2,0))</f>
        <v/>
      </c>
      <c r="AL9" s="54" t="str">
        <f>IF(ISERROR(VLOOKUP(AH9,fête!$B$2:$C$367,2,0)),"",VLOOKUP(AH9,fête!$B$2:$C$367,2,0))</f>
        <v>Jean-Baptiste de la Salle</v>
      </c>
      <c r="AM9" s="54" t="str">
        <f>IF(ISERROR(VLOOKUP(AH9,évènements!$A$3:$E$200,3,0)),"",VLOOKUP(AH9,évènements!$A$3:$E$200,3,0))</f>
        <v/>
      </c>
      <c r="AN9" s="54" t="str">
        <f>IF(ISERROR(VLOOKUP(AH9,évènements!$B$3:$E$200,2,0)),"",VLOOKUP(AH9,évènements!$B$3:$E$200,2,0))</f>
        <v/>
      </c>
      <c r="AO9" s="54" t="str">
        <f ca="1">IF(ISNA(VLOOKUP(AH9,Tableau1[[#All],[Colonne1]:[ouvrés]],3,FALSE)),"",VLOOKUP(AH9,Tableau1[[#All],[Colonne1]:[ouvrés]],3,FALSE))</f>
        <v/>
      </c>
      <c r="AP9" s="238" t="str">
        <f t="shared" si="7"/>
        <v xml:space="preserve">  </v>
      </c>
      <c r="AQ9" s="41">
        <f t="shared" si="31"/>
        <v>42862</v>
      </c>
      <c r="AR9" s="42">
        <f t="shared" si="45"/>
        <v>42862</v>
      </c>
      <c r="AS9" s="43" t="str">
        <f>IF(AR9="","",IF(ISERROR(MATCH(AR9,Lune!$A$1:$A$1000,0)),IF(WEEKDAY(AR9)=5,INT((AR9-DATE(YEAR(AR9),1,1))/7+1),IF(AND(WEEKDAY(AR9)=4,NOT( ISERROR(MATCH(AR9+1,Lune!$A$1:$A$1000,0)))),INT((AR9+1-DATE(YEAR(AR9+1),1,1))/7+1),"")),INDEX(Lune!$B$1:$B$1000,MATCH(AR9,Lune!$A$1:$A$1000,0),1)))</f>
        <v/>
      </c>
      <c r="AT9" s="79" t="str">
        <f t="shared" ca="1" si="8"/>
        <v>'</v>
      </c>
      <c r="AU9" s="54" t="str">
        <f ca="1">IF(ISERROR(VLOOKUP(AR9,anniversaire!$X$2:$Z$100,2,0)),"",VLOOKUP(AR9,anniversaire!$X$2:$Z$100,2,0))</f>
        <v>chedeville  phillipe    33</v>
      </c>
      <c r="AV9" s="54" t="str">
        <f>IF(ISERROR(VLOOKUP(AR9,fête!$B$2:$C$367,2,0)),"",VLOOKUP(AR9,fête!$B$2:$C$367,2,0))</f>
        <v>Gisèle</v>
      </c>
      <c r="AW9" s="238" t="str">
        <f>IF(ISERROR(VLOOKUP(AR9,évènements!$A$3:$E$200,3,0)),"",VLOOKUP(AR9,évènements!$A$3:$E$200,3,0))</f>
        <v/>
      </c>
      <c r="AX9" s="238" t="str">
        <f>IF(ISERROR(VLOOKUP(AR9,évènements!$B$3:$E$200,2,0)),"",VLOOKUP(AR9,évènements!$B$3:$E$200,2,0))</f>
        <v/>
      </c>
      <c r="AY9" s="238" t="str">
        <f ca="1">IF(ISNA(VLOOKUP(AR9,Tableau1[[#All],[Colonne1]:[ouvrés]],3,FALSE)),"",VLOOKUP(AR9,Tableau1[[#All],[Colonne1]:[ouvrés]],3,FALSE))</f>
        <v/>
      </c>
      <c r="AZ9" s="238" t="str">
        <f t="shared" si="9"/>
        <v xml:space="preserve">  </v>
      </c>
      <c r="BA9" s="41">
        <f t="shared" si="32"/>
        <v>42893</v>
      </c>
      <c r="BB9" s="42">
        <f t="shared" si="46"/>
        <v>42893</v>
      </c>
      <c r="BC9" s="43" t="str">
        <f>IF(BB9="","",IF(ISERROR(MATCH(BB9,Lune!$A$1:$A$1000,0)),IF(WEEKDAY(BB9)=5,INT((BB9-DATE(YEAR(BB9),1,1))/7+1),IF(AND(WEEKDAY(BB9)=4,NOT( ISERROR(MATCH(BB9+1,Lune!$A$1:$A$1000,0)))),INT((BB9+1-DATE(YEAR(BB9+1),1,1))/7+1),"")),INDEX(Lune!$B$1:$B$1000,MATCH(BB9,Lune!$A$1:$A$1000,0),1)))</f>
        <v/>
      </c>
      <c r="BD9" s="79" t="str">
        <f t="shared" ca="1" si="10"/>
        <v/>
      </c>
      <c r="BE9" s="54" t="str">
        <f ca="1">IF(ISERROR(VLOOKUP(BB9,anniversaire!$X$2:$Z$100,2,0)),"",VLOOKUP(BB9,anniversaire!$X$2:$Z$100,2,0))</f>
        <v/>
      </c>
      <c r="BF9" s="54" t="str">
        <f>IF(ISERROR(VLOOKUP(BB9,fête!$B$2:$C$367,2,0)),"",VLOOKUP(BB9,fête!$B$2:$C$367,2,0))</f>
        <v>Gilbert</v>
      </c>
      <c r="BG9" s="54" t="str">
        <f>IF(ISERROR(VLOOKUP(BB9,évènements!$A$3:$E$200,3,0)),"",VLOOKUP(BB9,évènements!$A$3:$E$200,3,0))</f>
        <v/>
      </c>
      <c r="BH9" s="54" t="str">
        <f>IF(ISERROR(VLOOKUP(BB9,évènements!$B$3:$E$200,2,0)),"",VLOOKUP(BB9,évènements!$B$3:$E$200,2,0))</f>
        <v/>
      </c>
      <c r="BI9" s="54" t="str">
        <f ca="1">IF(ISNA(VLOOKUP(BB9,Tableau1[[#All],[Colonne1]:[ouvrés]],3,FALSE)),"",VLOOKUP(BB9,Tableau1[[#All],[Colonne1]:[ouvrés]],3,FALSE))</f>
        <v/>
      </c>
      <c r="BJ9" s="54" t="str">
        <f t="shared" si="11"/>
        <v xml:space="preserve">  </v>
      </c>
      <c r="BK9" s="41">
        <f t="shared" si="33"/>
        <v>42923</v>
      </c>
      <c r="BL9" s="42">
        <f t="shared" si="47"/>
        <v>42923</v>
      </c>
      <c r="BM9" s="43" t="str">
        <f>IF(BL9="","",IF(ISERROR(MATCH(BL9,Lune!$A$1:$A$1000,0)),IF(WEEKDAY(BL9)=5,INT((BL9-DATE(YEAR(BL9),1,1))/7+1),IF(AND(WEEKDAY(BL9)=4,NOT( ISERROR(MATCH(BL9+1,Lune!$A$1:$A$1000,0)))),INT((BL9+1-DATE(YEAR(BL9+1),1,1))/7+1),"")),INDEX(Lune!$B$1:$B$1000,MATCH(BL9,Lune!$A$1:$A$1000,0),1)))</f>
        <v/>
      </c>
      <c r="BN9" s="80" t="str">
        <f t="shared" ca="1" si="12"/>
        <v xml:space="preserve"> '</v>
      </c>
      <c r="BO9" s="54" t="str">
        <f ca="1">IF(ISERROR(VLOOKUP(BL9,anniversaire!$X$2:$Z$100,2,0)),"",VLOOKUP(BL9,anniversaire!$X$2:$Z$100,2,0))</f>
        <v>Boireau  estelle    28</v>
      </c>
      <c r="BP9" s="54" t="str">
        <f>IF(ISERROR(VLOOKUP(BL9,fête!$B$2:$C$367,2,0)),"",VLOOKUP(BL9,fête!$B$2:$C$367,2,0))</f>
        <v>Raoul</v>
      </c>
      <c r="BQ9" s="54" t="str">
        <f>IF(ISERROR(VLOOKUP(BL9,évènements!$A$3:$E$200,3,0)),"",VLOOKUP(BL9,évènements!$A$3:$E$200,3,0))</f>
        <v/>
      </c>
      <c r="BR9" s="54" t="str">
        <f>IF(ISERROR(VLOOKUP(BL9,évènements!$B$3:$E$200,2,0)),"",VLOOKUP(BL9,évènements!$B$3:$E$200,2,0))</f>
        <v/>
      </c>
      <c r="BS9" s="54" t="str">
        <f ca="1">IF(ISNA(VLOOKUP(BL9,Tableau1[[#All],[Colonne1]:[ouvrés]],3,FALSE)),"",VLOOKUP(BL9,Tableau1[[#All],[Colonne1]:[ouvrés]],3,FALSE))</f>
        <v/>
      </c>
      <c r="BT9" s="54" t="str">
        <f t="shared" si="34"/>
        <v xml:space="preserve">  </v>
      </c>
      <c r="BU9" s="41">
        <f t="shared" si="35"/>
        <v>42954</v>
      </c>
      <c r="BV9" s="42">
        <f t="shared" si="48"/>
        <v>42954</v>
      </c>
      <c r="BW9" s="43" t="str">
        <f>IF(BV9="","",IF(ISERROR(MATCH(BV9,Lune!$A$1:$A$1000,0)),IF(WEEKDAY(BV9)=5,INT((BV9-DATE(YEAR(BV9),1,1))/7+1),IF(AND(WEEKDAY(BV9)=4,NOT( ISERROR(MATCH(BV9+1,Lune!$A$1:$A$1000,0)))),INT((BV9+1-DATE(YEAR(BV9+1),1,1))/7+1),"")),INDEX(Lune!$B$1:$B$1000,MATCH(BV9,Lune!$A$1:$A$1000,0),1)))</f>
        <v>○</v>
      </c>
      <c r="BX9" s="80" t="str">
        <f t="shared" ca="1" si="13"/>
        <v/>
      </c>
      <c r="BY9" s="54" t="str">
        <f ca="1">IF(ISERROR(VLOOKUP(BV9,anniversaire!$X$2:$Z$100,2,0)),"",VLOOKUP(BV9,anniversaire!$X$2:$Z$100,2,0))</f>
        <v/>
      </c>
      <c r="BZ9" s="54" t="str">
        <f>IF(ISERROR(VLOOKUP(BV9,fête!$B$2:$C$367,2,0)),"",VLOOKUP(BV9,fête!$B$2:$C$367,2,0))</f>
        <v>Gaétan</v>
      </c>
      <c r="CA9" s="54" t="str">
        <f>IF(ISERROR(VLOOKUP(BV9,évènements!$A$3:$E$200,3,0)),"",VLOOKUP(BV9,évènements!$A$3:$E$200,3,0))</f>
        <v/>
      </c>
      <c r="CB9" s="54" t="str">
        <f>IF(ISERROR(VLOOKUP(BV9,évènements!$B$3:$E$200,2,0)),"",VLOOKUP(BV9,évènements!$B$3:$E$200,2,0))</f>
        <v/>
      </c>
      <c r="CC9" s="54" t="str">
        <f ca="1">IF(ISNA(VLOOKUP(BV9,Tableau1[[#All],[Colonne1]:[ouvrés]],3,FALSE)),"",VLOOKUP(BV9,Tableau1[[#All],[Colonne1]:[ouvrés]],3,FALSE))</f>
        <v/>
      </c>
      <c r="CD9" s="54" t="str">
        <f t="shared" si="14"/>
        <v xml:space="preserve">  </v>
      </c>
      <c r="CE9" s="41">
        <f t="shared" si="36"/>
        <v>42985</v>
      </c>
      <c r="CF9" s="42">
        <f t="shared" si="49"/>
        <v>42985</v>
      </c>
      <c r="CG9" s="43">
        <f>IF(CF9="","",IF(ISERROR(MATCH(CF9,Lune!$A$1:$A$1000,0)),IF(WEEKDAY(CF9)=5,INT((CF9-DATE(YEAR(CF9),1,1))/7+1),IF(AND(WEEKDAY(CF9)=4,NOT( ISERROR(MATCH(CF9+1,Lune!$A$1:$A$1000,0)))),INT((CF9+1-DATE(YEAR(CF9+1),1,1))/7+1),"")),INDEX(Lune!$B$1:$B$1000,MATCH(CF9,Lune!$A$1:$A$1000,0),1)))</f>
        <v>36</v>
      </c>
      <c r="CH9" s="80" t="str">
        <f t="shared" ca="1" si="15"/>
        <v/>
      </c>
      <c r="CI9" s="54" t="str">
        <f ca="1">IF(ISERROR(VLOOKUP(CF9,anniversaire!$X$2:$Z$100,2,0)),"",VLOOKUP(CF9,anniversaire!$X$2:$Z$100,2,0))</f>
        <v/>
      </c>
      <c r="CJ9" s="54" t="str">
        <f>IF(ISERROR(VLOOKUP(CF9,fête!$B$2:$C$367,2,0)),"",VLOOKUP(CF9,fête!$B$2:$C$367,2,0))</f>
        <v>Reine</v>
      </c>
      <c r="CK9" s="54" t="str">
        <f>IF(ISERROR(VLOOKUP(CF9,évènements!$A$3:$E$200,3,0)),"",VLOOKUP(CF9,évènements!$A$3:$E$200,3,0))</f>
        <v/>
      </c>
      <c r="CL9" s="54" t="str">
        <f>IF(ISERROR(VLOOKUP(CF9,évènements!$B$3:$E$200,2,0)),"",VLOOKUP(CF9,évènements!$B$3:$E$200,2,0))</f>
        <v/>
      </c>
      <c r="CM9" s="54" t="str">
        <f ca="1">IF(ISNA(VLOOKUP(CF9,Tableau1[[#All],[Colonne1]:[ouvrés]],3,FALSE)),"",VLOOKUP(CF9,Tableau1[[#All],[Colonne1]:[ouvrés]],3,FALSE))</f>
        <v/>
      </c>
      <c r="CN9" s="54" t="str">
        <f t="shared" si="16"/>
        <v xml:space="preserve">  </v>
      </c>
      <c r="CO9" s="41">
        <f t="shared" si="37"/>
        <v>43015</v>
      </c>
      <c r="CP9" s="42">
        <f t="shared" si="50"/>
        <v>43015</v>
      </c>
      <c r="CQ9" s="43" t="str">
        <f>IF(CP9="","",IF(ISERROR(MATCH(CP9,Lune!$A$1:$A$1000,0)),IF(WEEKDAY(CP9)=5,INT((CP9-DATE(YEAR(CP9),1,1))/7+1),IF(AND(WEEKDAY(CP9)=4,NOT( ISERROR(MATCH(CP9+1,Lune!$A$1:$A$1000,0)))),INT((CP9+1-DATE(YEAR(CP9+1),1,1))/7+1),"")),INDEX(Lune!$B$1:$B$1000,MATCH(CP9,Lune!$A$1:$A$1000,0),1)))</f>
        <v/>
      </c>
      <c r="CR9" s="80" t="str">
        <f t="shared" ca="1" si="17"/>
        <v/>
      </c>
      <c r="CS9" s="54" t="str">
        <f ca="1">IF(ISERROR(VLOOKUP(CP9,anniversaire!$X$2:$Z$100,2,0)),"",VLOOKUP(CP9,anniversaire!$X$2:$Z$100,2,0))</f>
        <v/>
      </c>
      <c r="CT9" s="54" t="str">
        <f>IF(ISERROR(VLOOKUP(CP9,fête!$B$2:$C$367,2,0)),"",VLOOKUP(CP9,fête!$B$2:$C$367,2,0))</f>
        <v>Serge</v>
      </c>
      <c r="CU9" s="54" t="str">
        <f>IF(ISERROR(VLOOKUP(CP9,évènements!$A$3:$E$200,3,0)),"",VLOOKUP(CP9,évènements!$A$3:$E$200,3,0))</f>
        <v/>
      </c>
      <c r="CV9" s="54" t="str">
        <f>IF(ISERROR(VLOOKUP(CP9,évènements!$B$3:$E$200,2,0)),"",VLOOKUP(CP9,évènements!$B$3:$E$200,2,0))</f>
        <v/>
      </c>
      <c r="CW9" s="54" t="str">
        <f ca="1">IF(ISNA(VLOOKUP(CP9,Tableau1[[#All],[Colonne1]:[ouvrés]],3,FALSE)),"",VLOOKUP(CP9,Tableau1[[#All],[Colonne1]:[ouvrés]],3,FALSE))</f>
        <v/>
      </c>
      <c r="CX9" s="54" t="str">
        <f t="shared" si="18"/>
        <v xml:space="preserve">  </v>
      </c>
      <c r="CY9" s="41">
        <f t="shared" si="38"/>
        <v>43046</v>
      </c>
      <c r="CZ9" s="42">
        <f t="shared" si="51"/>
        <v>43046</v>
      </c>
      <c r="DA9" s="43" t="str">
        <f>IF(CZ9="","",IF(ISERROR(MATCH(CZ9,Lune!$A$1:$A$1000,0)),IF(WEEKDAY(CZ9)=5,INT((CZ9-DATE(YEAR(CZ9),1,1))/7+1),IF(AND(WEEKDAY(CZ9)=4,NOT( ISERROR(MATCH(CZ9+1,Lune!$A$1:$A$1000,0)))),INT((CZ9+1-DATE(YEAR(CZ9+1),1,1))/7+1),"")),INDEX(Lune!$B$1:$B$1000,MATCH(CZ9,Lune!$A$1:$A$1000,0),1)))</f>
        <v/>
      </c>
      <c r="DB9" s="80" t="str">
        <f t="shared" ca="1" si="19"/>
        <v/>
      </c>
      <c r="DC9" s="54" t="str">
        <f ca="1">IF(ISERROR(VLOOKUP(CZ9,anniversaire!$X$2:$Z$100,2,0)),"",VLOOKUP(CZ9,anniversaire!$X$2:$Z$100,2,0))</f>
        <v/>
      </c>
      <c r="DD9" s="54" t="str">
        <f>IF(ISERROR(VLOOKUP(CZ9,fête!$B$2:$C$367,2,0)),"",VLOOKUP(CZ9,fête!$B$2:$C$367,2,0))</f>
        <v>Carine</v>
      </c>
      <c r="DE9" s="54" t="str">
        <f>IF(ISERROR(VLOOKUP(CZ9,évènements!$A$3:$E$200,3,0)),"",VLOOKUP(CZ9,évènements!$A$3:$E$200,3,0))</f>
        <v/>
      </c>
      <c r="DF9" s="54" t="str">
        <f>IF(ISERROR(VLOOKUP(CZ9,évènements!$B$3:$E$200,2,0)),"",VLOOKUP(CZ9,évènements!$B$3:$E$200,2,0))</f>
        <v/>
      </c>
      <c r="DG9" s="54"/>
      <c r="DH9" s="54" t="str">
        <f t="shared" si="20"/>
        <v xml:space="preserve">  </v>
      </c>
      <c r="DI9" s="41">
        <f t="shared" si="39"/>
        <v>43076</v>
      </c>
      <c r="DJ9" s="42">
        <f t="shared" si="52"/>
        <v>43076</v>
      </c>
      <c r="DK9" s="43">
        <f>IF(DJ9="","",IF(ISERROR(MATCH(DJ9,Lune!$A$1:$A$1000,0)),IF(WEEKDAY(DJ9)=5,INT((DJ9-DATE(YEAR(DJ9),1,1))/7+1),IF(AND(WEEKDAY(DJ9)=4,NOT( ISERROR(MATCH(DJ9+1,Lune!$A$1:$A$1000,0)))),INT((DJ9+1-DATE(YEAR(DJ9+1),1,1))/7+1),"")),INDEX(Lune!$B$1:$B$1000,MATCH(DJ9,Lune!$A$1:$A$1000,0),1)))</f>
        <v>49</v>
      </c>
      <c r="DL9" s="80" t="str">
        <f t="shared" ca="1" si="21"/>
        <v/>
      </c>
      <c r="DM9" s="54" t="str">
        <f ca="1">IF(ISERROR(VLOOKUP(DJ9,anniversaire!$X$2:$Z$100,2,0)),"",VLOOKUP(DJ9,anniversaire!$X$2:$Z$100,2,0))</f>
        <v/>
      </c>
      <c r="DN9" s="54" t="str">
        <f>IF(ISERROR(VLOOKUP(DJ9,fête!$B$2:$C$367,2,0)),"",VLOOKUP(DJ9,fête!$B$2:$C$367,2,0))</f>
        <v>Ambroise</v>
      </c>
      <c r="DO9" s="54" t="str">
        <f>IF(ISERROR(VLOOKUP(DJ9,évènements!$A$3:$E$200,3,0)),"",VLOOKUP(DJ9,évènements!$A$3:$E$200,3,0))</f>
        <v/>
      </c>
      <c r="DP9" s="54" t="str">
        <f>IF(ISERROR(VLOOKUP(DJ9,évènements!$B$3:$E$200,2,0)),"",VLOOKUP(DJ9,évènements!$B$3:$E$200,2,0))</f>
        <v/>
      </c>
      <c r="DQ9" s="54" t="str">
        <f ca="1">IF(ISNA(VLOOKUP(DJ9,Tableau1[[#All],[Colonne1]:[ouvrés]],3,FALSE)),"",VLOOKUP(DJ9,Tableau1[[#All],[Colonne1]:[ouvrés]],3,FALSE))</f>
        <v/>
      </c>
      <c r="DR9" s="54" t="str">
        <f t="shared" si="22"/>
        <v xml:space="preserve">  </v>
      </c>
      <c r="DS9" s="41">
        <f t="shared" si="40"/>
        <v>43107</v>
      </c>
      <c r="DT9" s="42">
        <f t="shared" si="53"/>
        <v>43107</v>
      </c>
      <c r="DU9" s="43" t="str">
        <f>IF(DT9="","",IF(ISERROR(MATCH(DT9,Lune!$A$1:$A$1000,0)),IF(WEEKDAY(DT9)=5,INT((DT9-DATE(YEAR(DT9),1,1))/7+1),IF(AND(WEEKDAY(DT9)=4,NOT( ISERROR(MATCH(DT9+1,Lune!$A$1:$A$1000,0)))),INT((DT9+1-DATE(YEAR(DT9+1),1,1))/7+1),"")),INDEX(Lune!$B$1:$B$1000,MATCH(DT9,Lune!$A$1:$A$1000,0),1)))</f>
        <v/>
      </c>
      <c r="DV9" s="89" t="str">
        <f t="shared" ca="1" si="23"/>
        <v/>
      </c>
      <c r="DW9" s="252" t="str">
        <f t="shared" ca="1" si="24"/>
        <v/>
      </c>
      <c r="DX9" s="252" t="str">
        <f t="shared" si="25"/>
        <v>Raymond</v>
      </c>
      <c r="DY9" s="252" t="str">
        <f>IF(ISERROR(VLOOKUP(DT9,évènements!$A$3:$E$200,3,0)),"",VLOOKUP(DT9,évènements!$A$3:$E$200,3,0))</f>
        <v/>
      </c>
      <c r="DZ9" s="252" t="str">
        <f>IF(ISERROR(VLOOKUP(DT9,évènements!$B$3:$E$200,2,0)),"",VLOOKUP(DT9,évènements!$B$3:$E$200,2,0))</f>
        <v/>
      </c>
      <c r="EA9" s="252" t="str">
        <f ca="1">IF(ISNA(VLOOKUP(DT9,Tableau1[[#All],[Colonne1]:[ouvrés]],3,FALSE)),"",VLOOKUP(DT9,Tableau1[[#All],[Colonne1]:[ouvrés]],3,FALSE))</f>
        <v/>
      </c>
      <c r="EB9" s="252" t="str">
        <f t="shared" si="26"/>
        <v xml:space="preserve">  </v>
      </c>
    </row>
    <row r="10" spans="2:132" ht="15" customHeight="1" x14ac:dyDescent="0.25">
      <c r="B10" s="29"/>
      <c r="C10" s="41">
        <f t="shared" si="27"/>
        <v>42743</v>
      </c>
      <c r="D10" s="40">
        <f t="shared" si="41"/>
        <v>42743</v>
      </c>
      <c r="E10" s="131" t="str">
        <f>IF(D10="","",IF(ISERROR(MATCH(D10,Lune!$A$1:$A$1000,0)),IF(WEEKDAY(D10)=5,INT((D10-DATE(YEAR(D10),1,1))/7+1),IF(AND(WEEKDAY(D10)=4,NOT( ISERROR(MATCH(D10+1,Lune!$A$1:$A$1000,0)))),INT((D10+1-DATE(YEAR(D10+1),1,1))/7+1),"")),INDEX(Lune!$B$1:$B$1000,MATCH(D10,Lune!$A$1:$A$1000,0),1)))</f>
        <v/>
      </c>
      <c r="F10" s="89" t="str">
        <f t="shared" ca="1" si="0"/>
        <v/>
      </c>
      <c r="G10" s="125" t="str">
        <f ca="1">IF(ISERROR(VLOOKUP(D10,anniversaire!$X$2:$Z$100,2,0)),"",VLOOKUP(D10,anniversaire!$X$2:$Z$100,2,0))</f>
        <v/>
      </c>
      <c r="H10" s="54" t="str">
        <f>IF(ISERROR(VLOOKUP(D10,fête!$B$2:$C$367,2,0)),"",VLOOKUP(D10,fête!$B$2:$C$367,2,0))</f>
        <v>Lucien</v>
      </c>
      <c r="I10" s="239" t="str">
        <f>IF(ISERROR(VLOOKUP(D10,évènements!$A$3:$E$200,3,0)),"",VLOOKUP(D10,évènements!$A$3:$E$200,3,0))</f>
        <v/>
      </c>
      <c r="J10" s="239" t="str">
        <f>IF(ISERROR(VLOOKUP(D10,évènements!$B$3:$E$200,2,0)),"",VLOOKUP(D10,évènements!$B$3:$E$200,2,0))</f>
        <v/>
      </c>
      <c r="K10" s="239" t="str">
        <f ca="1">IF(ISNA(VLOOKUP(D10,Tableau1[[#All],[Colonne1]:[ouvrés]],3,FALSE)),"",VLOOKUP(D10,Tableau1[[#All],[Colonne1]:[ouvrés]],3,FALSE))</f>
        <v/>
      </c>
      <c r="L10" s="239" t="str">
        <f t="shared" si="1"/>
        <v xml:space="preserve">  </v>
      </c>
      <c r="M10" s="41">
        <f t="shared" si="28"/>
        <v>42774</v>
      </c>
      <c r="N10" s="42">
        <f t="shared" si="42"/>
        <v>42774</v>
      </c>
      <c r="O10" s="131" t="str">
        <f>IF(N10="","",IF(ISERROR(MATCH(N10,Lune!$A$1:$A$1000,0)),IF(WEEKDAY(N10)=5,INT((N10-DATE(YEAR(N10),1,1))/7+1),IF(AND(WEEKDAY(N10)=4,NOT( ISERROR(MATCH(N10+1,Lune!$A$1:$A$1000,0)))),INT((N10+1-DATE(YEAR(N10+1),1,1))/7+1),"")),INDEX(Lune!$B$1:$B$1000,MATCH(N10,Lune!$A$1:$A$1000,0),1)))</f>
        <v/>
      </c>
      <c r="P10" s="80" t="str">
        <f t="shared" ca="1" si="2"/>
        <v/>
      </c>
      <c r="Q10" s="54" t="str">
        <f ca="1">IF(ISERROR(VLOOKUP(N10,anniversaire!$X$2:$Z$100,2,0)),"",VLOOKUP(N10,anniversaire!$X$2:$Z$100,2,0))</f>
        <v/>
      </c>
      <c r="R10" s="54" t="str">
        <f>IF(ISERROR(VLOOKUP(N10,fête!$B$2:$C$367,2,0)),"",VLOOKUP(N10,fête!$B$2:$C$367,2,0))</f>
        <v>Jacqueline</v>
      </c>
      <c r="S10" s="54" t="str">
        <f>IF(ISERROR(VLOOKUP(N10,évènements!$A$3:$E$200,3,0)),"",VLOOKUP(N10,évènements!$A$3:$E$200,3,0))</f>
        <v/>
      </c>
      <c r="T10" s="54" t="str">
        <f>IF(ISERROR(VLOOKUP(N10,évènements!$B$3:$E$200,2,0)),"",VLOOKUP(N10,évènements!$B$3:$E$200,2,0))</f>
        <v/>
      </c>
      <c r="U10" s="54" t="str">
        <f ca="1">IF(ISNA(VLOOKUP(N10,Tableau1[[#All],[Colonne1]:[ouvrés]],3,FALSE)),"",VLOOKUP(N10,Tableau1[[#All],[Colonne1]:[ouvrés]],3,FALSE))</f>
        <v/>
      </c>
      <c r="V10" s="54" t="str">
        <f t="shared" si="3"/>
        <v xml:space="preserve">  </v>
      </c>
      <c r="W10" s="41">
        <f t="shared" si="29"/>
        <v>42802</v>
      </c>
      <c r="X10" s="42">
        <f t="shared" si="43"/>
        <v>42802</v>
      </c>
      <c r="Y10" s="132" t="str">
        <f>IF(X10="","",IF(ISERROR(MATCH(X10,Lune!$A$1:$A$1000,0)),IF(WEEKDAY(X10)=5,INT((X10-DATE(YEAR(X10),1,1))/7+1),IF(AND(WEEKDAY(X10)=4,NOT( ISERROR(MATCH(X10+1,Lune!$A$1:$A$1000,0)))),INT((X10+1-DATE(YEAR(X10+1),1,1))/7+1),"")),INDEX(Lune!$B$1:$B$1000,MATCH(X10,Lune!$A$1:$A$1000,0),1)))</f>
        <v/>
      </c>
      <c r="Z10" s="89" t="str">
        <f t="shared" ca="1" si="4"/>
        <v xml:space="preserve"> '</v>
      </c>
      <c r="AA10" s="125" t="str">
        <f ca="1">IF(ISERROR(VLOOKUP(X10,anniversaire!$X$2:$Z$100,2,0)),"",VLOOKUP(X10,anniversaire!$X$2:$Z$100,2,0))</f>
        <v>Taraud  jerôme    41</v>
      </c>
      <c r="AB10" s="54" t="str">
        <f>IF(ISERROR(VLOOKUP(X10,fête!$B$2:$C$367,2,0)),"",VLOOKUP(X10,fête!$B$2:$C$367,2,0))</f>
        <v>Jean de Dieu</v>
      </c>
      <c r="AC10" s="54" t="str">
        <f>IF(ISERROR(VLOOKUP(X10,évènements!$A$3:$E$200,3,0)),"",VLOOKUP(X10,évènements!$A$3:$E$200,3,0))</f>
        <v/>
      </c>
      <c r="AD10" s="54" t="str">
        <f>IF(ISERROR(VLOOKUP(X10,évènements!$B$3:$E$200,2,0)),"",VLOOKUP(X10,évènements!$B$3:$E$200,2,0))</f>
        <v/>
      </c>
      <c r="AE10" s="54" t="str">
        <f ca="1">IF(ISNA(VLOOKUP(X10,Tableau1[[#All],[Colonne1]:[ouvrés]],3,FALSE)),"",VLOOKUP(X10,Tableau1[[#All],[Colonne1]:[ouvrés]],3,FALSE))</f>
        <v/>
      </c>
      <c r="AF10" s="54" t="str">
        <f t="shared" si="5"/>
        <v xml:space="preserve">  </v>
      </c>
      <c r="AG10" s="41">
        <f t="shared" si="30"/>
        <v>42833</v>
      </c>
      <c r="AH10" s="42">
        <f t="shared" si="44"/>
        <v>42833</v>
      </c>
      <c r="AI10" s="137" t="str">
        <f>IF(AH10="","",IF(ISERROR(MATCH(AH10,Lune!$A$1:$A$1000,0)),IF(WEEKDAY(AH10)=5,INT((AH10-DATE(YEAR(AH10),1,1))/7+1),IF(AND(WEEKDAY(AH10)=4,NOT( ISERROR(MATCH(AH10+1,Lune!$A$1:$A$1000,0)))),INT((AH10+1-DATE(YEAR(AH10+1),1,1))/7+1),"")),INDEX(Lune!$B$1:$B$1000,MATCH(AH10,Lune!$A$1:$A$1000,0),1)))</f>
        <v/>
      </c>
      <c r="AJ10" s="80" t="str">
        <f t="shared" ca="1" si="6"/>
        <v/>
      </c>
      <c r="AK10" s="54" t="str">
        <f ca="1">IF(ISERROR(VLOOKUP(AH10,anniversaire!$X$2:$Z$100,2,0)),"",VLOOKUP(AH10,anniversaire!$X$2:$Z$100,2,0))</f>
        <v/>
      </c>
      <c r="AL10" s="54" t="str">
        <f>IF(ISERROR(VLOOKUP(AH10,fête!$B$2:$C$367,2,0)),"",VLOOKUP(AH10,fête!$B$2:$C$367,2,0))</f>
        <v>Julie</v>
      </c>
      <c r="AM10" s="54" t="str">
        <f>IF(ISERROR(VLOOKUP(AH10,évènements!$A$3:$E$200,3,0)),"",VLOOKUP(AH10,évènements!$A$3:$E$200,3,0))</f>
        <v/>
      </c>
      <c r="AN10" s="54" t="str">
        <f>IF(ISERROR(VLOOKUP(AH10,évènements!$B$3:$E$200,2,0)),"",VLOOKUP(AH10,évènements!$B$3:$E$200,2,0))</f>
        <v/>
      </c>
      <c r="AO10" s="54" t="str">
        <f ca="1">IF(ISNA(VLOOKUP(AH10,Tableau1[[#All],[Colonne1]:[ouvrés]],3,FALSE)),"",VLOOKUP(AH10,Tableau1[[#All],[Colonne1]:[ouvrés]],3,FALSE))</f>
        <v/>
      </c>
      <c r="AP10" s="238" t="str">
        <f t="shared" si="7"/>
        <v xml:space="preserve">  </v>
      </c>
      <c r="AQ10" s="41">
        <f t="shared" si="31"/>
        <v>42863</v>
      </c>
      <c r="AR10" s="42">
        <f t="shared" si="45"/>
        <v>42863</v>
      </c>
      <c r="AS10" s="43" t="str">
        <f>IF(AR10="","",IF(ISERROR(MATCH(AR10,Lune!$A$1:$A$1000,0)),IF(WEEKDAY(AR10)=5,INT((AR10-DATE(YEAR(AR10),1,1))/7+1),IF(AND(WEEKDAY(AR10)=4,NOT( ISERROR(MATCH(AR10+1,Lune!$A$1:$A$1000,0)))),INT((AR10+1-DATE(YEAR(AR10+1),1,1))/7+1),"")),INDEX(Lune!$B$1:$B$1000,MATCH(AR10,Lune!$A$1:$A$1000,0),1)))</f>
        <v/>
      </c>
      <c r="AT10" s="79" t="str">
        <f t="shared" ca="1" si="8"/>
        <v/>
      </c>
      <c r="AU10" s="54" t="str">
        <f ca="1">IF(ISERROR(VLOOKUP(AR10,anniversaire!$X$2:$Z$100,2,0)),"",VLOOKUP(AR10,anniversaire!$X$2:$Z$100,2,0))</f>
        <v/>
      </c>
      <c r="AV10" s="54" t="str">
        <f>IF(ISERROR(VLOOKUP(AR10,fête!$B$2:$C$367,2,0)),"",VLOOKUP(AR10,fête!$B$2:$C$367,2,0))</f>
        <v>Armistice 1945</v>
      </c>
      <c r="AW10" s="238" t="str">
        <f>IF(ISERROR(VLOOKUP(AR10,évènements!$A$3:$E$200,3,0)),"",VLOOKUP(AR10,évènements!$A$3:$E$200,3,0))</f>
        <v/>
      </c>
      <c r="AX10" s="238" t="str">
        <f>IF(ISERROR(VLOOKUP(AR10,évènements!$B$3:$E$200,2,0)),"",VLOOKUP(AR10,évènements!$B$3:$E$200,2,0))</f>
        <v/>
      </c>
      <c r="AY10" s="238" t="str">
        <f ca="1">IF(ISNA(VLOOKUP(AR10,Tableau1[[#All],[Colonne1]:[ouvrés]],3,FALSE)),"",VLOOKUP(AR10,Tableau1[[#All],[Colonne1]:[ouvrés]],3,FALSE))</f>
        <v/>
      </c>
      <c r="AZ10" s="238" t="str">
        <f t="shared" si="9"/>
        <v xml:space="preserve">  </v>
      </c>
      <c r="BA10" s="41">
        <f t="shared" si="32"/>
        <v>42894</v>
      </c>
      <c r="BB10" s="42">
        <f t="shared" si="46"/>
        <v>42894</v>
      </c>
      <c r="BC10" s="43">
        <f>IF(BB10="","",IF(ISERROR(MATCH(BB10,Lune!$A$1:$A$1000,0)),IF(WEEKDAY(BB10)=5,INT((BB10-DATE(YEAR(BB10),1,1))/7+1),IF(AND(WEEKDAY(BB10)=4,NOT( ISERROR(MATCH(BB10+1,Lune!$A$1:$A$1000,0)))),INT((BB10+1-DATE(YEAR(BB10+1),1,1))/7+1),"")),INDEX(Lune!$B$1:$B$1000,MATCH(BB10,Lune!$A$1:$A$1000,0),1)))</f>
        <v>23</v>
      </c>
      <c r="BD10" s="79" t="str">
        <f t="shared" ca="1" si="10"/>
        <v/>
      </c>
      <c r="BE10" s="54" t="str">
        <f ca="1">IF(ISERROR(VLOOKUP(BB10,anniversaire!$X$2:$Z$100,2,0)),"",VLOOKUP(BB10,anniversaire!$X$2:$Z$100,2,0))</f>
        <v/>
      </c>
      <c r="BF10" s="54" t="str">
        <f>IF(ISERROR(VLOOKUP(BB10,fête!$B$2:$C$367,2,0)),"",VLOOKUP(BB10,fête!$B$2:$C$367,2,0))</f>
        <v>Médard</v>
      </c>
      <c r="BG10" s="54" t="str">
        <f>IF(ISERROR(VLOOKUP(BB10,évènements!$A$3:$E$200,3,0)),"",VLOOKUP(BB10,évènements!$A$3:$E$200,3,0))</f>
        <v/>
      </c>
      <c r="BH10" s="54" t="str">
        <f>IF(ISERROR(VLOOKUP(BB10,évènements!$B$3:$E$200,2,0)),"",VLOOKUP(BB10,évènements!$B$3:$E$200,2,0))</f>
        <v/>
      </c>
      <c r="BI10" s="54" t="str">
        <f ca="1">IF(ISNA(VLOOKUP(BB10,Tableau1[[#All],[Colonne1]:[ouvrés]],3,FALSE)),"",VLOOKUP(BB10,Tableau1[[#All],[Colonne1]:[ouvrés]],3,FALSE))</f>
        <v/>
      </c>
      <c r="BJ10" s="54" t="str">
        <f t="shared" si="11"/>
        <v xml:space="preserve">  </v>
      </c>
      <c r="BK10" s="41">
        <f t="shared" si="33"/>
        <v>42924</v>
      </c>
      <c r="BL10" s="42">
        <f t="shared" si="47"/>
        <v>42924</v>
      </c>
      <c r="BM10" s="43" t="str">
        <f>IF(BL10="","",IF(ISERROR(MATCH(BL10,Lune!$A$1:$A$1000,0)),IF(WEEKDAY(BL10)=5,INT((BL10-DATE(YEAR(BL10),1,1))/7+1),IF(AND(WEEKDAY(BL10)=4,NOT( ISERROR(MATCH(BL10+1,Lune!$A$1:$A$1000,0)))),INT((BL10+1-DATE(YEAR(BL10+1),1,1))/7+1),"")),INDEX(Lune!$B$1:$B$1000,MATCH(BL10,Lune!$A$1:$A$1000,0),1)))</f>
        <v/>
      </c>
      <c r="BN10" s="80" t="str">
        <f t="shared" ca="1" si="12"/>
        <v xml:space="preserve"> '</v>
      </c>
      <c r="BO10" s="54" t="str">
        <f ca="1">IF(ISERROR(VLOOKUP(BL10,anniversaire!$X$2:$Z$100,2,0)),"",VLOOKUP(BL10,anniversaire!$X$2:$Z$100,2,0))</f>
        <v>Taraud  gisèle    62</v>
      </c>
      <c r="BP10" s="54" t="str">
        <f>IF(ISERROR(VLOOKUP(BL10,fête!$B$2:$C$367,2,0)),"",VLOOKUP(BL10,fête!$B$2:$C$367,2,0))</f>
        <v>Thibault</v>
      </c>
      <c r="BQ10" s="54" t="str">
        <f>IF(ISERROR(VLOOKUP(BL10,évènements!$A$3:$E$200,3,0)),"",VLOOKUP(BL10,évènements!$A$3:$E$200,3,0))</f>
        <v/>
      </c>
      <c r="BR10" s="54" t="str">
        <f>IF(ISERROR(VLOOKUP(BL10,évènements!$B$3:$E$200,2,0)),"",VLOOKUP(BL10,évènements!$B$3:$E$200,2,0))</f>
        <v/>
      </c>
      <c r="BS10" s="54" t="str">
        <f ca="1">IF(ISNA(VLOOKUP(BL10,Tableau1[[#All],[Colonne1]:[ouvrés]],3,FALSE)),"",VLOOKUP(BL10,Tableau1[[#All],[Colonne1]:[ouvrés]],3,FALSE))</f>
        <v/>
      </c>
      <c r="BT10" s="54" t="str">
        <f t="shared" si="34"/>
        <v xml:space="preserve">  </v>
      </c>
      <c r="BU10" s="41">
        <f t="shared" si="35"/>
        <v>42955</v>
      </c>
      <c r="BV10" s="42">
        <f t="shared" si="48"/>
        <v>42955</v>
      </c>
      <c r="BW10" s="43" t="str">
        <f>IF(BV10="","",IF(ISERROR(MATCH(BV10,Lune!$A$1:$A$1000,0)),IF(WEEKDAY(BV10)=5,INT((BV10-DATE(YEAR(BV10),1,1))/7+1),IF(AND(WEEKDAY(BV10)=4,NOT( ISERROR(MATCH(BV10+1,Lune!$A$1:$A$1000,0)))),INT((BV10+1-DATE(YEAR(BV10+1),1,1))/7+1),"")),INDEX(Lune!$B$1:$B$1000,MATCH(BV10,Lune!$A$1:$A$1000,0),1)))</f>
        <v/>
      </c>
      <c r="BX10" s="80" t="str">
        <f t="shared" ca="1" si="13"/>
        <v/>
      </c>
      <c r="BY10" s="54" t="str">
        <f ca="1">IF(ISERROR(VLOOKUP(BV10,anniversaire!$X$2:$Z$100,2,0)),"",VLOOKUP(BV10,anniversaire!$X$2:$Z$100,2,0))</f>
        <v/>
      </c>
      <c r="BZ10" s="54" t="str">
        <f>IF(ISERROR(VLOOKUP(BV10,fête!$B$2:$C$367,2,0)),"",VLOOKUP(BV10,fête!$B$2:$C$367,2,0))</f>
        <v>Dominique</v>
      </c>
      <c r="CA10" s="54" t="str">
        <f>IF(ISERROR(VLOOKUP(BV10,évènements!$A$3:$E$200,3,0)),"",VLOOKUP(BV10,évènements!$A$3:$E$200,3,0))</f>
        <v/>
      </c>
      <c r="CB10" s="54" t="str">
        <f>IF(ISERROR(VLOOKUP(BV10,évènements!$B$3:$E$200,2,0)),"",VLOOKUP(BV10,évènements!$B$3:$E$200,2,0))</f>
        <v/>
      </c>
      <c r="CC10" s="54" t="str">
        <f ca="1">IF(ISNA(VLOOKUP(BV10,Tableau1[[#All],[Colonne1]:[ouvrés]],3,FALSE)),"",VLOOKUP(BV10,Tableau1[[#All],[Colonne1]:[ouvrés]],3,FALSE))</f>
        <v/>
      </c>
      <c r="CD10" s="54" t="str">
        <f t="shared" si="14"/>
        <v xml:space="preserve">  </v>
      </c>
      <c r="CE10" s="41">
        <f t="shared" si="36"/>
        <v>42986</v>
      </c>
      <c r="CF10" s="42">
        <f t="shared" si="49"/>
        <v>42986</v>
      </c>
      <c r="CG10" s="43" t="str">
        <f>IF(CF10="","",IF(ISERROR(MATCH(CF10,Lune!$A$1:$A$1000,0)),IF(WEEKDAY(CF10)=5,INT((CF10-DATE(YEAR(CF10),1,1))/7+1),IF(AND(WEEKDAY(CF10)=4,NOT( ISERROR(MATCH(CF10+1,Lune!$A$1:$A$1000,0)))),INT((CF10+1-DATE(YEAR(CF10+1),1,1))/7+1),"")),INDEX(Lune!$B$1:$B$1000,MATCH(CF10,Lune!$A$1:$A$1000,0),1)))</f>
        <v/>
      </c>
      <c r="CH10" s="80" t="str">
        <f t="shared" ca="1" si="15"/>
        <v/>
      </c>
      <c r="CI10" s="54" t="str">
        <f ca="1">IF(ISERROR(VLOOKUP(CF10,anniversaire!$X$2:$Z$100,2,0)),"",VLOOKUP(CF10,anniversaire!$X$2:$Z$100,2,0))</f>
        <v/>
      </c>
      <c r="CJ10" s="54" t="str">
        <f>IF(ISERROR(VLOOKUP(CF10,fête!$B$2:$C$367,2,0)),"",VLOOKUP(CF10,fête!$B$2:$C$367,2,0))</f>
        <v>Nativité</v>
      </c>
      <c r="CK10" s="54" t="str">
        <f>IF(ISERROR(VLOOKUP(CF10,évènements!$A$3:$E$200,3,0)),"",VLOOKUP(CF10,évènements!$A$3:$E$200,3,0))</f>
        <v/>
      </c>
      <c r="CL10" s="54" t="str">
        <f>IF(ISERROR(VLOOKUP(CF10,évènements!$B$3:$E$200,2,0)),"",VLOOKUP(CF10,évènements!$B$3:$E$200,2,0))</f>
        <v/>
      </c>
      <c r="CM10" s="54" t="str">
        <f ca="1">IF(ISNA(VLOOKUP(CF10,Tableau1[[#All],[Colonne1]:[ouvrés]],3,FALSE)),"",VLOOKUP(CF10,Tableau1[[#All],[Colonne1]:[ouvrés]],3,FALSE))</f>
        <v/>
      </c>
      <c r="CN10" s="54" t="str">
        <f t="shared" si="16"/>
        <v xml:space="preserve">  </v>
      </c>
      <c r="CO10" s="41">
        <f t="shared" si="37"/>
        <v>43016</v>
      </c>
      <c r="CP10" s="42">
        <f t="shared" si="50"/>
        <v>43016</v>
      </c>
      <c r="CQ10" s="43" t="str">
        <f>IF(CP10="","",IF(ISERROR(MATCH(CP10,Lune!$A$1:$A$1000,0)),IF(WEEKDAY(CP10)=5,INT((CP10-DATE(YEAR(CP10),1,1))/7+1),IF(AND(WEEKDAY(CP10)=4,NOT( ISERROR(MATCH(CP10+1,Lune!$A$1:$A$1000,0)))),INT((CP10+1-DATE(YEAR(CP10+1),1,1))/7+1),"")),INDEX(Lune!$B$1:$B$1000,MATCH(CP10,Lune!$A$1:$A$1000,0),1)))</f>
        <v/>
      </c>
      <c r="CR10" s="80" t="str">
        <f t="shared" ca="1" si="17"/>
        <v/>
      </c>
      <c r="CS10" s="54" t="str">
        <f ca="1">IF(ISERROR(VLOOKUP(CP10,anniversaire!$X$2:$Z$100,2,0)),"",VLOOKUP(CP10,anniversaire!$X$2:$Z$100,2,0))</f>
        <v/>
      </c>
      <c r="CT10" s="54" t="str">
        <f>IF(ISERROR(VLOOKUP(CP10,fête!$B$2:$C$367,2,0)),"",VLOOKUP(CP10,fête!$B$2:$C$367,2,0))</f>
        <v>Pélagie</v>
      </c>
      <c r="CU10" s="54" t="str">
        <f>IF(ISERROR(VLOOKUP(CP10,évènements!$A$3:$E$200,3,0)),"",VLOOKUP(CP10,évènements!$A$3:$E$200,3,0))</f>
        <v/>
      </c>
      <c r="CV10" s="54" t="str">
        <f>IF(ISERROR(VLOOKUP(CP10,évènements!$B$3:$E$200,2,0)),"",VLOOKUP(CP10,évènements!$B$3:$E$200,2,0))</f>
        <v/>
      </c>
      <c r="CW10" s="54" t="str">
        <f ca="1">IF(ISNA(VLOOKUP(CP10,Tableau1[[#All],[Colonne1]:[ouvrés]],3,FALSE)),"",VLOOKUP(CP10,Tableau1[[#All],[Colonne1]:[ouvrés]],3,FALSE))</f>
        <v/>
      </c>
      <c r="CX10" s="54" t="str">
        <f t="shared" si="18"/>
        <v xml:space="preserve">  </v>
      </c>
      <c r="CY10" s="41">
        <f t="shared" si="38"/>
        <v>43047</v>
      </c>
      <c r="CZ10" s="42">
        <f t="shared" si="51"/>
        <v>43047</v>
      </c>
      <c r="DA10" s="43" t="str">
        <f>IF(CZ10="","",IF(ISERROR(MATCH(CZ10,Lune!$A$1:$A$1000,0)),IF(WEEKDAY(CZ10)=5,INT((CZ10-DATE(YEAR(CZ10),1,1))/7+1),IF(AND(WEEKDAY(CZ10)=4,NOT( ISERROR(MATCH(CZ10+1,Lune!$A$1:$A$1000,0)))),INT((CZ10+1-DATE(YEAR(CZ10+1),1,1))/7+1),"")),INDEX(Lune!$B$1:$B$1000,MATCH(CZ10,Lune!$A$1:$A$1000,0),1)))</f>
        <v/>
      </c>
      <c r="DB10" s="80" t="str">
        <f t="shared" ca="1" si="19"/>
        <v/>
      </c>
      <c r="DC10" s="54" t="str">
        <f ca="1">IF(ISERROR(VLOOKUP(CZ10,anniversaire!$X$2:$Z$100,2,0)),"",VLOOKUP(CZ10,anniversaire!$X$2:$Z$100,2,0))</f>
        <v/>
      </c>
      <c r="DD10" s="54" t="str">
        <f>IF(ISERROR(VLOOKUP(CZ10,fête!$B$2:$C$367,2,0)),"",VLOOKUP(CZ10,fête!$B$2:$C$367,2,0))</f>
        <v>Geoffroy</v>
      </c>
      <c r="DE10" s="54" t="str">
        <f>IF(ISERROR(VLOOKUP(CZ10,évènements!$A$3:$E$200,3,0)),"",VLOOKUP(CZ10,évènements!$A$3:$E$200,3,0))</f>
        <v/>
      </c>
      <c r="DF10" s="54" t="str">
        <f>IF(ISERROR(VLOOKUP(CZ10,évènements!$B$3:$E$200,2,0)),"",VLOOKUP(CZ10,évènements!$B$3:$E$200,2,0))</f>
        <v/>
      </c>
      <c r="DG10" s="54"/>
      <c r="DH10" s="54" t="str">
        <f t="shared" si="20"/>
        <v xml:space="preserve">  </v>
      </c>
      <c r="DI10" s="41">
        <f t="shared" si="39"/>
        <v>43077</v>
      </c>
      <c r="DJ10" s="42">
        <f t="shared" si="52"/>
        <v>43077</v>
      </c>
      <c r="DK10" s="43" t="str">
        <f>IF(DJ10="","",IF(ISERROR(MATCH(DJ10,Lune!$A$1:$A$1000,0)),IF(WEEKDAY(DJ10)=5,INT((DJ10-DATE(YEAR(DJ10),1,1))/7+1),IF(AND(WEEKDAY(DJ10)=4,NOT( ISERROR(MATCH(DJ10+1,Lune!$A$1:$A$1000,0)))),INT((DJ10+1-DATE(YEAR(DJ10+1),1,1))/7+1),"")),INDEX(Lune!$B$1:$B$1000,MATCH(DJ10,Lune!$A$1:$A$1000,0),1)))</f>
        <v/>
      </c>
      <c r="DL10" s="80" t="str">
        <f t="shared" ca="1" si="21"/>
        <v/>
      </c>
      <c r="DM10" s="54" t="str">
        <f ca="1">IF(ISERROR(VLOOKUP(DJ10,anniversaire!$X$2:$Z$100,2,0)),"",VLOOKUP(DJ10,anniversaire!$X$2:$Z$100,2,0))</f>
        <v/>
      </c>
      <c r="DN10" s="54" t="str">
        <f>IF(ISERROR(VLOOKUP(DJ10,fête!$B$2:$C$367,2,0)),"",VLOOKUP(DJ10,fête!$B$2:$C$367,2,0))</f>
        <v>Immaculée Conception</v>
      </c>
      <c r="DO10" s="54" t="str">
        <f>IF(ISERROR(VLOOKUP(DJ10,évènements!$A$3:$E$200,3,0)),"",VLOOKUP(DJ10,évènements!$A$3:$E$200,3,0))</f>
        <v/>
      </c>
      <c r="DP10" s="54" t="str">
        <f>IF(ISERROR(VLOOKUP(DJ10,évènements!$B$3:$E$200,2,0)),"",VLOOKUP(DJ10,évènements!$B$3:$E$200,2,0))</f>
        <v/>
      </c>
      <c r="DQ10" s="54" t="str">
        <f ca="1">IF(ISNA(VLOOKUP(DJ10,Tableau1[[#All],[Colonne1]:[ouvrés]],3,FALSE)),"",VLOOKUP(DJ10,Tableau1[[#All],[Colonne1]:[ouvrés]],3,FALSE))</f>
        <v/>
      </c>
      <c r="DR10" s="54" t="str">
        <f t="shared" si="22"/>
        <v xml:space="preserve">  </v>
      </c>
      <c r="DS10" s="41">
        <f t="shared" si="40"/>
        <v>43108</v>
      </c>
      <c r="DT10" s="42">
        <f t="shared" si="53"/>
        <v>43108</v>
      </c>
      <c r="DU10" s="43" t="str">
        <f>IF(DT10="","",IF(ISERROR(MATCH(DT10,Lune!$A$1:$A$1000,0)),IF(WEEKDAY(DT10)=5,INT((DT10-DATE(YEAR(DT10),1,1))/7+1),IF(AND(WEEKDAY(DT10)=4,NOT( ISERROR(MATCH(DT10+1,Lune!$A$1:$A$1000,0)))),INT((DT10+1-DATE(YEAR(DT10+1),1,1))/7+1),"")),INDEX(Lune!$B$1:$B$1000,MATCH(DT10,Lune!$A$1:$A$1000,0),1)))</f>
        <v>◑</v>
      </c>
      <c r="DV10" s="89" t="str">
        <f t="shared" ca="1" si="23"/>
        <v/>
      </c>
      <c r="DW10" s="252" t="str">
        <f t="shared" ca="1" si="24"/>
        <v/>
      </c>
      <c r="DX10" s="252" t="str">
        <f t="shared" si="25"/>
        <v>Lucien</v>
      </c>
      <c r="DY10" s="252" t="str">
        <f>IF(ISERROR(VLOOKUP(DT10,évènements!$A$3:$E$200,3,0)),"",VLOOKUP(DT10,évènements!$A$3:$E$200,3,0))</f>
        <v/>
      </c>
      <c r="DZ10" s="252" t="str">
        <f>IF(ISERROR(VLOOKUP(DT10,évènements!$B$3:$E$200,2,0)),"",VLOOKUP(DT10,évènements!$B$3:$E$200,2,0))</f>
        <v/>
      </c>
      <c r="EA10" s="252" t="str">
        <f ca="1">IF(ISNA(VLOOKUP(DT10,Tableau1[[#All],[Colonne1]:[ouvrés]],3,FALSE)),"",VLOOKUP(DT10,Tableau1[[#All],[Colonne1]:[ouvrés]],3,FALSE))</f>
        <v/>
      </c>
      <c r="EB10" s="252" t="str">
        <f t="shared" si="26"/>
        <v xml:space="preserve">  </v>
      </c>
    </row>
    <row r="11" spans="2:132" ht="15" customHeight="1" x14ac:dyDescent="0.25">
      <c r="B11" s="29"/>
      <c r="C11" s="41">
        <f t="shared" si="27"/>
        <v>42744</v>
      </c>
      <c r="D11" s="40">
        <f t="shared" si="41"/>
        <v>42744</v>
      </c>
      <c r="E11" s="131" t="str">
        <f>IF(D11="","",IF(ISERROR(MATCH(D11,Lune!$A$1:$A$1000,0)),IF(WEEKDAY(D11)=5,INT((D11-DATE(YEAR(D11),1,1))/7+1),IF(AND(WEEKDAY(D11)=4,NOT( ISERROR(MATCH(D11+1,Lune!$A$1:$A$1000,0)))),INT((D11+1-DATE(YEAR(D11+1),1,1))/7+1),"")),INDEX(Lune!$B$1:$B$1000,MATCH(D11,Lune!$A$1:$A$1000,0),1)))</f>
        <v/>
      </c>
      <c r="F11" s="89" t="str">
        <f t="shared" ca="1" si="0"/>
        <v/>
      </c>
      <c r="G11" s="125" t="str">
        <f ca="1">IF(ISERROR(VLOOKUP(D11,anniversaire!$X$2:$Z$100,2,0)),"",VLOOKUP(D11,anniversaire!$X$2:$Z$100,2,0))</f>
        <v/>
      </c>
      <c r="H11" s="54" t="str">
        <f>IF(ISERROR(VLOOKUP(D11,fête!$B$2:$C$367,2,0)),"",VLOOKUP(D11,fête!$B$2:$C$367,2,0))</f>
        <v>Alix</v>
      </c>
      <c r="I11" s="239" t="str">
        <f>IF(ISERROR(VLOOKUP(D11,évènements!$A$3:$E$200,3,0)),"",VLOOKUP(D11,évènements!$A$3:$E$200,3,0))</f>
        <v/>
      </c>
      <c r="J11" s="239" t="str">
        <f>IF(ISERROR(VLOOKUP(D11,évènements!$B$3:$E$200,2,0)),"",VLOOKUP(D11,évènements!$B$3:$E$200,2,0))</f>
        <v/>
      </c>
      <c r="K11" s="239" t="str">
        <f ca="1">IF(ISNA(VLOOKUP(D11,Tableau1[[#All],[Colonne1]:[ouvrés]],3,FALSE)),"",VLOOKUP(D11,Tableau1[[#All],[Colonne1]:[ouvrés]],3,FALSE))</f>
        <v/>
      </c>
      <c r="L11" s="239" t="str">
        <f t="shared" si="1"/>
        <v xml:space="preserve">  </v>
      </c>
      <c r="M11" s="41">
        <f t="shared" si="28"/>
        <v>42775</v>
      </c>
      <c r="N11" s="42">
        <f t="shared" si="42"/>
        <v>42775</v>
      </c>
      <c r="O11" s="131">
        <f>IF(N11="","",IF(ISERROR(MATCH(N11,Lune!$A$1:$A$1000,0)),IF(WEEKDAY(N11)=5,INT((N11-DATE(YEAR(N11),1,1))/7+1),IF(AND(WEEKDAY(N11)=4,NOT( ISERROR(MATCH(N11+1,Lune!$A$1:$A$1000,0)))),INT((N11+1-DATE(YEAR(N11+1),1,1))/7+1),"")),INDEX(Lune!$B$1:$B$1000,MATCH(N11,Lune!$A$1:$A$1000,0),1)))</f>
        <v>6</v>
      </c>
      <c r="P11" s="80" t="str">
        <f t="shared" ca="1" si="2"/>
        <v/>
      </c>
      <c r="Q11" s="54" t="str">
        <f ca="1">IF(ISERROR(VLOOKUP(N11,anniversaire!$X$2:$Z$100,2,0)),"",VLOOKUP(N11,anniversaire!$X$2:$Z$100,2,0))</f>
        <v/>
      </c>
      <c r="R11" s="54" t="str">
        <f>IF(ISERROR(VLOOKUP(N11,fête!$B$2:$C$367,2,0)),"",VLOOKUP(N11,fête!$B$2:$C$367,2,0))</f>
        <v>Apolline</v>
      </c>
      <c r="S11" s="54" t="str">
        <f>IF(ISERROR(VLOOKUP(N11,évènements!$A$3:$E$200,3,0)),"",VLOOKUP(N11,évènements!$A$3:$E$200,3,0))</f>
        <v/>
      </c>
      <c r="T11" s="54" t="str">
        <f>IF(ISERROR(VLOOKUP(N11,évènements!$B$3:$E$200,2,0)),"",VLOOKUP(N11,évènements!$B$3:$E$200,2,0))</f>
        <v/>
      </c>
      <c r="U11" s="54" t="str">
        <f ca="1">IF(ISNA(VLOOKUP(N11,Tableau1[[#All],[Colonne1]:[ouvrés]],3,FALSE)),"",VLOOKUP(N11,Tableau1[[#All],[Colonne1]:[ouvrés]],3,FALSE))</f>
        <v/>
      </c>
      <c r="V11" s="54" t="str">
        <f t="shared" si="3"/>
        <v xml:space="preserve">  </v>
      </c>
      <c r="W11" s="41">
        <f t="shared" si="29"/>
        <v>42803</v>
      </c>
      <c r="X11" s="42">
        <f t="shared" si="43"/>
        <v>42803</v>
      </c>
      <c r="Y11" s="132">
        <f>IF(X11="","",IF(ISERROR(MATCH(X11,Lune!$A$1:$A$1000,0)),IF(WEEKDAY(X11)=5,INT((X11-DATE(YEAR(X11),1,1))/7+1),IF(AND(WEEKDAY(X11)=4,NOT( ISERROR(MATCH(X11+1,Lune!$A$1:$A$1000,0)))),INT((X11+1-DATE(YEAR(X11+1),1,1))/7+1),"")),INDEX(Lune!$B$1:$B$1000,MATCH(X11,Lune!$A$1:$A$1000,0),1)))</f>
        <v>10</v>
      </c>
      <c r="Z11" s="89" t="str">
        <f t="shared" ca="1" si="4"/>
        <v/>
      </c>
      <c r="AA11" s="125" t="str">
        <f ca="1">IF(ISERROR(VLOOKUP(X11,anniversaire!$X$2:$Z$100,2,0)),"",VLOOKUP(X11,anniversaire!$X$2:$Z$100,2,0))</f>
        <v/>
      </c>
      <c r="AB11" s="54" t="str">
        <f>IF(ISERROR(VLOOKUP(X11,fête!$B$2:$C$367,2,0)),"",VLOOKUP(X11,fête!$B$2:$C$367,2,0))</f>
        <v>Françoise</v>
      </c>
      <c r="AC11" s="54" t="str">
        <f>IF(ISERROR(VLOOKUP(X11,évènements!$A$3:$E$200,3,0)),"",VLOOKUP(X11,évènements!$A$3:$E$200,3,0))</f>
        <v/>
      </c>
      <c r="AD11" s="54" t="str">
        <f>IF(ISERROR(VLOOKUP(X11,évènements!$B$3:$E$200,2,0)),"",VLOOKUP(X11,évènements!$B$3:$E$200,2,0))</f>
        <v/>
      </c>
      <c r="AE11" s="54" t="str">
        <f ca="1">IF(ISNA(VLOOKUP(X11,Tableau1[[#All],[Colonne1]:[ouvrés]],3,FALSE)),"",VLOOKUP(X11,Tableau1[[#All],[Colonne1]:[ouvrés]],3,FALSE))</f>
        <v/>
      </c>
      <c r="AF11" s="54" t="str">
        <f t="shared" si="5"/>
        <v xml:space="preserve">  </v>
      </c>
      <c r="AG11" s="41">
        <f t="shared" si="30"/>
        <v>42834</v>
      </c>
      <c r="AH11" s="42">
        <f t="shared" si="44"/>
        <v>42834</v>
      </c>
      <c r="AI11" s="137" t="str">
        <f>IF(AH11="","",IF(ISERROR(MATCH(AH11,Lune!$A$1:$A$1000,0)),IF(WEEKDAY(AH11)=5,INT((AH11-DATE(YEAR(AH11),1,1))/7+1),IF(AND(WEEKDAY(AH11)=4,NOT( ISERROR(MATCH(AH11+1,Lune!$A$1:$A$1000,0)))),INT((AH11+1-DATE(YEAR(AH11+1),1,1))/7+1),"")),INDEX(Lune!$B$1:$B$1000,MATCH(AH11,Lune!$A$1:$A$1000,0),1)))</f>
        <v/>
      </c>
      <c r="AJ11" s="80" t="str">
        <f t="shared" ca="1" si="6"/>
        <v/>
      </c>
      <c r="AK11" s="54" t="str">
        <f ca="1">IF(ISERROR(VLOOKUP(AH11,anniversaire!$X$2:$Z$100,2,0)),"",VLOOKUP(AH11,anniversaire!$X$2:$Z$100,2,0))</f>
        <v/>
      </c>
      <c r="AL11" s="54" t="str">
        <f>IF(ISERROR(VLOOKUP(AH11,fête!$B$2:$C$367,2,0)),"",VLOOKUP(AH11,fête!$B$2:$C$367,2,0))</f>
        <v>Gautier</v>
      </c>
      <c r="AM11" s="54" t="str">
        <f>IF(ISERROR(VLOOKUP(AH11,évènements!$A$3:$E$200,3,0)),"",VLOOKUP(AH11,évènements!$A$3:$E$200,3,0))</f>
        <v/>
      </c>
      <c r="AN11" s="54" t="str">
        <f>IF(ISERROR(VLOOKUP(AH11,évènements!$B$3:$E$200,2,0)),"",VLOOKUP(AH11,évènements!$B$3:$E$200,2,0))</f>
        <v/>
      </c>
      <c r="AO11" s="54" t="str">
        <f ca="1">IF(ISNA(VLOOKUP(AH11,Tableau1[[#All],[Colonne1]:[ouvrés]],3,FALSE)),"",VLOOKUP(AH11,Tableau1[[#All],[Colonne1]:[ouvrés]],3,FALSE))</f>
        <v/>
      </c>
      <c r="AP11" s="238" t="str">
        <f t="shared" si="7"/>
        <v xml:space="preserve">  </v>
      </c>
      <c r="AQ11" s="41">
        <f t="shared" si="31"/>
        <v>42864</v>
      </c>
      <c r="AR11" s="42">
        <f t="shared" si="45"/>
        <v>42864</v>
      </c>
      <c r="AS11" s="43" t="str">
        <f>IF(AR11="","",IF(ISERROR(MATCH(AR11,Lune!$A$1:$A$1000,0)),IF(WEEKDAY(AR11)=5,INT((AR11-DATE(YEAR(AR11),1,1))/7+1),IF(AND(WEEKDAY(AR11)=4,NOT( ISERROR(MATCH(AR11+1,Lune!$A$1:$A$1000,0)))),INT((AR11+1-DATE(YEAR(AR11+1),1,1))/7+1),"")),INDEX(Lune!$B$1:$B$1000,MATCH(AR11,Lune!$A$1:$A$1000,0),1)))</f>
        <v/>
      </c>
      <c r="AT11" s="79" t="str">
        <f t="shared" ca="1" si="8"/>
        <v>'</v>
      </c>
      <c r="AU11" s="54" t="str">
        <f ca="1">IF(ISERROR(VLOOKUP(AR11,anniversaire!$X$2:$Z$100,2,0)),"",VLOOKUP(AR11,anniversaire!$X$2:$Z$100,2,0))</f>
        <v xml:space="preserve">Virely  élodie  3  </v>
      </c>
      <c r="AV11" s="54" t="str">
        <f>IF(ISERROR(VLOOKUP(AR11,fête!$B$2:$C$367,2,0)),"",VLOOKUP(AR11,fête!$B$2:$C$367,2,0))</f>
        <v>Pacôme</v>
      </c>
      <c r="AW11" s="238" t="str">
        <f>IF(ISERROR(VLOOKUP(AR11,évènements!$A$3:$E$200,3,0)),"",VLOOKUP(AR11,évènements!$A$3:$E$200,3,0))</f>
        <v/>
      </c>
      <c r="AX11" s="238" t="str">
        <f>IF(ISERROR(VLOOKUP(AR11,évènements!$B$3:$E$200,2,0)),"",VLOOKUP(AR11,évènements!$B$3:$E$200,2,0))</f>
        <v/>
      </c>
      <c r="AY11" s="238" t="str">
        <f ca="1">IF(ISNA(VLOOKUP(AR11,Tableau1[[#All],[Colonne1]:[ouvrés]],3,FALSE)),"",VLOOKUP(AR11,Tableau1[[#All],[Colonne1]:[ouvrés]],3,FALSE))</f>
        <v/>
      </c>
      <c r="AZ11" s="238" t="str">
        <f t="shared" si="9"/>
        <v xml:space="preserve">  </v>
      </c>
      <c r="BA11" s="41">
        <f t="shared" si="32"/>
        <v>42895</v>
      </c>
      <c r="BB11" s="42">
        <f t="shared" si="46"/>
        <v>42895</v>
      </c>
      <c r="BC11" s="43" t="str">
        <f>IF(BB11="","",IF(ISERROR(MATCH(BB11,Lune!$A$1:$A$1000,0)),IF(WEEKDAY(BB11)=5,INT((BB11-DATE(YEAR(BB11),1,1))/7+1),IF(AND(WEEKDAY(BB11)=4,NOT( ISERROR(MATCH(BB11+1,Lune!$A$1:$A$1000,0)))),INT((BB11+1-DATE(YEAR(BB11+1),1,1))/7+1),"")),INDEX(Lune!$B$1:$B$1000,MATCH(BB11,Lune!$A$1:$A$1000,0),1)))</f>
        <v>○</v>
      </c>
      <c r="BD11" s="79" t="str">
        <f t="shared" ca="1" si="10"/>
        <v/>
      </c>
      <c r="BE11" s="54" t="str">
        <f ca="1">IF(ISERROR(VLOOKUP(BB11,anniversaire!$X$2:$Z$100,2,0)),"",VLOOKUP(BB11,anniversaire!$X$2:$Z$100,2,0))</f>
        <v/>
      </c>
      <c r="BF11" s="54" t="str">
        <f>IF(ISERROR(VLOOKUP(BB11,fête!$B$2:$C$367,2,0)),"",VLOOKUP(BB11,fête!$B$2:$C$367,2,0))</f>
        <v>Diane</v>
      </c>
      <c r="BG11" s="54" t="str">
        <f>IF(ISERROR(VLOOKUP(BB11,évènements!$A$3:$E$200,3,0)),"",VLOOKUP(BB11,évènements!$A$3:$E$200,3,0))</f>
        <v/>
      </c>
      <c r="BH11" s="54">
        <f ca="1">IF(ISERROR(VLOOKUP(BB11,évènements!$B$3:$E$200,2,0)),"",VLOOKUP(BB11,évènements!$B$3:$E$200,2,0))</f>
        <v>42895</v>
      </c>
      <c r="BI11" s="54" t="str">
        <f ca="1">IF(ISNA(VLOOKUP(BB11,Tableau1[[#All],[Colonne1]:[ouvrés]],3,FALSE)),"",VLOOKUP(BB11,Tableau1[[#All],[Colonne1]:[ouvrés]],3,FALSE))</f>
        <v>essai-médical</v>
      </c>
      <c r="BJ11" s="54" t="str">
        <f t="shared" ca="1" si="11"/>
        <v xml:space="preserve">  42895</v>
      </c>
      <c r="BK11" s="41">
        <f t="shared" si="33"/>
        <v>42925</v>
      </c>
      <c r="BL11" s="42">
        <f t="shared" si="47"/>
        <v>42925</v>
      </c>
      <c r="BM11" s="43" t="str">
        <f>IF(BL11="","",IF(ISERROR(MATCH(BL11,Lune!$A$1:$A$1000,0)),IF(WEEKDAY(BL11)=5,INT((BL11-DATE(YEAR(BL11),1,1))/7+1),IF(AND(WEEKDAY(BL11)=4,NOT( ISERROR(MATCH(BL11+1,Lune!$A$1:$A$1000,0)))),INT((BL11+1-DATE(YEAR(BL11+1),1,1))/7+1),"")),INDEX(Lune!$B$1:$B$1000,MATCH(BL11,Lune!$A$1:$A$1000,0),1)))</f>
        <v>○</v>
      </c>
      <c r="BN11" s="80" t="str">
        <f t="shared" ca="1" si="12"/>
        <v/>
      </c>
      <c r="BO11" s="54" t="str">
        <f ca="1">IF(ISERROR(VLOOKUP(BL11,anniversaire!$X$2:$Z$100,2,0)),"",VLOOKUP(BL11,anniversaire!$X$2:$Z$100,2,0))</f>
        <v/>
      </c>
      <c r="BP11" s="54" t="str">
        <f>IF(ISERROR(VLOOKUP(BL11,fête!$B$2:$C$367,2,0)),"",VLOOKUP(BL11,fête!$B$2:$C$367,2,0))</f>
        <v>Amandine</v>
      </c>
      <c r="BQ11" s="54" t="str">
        <f>IF(ISERROR(VLOOKUP(BL11,évènements!$A$3:$E$200,3,0)),"",VLOOKUP(BL11,évènements!$A$3:$E$200,3,0))</f>
        <v/>
      </c>
      <c r="BR11" s="54" t="str">
        <f>IF(ISERROR(VLOOKUP(BL11,évènements!$B$3:$E$200,2,0)),"",VLOOKUP(BL11,évènements!$B$3:$E$200,2,0))</f>
        <v/>
      </c>
      <c r="BS11" s="54" t="str">
        <f ca="1">IF(ISNA(VLOOKUP(BL11,Tableau1[[#All],[Colonne1]:[ouvrés]],3,FALSE)),"",VLOOKUP(BL11,Tableau1[[#All],[Colonne1]:[ouvrés]],3,FALSE))</f>
        <v/>
      </c>
      <c r="BT11" s="54" t="str">
        <f t="shared" si="34"/>
        <v xml:space="preserve">  </v>
      </c>
      <c r="BU11" s="41">
        <f t="shared" si="35"/>
        <v>42956</v>
      </c>
      <c r="BV11" s="42">
        <f t="shared" si="48"/>
        <v>42956</v>
      </c>
      <c r="BW11" s="43" t="str">
        <f>IF(BV11="","",IF(ISERROR(MATCH(BV11,Lune!$A$1:$A$1000,0)),IF(WEEKDAY(BV11)=5,INT((BV11-DATE(YEAR(BV11),1,1))/7+1),IF(AND(WEEKDAY(BV11)=4,NOT( ISERROR(MATCH(BV11+1,Lune!$A$1:$A$1000,0)))),INT((BV11+1-DATE(YEAR(BV11+1),1,1))/7+1),"")),INDEX(Lune!$B$1:$B$1000,MATCH(BV11,Lune!$A$1:$A$1000,0),1)))</f>
        <v/>
      </c>
      <c r="BX11" s="80" t="str">
        <f t="shared" ca="1" si="13"/>
        <v/>
      </c>
      <c r="BY11" s="54" t="str">
        <f ca="1">IF(ISERROR(VLOOKUP(BV11,anniversaire!$X$2:$Z$100,2,0)),"",VLOOKUP(BV11,anniversaire!$X$2:$Z$100,2,0))</f>
        <v/>
      </c>
      <c r="BZ11" s="54" t="str">
        <f>IF(ISERROR(VLOOKUP(BV11,fête!$B$2:$C$367,2,0)),"",VLOOKUP(BV11,fête!$B$2:$C$367,2,0))</f>
        <v>Amour</v>
      </c>
      <c r="CA11" s="54" t="str">
        <f>IF(ISERROR(VLOOKUP(BV11,évènements!$A$3:$E$200,3,0)),"",VLOOKUP(BV11,évènements!$A$3:$E$200,3,0))</f>
        <v/>
      </c>
      <c r="CB11" s="54" t="str">
        <f>IF(ISERROR(VLOOKUP(BV11,évènements!$B$3:$E$200,2,0)),"",VLOOKUP(BV11,évènements!$B$3:$E$200,2,0))</f>
        <v/>
      </c>
      <c r="CC11" s="54" t="str">
        <f ca="1">IF(ISNA(VLOOKUP(BV11,Tableau1[[#All],[Colonne1]:[ouvrés]],3,FALSE)),"",VLOOKUP(BV11,Tableau1[[#All],[Colonne1]:[ouvrés]],3,FALSE))</f>
        <v/>
      </c>
      <c r="CD11" s="54" t="str">
        <f t="shared" si="14"/>
        <v xml:space="preserve">  </v>
      </c>
      <c r="CE11" s="41">
        <f t="shared" si="36"/>
        <v>42987</v>
      </c>
      <c r="CF11" s="42">
        <f t="shared" si="49"/>
        <v>42987</v>
      </c>
      <c r="CG11" s="43" t="str">
        <f>IF(CF11="","",IF(ISERROR(MATCH(CF11,Lune!$A$1:$A$1000,0)),IF(WEEKDAY(CF11)=5,INT((CF11-DATE(YEAR(CF11),1,1))/7+1),IF(AND(WEEKDAY(CF11)=4,NOT( ISERROR(MATCH(CF11+1,Lune!$A$1:$A$1000,0)))),INT((CF11+1-DATE(YEAR(CF11+1),1,1))/7+1),"")),INDEX(Lune!$B$1:$B$1000,MATCH(CF11,Lune!$A$1:$A$1000,0),1)))</f>
        <v/>
      </c>
      <c r="CH11" s="80" t="str">
        <f t="shared" ca="1" si="15"/>
        <v/>
      </c>
      <c r="CI11" s="54" t="str">
        <f ca="1">IF(ISERROR(VLOOKUP(CF11,anniversaire!$X$2:$Z$100,2,0)),"",VLOOKUP(CF11,anniversaire!$X$2:$Z$100,2,0))</f>
        <v/>
      </c>
      <c r="CJ11" s="54" t="str">
        <f>IF(ISERROR(VLOOKUP(CF11,fête!$B$2:$C$367,2,0)),"",VLOOKUP(CF11,fête!$B$2:$C$367,2,0))</f>
        <v>Alain</v>
      </c>
      <c r="CK11" s="54" t="str">
        <f>IF(ISERROR(VLOOKUP(CF11,évènements!$A$3:$E$200,3,0)),"",VLOOKUP(CF11,évènements!$A$3:$E$200,3,0))</f>
        <v/>
      </c>
      <c r="CL11" s="54" t="str">
        <f>IF(ISERROR(VLOOKUP(CF11,évènements!$B$3:$E$200,2,0)),"",VLOOKUP(CF11,évènements!$B$3:$E$200,2,0))</f>
        <v/>
      </c>
      <c r="CM11" s="54" t="str">
        <f ca="1">IF(ISNA(VLOOKUP(CF11,Tableau1[[#All],[Colonne1]:[ouvrés]],3,FALSE)),"",VLOOKUP(CF11,Tableau1[[#All],[Colonne1]:[ouvrés]],3,FALSE))</f>
        <v/>
      </c>
      <c r="CN11" s="54" t="str">
        <f t="shared" si="16"/>
        <v xml:space="preserve">  </v>
      </c>
      <c r="CO11" s="41">
        <f t="shared" si="37"/>
        <v>43017</v>
      </c>
      <c r="CP11" s="42">
        <f t="shared" si="50"/>
        <v>43017</v>
      </c>
      <c r="CQ11" s="43" t="str">
        <f>IF(CP11="","",IF(ISERROR(MATCH(CP11,Lune!$A$1:$A$1000,0)),IF(WEEKDAY(CP11)=5,INT((CP11-DATE(YEAR(CP11),1,1))/7+1),IF(AND(WEEKDAY(CP11)=4,NOT( ISERROR(MATCH(CP11+1,Lune!$A$1:$A$1000,0)))),INT((CP11+1-DATE(YEAR(CP11+1),1,1))/7+1),"")),INDEX(Lune!$B$1:$B$1000,MATCH(CP11,Lune!$A$1:$A$1000,0),1)))</f>
        <v/>
      </c>
      <c r="CR11" s="80" t="str">
        <f t="shared" ca="1" si="17"/>
        <v/>
      </c>
      <c r="CS11" s="54" t="str">
        <f ca="1">IF(ISERROR(VLOOKUP(CP11,anniversaire!$X$2:$Z$100,2,0)),"",VLOOKUP(CP11,anniversaire!$X$2:$Z$100,2,0))</f>
        <v/>
      </c>
      <c r="CT11" s="54" t="str">
        <f>IF(ISERROR(VLOOKUP(CP11,fête!$B$2:$C$367,2,0)),"",VLOOKUP(CP11,fête!$B$2:$C$367,2,0))</f>
        <v>Denis</v>
      </c>
      <c r="CU11" s="54" t="str">
        <f>IF(ISERROR(VLOOKUP(CP11,évènements!$A$3:$E$200,3,0)),"",VLOOKUP(CP11,évènements!$A$3:$E$200,3,0))</f>
        <v/>
      </c>
      <c r="CV11" s="54" t="str">
        <f>IF(ISERROR(VLOOKUP(CP11,évènements!$B$3:$E$200,2,0)),"",VLOOKUP(CP11,évènements!$B$3:$E$200,2,0))</f>
        <v/>
      </c>
      <c r="CW11" s="54" t="str">
        <f ca="1">IF(ISNA(VLOOKUP(CP11,Tableau1[[#All],[Colonne1]:[ouvrés]],3,FALSE)),"",VLOOKUP(CP11,Tableau1[[#All],[Colonne1]:[ouvrés]],3,FALSE))</f>
        <v/>
      </c>
      <c r="CX11" s="54" t="str">
        <f t="shared" si="18"/>
        <v xml:space="preserve">  </v>
      </c>
      <c r="CY11" s="41">
        <f t="shared" si="38"/>
        <v>43048</v>
      </c>
      <c r="CZ11" s="42">
        <f t="shared" si="51"/>
        <v>43048</v>
      </c>
      <c r="DA11" s="43">
        <f>IF(CZ11="","",IF(ISERROR(MATCH(CZ11,Lune!$A$1:$A$1000,0)),IF(WEEKDAY(CZ11)=5,INT((CZ11-DATE(YEAR(CZ11),1,1))/7+1),IF(AND(WEEKDAY(CZ11)=4,NOT( ISERROR(MATCH(CZ11+1,Lune!$A$1:$A$1000,0)))),INT((CZ11+1-DATE(YEAR(CZ11+1),1,1))/7+1),"")),INDEX(Lune!$B$1:$B$1000,MATCH(CZ11,Lune!$A$1:$A$1000,0),1)))</f>
        <v>45</v>
      </c>
      <c r="DB11" s="80" t="str">
        <f t="shared" ca="1" si="19"/>
        <v/>
      </c>
      <c r="DC11" s="54" t="str">
        <f ca="1">IF(ISERROR(VLOOKUP(CZ11,anniversaire!$X$2:$Z$100,2,0)),"",VLOOKUP(CZ11,anniversaire!$X$2:$Z$100,2,0))</f>
        <v/>
      </c>
      <c r="DD11" s="54" t="str">
        <f>IF(ISERROR(VLOOKUP(CZ11,fête!$B$2:$C$367,2,0)),"",VLOOKUP(CZ11,fête!$B$2:$C$367,2,0))</f>
        <v>Théodore</v>
      </c>
      <c r="DE11" s="54" t="str">
        <f>IF(ISERROR(VLOOKUP(CZ11,évènements!$A$3:$E$200,3,0)),"",VLOOKUP(CZ11,évènements!$A$3:$E$200,3,0))</f>
        <v/>
      </c>
      <c r="DF11" s="54" t="str">
        <f>IF(ISERROR(VLOOKUP(CZ11,évènements!$B$3:$E$200,2,0)),"",VLOOKUP(CZ11,évènements!$B$3:$E$200,2,0))</f>
        <v/>
      </c>
      <c r="DG11" s="54"/>
      <c r="DH11" s="54" t="str">
        <f t="shared" si="20"/>
        <v xml:space="preserve">  </v>
      </c>
      <c r="DI11" s="41">
        <f t="shared" si="39"/>
        <v>43078</v>
      </c>
      <c r="DJ11" s="42">
        <f t="shared" si="52"/>
        <v>43078</v>
      </c>
      <c r="DK11" s="43" t="str">
        <f>IF(DJ11="","",IF(ISERROR(MATCH(DJ11,Lune!$A$1:$A$1000,0)),IF(WEEKDAY(DJ11)=5,INT((DJ11-DATE(YEAR(DJ11),1,1))/7+1),IF(AND(WEEKDAY(DJ11)=4,NOT( ISERROR(MATCH(DJ11+1,Lune!$A$1:$A$1000,0)))),INT((DJ11+1-DATE(YEAR(DJ11+1),1,1))/7+1),"")),INDEX(Lune!$B$1:$B$1000,MATCH(DJ11,Lune!$A$1:$A$1000,0),1)))</f>
        <v/>
      </c>
      <c r="DL11" s="80" t="str">
        <f t="shared" ca="1" si="21"/>
        <v/>
      </c>
      <c r="DM11" s="54" t="str">
        <f ca="1">IF(ISERROR(VLOOKUP(DJ11,anniversaire!$X$2:$Z$100,2,0)),"",VLOOKUP(DJ11,anniversaire!$X$2:$Z$100,2,0))</f>
        <v/>
      </c>
      <c r="DN11" s="54" t="str">
        <f>IF(ISERROR(VLOOKUP(DJ11,fête!$B$2:$C$367,2,0)),"",VLOOKUP(DJ11,fête!$B$2:$C$367,2,0))</f>
        <v>Pierre Fourier</v>
      </c>
      <c r="DO11" s="54" t="str">
        <f>IF(ISERROR(VLOOKUP(DJ11,évènements!$A$3:$E$200,3,0)),"",VLOOKUP(DJ11,évènements!$A$3:$E$200,3,0))</f>
        <v/>
      </c>
      <c r="DP11" s="54" t="str">
        <f>IF(ISERROR(VLOOKUP(DJ11,évènements!$B$3:$E$200,2,0)),"",VLOOKUP(DJ11,évènements!$B$3:$E$200,2,0))</f>
        <v/>
      </c>
      <c r="DQ11" s="54" t="str">
        <f ca="1">IF(ISNA(VLOOKUP(DJ11,Tableau1[[#All],[Colonne1]:[ouvrés]],3,FALSE)),"",VLOOKUP(DJ11,Tableau1[[#All],[Colonne1]:[ouvrés]],3,FALSE))</f>
        <v/>
      </c>
      <c r="DR11" s="54" t="str">
        <f t="shared" si="22"/>
        <v xml:space="preserve">  </v>
      </c>
      <c r="DS11" s="41">
        <f t="shared" si="40"/>
        <v>43109</v>
      </c>
      <c r="DT11" s="42">
        <f t="shared" si="53"/>
        <v>43109</v>
      </c>
      <c r="DU11" s="43" t="str">
        <f>IF(DT11="","",IF(ISERROR(MATCH(DT11,Lune!$A$1:$A$1000,0)),IF(WEEKDAY(DT11)=5,INT((DT11-DATE(YEAR(DT11),1,1))/7+1),IF(AND(WEEKDAY(DT11)=4,NOT( ISERROR(MATCH(DT11+1,Lune!$A$1:$A$1000,0)))),INT((DT11+1-DATE(YEAR(DT11+1),1,1))/7+1),"")),INDEX(Lune!$B$1:$B$1000,MATCH(DT11,Lune!$A$1:$A$1000,0),1)))</f>
        <v/>
      </c>
      <c r="DV11" s="89" t="str">
        <f t="shared" ca="1" si="23"/>
        <v/>
      </c>
      <c r="DW11" s="252" t="str">
        <f t="shared" ca="1" si="24"/>
        <v/>
      </c>
      <c r="DX11" s="252" t="str">
        <f t="shared" si="25"/>
        <v>Alix</v>
      </c>
      <c r="DY11" s="252" t="str">
        <f>IF(ISERROR(VLOOKUP(DT11,évènements!$A$3:$E$200,3,0)),"",VLOOKUP(DT11,évènements!$A$3:$E$200,3,0))</f>
        <v/>
      </c>
      <c r="DZ11" s="252" t="str">
        <f>IF(ISERROR(VLOOKUP(DT11,évènements!$B$3:$E$200,2,0)),"",VLOOKUP(DT11,évènements!$B$3:$E$200,2,0))</f>
        <v/>
      </c>
      <c r="EA11" s="252" t="str">
        <f ca="1">IF(ISNA(VLOOKUP(DT11,Tableau1[[#All],[Colonne1]:[ouvrés]],3,FALSE)),"",VLOOKUP(DT11,Tableau1[[#All],[Colonne1]:[ouvrés]],3,FALSE))</f>
        <v/>
      </c>
      <c r="EB11" s="252" t="str">
        <f t="shared" si="26"/>
        <v xml:space="preserve">  </v>
      </c>
    </row>
    <row r="12" spans="2:132" ht="15" customHeight="1" x14ac:dyDescent="0.25">
      <c r="B12" s="29"/>
      <c r="C12" s="41">
        <f t="shared" si="27"/>
        <v>42745</v>
      </c>
      <c r="D12" s="40">
        <f t="shared" si="41"/>
        <v>42745</v>
      </c>
      <c r="E12" s="131" t="str">
        <f>IF(D12="","",IF(ISERROR(MATCH(D12,Lune!$A$1:$A$1000,0)),IF(WEEKDAY(D12)=5,INT((D12-DATE(YEAR(D12),1,1))/7+1),IF(AND(WEEKDAY(D12)=4,NOT( ISERROR(MATCH(D12+1,Lune!$A$1:$A$1000,0)))),INT((D12+1-DATE(YEAR(D12+1),1,1))/7+1),"")),INDEX(Lune!$B$1:$B$1000,MATCH(D12,Lune!$A$1:$A$1000,0),1)))</f>
        <v/>
      </c>
      <c r="F12" s="89" t="str">
        <f t="shared" ca="1" si="0"/>
        <v/>
      </c>
      <c r="G12" s="125" t="str">
        <f ca="1">IF(ISERROR(VLOOKUP(D12,anniversaire!$X$2:$Z$100,2,0)),"",VLOOKUP(D12,anniversaire!$X$2:$Z$100,2,0))</f>
        <v/>
      </c>
      <c r="H12" s="54" t="str">
        <f>IF(ISERROR(VLOOKUP(D12,fête!$B$2:$C$367,2,0)),"",VLOOKUP(D12,fête!$B$2:$C$367,2,0))</f>
        <v>Guillaume</v>
      </c>
      <c r="I12" s="239" t="str">
        <f>IF(ISERROR(VLOOKUP(D12,évènements!$A$3:$E$200,3,0)),"",VLOOKUP(D12,évènements!$A$3:$E$200,3,0))</f>
        <v/>
      </c>
      <c r="J12" s="239" t="str">
        <f>IF(ISERROR(VLOOKUP(D12,évènements!$B$3:$E$200,2,0)),"",VLOOKUP(D12,évènements!$B$3:$E$200,2,0))</f>
        <v/>
      </c>
      <c r="K12" s="239" t="str">
        <f ca="1">IF(ISNA(VLOOKUP(D12,Tableau1[[#All],[Colonne1]:[ouvrés]],3,FALSE)),"",VLOOKUP(D12,Tableau1[[#All],[Colonne1]:[ouvrés]],3,FALSE))</f>
        <v/>
      </c>
      <c r="L12" s="239" t="str">
        <f t="shared" si="1"/>
        <v xml:space="preserve">  </v>
      </c>
      <c r="M12" s="41">
        <f t="shared" si="28"/>
        <v>42776</v>
      </c>
      <c r="N12" s="42">
        <f t="shared" si="42"/>
        <v>42776</v>
      </c>
      <c r="O12" s="131" t="str">
        <f>IF(N12="","",IF(ISERROR(MATCH(N12,Lune!$A$1:$A$1000,0)),IF(WEEKDAY(N12)=5,INT((N12-DATE(YEAR(N12),1,1))/7+1),IF(AND(WEEKDAY(N12)=4,NOT( ISERROR(MATCH(N12+1,Lune!$A$1:$A$1000,0)))),INT((N12+1-DATE(YEAR(N12+1),1,1))/7+1),"")),INDEX(Lune!$B$1:$B$1000,MATCH(N12,Lune!$A$1:$A$1000,0),1)))</f>
        <v/>
      </c>
      <c r="P12" s="80" t="str">
        <f t="shared" ca="1" si="2"/>
        <v/>
      </c>
      <c r="Q12" s="54" t="str">
        <f ca="1">IF(ISERROR(VLOOKUP(N12,anniversaire!$X$2:$Z$100,2,0)),"",VLOOKUP(N12,anniversaire!$X$2:$Z$100,2,0))</f>
        <v/>
      </c>
      <c r="R12" s="54" t="str">
        <f>IF(ISERROR(VLOOKUP(N12,fête!$B$2:$C$367,2,0)),"",VLOOKUP(N12,fête!$B$2:$C$367,2,0))</f>
        <v>Arnaud</v>
      </c>
      <c r="S12" s="54" t="str">
        <f>IF(ISERROR(VLOOKUP(N12,évènements!$A$3:$E$200,3,0)),"",VLOOKUP(N12,évènements!$A$3:$E$200,3,0))</f>
        <v/>
      </c>
      <c r="T12" s="54" t="str">
        <f>IF(ISERROR(VLOOKUP(N12,évènements!$B$3:$E$200,2,0)),"",VLOOKUP(N12,évènements!$B$3:$E$200,2,0))</f>
        <v/>
      </c>
      <c r="U12" s="54" t="str">
        <f ca="1">IF(ISNA(VLOOKUP(N12,Tableau1[[#All],[Colonne1]:[ouvrés]],3,FALSE)),"",VLOOKUP(N12,Tableau1[[#All],[Colonne1]:[ouvrés]],3,FALSE))</f>
        <v/>
      </c>
      <c r="V12" s="54" t="str">
        <f t="shared" si="3"/>
        <v xml:space="preserve">  </v>
      </c>
      <c r="W12" s="41">
        <f t="shared" si="29"/>
        <v>42804</v>
      </c>
      <c r="X12" s="42">
        <f t="shared" si="43"/>
        <v>42804</v>
      </c>
      <c r="Y12" s="132" t="str">
        <f>IF(X12="","",IF(ISERROR(MATCH(X12,Lune!$A$1:$A$1000,0)),IF(WEEKDAY(X12)=5,INT((X12-DATE(YEAR(X12),1,1))/7+1),IF(AND(WEEKDAY(X12)=4,NOT( ISERROR(MATCH(X12+1,Lune!$A$1:$A$1000,0)))),INT((X12+1-DATE(YEAR(X12+1),1,1))/7+1),"")),INDEX(Lune!$B$1:$B$1000,MATCH(X12,Lune!$A$1:$A$1000,0),1)))</f>
        <v/>
      </c>
      <c r="Z12" s="89" t="str">
        <f t="shared" ca="1" si="4"/>
        <v/>
      </c>
      <c r="AA12" s="125" t="str">
        <f ca="1">IF(ISERROR(VLOOKUP(X12,anniversaire!$X$2:$Z$100,2,0)),"",VLOOKUP(X12,anniversaire!$X$2:$Z$100,2,0))</f>
        <v/>
      </c>
      <c r="AB12" s="54" t="str">
        <f>IF(ISERROR(VLOOKUP(X12,fête!$B$2:$C$367,2,0)),"",VLOOKUP(X12,fête!$B$2:$C$367,2,0))</f>
        <v>Vivien</v>
      </c>
      <c r="AC12" s="54" t="str">
        <f>IF(ISERROR(VLOOKUP(X12,évènements!$A$3:$E$200,3,0)),"",VLOOKUP(X12,évènements!$A$3:$E$200,3,0))</f>
        <v/>
      </c>
      <c r="AD12" s="54" t="str">
        <f>IF(ISERROR(VLOOKUP(X12,évènements!$B$3:$E$200,2,0)),"",VLOOKUP(X12,évènements!$B$3:$E$200,2,0))</f>
        <v/>
      </c>
      <c r="AE12" s="54" t="str">
        <f ca="1">IF(ISNA(VLOOKUP(X12,Tableau1[[#All],[Colonne1]:[ouvrés]],3,FALSE)),"",VLOOKUP(X12,Tableau1[[#All],[Colonne1]:[ouvrés]],3,FALSE))</f>
        <v/>
      </c>
      <c r="AF12" s="54" t="str">
        <f t="shared" si="5"/>
        <v xml:space="preserve">  </v>
      </c>
      <c r="AG12" s="41">
        <f t="shared" si="30"/>
        <v>42835</v>
      </c>
      <c r="AH12" s="42">
        <f t="shared" si="44"/>
        <v>42835</v>
      </c>
      <c r="AI12" s="137" t="str">
        <f>IF(AH12="","",IF(ISERROR(MATCH(AH12,Lune!$A$1:$A$1000,0)),IF(WEEKDAY(AH12)=5,INT((AH12-DATE(YEAR(AH12),1,1))/7+1),IF(AND(WEEKDAY(AH12)=4,NOT( ISERROR(MATCH(AH12+1,Lune!$A$1:$A$1000,0)))),INT((AH12+1-DATE(YEAR(AH12+1),1,1))/7+1),"")),INDEX(Lune!$B$1:$B$1000,MATCH(AH12,Lune!$A$1:$A$1000,0),1)))</f>
        <v/>
      </c>
      <c r="AJ12" s="80" t="str">
        <f t="shared" ca="1" si="6"/>
        <v/>
      </c>
      <c r="AK12" s="54" t="str">
        <f ca="1">IF(ISERROR(VLOOKUP(AH12,anniversaire!$X$2:$Z$100,2,0)),"",VLOOKUP(AH12,anniversaire!$X$2:$Z$100,2,0))</f>
        <v/>
      </c>
      <c r="AL12" s="54" t="str">
        <f>IF(ISERROR(VLOOKUP(AH12,fête!$B$2:$C$367,2,0)),"",VLOOKUP(AH12,fête!$B$2:$C$367,2,0))</f>
        <v>Fulbert</v>
      </c>
      <c r="AM12" s="54" t="str">
        <f>IF(ISERROR(VLOOKUP(AH12,évènements!$A$3:$E$200,3,0)),"",VLOOKUP(AH12,évènements!$A$3:$E$200,3,0))</f>
        <v/>
      </c>
      <c r="AN12" s="54" t="str">
        <f>IF(ISERROR(VLOOKUP(AH12,évènements!$B$3:$E$200,2,0)),"",VLOOKUP(AH12,évènements!$B$3:$E$200,2,0))</f>
        <v/>
      </c>
      <c r="AO12" s="54" t="str">
        <f ca="1">IF(ISNA(VLOOKUP(AH12,Tableau1[[#All],[Colonne1]:[ouvrés]],3,FALSE)),"",VLOOKUP(AH12,Tableau1[[#All],[Colonne1]:[ouvrés]],3,FALSE))</f>
        <v/>
      </c>
      <c r="AP12" s="238" t="str">
        <f t="shared" si="7"/>
        <v xml:space="preserve">  </v>
      </c>
      <c r="AQ12" s="41">
        <f t="shared" si="31"/>
        <v>42865</v>
      </c>
      <c r="AR12" s="42">
        <f t="shared" si="45"/>
        <v>42865</v>
      </c>
      <c r="AS12" s="43" t="str">
        <f>IF(AR12="","",IF(ISERROR(MATCH(AR12,Lune!$A$1:$A$1000,0)),IF(WEEKDAY(AR12)=5,INT((AR12-DATE(YEAR(AR12),1,1))/7+1),IF(AND(WEEKDAY(AR12)=4,NOT( ISERROR(MATCH(AR12+1,Lune!$A$1:$A$1000,0)))),INT((AR12+1-DATE(YEAR(AR12+1),1,1))/7+1),"")),INDEX(Lune!$B$1:$B$1000,MATCH(AR12,Lune!$A$1:$A$1000,0),1)))</f>
        <v>○</v>
      </c>
      <c r="AT12" s="79" t="str">
        <f t="shared" ca="1" si="8"/>
        <v/>
      </c>
      <c r="AU12" s="54" t="str">
        <f ca="1">IF(ISERROR(VLOOKUP(AR12,anniversaire!$X$2:$Z$100,2,0)),"",VLOOKUP(AR12,anniversaire!$X$2:$Z$100,2,0))</f>
        <v/>
      </c>
      <c r="AV12" s="54" t="str">
        <f>IF(ISERROR(VLOOKUP(AR12,fête!$B$2:$C$367,2,0)),"",VLOOKUP(AR12,fête!$B$2:$C$367,2,0))</f>
        <v>Solange</v>
      </c>
      <c r="AW12" s="238" t="str">
        <f>IF(ISERROR(VLOOKUP(AR12,évènements!$A$3:$E$200,3,0)),"",VLOOKUP(AR12,évènements!$A$3:$E$200,3,0))</f>
        <v/>
      </c>
      <c r="AX12" s="238" t="str">
        <f>IF(ISERROR(VLOOKUP(AR12,évènements!$B$3:$E$200,2,0)),"",VLOOKUP(AR12,évènements!$B$3:$E$200,2,0))</f>
        <v/>
      </c>
      <c r="AY12" s="238" t="str">
        <f ca="1">IF(ISNA(VLOOKUP(AR12,Tableau1[[#All],[Colonne1]:[ouvrés]],3,FALSE)),"",VLOOKUP(AR12,Tableau1[[#All],[Colonne1]:[ouvrés]],3,FALSE))</f>
        <v/>
      </c>
      <c r="AZ12" s="238" t="str">
        <f t="shared" si="9"/>
        <v xml:space="preserve">  </v>
      </c>
      <c r="BA12" s="41">
        <f t="shared" si="32"/>
        <v>42896</v>
      </c>
      <c r="BB12" s="42">
        <f t="shared" si="46"/>
        <v>42896</v>
      </c>
      <c r="BC12" s="43" t="str">
        <f>IF(BB12="","",IF(ISERROR(MATCH(BB12,Lune!$A$1:$A$1000,0)),IF(WEEKDAY(BB12)=5,INT((BB12-DATE(YEAR(BB12),1,1))/7+1),IF(AND(WEEKDAY(BB12)=4,NOT( ISERROR(MATCH(BB12+1,Lune!$A$1:$A$1000,0)))),INT((BB12+1-DATE(YEAR(BB12+1),1,1))/7+1),"")),INDEX(Lune!$B$1:$B$1000,MATCH(BB12,Lune!$A$1:$A$1000,0),1)))</f>
        <v/>
      </c>
      <c r="BD12" s="79" t="str">
        <f t="shared" ca="1" si="10"/>
        <v/>
      </c>
      <c r="BE12" s="54" t="str">
        <f ca="1">IF(ISERROR(VLOOKUP(BB12,anniversaire!$X$2:$Z$100,2,0)),"",VLOOKUP(BB12,anniversaire!$X$2:$Z$100,2,0))</f>
        <v/>
      </c>
      <c r="BF12" s="54" t="str">
        <f>IF(ISERROR(VLOOKUP(BB12,fête!$B$2:$C$367,2,0)),"",VLOOKUP(BB12,fête!$B$2:$C$367,2,0))</f>
        <v>Landry</v>
      </c>
      <c r="BG12" s="54" t="str">
        <f>IF(ISERROR(VLOOKUP(BB12,évènements!$A$3:$E$200,3,0)),"",VLOOKUP(BB12,évènements!$A$3:$E$200,3,0))</f>
        <v/>
      </c>
      <c r="BH12" s="54" t="str">
        <f>IF(ISERROR(VLOOKUP(BB12,évènements!$B$3:$E$200,2,0)),"",VLOOKUP(BB12,évènements!$B$3:$E$200,2,0))</f>
        <v/>
      </c>
      <c r="BI12" s="54" t="str">
        <f ca="1">IF(ISNA(VLOOKUP(BB12,Tableau1[[#All],[Colonne1]:[ouvrés]],3,FALSE)),"",VLOOKUP(BB12,Tableau1[[#All],[Colonne1]:[ouvrés]],3,FALSE))</f>
        <v/>
      </c>
      <c r="BJ12" s="54" t="str">
        <f t="shared" si="11"/>
        <v xml:space="preserve">  </v>
      </c>
      <c r="BK12" s="41">
        <f t="shared" si="33"/>
        <v>42926</v>
      </c>
      <c r="BL12" s="42">
        <f t="shared" si="47"/>
        <v>42926</v>
      </c>
      <c r="BM12" s="43" t="str">
        <f>IF(BL12="","",IF(ISERROR(MATCH(BL12,Lune!$A$1:$A$1000,0)),IF(WEEKDAY(BL12)=5,INT((BL12-DATE(YEAR(BL12),1,1))/7+1),IF(AND(WEEKDAY(BL12)=4,NOT( ISERROR(MATCH(BL12+1,Lune!$A$1:$A$1000,0)))),INT((BL12+1-DATE(YEAR(BL12+1),1,1))/7+1),"")),INDEX(Lune!$B$1:$B$1000,MATCH(BL12,Lune!$A$1:$A$1000,0),1)))</f>
        <v/>
      </c>
      <c r="BN12" s="80" t="str">
        <f t="shared" ca="1" si="12"/>
        <v/>
      </c>
      <c r="BO12" s="54" t="str">
        <f ca="1">IF(ISERROR(VLOOKUP(BL12,anniversaire!$X$2:$Z$100,2,0)),"",VLOOKUP(BL12,anniversaire!$X$2:$Z$100,2,0))</f>
        <v/>
      </c>
      <c r="BP12" s="54" t="str">
        <f>IF(ISERROR(VLOOKUP(BL12,fête!$B$2:$C$367,2,0)),"",VLOOKUP(BL12,fête!$B$2:$C$367,2,0))</f>
        <v>Ulrich</v>
      </c>
      <c r="BQ12" s="54" t="str">
        <f>IF(ISERROR(VLOOKUP(BL12,évènements!$A$3:$E$200,3,0)),"",VLOOKUP(BL12,évènements!$A$3:$E$200,3,0))</f>
        <v/>
      </c>
      <c r="BR12" s="54" t="str">
        <f>IF(ISERROR(VLOOKUP(BL12,évènements!$B$3:$E$200,2,0)),"",VLOOKUP(BL12,évènements!$B$3:$E$200,2,0))</f>
        <v/>
      </c>
      <c r="BS12" s="54" t="str">
        <f ca="1">IF(ISNA(VLOOKUP(BL12,Tableau1[[#All],[Colonne1]:[ouvrés]],3,FALSE)),"",VLOOKUP(BL12,Tableau1[[#All],[Colonne1]:[ouvrés]],3,FALSE))</f>
        <v/>
      </c>
      <c r="BT12" s="54" t="str">
        <f t="shared" si="34"/>
        <v xml:space="preserve">  </v>
      </c>
      <c r="BU12" s="41">
        <f t="shared" si="35"/>
        <v>42957</v>
      </c>
      <c r="BV12" s="42">
        <f t="shared" si="48"/>
        <v>42957</v>
      </c>
      <c r="BW12" s="43">
        <f>IF(BV12="","",IF(ISERROR(MATCH(BV12,Lune!$A$1:$A$1000,0)),IF(WEEKDAY(BV12)=5,INT((BV12-DATE(YEAR(BV12),1,1))/7+1),IF(AND(WEEKDAY(BV12)=4,NOT( ISERROR(MATCH(BV12+1,Lune!$A$1:$A$1000,0)))),INT((BV12+1-DATE(YEAR(BV12+1),1,1))/7+1),"")),INDEX(Lune!$B$1:$B$1000,MATCH(BV12,Lune!$A$1:$A$1000,0),1)))</f>
        <v>32</v>
      </c>
      <c r="BX12" s="80" t="str">
        <f t="shared" ca="1" si="13"/>
        <v xml:space="preserve"> '</v>
      </c>
      <c r="BY12" s="54" t="str">
        <f ca="1">IF(ISERROR(VLOOKUP(BV12,anniversaire!$X$2:$Z$100,2,0)),"",VLOOKUP(BV12,anniversaire!$X$2:$Z$100,2,0))</f>
        <v xml:space="preserve">Taraud  daniel  42  </v>
      </c>
      <c r="BZ12" s="54" t="str">
        <f>IF(ISERROR(VLOOKUP(BV12,fête!$B$2:$C$367,2,0)),"",VLOOKUP(BV12,fête!$B$2:$C$367,2,0))</f>
        <v>Laurent</v>
      </c>
      <c r="CA12" s="54" t="str">
        <f>IF(ISERROR(VLOOKUP(BV12,évènements!$A$3:$E$200,3,0)),"",VLOOKUP(BV12,évènements!$A$3:$E$200,3,0))</f>
        <v/>
      </c>
      <c r="CB12" s="54" t="str">
        <f>IF(ISERROR(VLOOKUP(BV12,évènements!$B$3:$E$200,2,0)),"",VLOOKUP(BV12,évènements!$B$3:$E$200,2,0))</f>
        <v/>
      </c>
      <c r="CC12" s="54" t="str">
        <f ca="1">IF(ISNA(VLOOKUP(BV12,Tableau1[[#All],[Colonne1]:[ouvrés]],3,FALSE)),"",VLOOKUP(BV12,Tableau1[[#All],[Colonne1]:[ouvrés]],3,FALSE))</f>
        <v/>
      </c>
      <c r="CD12" s="54" t="str">
        <f t="shared" si="14"/>
        <v xml:space="preserve">  </v>
      </c>
      <c r="CE12" s="41">
        <f t="shared" si="36"/>
        <v>42988</v>
      </c>
      <c r="CF12" s="42">
        <f t="shared" si="49"/>
        <v>42988</v>
      </c>
      <c r="CG12" s="43" t="str">
        <f>IF(CF12="","",IF(ISERROR(MATCH(CF12,Lune!$A$1:$A$1000,0)),IF(WEEKDAY(CF12)=5,INT((CF12-DATE(YEAR(CF12),1,1))/7+1),IF(AND(WEEKDAY(CF12)=4,NOT( ISERROR(MATCH(CF12+1,Lune!$A$1:$A$1000,0)))),INT((CF12+1-DATE(YEAR(CF12+1),1,1))/7+1),"")),INDEX(Lune!$B$1:$B$1000,MATCH(CF12,Lune!$A$1:$A$1000,0),1)))</f>
        <v/>
      </c>
      <c r="CH12" s="80" t="str">
        <f t="shared" ca="1" si="15"/>
        <v/>
      </c>
      <c r="CI12" s="54" t="str">
        <f ca="1">IF(ISERROR(VLOOKUP(CF12,anniversaire!$X$2:$Z$100,2,0)),"",VLOOKUP(CF12,anniversaire!$X$2:$Z$100,2,0))</f>
        <v/>
      </c>
      <c r="CJ12" s="54" t="str">
        <f>IF(ISERROR(VLOOKUP(CF12,fête!$B$2:$C$367,2,0)),"",VLOOKUP(CF12,fête!$B$2:$C$367,2,0))</f>
        <v>Inès</v>
      </c>
      <c r="CK12" s="54" t="str">
        <f>IF(ISERROR(VLOOKUP(CF12,évènements!$A$3:$E$200,3,0)),"",VLOOKUP(CF12,évènements!$A$3:$E$200,3,0))</f>
        <v/>
      </c>
      <c r="CL12" s="54" t="str">
        <f>IF(ISERROR(VLOOKUP(CF12,évènements!$B$3:$E$200,2,0)),"",VLOOKUP(CF12,évènements!$B$3:$E$200,2,0))</f>
        <v/>
      </c>
      <c r="CM12" s="54" t="str">
        <f ca="1">IF(ISNA(VLOOKUP(CF12,Tableau1[[#All],[Colonne1]:[ouvrés]],3,FALSE)),"",VLOOKUP(CF12,Tableau1[[#All],[Colonne1]:[ouvrés]],3,FALSE))</f>
        <v/>
      </c>
      <c r="CN12" s="54" t="str">
        <f t="shared" si="16"/>
        <v xml:space="preserve">  </v>
      </c>
      <c r="CO12" s="41">
        <f t="shared" si="37"/>
        <v>43018</v>
      </c>
      <c r="CP12" s="42">
        <f t="shared" si="50"/>
        <v>43018</v>
      </c>
      <c r="CQ12" s="43" t="str">
        <f>IF(CP12="","",IF(ISERROR(MATCH(CP12,Lune!$A$1:$A$1000,0)),IF(WEEKDAY(CP12)=5,INT((CP12-DATE(YEAR(CP12),1,1))/7+1),IF(AND(WEEKDAY(CP12)=4,NOT( ISERROR(MATCH(CP12+1,Lune!$A$1:$A$1000,0)))),INT((CP12+1-DATE(YEAR(CP12+1),1,1))/7+1),"")),INDEX(Lune!$B$1:$B$1000,MATCH(CP12,Lune!$A$1:$A$1000,0),1)))</f>
        <v/>
      </c>
      <c r="CR12" s="80" t="str">
        <f t="shared" ca="1" si="17"/>
        <v/>
      </c>
      <c r="CS12" s="54" t="str">
        <f ca="1">IF(ISERROR(VLOOKUP(CP12,anniversaire!$X$2:$Z$100,2,0)),"",VLOOKUP(CP12,anniversaire!$X$2:$Z$100,2,0))</f>
        <v/>
      </c>
      <c r="CT12" s="54" t="str">
        <f>IF(ISERROR(VLOOKUP(CP12,fête!$B$2:$C$367,2,0)),"",VLOOKUP(CP12,fête!$B$2:$C$367,2,0))</f>
        <v>Ghislain</v>
      </c>
      <c r="CU12" s="54" t="str">
        <f>IF(ISERROR(VLOOKUP(CP12,évènements!$A$3:$E$200,3,0)),"",VLOOKUP(CP12,évènements!$A$3:$E$200,3,0))</f>
        <v/>
      </c>
      <c r="CV12" s="54" t="str">
        <f>IF(ISERROR(VLOOKUP(CP12,évènements!$B$3:$E$200,2,0)),"",VLOOKUP(CP12,évènements!$B$3:$E$200,2,0))</f>
        <v/>
      </c>
      <c r="CW12" s="54" t="str">
        <f ca="1">IF(ISNA(VLOOKUP(CP12,Tableau1[[#All],[Colonne1]:[ouvrés]],3,FALSE)),"",VLOOKUP(CP12,Tableau1[[#All],[Colonne1]:[ouvrés]],3,FALSE))</f>
        <v/>
      </c>
      <c r="CX12" s="54" t="str">
        <f t="shared" si="18"/>
        <v xml:space="preserve">  </v>
      </c>
      <c r="CY12" s="41">
        <f t="shared" si="38"/>
        <v>43049</v>
      </c>
      <c r="CZ12" s="42">
        <f t="shared" si="51"/>
        <v>43049</v>
      </c>
      <c r="DA12" s="43" t="str">
        <f>IF(CZ12="","",IF(ISERROR(MATCH(CZ12,Lune!$A$1:$A$1000,0)),IF(WEEKDAY(CZ12)=5,INT((CZ12-DATE(YEAR(CZ12),1,1))/7+1),IF(AND(WEEKDAY(CZ12)=4,NOT( ISERROR(MATCH(CZ12+1,Lune!$A$1:$A$1000,0)))),INT((CZ12+1-DATE(YEAR(CZ12+1),1,1))/7+1),"")),INDEX(Lune!$B$1:$B$1000,MATCH(CZ12,Lune!$A$1:$A$1000,0),1)))</f>
        <v>◑</v>
      </c>
      <c r="DB12" s="80" t="str">
        <f t="shared" ca="1" si="19"/>
        <v/>
      </c>
      <c r="DC12" s="54" t="str">
        <f ca="1">IF(ISERROR(VLOOKUP(CZ12,anniversaire!$X$2:$Z$100,2,0)),"",VLOOKUP(CZ12,anniversaire!$X$2:$Z$100,2,0))</f>
        <v/>
      </c>
      <c r="DD12" s="54" t="str">
        <f>IF(ISERROR(VLOOKUP(CZ12,fête!$B$2:$C$367,2,0)),"",VLOOKUP(CZ12,fête!$B$2:$C$367,2,0))</f>
        <v>Léon</v>
      </c>
      <c r="DE12" s="54" t="str">
        <f>IF(ISERROR(VLOOKUP(CZ12,évènements!$A$3:$E$200,3,0)),"",VLOOKUP(CZ12,évènements!$A$3:$E$200,3,0))</f>
        <v/>
      </c>
      <c r="DF12" s="54" t="str">
        <f>IF(ISERROR(VLOOKUP(CZ12,évènements!$B$3:$E$200,2,0)),"",VLOOKUP(CZ12,évènements!$B$3:$E$200,2,0))</f>
        <v/>
      </c>
      <c r="DG12" s="54"/>
      <c r="DH12" s="54" t="str">
        <f t="shared" si="20"/>
        <v xml:space="preserve">  </v>
      </c>
      <c r="DI12" s="41">
        <f t="shared" si="39"/>
        <v>43079</v>
      </c>
      <c r="DJ12" s="42">
        <f t="shared" si="52"/>
        <v>43079</v>
      </c>
      <c r="DK12" s="43" t="str">
        <f>IF(DJ12="","",IF(ISERROR(MATCH(DJ12,Lune!$A$1:$A$1000,0)),IF(WEEKDAY(DJ12)=5,INT((DJ12-DATE(YEAR(DJ12),1,1))/7+1),IF(AND(WEEKDAY(DJ12)=4,NOT( ISERROR(MATCH(DJ12+1,Lune!$A$1:$A$1000,0)))),INT((DJ12+1-DATE(YEAR(DJ12+1),1,1))/7+1),"")),INDEX(Lune!$B$1:$B$1000,MATCH(DJ12,Lune!$A$1:$A$1000,0),1)))</f>
        <v>◑</v>
      </c>
      <c r="DL12" s="80" t="str">
        <f t="shared" ca="1" si="21"/>
        <v/>
      </c>
      <c r="DM12" s="54" t="str">
        <f ca="1">IF(ISERROR(VLOOKUP(DJ12,anniversaire!$X$2:$Z$100,2,0)),"",VLOOKUP(DJ12,anniversaire!$X$2:$Z$100,2,0))</f>
        <v/>
      </c>
      <c r="DN12" s="54" t="str">
        <f>IF(ISERROR(VLOOKUP(DJ12,fête!$B$2:$C$367,2,0)),"",VLOOKUP(DJ12,fête!$B$2:$C$367,2,0))</f>
        <v>Romaric</v>
      </c>
      <c r="DO12" s="54" t="str">
        <f>IF(ISERROR(VLOOKUP(DJ12,évènements!$A$3:$E$200,3,0)),"",VLOOKUP(DJ12,évènements!$A$3:$E$200,3,0))</f>
        <v/>
      </c>
      <c r="DP12" s="54" t="str">
        <f>IF(ISERROR(VLOOKUP(DJ12,évènements!$B$3:$E$200,2,0)),"",VLOOKUP(DJ12,évènements!$B$3:$E$200,2,0))</f>
        <v/>
      </c>
      <c r="DQ12" s="54" t="str">
        <f ca="1">IF(ISNA(VLOOKUP(DJ12,Tableau1[[#All],[Colonne1]:[ouvrés]],3,FALSE)),"",VLOOKUP(DJ12,Tableau1[[#All],[Colonne1]:[ouvrés]],3,FALSE))</f>
        <v/>
      </c>
      <c r="DR12" s="54" t="str">
        <f t="shared" si="22"/>
        <v xml:space="preserve">  </v>
      </c>
      <c r="DS12" s="41">
        <f t="shared" si="40"/>
        <v>43110</v>
      </c>
      <c r="DT12" s="42">
        <f t="shared" si="53"/>
        <v>43110</v>
      </c>
      <c r="DU12" s="43" t="str">
        <f>IF(DT12="","",IF(ISERROR(MATCH(DT12,Lune!$A$1:$A$1000,0)),IF(WEEKDAY(DT12)=5,INT((DT12-DATE(YEAR(DT12),1,1))/7+1),IF(AND(WEEKDAY(DT12)=4,NOT( ISERROR(MATCH(DT12+1,Lune!$A$1:$A$1000,0)))),INT((DT12+1-DATE(YEAR(DT12+1),1,1))/7+1),"")),INDEX(Lune!$B$1:$B$1000,MATCH(DT12,Lune!$A$1:$A$1000,0),1)))</f>
        <v/>
      </c>
      <c r="DV12" s="89" t="str">
        <f t="shared" ca="1" si="23"/>
        <v/>
      </c>
      <c r="DW12" s="252" t="str">
        <f t="shared" ca="1" si="24"/>
        <v/>
      </c>
      <c r="DX12" s="252" t="str">
        <f t="shared" si="25"/>
        <v>Guillaume</v>
      </c>
      <c r="DY12" s="252" t="str">
        <f>IF(ISERROR(VLOOKUP(DT12,évènements!$A$3:$E$200,3,0)),"",VLOOKUP(DT12,évènements!$A$3:$E$200,3,0))</f>
        <v/>
      </c>
      <c r="DZ12" s="252" t="str">
        <f>IF(ISERROR(VLOOKUP(DT12,évènements!$B$3:$E$200,2,0)),"",VLOOKUP(DT12,évènements!$B$3:$E$200,2,0))</f>
        <v/>
      </c>
      <c r="EA12" s="252" t="str">
        <f ca="1">IF(ISNA(VLOOKUP(DT12,Tableau1[[#All],[Colonne1]:[ouvrés]],3,FALSE)),"",VLOOKUP(DT12,Tableau1[[#All],[Colonne1]:[ouvrés]],3,FALSE))</f>
        <v/>
      </c>
      <c r="EB12" s="252" t="str">
        <f t="shared" si="26"/>
        <v xml:space="preserve">  </v>
      </c>
    </row>
    <row r="13" spans="2:132" ht="15" customHeight="1" x14ac:dyDescent="0.25">
      <c r="B13" s="29"/>
      <c r="C13" s="41">
        <f t="shared" si="27"/>
        <v>42746</v>
      </c>
      <c r="D13" s="40">
        <f t="shared" si="41"/>
        <v>42746</v>
      </c>
      <c r="E13" s="131">
        <f>IF(D13="","",IF(ISERROR(MATCH(D13,Lune!$A$1:$A$1000,0)),IF(WEEKDAY(D13)=5,INT((D13-DATE(YEAR(D13),1,1))/7+1),IF(AND(WEEKDAY(D13)=4,NOT( ISERROR(MATCH(D13+1,Lune!$A$1:$A$1000,0)))),INT((D13+1-DATE(YEAR(D13+1),1,1))/7+1),"")),INDEX(Lune!$B$1:$B$1000,MATCH(D13,Lune!$A$1:$A$1000,0),1)))</f>
        <v>2</v>
      </c>
      <c r="F13" s="89" t="str">
        <f t="shared" ca="1" si="0"/>
        <v/>
      </c>
      <c r="G13" s="125" t="str">
        <f ca="1">IF(ISERROR(VLOOKUP(D13,anniversaire!$X$2:$Z$100,2,0)),"",VLOOKUP(D13,anniversaire!$X$2:$Z$100,2,0))</f>
        <v/>
      </c>
      <c r="H13" s="54" t="str">
        <f>IF(ISERROR(VLOOKUP(D13,fête!$B$2:$C$367,2,0)),"",VLOOKUP(D13,fête!$B$2:$C$367,2,0))</f>
        <v>Pauline</v>
      </c>
      <c r="I13" s="239" t="str">
        <f>IF(ISERROR(VLOOKUP(D13,évènements!$A$3:$E$200,3,0)),"",VLOOKUP(D13,évènements!$A$3:$E$200,3,0))</f>
        <v/>
      </c>
      <c r="J13" s="239" t="str">
        <f>IF(ISERROR(VLOOKUP(D13,évènements!$B$3:$E$200,2,0)),"",VLOOKUP(D13,évènements!$B$3:$E$200,2,0))</f>
        <v/>
      </c>
      <c r="K13" s="239" t="str">
        <f ca="1">IF(ISNA(VLOOKUP(D13,Tableau1[[#All],[Colonne1]:[ouvrés]],3,FALSE)),"",VLOOKUP(D13,Tableau1[[#All],[Colonne1]:[ouvrés]],3,FALSE))</f>
        <v/>
      </c>
      <c r="L13" s="239" t="str">
        <f t="shared" si="1"/>
        <v xml:space="preserve">  </v>
      </c>
      <c r="M13" s="41">
        <f t="shared" si="28"/>
        <v>42777</v>
      </c>
      <c r="N13" s="42">
        <f t="shared" si="42"/>
        <v>42777</v>
      </c>
      <c r="O13" s="131" t="str">
        <f>IF(N13="","",IF(ISERROR(MATCH(N13,Lune!$A$1:$A$1000,0)),IF(WEEKDAY(N13)=5,INT((N13-DATE(YEAR(N13),1,1))/7+1),IF(AND(WEEKDAY(N13)=4,NOT( ISERROR(MATCH(N13+1,Lune!$A$1:$A$1000,0)))),INT((N13+1-DATE(YEAR(N13+1),1,1))/7+1),"")),INDEX(Lune!$B$1:$B$1000,MATCH(N13,Lune!$A$1:$A$1000,0),1)))</f>
        <v>○</v>
      </c>
      <c r="P13" s="80" t="str">
        <f t="shared" ca="1" si="2"/>
        <v/>
      </c>
      <c r="Q13" s="54" t="str">
        <f ca="1">IF(ISERROR(VLOOKUP(N13,anniversaire!$X$2:$Z$100,2,0)),"",VLOOKUP(N13,anniversaire!$X$2:$Z$100,2,0))</f>
        <v/>
      </c>
      <c r="R13" s="54" t="str">
        <f>IF(ISERROR(VLOOKUP(N13,fête!$B$2:$C$367,2,0)),"",VLOOKUP(N13,fête!$B$2:$C$367,2,0))</f>
        <v>Notre Dame de Lourdes</v>
      </c>
      <c r="S13" s="54" t="str">
        <f>IF(ISERROR(VLOOKUP(N13,évènements!$A$3:$E$200,3,0)),"",VLOOKUP(N13,évènements!$A$3:$E$200,3,0))</f>
        <v/>
      </c>
      <c r="T13" s="54" t="str">
        <f>IF(ISERROR(VLOOKUP(N13,évènements!$B$3:$E$200,2,0)),"",VLOOKUP(N13,évènements!$B$3:$E$200,2,0))</f>
        <v/>
      </c>
      <c r="U13" s="54" t="str">
        <f ca="1">IF(ISNA(VLOOKUP(N13,Tableau1[[#All],[Colonne1]:[ouvrés]],3,FALSE)),"",VLOOKUP(N13,Tableau1[[#All],[Colonne1]:[ouvrés]],3,FALSE))</f>
        <v/>
      </c>
      <c r="V13" s="54" t="str">
        <f t="shared" si="3"/>
        <v xml:space="preserve">  </v>
      </c>
      <c r="W13" s="41">
        <f t="shared" si="29"/>
        <v>42805</v>
      </c>
      <c r="X13" s="42">
        <f t="shared" si="43"/>
        <v>42805</v>
      </c>
      <c r="Y13" s="132" t="str">
        <f>IF(X13="","",IF(ISERROR(MATCH(X13,Lune!$A$1:$A$1000,0)),IF(WEEKDAY(X13)=5,INT((X13-DATE(YEAR(X13),1,1))/7+1),IF(AND(WEEKDAY(X13)=4,NOT( ISERROR(MATCH(X13+1,Lune!$A$1:$A$1000,0)))),INT((X13+1-DATE(YEAR(X13+1),1,1))/7+1),"")),INDEX(Lune!$B$1:$B$1000,MATCH(X13,Lune!$A$1:$A$1000,0),1)))</f>
        <v/>
      </c>
      <c r="Z13" s="89" t="str">
        <f t="shared" ca="1" si="4"/>
        <v/>
      </c>
      <c r="AA13" s="125" t="str">
        <f ca="1">IF(ISERROR(VLOOKUP(X13,anniversaire!$X$2:$Z$100,2,0)),"",VLOOKUP(X13,anniversaire!$X$2:$Z$100,2,0))</f>
        <v/>
      </c>
      <c r="AB13" s="54" t="str">
        <f>IF(ISERROR(VLOOKUP(X13,fête!$B$2:$C$367,2,0)),"",VLOOKUP(X13,fête!$B$2:$C$367,2,0))</f>
        <v>Rosine</v>
      </c>
      <c r="AC13" s="54" t="str">
        <f>IF(ISERROR(VLOOKUP(X13,évènements!$A$3:$E$200,3,0)),"",VLOOKUP(X13,évènements!$A$3:$E$200,3,0))</f>
        <v/>
      </c>
      <c r="AD13" s="54" t="str">
        <f>IF(ISERROR(VLOOKUP(X13,évènements!$B$3:$E$200,2,0)),"",VLOOKUP(X13,évènements!$B$3:$E$200,2,0))</f>
        <v/>
      </c>
      <c r="AE13" s="54" t="str">
        <f ca="1">IF(ISNA(VLOOKUP(X13,Tableau1[[#All],[Colonne1]:[ouvrés]],3,FALSE)),"",VLOOKUP(X13,Tableau1[[#All],[Colonne1]:[ouvrés]],3,FALSE))</f>
        <v/>
      </c>
      <c r="AF13" s="54" t="str">
        <f t="shared" si="5"/>
        <v xml:space="preserve">  </v>
      </c>
      <c r="AG13" s="41">
        <f t="shared" si="30"/>
        <v>42836</v>
      </c>
      <c r="AH13" s="42">
        <f t="shared" si="44"/>
        <v>42836</v>
      </c>
      <c r="AI13" s="137" t="str">
        <f>IF(AH13="","",IF(ISERROR(MATCH(AH13,Lune!$A$1:$A$1000,0)),IF(WEEKDAY(AH13)=5,INT((AH13-DATE(YEAR(AH13),1,1))/7+1),IF(AND(WEEKDAY(AH13)=4,NOT( ISERROR(MATCH(AH13+1,Lune!$A$1:$A$1000,0)))),INT((AH13+1-DATE(YEAR(AH13+1),1,1))/7+1),"")),INDEX(Lune!$B$1:$B$1000,MATCH(AH13,Lune!$A$1:$A$1000,0),1)))</f>
        <v>○</v>
      </c>
      <c r="AJ13" s="80" t="str">
        <f t="shared" ca="1" si="6"/>
        <v/>
      </c>
      <c r="AK13" s="54" t="str">
        <f ca="1">IF(ISERROR(VLOOKUP(AH13,anniversaire!$X$2:$Z$100,2,0)),"",VLOOKUP(AH13,anniversaire!$X$2:$Z$100,2,0))</f>
        <v/>
      </c>
      <c r="AL13" s="54" t="str">
        <f>IF(ISERROR(VLOOKUP(AH13,fête!$B$2:$C$367,2,0)),"",VLOOKUP(AH13,fête!$B$2:$C$367,2,0))</f>
        <v>Stanislas</v>
      </c>
      <c r="AM13" s="54" t="str">
        <f>IF(ISERROR(VLOOKUP(AH13,évènements!$A$3:$E$200,3,0)),"",VLOOKUP(AH13,évènements!$A$3:$E$200,3,0))</f>
        <v/>
      </c>
      <c r="AN13" s="54" t="str">
        <f>IF(ISERROR(VLOOKUP(AH13,évènements!$B$3:$E$200,2,0)),"",VLOOKUP(AH13,évènements!$B$3:$E$200,2,0))</f>
        <v/>
      </c>
      <c r="AO13" s="54" t="str">
        <f ca="1">IF(ISNA(VLOOKUP(AH13,Tableau1[[#All],[Colonne1]:[ouvrés]],3,FALSE)),"",VLOOKUP(AH13,Tableau1[[#All],[Colonne1]:[ouvrés]],3,FALSE))</f>
        <v/>
      </c>
      <c r="AP13" s="238" t="str">
        <f t="shared" si="7"/>
        <v xml:space="preserve">  </v>
      </c>
      <c r="AQ13" s="41">
        <f t="shared" si="31"/>
        <v>42866</v>
      </c>
      <c r="AR13" s="42">
        <f t="shared" si="45"/>
        <v>42866</v>
      </c>
      <c r="AS13" s="43">
        <f>IF(AR13="","",IF(ISERROR(MATCH(AR13,Lune!$A$1:$A$1000,0)),IF(WEEKDAY(AR13)=5,INT((AR13-DATE(YEAR(AR13),1,1))/7+1),IF(AND(WEEKDAY(AR13)=4,NOT( ISERROR(MATCH(AR13+1,Lune!$A$1:$A$1000,0)))),INT((AR13+1-DATE(YEAR(AR13+1),1,1))/7+1),"")),INDEX(Lune!$B$1:$B$1000,MATCH(AR13,Lune!$A$1:$A$1000,0),1)))</f>
        <v>19</v>
      </c>
      <c r="AT13" s="79" t="str">
        <f t="shared" ca="1" si="8"/>
        <v/>
      </c>
      <c r="AU13" s="54" t="str">
        <f ca="1">IF(ISERROR(VLOOKUP(AR13,anniversaire!$X$2:$Z$100,2,0)),"",VLOOKUP(AR13,anniversaire!$X$2:$Z$100,2,0))</f>
        <v/>
      </c>
      <c r="AV13" s="54" t="str">
        <f>IF(ISERROR(VLOOKUP(AR13,fête!$B$2:$C$367,2,0)),"",VLOOKUP(AR13,fête!$B$2:$C$367,2,0))</f>
        <v>Estelle</v>
      </c>
      <c r="AW13" s="238" t="str">
        <f>IF(ISERROR(VLOOKUP(AR13,évènements!$A$3:$E$200,3,0)),"",VLOOKUP(AR13,évènements!$A$3:$E$200,3,0))</f>
        <v/>
      </c>
      <c r="AX13" s="238" t="str">
        <f>IF(ISERROR(VLOOKUP(AR13,évènements!$B$3:$E$200,2,0)),"",VLOOKUP(AR13,évènements!$B$3:$E$200,2,0))</f>
        <v/>
      </c>
      <c r="AY13" s="238" t="str">
        <f ca="1">IF(ISNA(VLOOKUP(AR13,Tableau1[[#All],[Colonne1]:[ouvrés]],3,FALSE)),"",VLOOKUP(AR13,Tableau1[[#All],[Colonne1]:[ouvrés]],3,FALSE))</f>
        <v/>
      </c>
      <c r="AZ13" s="238" t="str">
        <f t="shared" si="9"/>
        <v xml:space="preserve">  </v>
      </c>
      <c r="BA13" s="41">
        <f t="shared" si="32"/>
        <v>42897</v>
      </c>
      <c r="BB13" s="42">
        <f t="shared" si="46"/>
        <v>42897</v>
      </c>
      <c r="BC13" s="43" t="str">
        <f>IF(BB13="","",IF(ISERROR(MATCH(BB13,Lune!$A$1:$A$1000,0)),IF(WEEKDAY(BB13)=5,INT((BB13-DATE(YEAR(BB13),1,1))/7+1),IF(AND(WEEKDAY(BB13)=4,NOT( ISERROR(MATCH(BB13+1,Lune!$A$1:$A$1000,0)))),INT((BB13+1-DATE(YEAR(BB13+1),1,1))/7+1),"")),INDEX(Lune!$B$1:$B$1000,MATCH(BB13,Lune!$A$1:$A$1000,0),1)))</f>
        <v/>
      </c>
      <c r="BD13" s="79" t="str">
        <f t="shared" ca="1" si="10"/>
        <v/>
      </c>
      <c r="BE13" s="54" t="str">
        <f ca="1">IF(ISERROR(VLOOKUP(BB13,anniversaire!$X$2:$Z$100,2,0)),"",VLOOKUP(BB13,anniversaire!$X$2:$Z$100,2,0))</f>
        <v/>
      </c>
      <c r="BF13" s="54" t="str">
        <f>IF(ISERROR(VLOOKUP(BB13,fête!$B$2:$C$367,2,0)),"",VLOOKUP(BB13,fête!$B$2:$C$367,2,0))</f>
        <v>Barnabé</v>
      </c>
      <c r="BG13" s="54" t="str">
        <f>IF(ISERROR(VLOOKUP(BB13,évènements!$A$3:$E$200,3,0)),"",VLOOKUP(BB13,évènements!$A$3:$E$200,3,0))</f>
        <v/>
      </c>
      <c r="BH13" s="54" t="str">
        <f>IF(ISERROR(VLOOKUP(BB13,évènements!$B$3:$E$200,2,0)),"",VLOOKUP(BB13,évènements!$B$3:$E$200,2,0))</f>
        <v/>
      </c>
      <c r="BI13" s="54" t="str">
        <f ca="1">IF(ISNA(VLOOKUP(BB13,Tableau1[[#All],[Colonne1]:[ouvrés]],3,FALSE)),"",VLOOKUP(BB13,Tableau1[[#All],[Colonne1]:[ouvrés]],3,FALSE))</f>
        <v/>
      </c>
      <c r="BJ13" s="54" t="str">
        <f t="shared" si="11"/>
        <v xml:space="preserve">  </v>
      </c>
      <c r="BK13" s="41">
        <f t="shared" si="33"/>
        <v>42927</v>
      </c>
      <c r="BL13" s="42">
        <f t="shared" si="47"/>
        <v>42927</v>
      </c>
      <c r="BM13" s="43" t="str">
        <f>IF(BL13="","",IF(ISERROR(MATCH(BL13,Lune!$A$1:$A$1000,0)),IF(WEEKDAY(BL13)=5,INT((BL13-DATE(YEAR(BL13),1,1))/7+1),IF(AND(WEEKDAY(BL13)=4,NOT( ISERROR(MATCH(BL13+1,Lune!$A$1:$A$1000,0)))),INT((BL13+1-DATE(YEAR(BL13+1),1,1))/7+1),"")),INDEX(Lune!$B$1:$B$1000,MATCH(BL13,Lune!$A$1:$A$1000,0),1)))</f>
        <v/>
      </c>
      <c r="BN13" s="80" t="str">
        <f t="shared" ca="1" si="12"/>
        <v/>
      </c>
      <c r="BO13" s="54" t="str">
        <f ca="1">IF(ISERROR(VLOOKUP(BL13,anniversaire!$X$2:$Z$100,2,0)),"",VLOOKUP(BL13,anniversaire!$X$2:$Z$100,2,0))</f>
        <v/>
      </c>
      <c r="BP13" s="54" t="str">
        <f>IF(ISERROR(VLOOKUP(BL13,fête!$B$2:$C$367,2,0)),"",VLOOKUP(BL13,fête!$B$2:$C$367,2,0))</f>
        <v>Benoît</v>
      </c>
      <c r="BQ13" s="54" t="str">
        <f>IF(ISERROR(VLOOKUP(BL13,évènements!$A$3:$E$200,3,0)),"",VLOOKUP(BL13,évènements!$A$3:$E$200,3,0))</f>
        <v/>
      </c>
      <c r="BR13" s="54" t="str">
        <f>IF(ISERROR(VLOOKUP(BL13,évènements!$B$3:$E$200,2,0)),"",VLOOKUP(BL13,évènements!$B$3:$E$200,2,0))</f>
        <v/>
      </c>
      <c r="BS13" s="54" t="str">
        <f ca="1">IF(ISNA(VLOOKUP(BL13,Tableau1[[#All],[Colonne1]:[ouvrés]],3,FALSE)),"",VLOOKUP(BL13,Tableau1[[#All],[Colonne1]:[ouvrés]],3,FALSE))</f>
        <v/>
      </c>
      <c r="BT13" s="54" t="str">
        <f t="shared" si="34"/>
        <v xml:space="preserve">  </v>
      </c>
      <c r="BU13" s="41">
        <f t="shared" si="35"/>
        <v>42958</v>
      </c>
      <c r="BV13" s="42">
        <f t="shared" si="48"/>
        <v>42958</v>
      </c>
      <c r="BW13" s="43" t="str">
        <f>IF(BV13="","",IF(ISERROR(MATCH(BV13,Lune!$A$1:$A$1000,0)),IF(WEEKDAY(BV13)=5,INT((BV13-DATE(YEAR(BV13),1,1))/7+1),IF(AND(WEEKDAY(BV13)=4,NOT( ISERROR(MATCH(BV13+1,Lune!$A$1:$A$1000,0)))),INT((BV13+1-DATE(YEAR(BV13+1),1,1))/7+1),"")),INDEX(Lune!$B$1:$B$1000,MATCH(BV13,Lune!$A$1:$A$1000,0),1)))</f>
        <v/>
      </c>
      <c r="BX13" s="80" t="str">
        <f t="shared" ca="1" si="13"/>
        <v/>
      </c>
      <c r="BY13" s="54" t="str">
        <f ca="1">IF(ISERROR(VLOOKUP(BV13,anniversaire!$X$2:$Z$100,2,0)),"",VLOOKUP(BV13,anniversaire!$X$2:$Z$100,2,0))</f>
        <v/>
      </c>
      <c r="BZ13" s="54" t="str">
        <f>IF(ISERROR(VLOOKUP(BV13,fête!$B$2:$C$367,2,0)),"",VLOOKUP(BV13,fête!$B$2:$C$367,2,0))</f>
        <v>Claire</v>
      </c>
      <c r="CA13" s="54" t="str">
        <f>IF(ISERROR(VLOOKUP(BV13,évènements!$A$3:$E$200,3,0)),"",VLOOKUP(BV13,évènements!$A$3:$E$200,3,0))</f>
        <v/>
      </c>
      <c r="CB13" s="54" t="str">
        <f>IF(ISERROR(VLOOKUP(BV13,évènements!$B$3:$E$200,2,0)),"",VLOOKUP(BV13,évènements!$B$3:$E$200,2,0))</f>
        <v/>
      </c>
      <c r="CC13" s="54" t="str">
        <f ca="1">IF(ISNA(VLOOKUP(BV13,Tableau1[[#All],[Colonne1]:[ouvrés]],3,FALSE)),"",VLOOKUP(BV13,Tableau1[[#All],[Colonne1]:[ouvrés]],3,FALSE))</f>
        <v/>
      </c>
      <c r="CD13" s="54" t="str">
        <f t="shared" si="14"/>
        <v xml:space="preserve">  </v>
      </c>
      <c r="CE13" s="41">
        <f t="shared" si="36"/>
        <v>42989</v>
      </c>
      <c r="CF13" s="42">
        <f t="shared" si="49"/>
        <v>42989</v>
      </c>
      <c r="CG13" s="43" t="str">
        <f>IF(CF13="","",IF(ISERROR(MATCH(CF13,Lune!$A$1:$A$1000,0)),IF(WEEKDAY(CF13)=5,INT((CF13-DATE(YEAR(CF13),1,1))/7+1),IF(AND(WEEKDAY(CF13)=4,NOT( ISERROR(MATCH(CF13+1,Lune!$A$1:$A$1000,0)))),INT((CF13+1-DATE(YEAR(CF13+1),1,1))/7+1),"")),INDEX(Lune!$B$1:$B$1000,MATCH(CF13,Lune!$A$1:$A$1000,0),1)))</f>
        <v/>
      </c>
      <c r="CH13" s="80" t="str">
        <f t="shared" ca="1" si="15"/>
        <v/>
      </c>
      <c r="CI13" s="54" t="str">
        <f ca="1">IF(ISERROR(VLOOKUP(CF13,anniversaire!$X$2:$Z$100,2,0)),"",VLOOKUP(CF13,anniversaire!$X$2:$Z$100,2,0))</f>
        <v/>
      </c>
      <c r="CJ13" s="54" t="str">
        <f>IF(ISERROR(VLOOKUP(CF13,fête!$B$2:$C$367,2,0)),"",VLOOKUP(CF13,fête!$B$2:$C$367,2,0))</f>
        <v>Adelphe</v>
      </c>
      <c r="CK13" s="54" t="str">
        <f>IF(ISERROR(VLOOKUP(CF13,évènements!$A$3:$E$200,3,0)),"",VLOOKUP(CF13,évènements!$A$3:$E$200,3,0))</f>
        <v/>
      </c>
      <c r="CL13" s="54" t="str">
        <f>IF(ISERROR(VLOOKUP(CF13,évènements!$B$3:$E$200,2,0)),"",VLOOKUP(CF13,évènements!$B$3:$E$200,2,0))</f>
        <v/>
      </c>
      <c r="CM13" s="54" t="str">
        <f ca="1">IF(ISNA(VLOOKUP(CF13,Tableau1[[#All],[Colonne1]:[ouvrés]],3,FALSE)),"",VLOOKUP(CF13,Tableau1[[#All],[Colonne1]:[ouvrés]],3,FALSE))</f>
        <v/>
      </c>
      <c r="CN13" s="54" t="str">
        <f t="shared" si="16"/>
        <v xml:space="preserve">  </v>
      </c>
      <c r="CO13" s="41">
        <f t="shared" si="37"/>
        <v>43019</v>
      </c>
      <c r="CP13" s="42">
        <f t="shared" si="50"/>
        <v>43019</v>
      </c>
      <c r="CQ13" s="43">
        <f>IF(CP13="","",IF(ISERROR(MATCH(CP13,Lune!$A$1:$A$1000,0)),IF(WEEKDAY(CP13)=5,INT((CP13-DATE(YEAR(CP13),1,1))/7+1),IF(AND(WEEKDAY(CP13)=4,NOT( ISERROR(MATCH(CP13+1,Lune!$A$1:$A$1000,0)))),INT((CP13+1-DATE(YEAR(CP13+1),1,1))/7+1),"")),INDEX(Lune!$B$1:$B$1000,MATCH(CP13,Lune!$A$1:$A$1000,0),1)))</f>
        <v>41</v>
      </c>
      <c r="CR13" s="80" t="str">
        <f t="shared" ca="1" si="17"/>
        <v/>
      </c>
      <c r="CS13" s="54" t="str">
        <f ca="1">IF(ISERROR(VLOOKUP(CP13,anniversaire!$X$2:$Z$100,2,0)),"",VLOOKUP(CP13,anniversaire!$X$2:$Z$100,2,0))</f>
        <v/>
      </c>
      <c r="CT13" s="54" t="str">
        <f>IF(ISERROR(VLOOKUP(CP13,fête!$B$2:$C$367,2,0)),"",VLOOKUP(CP13,fête!$B$2:$C$367,2,0))</f>
        <v>Firmin</v>
      </c>
      <c r="CU13" s="54" t="str">
        <f>IF(ISERROR(VLOOKUP(CP13,évènements!$A$3:$E$200,3,0)),"",VLOOKUP(CP13,évènements!$A$3:$E$200,3,0))</f>
        <v/>
      </c>
      <c r="CV13" s="54" t="str">
        <f>IF(ISERROR(VLOOKUP(CP13,évènements!$B$3:$E$200,2,0)),"",VLOOKUP(CP13,évènements!$B$3:$E$200,2,0))</f>
        <v/>
      </c>
      <c r="CW13" s="54" t="str">
        <f ca="1">IF(ISNA(VLOOKUP(CP13,Tableau1[[#All],[Colonne1]:[ouvrés]],3,FALSE)),"",VLOOKUP(CP13,Tableau1[[#All],[Colonne1]:[ouvrés]],3,FALSE))</f>
        <v/>
      </c>
      <c r="CX13" s="54" t="str">
        <f t="shared" si="18"/>
        <v xml:space="preserve">  </v>
      </c>
      <c r="CY13" s="41">
        <f t="shared" si="38"/>
        <v>43050</v>
      </c>
      <c r="CZ13" s="42">
        <f t="shared" si="51"/>
        <v>43050</v>
      </c>
      <c r="DA13" s="43" t="str">
        <f>IF(CZ13="","",IF(ISERROR(MATCH(CZ13,Lune!$A$1:$A$1000,0)),IF(WEEKDAY(CZ13)=5,INT((CZ13-DATE(YEAR(CZ13),1,1))/7+1),IF(AND(WEEKDAY(CZ13)=4,NOT( ISERROR(MATCH(CZ13+1,Lune!$A$1:$A$1000,0)))),INT((CZ13+1-DATE(YEAR(CZ13+1),1,1))/7+1),"")),INDEX(Lune!$B$1:$B$1000,MATCH(CZ13,Lune!$A$1:$A$1000,0),1)))</f>
        <v/>
      </c>
      <c r="DB13" s="80" t="str">
        <f t="shared" ca="1" si="19"/>
        <v/>
      </c>
      <c r="DC13" s="54" t="str">
        <f ca="1">IF(ISERROR(VLOOKUP(CZ13,anniversaire!$X$2:$Z$100,2,0)),"",VLOOKUP(CZ13,anniversaire!$X$2:$Z$100,2,0))</f>
        <v/>
      </c>
      <c r="DD13" s="54" t="str">
        <f>IF(ISERROR(VLOOKUP(CZ13,fête!$B$2:$C$367,2,0)),"",VLOOKUP(CZ13,fête!$B$2:$C$367,2,0))</f>
        <v>Armistice 1918</v>
      </c>
      <c r="DE13" s="54" t="str">
        <f>IF(ISERROR(VLOOKUP(CZ13,évènements!$A$3:$E$200,3,0)),"",VLOOKUP(CZ13,évènements!$A$3:$E$200,3,0))</f>
        <v/>
      </c>
      <c r="DF13" s="54" t="str">
        <f>IF(ISERROR(VLOOKUP(CZ13,évènements!$B$3:$E$200,2,0)),"",VLOOKUP(CZ13,évènements!$B$3:$E$200,2,0))</f>
        <v/>
      </c>
      <c r="DG13" s="54"/>
      <c r="DH13" s="54" t="str">
        <f t="shared" si="20"/>
        <v xml:space="preserve">  </v>
      </c>
      <c r="DI13" s="41">
        <f t="shared" si="39"/>
        <v>43080</v>
      </c>
      <c r="DJ13" s="42">
        <f t="shared" si="52"/>
        <v>43080</v>
      </c>
      <c r="DK13" s="43" t="str">
        <f>IF(DJ13="","",IF(ISERROR(MATCH(DJ13,Lune!$A$1:$A$1000,0)),IF(WEEKDAY(DJ13)=5,INT((DJ13-DATE(YEAR(DJ13),1,1))/7+1),IF(AND(WEEKDAY(DJ13)=4,NOT( ISERROR(MATCH(DJ13+1,Lune!$A$1:$A$1000,0)))),INT((DJ13+1-DATE(YEAR(DJ13+1),1,1))/7+1),"")),INDEX(Lune!$B$1:$B$1000,MATCH(DJ13,Lune!$A$1:$A$1000,0),1)))</f>
        <v/>
      </c>
      <c r="DL13" s="80" t="str">
        <f t="shared" ca="1" si="21"/>
        <v/>
      </c>
      <c r="DM13" s="54" t="str">
        <f ca="1">IF(ISERROR(VLOOKUP(DJ13,anniversaire!$X$2:$Z$100,2,0)),"",VLOOKUP(DJ13,anniversaire!$X$2:$Z$100,2,0))</f>
        <v/>
      </c>
      <c r="DN13" s="54" t="str">
        <f>IF(ISERROR(VLOOKUP(DJ13,fête!$B$2:$C$367,2,0)),"",VLOOKUP(DJ13,fête!$B$2:$C$367,2,0))</f>
        <v>Daniel</v>
      </c>
      <c r="DO13" s="54" t="str">
        <f>IF(ISERROR(VLOOKUP(DJ13,évènements!$A$3:$E$200,3,0)),"",VLOOKUP(DJ13,évènements!$A$3:$E$200,3,0))</f>
        <v/>
      </c>
      <c r="DP13" s="54" t="str">
        <f>IF(ISERROR(VLOOKUP(DJ13,évènements!$B$3:$E$200,2,0)),"",VLOOKUP(DJ13,évènements!$B$3:$E$200,2,0))</f>
        <v/>
      </c>
      <c r="DQ13" s="54" t="str">
        <f ca="1">IF(ISNA(VLOOKUP(DJ13,Tableau1[[#All],[Colonne1]:[ouvrés]],3,FALSE)),"",VLOOKUP(DJ13,Tableau1[[#All],[Colonne1]:[ouvrés]],3,FALSE))</f>
        <v/>
      </c>
      <c r="DR13" s="54" t="str">
        <f t="shared" si="22"/>
        <v xml:space="preserve">  </v>
      </c>
      <c r="DS13" s="41">
        <f t="shared" si="40"/>
        <v>43111</v>
      </c>
      <c r="DT13" s="42">
        <f t="shared" si="53"/>
        <v>43111</v>
      </c>
      <c r="DU13" s="43">
        <f>IF(DT13="","",IF(ISERROR(MATCH(DT13,Lune!$A$1:$A$1000,0)),IF(WEEKDAY(DT13)=5,INT((DT13-DATE(YEAR(DT13),1,1))/7+1),IF(AND(WEEKDAY(DT13)=4,NOT( ISERROR(MATCH(DT13+1,Lune!$A$1:$A$1000,0)))),INT((DT13+1-DATE(YEAR(DT13+1),1,1))/7+1),"")),INDEX(Lune!$B$1:$B$1000,MATCH(DT13,Lune!$A$1:$A$1000,0),1)))</f>
        <v>2</v>
      </c>
      <c r="DV13" s="89" t="str">
        <f t="shared" ca="1" si="23"/>
        <v/>
      </c>
      <c r="DW13" s="252" t="str">
        <f t="shared" ca="1" si="24"/>
        <v/>
      </c>
      <c r="DX13" s="252" t="str">
        <f t="shared" si="25"/>
        <v>Pauline</v>
      </c>
      <c r="DY13" s="252" t="str">
        <f>IF(ISERROR(VLOOKUP(DT13,évènements!$A$3:$E$200,3,0)),"",VLOOKUP(DT13,évènements!$A$3:$E$200,3,0))</f>
        <v/>
      </c>
      <c r="DZ13" s="252" t="str">
        <f>IF(ISERROR(VLOOKUP(DT13,évènements!$B$3:$E$200,2,0)),"",VLOOKUP(DT13,évènements!$B$3:$E$200,2,0))</f>
        <v/>
      </c>
      <c r="EA13" s="252" t="str">
        <f ca="1">IF(ISNA(VLOOKUP(DT13,Tableau1[[#All],[Colonne1]:[ouvrés]],3,FALSE)),"",VLOOKUP(DT13,Tableau1[[#All],[Colonne1]:[ouvrés]],3,FALSE))</f>
        <v/>
      </c>
      <c r="EB13" s="252" t="str">
        <f t="shared" si="26"/>
        <v xml:space="preserve">  </v>
      </c>
    </row>
    <row r="14" spans="2:132" ht="15" customHeight="1" x14ac:dyDescent="0.25">
      <c r="B14" s="29"/>
      <c r="C14" s="41">
        <f t="shared" si="27"/>
        <v>42747</v>
      </c>
      <c r="D14" s="40">
        <f t="shared" si="41"/>
        <v>42747</v>
      </c>
      <c r="E14" s="131" t="str">
        <f>IF(D14="","",IF(ISERROR(MATCH(D14,Lune!$A$1:$A$1000,0)),IF(WEEKDAY(D14)=5,INT((D14-DATE(YEAR(D14),1,1))/7+1),IF(AND(WEEKDAY(D14)=4,NOT( ISERROR(MATCH(D14+1,Lune!$A$1:$A$1000,0)))),INT((D14+1-DATE(YEAR(D14+1),1,1))/7+1),"")),INDEX(Lune!$B$1:$B$1000,MATCH(D14,Lune!$A$1:$A$1000,0),1)))</f>
        <v>○</v>
      </c>
      <c r="F14" s="89" t="str">
        <f t="shared" ca="1" si="0"/>
        <v xml:space="preserve"> '</v>
      </c>
      <c r="G14" s="125" t="str">
        <f ca="1">IF(ISERROR(VLOOKUP(D14,anniversaire!$X$2:$Z$100,2,0)),"",VLOOKUP(D14,anniversaire!$X$2:$Z$100,2,0))</f>
        <v>Virely  Alexi    6</v>
      </c>
      <c r="H14" s="54" t="str">
        <f>IF(ISERROR(VLOOKUP(D14,fête!$B$2:$C$367,2,0)),"",VLOOKUP(D14,fête!$B$2:$C$367,2,0))</f>
        <v>Tatiana</v>
      </c>
      <c r="I14" s="239" t="str">
        <f>IF(ISERROR(VLOOKUP(D14,évènements!$A$3:$E$200,3,0)),"",VLOOKUP(D14,évènements!$A$3:$E$200,3,0))</f>
        <v/>
      </c>
      <c r="J14" s="239" t="str">
        <f>IF(ISERROR(VLOOKUP(D14,évènements!$B$3:$E$200,2,0)),"",VLOOKUP(D14,évènements!$B$3:$E$200,2,0))</f>
        <v/>
      </c>
      <c r="K14" s="239" t="str">
        <f ca="1">IF(ISNA(VLOOKUP(D14,Tableau1[[#All],[Colonne1]:[ouvrés]],3,FALSE)),"",VLOOKUP(D14,Tableau1[[#All],[Colonne1]:[ouvrés]],3,FALSE))</f>
        <v/>
      </c>
      <c r="L14" s="239" t="str">
        <f t="shared" si="1"/>
        <v xml:space="preserve">  </v>
      </c>
      <c r="M14" s="41">
        <f t="shared" si="28"/>
        <v>42778</v>
      </c>
      <c r="N14" s="42">
        <f t="shared" si="42"/>
        <v>42778</v>
      </c>
      <c r="O14" s="131" t="str">
        <f>IF(N14="","",IF(ISERROR(MATCH(N14,Lune!$A$1:$A$1000,0)),IF(WEEKDAY(N14)=5,INT((N14-DATE(YEAR(N14),1,1))/7+1),IF(AND(WEEKDAY(N14)=4,NOT( ISERROR(MATCH(N14+1,Lune!$A$1:$A$1000,0)))),INT((N14+1-DATE(YEAR(N14+1),1,1))/7+1),"")),INDEX(Lune!$B$1:$B$1000,MATCH(N14,Lune!$A$1:$A$1000,0),1)))</f>
        <v/>
      </c>
      <c r="P14" s="80" t="str">
        <f t="shared" ca="1" si="2"/>
        <v/>
      </c>
      <c r="Q14" s="54" t="str">
        <f ca="1">IF(ISERROR(VLOOKUP(N14,anniversaire!$X$2:$Z$100,2,0)),"",VLOOKUP(N14,anniversaire!$X$2:$Z$100,2,0))</f>
        <v/>
      </c>
      <c r="R14" s="54" t="str">
        <f>IF(ISERROR(VLOOKUP(N14,fête!$B$2:$C$367,2,0)),"",VLOOKUP(N14,fête!$B$2:$C$367,2,0))</f>
        <v>Félix</v>
      </c>
      <c r="S14" s="54" t="str">
        <f>IF(ISERROR(VLOOKUP(N14,évènements!$A$3:$E$200,3,0)),"",VLOOKUP(N14,évènements!$A$3:$E$200,3,0))</f>
        <v/>
      </c>
      <c r="T14" s="54" t="str">
        <f>IF(ISERROR(VLOOKUP(N14,évènements!$B$3:$E$200,2,0)),"",VLOOKUP(N14,évènements!$B$3:$E$200,2,0))</f>
        <v/>
      </c>
      <c r="U14" s="54" t="str">
        <f ca="1">IF(ISNA(VLOOKUP(N14,Tableau1[[#All],[Colonne1]:[ouvrés]],3,FALSE)),"",VLOOKUP(N14,Tableau1[[#All],[Colonne1]:[ouvrés]],3,FALSE))</f>
        <v/>
      </c>
      <c r="V14" s="54" t="str">
        <f t="shared" si="3"/>
        <v xml:space="preserve">  </v>
      </c>
      <c r="W14" s="41">
        <f t="shared" si="29"/>
        <v>42806</v>
      </c>
      <c r="X14" s="42">
        <f t="shared" si="43"/>
        <v>42806</v>
      </c>
      <c r="Y14" s="132" t="str">
        <f>IF(X14="","",IF(ISERROR(MATCH(X14,Lune!$A$1:$A$1000,0)),IF(WEEKDAY(X14)=5,INT((X14-DATE(YEAR(X14),1,1))/7+1),IF(AND(WEEKDAY(X14)=4,NOT( ISERROR(MATCH(X14+1,Lune!$A$1:$A$1000,0)))),INT((X14+1-DATE(YEAR(X14+1),1,1))/7+1),"")),INDEX(Lune!$B$1:$B$1000,MATCH(X14,Lune!$A$1:$A$1000,0),1)))</f>
        <v>○</v>
      </c>
      <c r="Z14" s="89" t="str">
        <f t="shared" ca="1" si="4"/>
        <v/>
      </c>
      <c r="AA14" s="125" t="str">
        <f ca="1">IF(ISERROR(VLOOKUP(X14,anniversaire!$X$2:$Z$100,2,0)),"",VLOOKUP(X14,anniversaire!$X$2:$Z$100,2,0))</f>
        <v/>
      </c>
      <c r="AB14" s="54" t="str">
        <f>IF(ISERROR(VLOOKUP(X14,fête!$B$2:$C$367,2,0)),"",VLOOKUP(X14,fête!$B$2:$C$367,2,0))</f>
        <v>Justine</v>
      </c>
      <c r="AC14" s="54" t="str">
        <f>IF(ISERROR(VLOOKUP(X14,évènements!$A$3:$E$200,3,0)),"",VLOOKUP(X14,évènements!$A$3:$E$200,3,0))</f>
        <v/>
      </c>
      <c r="AD14" s="54" t="str">
        <f>IF(ISERROR(VLOOKUP(X14,évènements!$B$3:$E$200,2,0)),"",VLOOKUP(X14,évènements!$B$3:$E$200,2,0))</f>
        <v/>
      </c>
      <c r="AE14" s="54" t="str">
        <f ca="1">IF(ISNA(VLOOKUP(X14,Tableau1[[#All],[Colonne1]:[ouvrés]],3,FALSE)),"",VLOOKUP(X14,Tableau1[[#All],[Colonne1]:[ouvrés]],3,FALSE))</f>
        <v/>
      </c>
      <c r="AF14" s="54" t="str">
        <f t="shared" si="5"/>
        <v xml:space="preserve">  </v>
      </c>
      <c r="AG14" s="41">
        <f t="shared" si="30"/>
        <v>42837</v>
      </c>
      <c r="AH14" s="42">
        <f t="shared" si="44"/>
        <v>42837</v>
      </c>
      <c r="AI14" s="137" t="str">
        <f>IF(AH14="","",IF(ISERROR(MATCH(AH14,Lune!$A$1:$A$1000,0)),IF(WEEKDAY(AH14)=5,INT((AH14-DATE(YEAR(AH14),1,1))/7+1),IF(AND(WEEKDAY(AH14)=4,NOT( ISERROR(MATCH(AH14+1,Lune!$A$1:$A$1000,0)))),INT((AH14+1-DATE(YEAR(AH14+1),1,1))/7+1),"")),INDEX(Lune!$B$1:$B$1000,MATCH(AH14,Lune!$A$1:$A$1000,0),1)))</f>
        <v/>
      </c>
      <c r="AJ14" s="80" t="str">
        <f t="shared" ca="1" si="6"/>
        <v/>
      </c>
      <c r="AK14" s="54" t="str">
        <f ca="1">IF(ISERROR(VLOOKUP(AH14,anniversaire!$X$2:$Z$100,2,0)),"",VLOOKUP(AH14,anniversaire!$X$2:$Z$100,2,0))</f>
        <v/>
      </c>
      <c r="AL14" s="54" t="str">
        <f>IF(ISERROR(VLOOKUP(AH14,fête!$B$2:$C$367,2,0)),"",VLOOKUP(AH14,fête!$B$2:$C$367,2,0))</f>
        <v>Jules</v>
      </c>
      <c r="AM14" s="54" t="str">
        <f>IF(ISERROR(VLOOKUP(AH14,évènements!$A$3:$E$200,3,0)),"",VLOOKUP(AH14,évènements!$A$3:$E$200,3,0))</f>
        <v/>
      </c>
      <c r="AN14" s="54" t="str">
        <f>IF(ISERROR(VLOOKUP(AH14,évènements!$B$3:$E$200,2,0)),"",VLOOKUP(AH14,évènements!$B$3:$E$200,2,0))</f>
        <v/>
      </c>
      <c r="AO14" s="54" t="str">
        <f ca="1">IF(ISNA(VLOOKUP(AH14,Tableau1[[#All],[Colonne1]:[ouvrés]],3,FALSE)),"",VLOOKUP(AH14,Tableau1[[#All],[Colonne1]:[ouvrés]],3,FALSE))</f>
        <v/>
      </c>
      <c r="AP14" s="238" t="str">
        <f t="shared" si="7"/>
        <v xml:space="preserve">  </v>
      </c>
      <c r="AQ14" s="41">
        <f t="shared" si="31"/>
        <v>42867</v>
      </c>
      <c r="AR14" s="42">
        <f t="shared" si="45"/>
        <v>42867</v>
      </c>
      <c r="AS14" s="43" t="str">
        <f>IF(AR14="","",IF(ISERROR(MATCH(AR14,Lune!$A$1:$A$1000,0)),IF(WEEKDAY(AR14)=5,INT((AR14-DATE(YEAR(AR14),1,1))/7+1),IF(AND(WEEKDAY(AR14)=4,NOT( ISERROR(MATCH(AR14+1,Lune!$A$1:$A$1000,0)))),INT((AR14+1-DATE(YEAR(AR14+1),1,1))/7+1),"")),INDEX(Lune!$B$1:$B$1000,MATCH(AR14,Lune!$A$1:$A$1000,0),1)))</f>
        <v/>
      </c>
      <c r="AT14" s="79" t="str">
        <f t="shared" ca="1" si="8"/>
        <v>'</v>
      </c>
      <c r="AU14" s="54" t="str">
        <f ca="1">IF(ISERROR(VLOOKUP(AR14,anniversaire!$X$2:$Z$100,2,0)),"",VLOOKUP(AR14,anniversaire!$X$2:$Z$100,2,0))</f>
        <v>Taraud  sebastien    39</v>
      </c>
      <c r="AV14" s="54" t="str">
        <f>IF(ISERROR(VLOOKUP(AR14,fête!$B$2:$C$367,2,0)),"",VLOOKUP(AR14,fête!$B$2:$C$367,2,0))</f>
        <v>Achille</v>
      </c>
      <c r="AW14" s="238" t="str">
        <f>IF(ISERROR(VLOOKUP(AR14,évènements!$A$3:$E$200,3,0)),"",VLOOKUP(AR14,évènements!$A$3:$E$200,3,0))</f>
        <v/>
      </c>
      <c r="AX14" s="238" t="str">
        <f>IF(ISERROR(VLOOKUP(AR14,évènements!$B$3:$E$200,2,0)),"",VLOOKUP(AR14,évènements!$B$3:$E$200,2,0))</f>
        <v/>
      </c>
      <c r="AY14" s="238" t="str">
        <f ca="1">IF(ISNA(VLOOKUP(AR14,Tableau1[[#All],[Colonne1]:[ouvrés]],3,FALSE)),"",VLOOKUP(AR14,Tableau1[[#All],[Colonne1]:[ouvrés]],3,FALSE))</f>
        <v/>
      </c>
      <c r="AZ14" s="238" t="str">
        <f t="shared" si="9"/>
        <v xml:space="preserve">  </v>
      </c>
      <c r="BA14" s="41">
        <f t="shared" si="32"/>
        <v>42898</v>
      </c>
      <c r="BB14" s="42">
        <f t="shared" si="46"/>
        <v>42898</v>
      </c>
      <c r="BC14" s="43" t="str">
        <f>IF(BB14="","",IF(ISERROR(MATCH(BB14,Lune!$A$1:$A$1000,0)),IF(WEEKDAY(BB14)=5,INT((BB14-DATE(YEAR(BB14),1,1))/7+1),IF(AND(WEEKDAY(BB14)=4,NOT( ISERROR(MATCH(BB14+1,Lune!$A$1:$A$1000,0)))),INT((BB14+1-DATE(YEAR(BB14+1),1,1))/7+1),"")),INDEX(Lune!$B$1:$B$1000,MATCH(BB14,Lune!$A$1:$A$1000,0),1)))</f>
        <v/>
      </c>
      <c r="BD14" s="79" t="str">
        <f t="shared" ca="1" si="10"/>
        <v xml:space="preserve"> '</v>
      </c>
      <c r="BE14" s="54" t="str">
        <f ca="1">IF(ISERROR(VLOOKUP(BB14,anniversaire!$X$2:$Z$100,2,0)),"",VLOOKUP(BB14,anniversaire!$X$2:$Z$100,2,0))</f>
        <v>Barberan  mélanie    27</v>
      </c>
      <c r="BF14" s="54" t="str">
        <f>IF(ISERROR(VLOOKUP(BB14,fête!$B$2:$C$367,2,0)),"",VLOOKUP(BB14,fête!$B$2:$C$367,2,0))</f>
        <v>Guy</v>
      </c>
      <c r="BG14" s="54" t="str">
        <f>IF(ISERROR(VLOOKUP(BB14,évènements!$A$3:$E$200,3,0)),"",VLOOKUP(BB14,évènements!$A$3:$E$200,3,0))</f>
        <v/>
      </c>
      <c r="BH14" s="54" t="str">
        <f>IF(ISERROR(VLOOKUP(BB14,évènements!$B$3:$E$200,2,0)),"",VLOOKUP(BB14,évènements!$B$3:$E$200,2,0))</f>
        <v/>
      </c>
      <c r="BI14" s="54" t="str">
        <f ca="1">IF(ISNA(VLOOKUP(BB14,Tableau1[[#All],[Colonne1]:[ouvrés]],3,FALSE)),"",VLOOKUP(BB14,Tableau1[[#All],[Colonne1]:[ouvrés]],3,FALSE))</f>
        <v/>
      </c>
      <c r="BJ14" s="54" t="str">
        <f t="shared" si="11"/>
        <v xml:space="preserve">  </v>
      </c>
      <c r="BK14" s="41">
        <f t="shared" si="33"/>
        <v>42928</v>
      </c>
      <c r="BL14" s="42">
        <f t="shared" si="47"/>
        <v>42928</v>
      </c>
      <c r="BM14" s="43" t="str">
        <f>IF(BL14="","",IF(ISERROR(MATCH(BL14,Lune!$A$1:$A$1000,0)),IF(WEEKDAY(BL14)=5,INT((BL14-DATE(YEAR(BL14),1,1))/7+1),IF(AND(WEEKDAY(BL14)=4,NOT( ISERROR(MATCH(BL14+1,Lune!$A$1:$A$1000,0)))),INT((BL14+1-DATE(YEAR(BL14+1),1,1))/7+1),"")),INDEX(Lune!$B$1:$B$1000,MATCH(BL14,Lune!$A$1:$A$1000,0),1)))</f>
        <v/>
      </c>
      <c r="BN14" s="80" t="str">
        <f t="shared" ca="1" si="12"/>
        <v xml:space="preserve"> '</v>
      </c>
      <c r="BO14" s="54" t="str">
        <f ca="1">IF(ISERROR(VLOOKUP(BL14,anniversaire!$X$2:$Z$100,2,0)),"",VLOOKUP(BL14,anniversaire!$X$2:$Z$100,2,0))</f>
        <v xml:space="preserve">Virely  élodie  2  </v>
      </c>
      <c r="BP14" s="54" t="str">
        <f>IF(ISERROR(VLOOKUP(BL14,fête!$B$2:$C$367,2,0)),"",VLOOKUP(BL14,fête!$B$2:$C$367,2,0))</f>
        <v>Olivier</v>
      </c>
      <c r="BQ14" s="54" t="str">
        <f>IF(ISERROR(VLOOKUP(BL14,évènements!$A$3:$E$200,3,0)),"",VLOOKUP(BL14,évènements!$A$3:$E$200,3,0))</f>
        <v/>
      </c>
      <c r="BR14" s="54" t="str">
        <f>IF(ISERROR(VLOOKUP(BL14,évènements!$B$3:$E$200,2,0)),"",VLOOKUP(BL14,évènements!$B$3:$E$200,2,0))</f>
        <v/>
      </c>
      <c r="BS14" s="54" t="str">
        <f ca="1">IF(ISNA(VLOOKUP(BL14,Tableau1[[#All],[Colonne1]:[ouvrés]],3,FALSE)),"",VLOOKUP(BL14,Tableau1[[#All],[Colonne1]:[ouvrés]],3,FALSE))</f>
        <v/>
      </c>
      <c r="BT14" s="54" t="str">
        <f t="shared" si="34"/>
        <v xml:space="preserve">  </v>
      </c>
      <c r="BU14" s="41">
        <f t="shared" si="35"/>
        <v>42959</v>
      </c>
      <c r="BV14" s="42">
        <f t="shared" si="48"/>
        <v>42959</v>
      </c>
      <c r="BW14" s="43" t="str">
        <f>IF(BV14="","",IF(ISERROR(MATCH(BV14,Lune!$A$1:$A$1000,0)),IF(WEEKDAY(BV14)=5,INT((BV14-DATE(YEAR(BV14),1,1))/7+1),IF(AND(WEEKDAY(BV14)=4,NOT( ISERROR(MATCH(BV14+1,Lune!$A$1:$A$1000,0)))),INT((BV14+1-DATE(YEAR(BV14+1),1,1))/7+1),"")),INDEX(Lune!$B$1:$B$1000,MATCH(BV14,Lune!$A$1:$A$1000,0),1)))</f>
        <v/>
      </c>
      <c r="BX14" s="80" t="str">
        <f t="shared" ca="1" si="13"/>
        <v/>
      </c>
      <c r="BY14" s="54" t="str">
        <f ca="1">IF(ISERROR(VLOOKUP(BV14,anniversaire!$X$2:$Z$100,2,0)),"",VLOOKUP(BV14,anniversaire!$X$2:$Z$100,2,0))</f>
        <v/>
      </c>
      <c r="BZ14" s="54" t="str">
        <f>IF(ISERROR(VLOOKUP(BV14,fête!$B$2:$C$367,2,0)),"",VLOOKUP(BV14,fête!$B$2:$C$367,2,0))</f>
        <v>Clarisse</v>
      </c>
      <c r="CA14" s="54" t="str">
        <f>IF(ISERROR(VLOOKUP(BV14,évènements!$A$3:$E$200,3,0)),"",VLOOKUP(BV14,évènements!$A$3:$E$200,3,0))</f>
        <v/>
      </c>
      <c r="CB14" s="54" t="str">
        <f>IF(ISERROR(VLOOKUP(BV14,évènements!$B$3:$E$200,2,0)),"",VLOOKUP(BV14,évènements!$B$3:$E$200,2,0))</f>
        <v/>
      </c>
      <c r="CC14" s="54" t="str">
        <f ca="1">IF(ISNA(VLOOKUP(BV14,Tableau1[[#All],[Colonne1]:[ouvrés]],3,FALSE)),"",VLOOKUP(BV14,Tableau1[[#All],[Colonne1]:[ouvrés]],3,FALSE))</f>
        <v/>
      </c>
      <c r="CD14" s="54" t="str">
        <f t="shared" si="14"/>
        <v xml:space="preserve">  </v>
      </c>
      <c r="CE14" s="41">
        <f t="shared" si="36"/>
        <v>42990</v>
      </c>
      <c r="CF14" s="42">
        <f t="shared" si="49"/>
        <v>42990</v>
      </c>
      <c r="CG14" s="43" t="str">
        <f>IF(CF14="","",IF(ISERROR(MATCH(CF14,Lune!$A$1:$A$1000,0)),IF(WEEKDAY(CF14)=5,INT((CF14-DATE(YEAR(CF14),1,1))/7+1),IF(AND(WEEKDAY(CF14)=4,NOT( ISERROR(MATCH(CF14+1,Lune!$A$1:$A$1000,0)))),INT((CF14+1-DATE(YEAR(CF14+1),1,1))/7+1),"")),INDEX(Lune!$B$1:$B$1000,MATCH(CF14,Lune!$A$1:$A$1000,0),1)))</f>
        <v/>
      </c>
      <c r="CH14" s="80" t="str">
        <f t="shared" ca="1" si="15"/>
        <v/>
      </c>
      <c r="CI14" s="54" t="str">
        <f ca="1">IF(ISERROR(VLOOKUP(CF14,anniversaire!$X$2:$Z$100,2,0)),"",VLOOKUP(CF14,anniversaire!$X$2:$Z$100,2,0))</f>
        <v/>
      </c>
      <c r="CJ14" s="54" t="str">
        <f>IF(ISERROR(VLOOKUP(CF14,fête!$B$2:$C$367,2,0)),"",VLOOKUP(CF14,fête!$B$2:$C$367,2,0))</f>
        <v>Apollinaire</v>
      </c>
      <c r="CK14" s="54" t="str">
        <f>IF(ISERROR(VLOOKUP(CF14,évènements!$A$3:$E$200,3,0)),"",VLOOKUP(CF14,évènements!$A$3:$E$200,3,0))</f>
        <v/>
      </c>
      <c r="CL14" s="54" t="str">
        <f>IF(ISERROR(VLOOKUP(CF14,évènements!$B$3:$E$200,2,0)),"",VLOOKUP(CF14,évènements!$B$3:$E$200,2,0))</f>
        <v/>
      </c>
      <c r="CM14" s="54" t="str">
        <f ca="1">IF(ISNA(VLOOKUP(CF14,Tableau1[[#All],[Colonne1]:[ouvrés]],3,FALSE)),"",VLOOKUP(CF14,Tableau1[[#All],[Colonne1]:[ouvrés]],3,FALSE))</f>
        <v/>
      </c>
      <c r="CN14" s="54" t="str">
        <f t="shared" si="16"/>
        <v xml:space="preserve">  </v>
      </c>
      <c r="CO14" s="41">
        <f t="shared" si="37"/>
        <v>43020</v>
      </c>
      <c r="CP14" s="42">
        <f t="shared" si="50"/>
        <v>43020</v>
      </c>
      <c r="CQ14" s="43" t="str">
        <f>IF(CP14="","",IF(ISERROR(MATCH(CP14,Lune!$A$1:$A$1000,0)),IF(WEEKDAY(CP14)=5,INT((CP14-DATE(YEAR(CP14),1,1))/7+1),IF(AND(WEEKDAY(CP14)=4,NOT( ISERROR(MATCH(CP14+1,Lune!$A$1:$A$1000,0)))),INT((CP14+1-DATE(YEAR(CP14+1),1,1))/7+1),"")),INDEX(Lune!$B$1:$B$1000,MATCH(CP14,Lune!$A$1:$A$1000,0),1)))</f>
        <v>◑</v>
      </c>
      <c r="CR14" s="80" t="str">
        <f t="shared" ca="1" si="17"/>
        <v/>
      </c>
      <c r="CS14" s="54" t="str">
        <f ca="1">IF(ISERROR(VLOOKUP(CP14,anniversaire!$X$2:$Z$100,2,0)),"",VLOOKUP(CP14,anniversaire!$X$2:$Z$100,2,0))</f>
        <v/>
      </c>
      <c r="CT14" s="54" t="str">
        <f>IF(ISERROR(VLOOKUP(CP14,fête!$B$2:$C$367,2,0)),"",VLOOKUP(CP14,fête!$B$2:$C$367,2,0))</f>
        <v>Wilfried</v>
      </c>
      <c r="CU14" s="54" t="str">
        <f>IF(ISERROR(VLOOKUP(CP14,évènements!$A$3:$E$200,3,0)),"",VLOOKUP(CP14,évènements!$A$3:$E$200,3,0))</f>
        <v/>
      </c>
      <c r="CV14" s="54" t="str">
        <f>IF(ISERROR(VLOOKUP(CP14,évènements!$B$3:$E$200,2,0)),"",VLOOKUP(CP14,évènements!$B$3:$E$200,2,0))</f>
        <v/>
      </c>
      <c r="CW14" s="54" t="str">
        <f ca="1">IF(ISNA(VLOOKUP(CP14,Tableau1[[#All],[Colonne1]:[ouvrés]],3,FALSE)),"",VLOOKUP(CP14,Tableau1[[#All],[Colonne1]:[ouvrés]],3,FALSE))</f>
        <v/>
      </c>
      <c r="CX14" s="54" t="str">
        <f t="shared" si="18"/>
        <v xml:space="preserve">  </v>
      </c>
      <c r="CY14" s="41">
        <f t="shared" si="38"/>
        <v>43051</v>
      </c>
      <c r="CZ14" s="42">
        <f t="shared" si="51"/>
        <v>43051</v>
      </c>
      <c r="DA14" s="43" t="str">
        <f>IF(CZ14="","",IF(ISERROR(MATCH(CZ14,Lune!$A$1:$A$1000,0)),IF(WEEKDAY(CZ14)=5,INT((CZ14-DATE(YEAR(CZ14),1,1))/7+1),IF(AND(WEEKDAY(CZ14)=4,NOT( ISERROR(MATCH(CZ14+1,Lune!$A$1:$A$1000,0)))),INT((CZ14+1-DATE(YEAR(CZ14+1),1,1))/7+1),"")),INDEX(Lune!$B$1:$B$1000,MATCH(CZ14,Lune!$A$1:$A$1000,0),1)))</f>
        <v/>
      </c>
      <c r="DB14" s="80" t="str">
        <f t="shared" ca="1" si="19"/>
        <v/>
      </c>
      <c r="DC14" s="54" t="str">
        <f ca="1">IF(ISERROR(VLOOKUP(CZ14,anniversaire!$X$2:$Z$100,2,0)),"",VLOOKUP(CZ14,anniversaire!$X$2:$Z$100,2,0))</f>
        <v/>
      </c>
      <c r="DD14" s="54" t="str">
        <f>IF(ISERROR(VLOOKUP(CZ14,fête!$B$2:$C$367,2,0)),"",VLOOKUP(CZ14,fête!$B$2:$C$367,2,0))</f>
        <v>Christian</v>
      </c>
      <c r="DE14" s="54" t="str">
        <f>IF(ISERROR(VLOOKUP(CZ14,évènements!$A$3:$E$200,3,0)),"",VLOOKUP(CZ14,évènements!$A$3:$E$200,3,0))</f>
        <v/>
      </c>
      <c r="DF14" s="54" t="str">
        <f>IF(ISERROR(VLOOKUP(CZ14,évènements!$B$3:$E$200,2,0)),"",VLOOKUP(CZ14,évènements!$B$3:$E$200,2,0))</f>
        <v/>
      </c>
      <c r="DG14" s="54"/>
      <c r="DH14" s="54" t="str">
        <f t="shared" si="20"/>
        <v xml:space="preserve">  </v>
      </c>
      <c r="DI14" s="41">
        <f t="shared" si="39"/>
        <v>43081</v>
      </c>
      <c r="DJ14" s="42">
        <f t="shared" si="52"/>
        <v>43081</v>
      </c>
      <c r="DK14" s="43" t="str">
        <f>IF(DJ14="","",IF(ISERROR(MATCH(DJ14,Lune!$A$1:$A$1000,0)),IF(WEEKDAY(DJ14)=5,INT((DJ14-DATE(YEAR(DJ14),1,1))/7+1),IF(AND(WEEKDAY(DJ14)=4,NOT( ISERROR(MATCH(DJ14+1,Lune!$A$1:$A$1000,0)))),INT((DJ14+1-DATE(YEAR(DJ14+1),1,1))/7+1),"")),INDEX(Lune!$B$1:$B$1000,MATCH(DJ14,Lune!$A$1:$A$1000,0),1)))</f>
        <v/>
      </c>
      <c r="DL14" s="80" t="str">
        <f t="shared" ca="1" si="21"/>
        <v/>
      </c>
      <c r="DM14" s="54" t="str">
        <f ca="1">IF(ISERROR(VLOOKUP(DJ14,anniversaire!$X$2:$Z$100,2,0)),"",VLOOKUP(DJ14,anniversaire!$X$2:$Z$100,2,0))</f>
        <v/>
      </c>
      <c r="DN14" s="54" t="str">
        <f>IF(ISERROR(VLOOKUP(DJ14,fête!$B$2:$C$367,2,0)),"",VLOOKUP(DJ14,fête!$B$2:$C$367,2,0))</f>
        <v>Jeanne-Françoise de Chantal</v>
      </c>
      <c r="DO14" s="54" t="str">
        <f>IF(ISERROR(VLOOKUP(DJ14,évènements!$A$3:$E$200,3,0)),"",VLOOKUP(DJ14,évènements!$A$3:$E$200,3,0))</f>
        <v/>
      </c>
      <c r="DP14" s="54" t="str">
        <f>IF(ISERROR(VLOOKUP(DJ14,évènements!$B$3:$E$200,2,0)),"",VLOOKUP(DJ14,évènements!$B$3:$E$200,2,0))</f>
        <v/>
      </c>
      <c r="DQ14" s="54" t="str">
        <f ca="1">IF(ISNA(VLOOKUP(DJ14,Tableau1[[#All],[Colonne1]:[ouvrés]],3,FALSE)),"",VLOOKUP(DJ14,Tableau1[[#All],[Colonne1]:[ouvrés]],3,FALSE))</f>
        <v/>
      </c>
      <c r="DR14" s="54" t="str">
        <f t="shared" si="22"/>
        <v xml:space="preserve">  </v>
      </c>
      <c r="DS14" s="41">
        <f t="shared" si="40"/>
        <v>43112</v>
      </c>
      <c r="DT14" s="42">
        <f t="shared" si="53"/>
        <v>43112</v>
      </c>
      <c r="DU14" s="43" t="str">
        <f>IF(DT14="","",IF(ISERROR(MATCH(DT14,Lune!$A$1:$A$1000,0)),IF(WEEKDAY(DT14)=5,INT((DT14-DATE(YEAR(DT14),1,1))/7+1),IF(AND(WEEKDAY(DT14)=4,NOT( ISERROR(MATCH(DT14+1,Lune!$A$1:$A$1000,0)))),INT((DT14+1-DATE(YEAR(DT14+1),1,1))/7+1),"")),INDEX(Lune!$B$1:$B$1000,MATCH(DT14,Lune!$A$1:$A$1000,0),1)))</f>
        <v/>
      </c>
      <c r="DV14" s="89" t="str">
        <f t="shared" ca="1" si="23"/>
        <v xml:space="preserve"> '</v>
      </c>
      <c r="DW14" s="252" t="str">
        <f t="shared" ca="1" si="24"/>
        <v>Virely  Alexi    6</v>
      </c>
      <c r="DX14" s="252" t="str">
        <f t="shared" si="25"/>
        <v>Tatiana</v>
      </c>
      <c r="DY14" s="252" t="str">
        <f>IF(ISERROR(VLOOKUP(DT14,évènements!$A$3:$E$200,3,0)),"",VLOOKUP(DT14,évènements!$A$3:$E$200,3,0))</f>
        <v/>
      </c>
      <c r="DZ14" s="252" t="str">
        <f>IF(ISERROR(VLOOKUP(DT14,évènements!$B$3:$E$200,2,0)),"",VLOOKUP(DT14,évènements!$B$3:$E$200,2,0))</f>
        <v/>
      </c>
      <c r="EA14" s="252" t="str">
        <f ca="1">IF(ISNA(VLOOKUP(DT14,Tableau1[[#All],[Colonne1]:[ouvrés]],3,FALSE)),"",VLOOKUP(DT14,Tableau1[[#All],[Colonne1]:[ouvrés]],3,FALSE))</f>
        <v/>
      </c>
      <c r="EB14" s="252" t="str">
        <f t="shared" si="26"/>
        <v xml:space="preserve">  </v>
      </c>
    </row>
    <row r="15" spans="2:132" ht="15" customHeight="1" x14ac:dyDescent="0.25">
      <c r="B15" s="29"/>
      <c r="C15" s="41">
        <f t="shared" si="27"/>
        <v>42748</v>
      </c>
      <c r="D15" s="40">
        <f t="shared" si="41"/>
        <v>42748</v>
      </c>
      <c r="E15" s="131" t="str">
        <f>IF(D15="","",IF(ISERROR(MATCH(D15,Lune!$A$1:$A$1000,0)),IF(WEEKDAY(D15)=5,INT((D15-DATE(YEAR(D15),1,1))/7+1),IF(AND(WEEKDAY(D15)=4,NOT( ISERROR(MATCH(D15+1,Lune!$A$1:$A$1000,0)))),INT((D15+1-DATE(YEAR(D15+1),1,1))/7+1),"")),INDEX(Lune!$B$1:$B$1000,MATCH(D15,Lune!$A$1:$A$1000,0),1)))</f>
        <v/>
      </c>
      <c r="F15" s="89" t="str">
        <f ca="1">IF(G15="",""," '")</f>
        <v xml:space="preserve"> '</v>
      </c>
      <c r="G15" s="125" t="str">
        <f ca="1">IF(ISERROR(VLOOKUP(D15,anniversaire!$X$2:$Z$100,2,0)),"",VLOOKUP(D15,anniversaire!$X$2:$Z$100,2,0))</f>
        <v>Laborde   Clément    21</v>
      </c>
      <c r="H15" s="54" t="str">
        <f>IF(ISERROR(VLOOKUP(D15,fête!$B$2:$C$367,2,0)),"",VLOOKUP(D15,fête!$B$2:$C$367,2,0))</f>
        <v>Yvette</v>
      </c>
      <c r="I15" s="239" t="str">
        <f>IF(ISERROR(VLOOKUP(D15,évènements!$A$3:$E$200,3,0)),"",VLOOKUP(D15,évènements!$A$3:$E$200,3,0))</f>
        <v/>
      </c>
      <c r="J15" s="239" t="str">
        <f>IF(ISERROR(VLOOKUP(D15,évènements!$B$3:$E$200,2,0)),"",VLOOKUP(D15,évènements!$B$3:$E$200,2,0))</f>
        <v/>
      </c>
      <c r="K15" s="239" t="str">
        <f ca="1">IF(ISNA(VLOOKUP(D15,Tableau1[[#All],[Colonne1]:[ouvrés]],3,FALSE)),"",VLOOKUP(D15,Tableau1[[#All],[Colonne1]:[ouvrés]],3,FALSE))</f>
        <v/>
      </c>
      <c r="L15" s="239" t="str">
        <f t="shared" si="1"/>
        <v xml:space="preserve">  </v>
      </c>
      <c r="M15" s="41">
        <f t="shared" si="28"/>
        <v>42779</v>
      </c>
      <c r="N15" s="42">
        <f t="shared" si="42"/>
        <v>42779</v>
      </c>
      <c r="O15" s="131" t="str">
        <f>IF(N15="","",IF(ISERROR(MATCH(N15,Lune!$A$1:$A$1000,0)),IF(WEEKDAY(N15)=5,INT((N15-DATE(YEAR(N15),1,1))/7+1),IF(AND(WEEKDAY(N15)=4,NOT( ISERROR(MATCH(N15+1,Lune!$A$1:$A$1000,0)))),INT((N15+1-DATE(YEAR(N15+1),1,1))/7+1),"")),INDEX(Lune!$B$1:$B$1000,MATCH(N15,Lune!$A$1:$A$1000,0),1)))</f>
        <v/>
      </c>
      <c r="P15" s="80" t="str">
        <f ca="1">IF(Q15="",""," '")</f>
        <v/>
      </c>
      <c r="Q15" s="54" t="str">
        <f ca="1">IF(ISERROR(VLOOKUP(N15,anniversaire!$X$2:$Z$100,2,0)),"",VLOOKUP(N15,anniversaire!$X$2:$Z$100,2,0))</f>
        <v/>
      </c>
      <c r="R15" s="54" t="str">
        <f>IF(ISERROR(VLOOKUP(N15,fête!$B$2:$C$367,2,0)),"",VLOOKUP(N15,fête!$B$2:$C$367,2,0))</f>
        <v>Béatrice</v>
      </c>
      <c r="S15" s="54" t="str">
        <f>IF(ISERROR(VLOOKUP(N15,évènements!$A$3:$E$200,3,0)),"",VLOOKUP(N15,évènements!$A$3:$E$200,3,0))</f>
        <v/>
      </c>
      <c r="T15" s="54" t="str">
        <f>IF(ISERROR(VLOOKUP(N15,évènements!$B$3:$E$200,2,0)),"",VLOOKUP(N15,évènements!$B$3:$E$200,2,0))</f>
        <v/>
      </c>
      <c r="U15" s="54" t="str">
        <f ca="1">IF(ISNA(VLOOKUP(N15,Tableau1[[#All],[Colonne1]:[ouvrés]],3,FALSE)),"",VLOOKUP(N15,Tableau1[[#All],[Colonne1]:[ouvrés]],3,FALSE))</f>
        <v/>
      </c>
      <c r="V15" s="54" t="str">
        <f t="shared" si="3"/>
        <v xml:space="preserve">  </v>
      </c>
      <c r="W15" s="41">
        <f t="shared" si="29"/>
        <v>42807</v>
      </c>
      <c r="X15" s="42">
        <f t="shared" si="43"/>
        <v>42807</v>
      </c>
      <c r="Y15" s="132" t="str">
        <f>IF(X15="","",IF(ISERROR(MATCH(X15,Lune!$A$1:$A$1000,0)),IF(WEEKDAY(X15)=5,INT((X15-DATE(YEAR(X15),1,1))/7+1),IF(AND(WEEKDAY(X15)=4,NOT( ISERROR(MATCH(X15+1,Lune!$A$1:$A$1000,0)))),INT((X15+1-DATE(YEAR(X15+1),1,1))/7+1),"")),INDEX(Lune!$B$1:$B$1000,MATCH(X15,Lune!$A$1:$A$1000,0),1)))</f>
        <v/>
      </c>
      <c r="Z15" s="89" t="str">
        <f ca="1">IF(AA15="",""," '")</f>
        <v/>
      </c>
      <c r="AA15" s="125" t="str">
        <f ca="1">IF(ISERROR(VLOOKUP(X15,anniversaire!$X$2:$Z$100,2,0)),"",VLOOKUP(X15,anniversaire!$X$2:$Z$100,2,0))</f>
        <v/>
      </c>
      <c r="AB15" s="54" t="str">
        <f>IF(ISERROR(VLOOKUP(X15,fête!$B$2:$C$367,2,0)),"",VLOOKUP(X15,fête!$B$2:$C$367,2,0))</f>
        <v>Rodrigue</v>
      </c>
      <c r="AC15" s="54" t="str">
        <f>IF(ISERROR(VLOOKUP(X15,évènements!$A$3:$E$200,3,0)),"",VLOOKUP(X15,évènements!$A$3:$E$200,3,0))</f>
        <v/>
      </c>
      <c r="AD15" s="54" t="str">
        <f>IF(ISERROR(VLOOKUP(X15,évènements!$B$3:$E$200,2,0)),"",VLOOKUP(X15,évènements!$B$3:$E$200,2,0))</f>
        <v/>
      </c>
      <c r="AE15" s="54" t="str">
        <f ca="1">IF(ISNA(VLOOKUP(X15,Tableau1[[#All],[Colonne1]:[ouvrés]],3,FALSE)),"",VLOOKUP(X15,Tableau1[[#All],[Colonne1]:[ouvrés]],3,FALSE))</f>
        <v/>
      </c>
      <c r="AF15" s="54" t="str">
        <f t="shared" si="5"/>
        <v xml:space="preserve">  </v>
      </c>
      <c r="AG15" s="41">
        <f t="shared" si="30"/>
        <v>42838</v>
      </c>
      <c r="AH15" s="42">
        <f t="shared" si="44"/>
        <v>42838</v>
      </c>
      <c r="AI15" s="137">
        <f>IF(AH15="","",IF(ISERROR(MATCH(AH15,Lune!$A$1:$A$1000,0)),IF(WEEKDAY(AH15)=5,INT((AH15-DATE(YEAR(AH15),1,1))/7+1),IF(AND(WEEKDAY(AH15)=4,NOT( ISERROR(MATCH(AH15+1,Lune!$A$1:$A$1000,0)))),INT((AH15+1-DATE(YEAR(AH15+1),1,1))/7+1),"")),INDEX(Lune!$B$1:$B$1000,MATCH(AH15,Lune!$A$1:$A$1000,0),1)))</f>
        <v>15</v>
      </c>
      <c r="AJ15" s="80" t="str">
        <f ca="1">IF(AK15="",""," '")</f>
        <v/>
      </c>
      <c r="AK15" s="54" t="str">
        <f ca="1">IF(ISERROR(VLOOKUP(AH15,anniversaire!$X$2:$Z$100,2,0)),"",VLOOKUP(AH15,anniversaire!$X$2:$Z$100,2,0))</f>
        <v/>
      </c>
      <c r="AL15" s="54" t="str">
        <f>IF(ISERROR(VLOOKUP(AH15,fête!$B$2:$C$367,2,0)),"",VLOOKUP(AH15,fête!$B$2:$C$367,2,0))</f>
        <v>Ida</v>
      </c>
      <c r="AM15" s="54" t="str">
        <f>IF(ISERROR(VLOOKUP(AH15,évènements!$A$3:$E$200,3,0)),"",VLOOKUP(AH15,évènements!$A$3:$E$200,3,0))</f>
        <v/>
      </c>
      <c r="AN15" s="54" t="str">
        <f>IF(ISERROR(VLOOKUP(AH15,évènements!$B$3:$E$200,2,0)),"",VLOOKUP(AH15,évènements!$B$3:$E$200,2,0))</f>
        <v/>
      </c>
      <c r="AO15" s="54" t="str">
        <f ca="1">IF(ISNA(VLOOKUP(AH15,Tableau1[[#All],[Colonne1]:[ouvrés]],3,FALSE)),"",VLOOKUP(AH15,Tableau1[[#All],[Colonne1]:[ouvrés]],3,FALSE))</f>
        <v/>
      </c>
      <c r="AP15" s="238" t="str">
        <f t="shared" si="7"/>
        <v xml:space="preserve">  </v>
      </c>
      <c r="AQ15" s="41">
        <f t="shared" si="31"/>
        <v>42868</v>
      </c>
      <c r="AR15" s="42">
        <f t="shared" si="45"/>
        <v>42868</v>
      </c>
      <c r="AS15" s="43" t="str">
        <f>IF(AR15="","",IF(ISERROR(MATCH(AR15,Lune!$A$1:$A$1000,0)),IF(WEEKDAY(AR15)=5,INT((AR15-DATE(YEAR(AR15),1,1))/7+1),IF(AND(WEEKDAY(AR15)=4,NOT( ISERROR(MATCH(AR15+1,Lune!$A$1:$A$1000,0)))),INT((AR15+1-DATE(YEAR(AR15+1),1,1))/7+1),"")),INDEX(Lune!$B$1:$B$1000,MATCH(AR15,Lune!$A$1:$A$1000,0),1)))</f>
        <v/>
      </c>
      <c r="AT15" s="79" t="str">
        <f ca="1">IF(AU15="","","'")</f>
        <v/>
      </c>
      <c r="AU15" s="54" t="str">
        <f ca="1">IF(ISERROR(VLOOKUP(AR15,anniversaire!$X$2:$Z$100,2,0)),"",VLOOKUP(AR15,anniversaire!$X$2:$Z$100,2,0))</f>
        <v/>
      </c>
      <c r="AV15" s="54" t="str">
        <f>IF(ISERROR(VLOOKUP(AR15,fête!$B$2:$C$367,2,0)),"",VLOOKUP(AR15,fête!$B$2:$C$367,2,0))</f>
        <v>Rolande</v>
      </c>
      <c r="AW15" s="238" t="str">
        <f>IF(ISERROR(VLOOKUP(AR15,évènements!$A$3:$E$200,3,0)),"",VLOOKUP(AR15,évènements!$A$3:$E$200,3,0))</f>
        <v/>
      </c>
      <c r="AX15" s="238" t="str">
        <f>IF(ISERROR(VLOOKUP(AR15,évènements!$B$3:$E$200,2,0)),"",VLOOKUP(AR15,évènements!$B$3:$E$200,2,0))</f>
        <v/>
      </c>
      <c r="AY15" s="238" t="str">
        <f ca="1">IF(ISNA(VLOOKUP(AR15,Tableau1[[#All],[Colonne1]:[ouvrés]],3,FALSE)),"",VLOOKUP(AR15,Tableau1[[#All],[Colonne1]:[ouvrés]],3,FALSE))</f>
        <v/>
      </c>
      <c r="AZ15" s="238" t="str">
        <f t="shared" si="9"/>
        <v xml:space="preserve">  </v>
      </c>
      <c r="BA15" s="41">
        <f t="shared" si="32"/>
        <v>42899</v>
      </c>
      <c r="BB15" s="42">
        <f t="shared" si="46"/>
        <v>42899</v>
      </c>
      <c r="BC15" s="43" t="str">
        <f>IF(BB15="","",IF(ISERROR(MATCH(BB15,Lune!$A$1:$A$1000,0)),IF(WEEKDAY(BB15)=5,INT((BB15-DATE(YEAR(BB15),1,1))/7+1),IF(AND(WEEKDAY(BB15)=4,NOT( ISERROR(MATCH(BB15+1,Lune!$A$1:$A$1000,0)))),INT((BB15+1-DATE(YEAR(BB15+1),1,1))/7+1),"")),INDEX(Lune!$B$1:$B$1000,MATCH(BB15,Lune!$A$1:$A$1000,0),1)))</f>
        <v/>
      </c>
      <c r="BD15" s="79" t="str">
        <f ca="1">IF(BE15="",""," '")</f>
        <v/>
      </c>
      <c r="BE15" s="54" t="str">
        <f ca="1">IF(ISERROR(VLOOKUP(BB15,anniversaire!$X$2:$Z$100,2,0)),"",VLOOKUP(BB15,anniversaire!$X$2:$Z$100,2,0))</f>
        <v/>
      </c>
      <c r="BF15" s="54" t="str">
        <f>IF(ISERROR(VLOOKUP(BB15,fête!$B$2:$C$367,2,0)),"",VLOOKUP(BB15,fête!$B$2:$C$367,2,0))</f>
        <v>Antoine de Padoue</v>
      </c>
      <c r="BG15" s="54" t="str">
        <f>IF(ISERROR(VLOOKUP(BB15,évènements!$A$3:$E$200,3,0)),"",VLOOKUP(BB15,évènements!$A$3:$E$200,3,0))</f>
        <v/>
      </c>
      <c r="BH15" s="54" t="str">
        <f>IF(ISERROR(VLOOKUP(BB15,évènements!$B$3:$E$200,2,0)),"",VLOOKUP(BB15,évènements!$B$3:$E$200,2,0))</f>
        <v/>
      </c>
      <c r="BI15" s="54" t="str">
        <f ca="1">IF(ISNA(VLOOKUP(BB15,Tableau1[[#All],[Colonne1]:[ouvrés]],3,FALSE)),"",VLOOKUP(BB15,Tableau1[[#All],[Colonne1]:[ouvrés]],3,FALSE))</f>
        <v/>
      </c>
      <c r="BJ15" s="54" t="str">
        <f t="shared" si="11"/>
        <v xml:space="preserve">  </v>
      </c>
      <c r="BK15" s="41">
        <f t="shared" si="33"/>
        <v>42929</v>
      </c>
      <c r="BL15" s="42">
        <f t="shared" si="47"/>
        <v>42929</v>
      </c>
      <c r="BM15" s="43">
        <f>IF(BL15="","",IF(ISERROR(MATCH(BL15,Lune!$A$1:$A$1000,0)),IF(WEEKDAY(BL15)=5,INT((BL15-DATE(YEAR(BL15),1,1))/7+1),IF(AND(WEEKDAY(BL15)=4,NOT( ISERROR(MATCH(BL15+1,Lune!$A$1:$A$1000,0)))),INT((BL15+1-DATE(YEAR(BL15+1),1,1))/7+1),"")),INDEX(Lune!$B$1:$B$1000,MATCH(BL15,Lune!$A$1:$A$1000,0),1)))</f>
        <v>28</v>
      </c>
      <c r="BN15" s="80" t="str">
        <f ca="1">IF(BO15="",""," '")</f>
        <v/>
      </c>
      <c r="BO15" s="54" t="str">
        <f ca="1">IF(ISERROR(VLOOKUP(BL15,anniversaire!$X$2:$Z$100,2,0)),"",VLOOKUP(BL15,anniversaire!$X$2:$Z$100,2,0))</f>
        <v/>
      </c>
      <c r="BP15" s="54" t="str">
        <f>IF(ISERROR(VLOOKUP(BL15,fête!$B$2:$C$367,2,0)),"",VLOOKUP(BL15,fête!$B$2:$C$367,2,0))</f>
        <v>Henri, Joël</v>
      </c>
      <c r="BQ15" s="54" t="str">
        <f>IF(ISERROR(VLOOKUP(BL15,évènements!$A$3:$E$200,3,0)),"",VLOOKUP(BL15,évènements!$A$3:$E$200,3,0))</f>
        <v/>
      </c>
      <c r="BR15" s="54" t="str">
        <f>IF(ISERROR(VLOOKUP(BL15,évènements!$B$3:$E$200,2,0)),"",VLOOKUP(BL15,évènements!$B$3:$E$200,2,0))</f>
        <v/>
      </c>
      <c r="BS15" s="54" t="str">
        <f ca="1">IF(ISNA(VLOOKUP(BL15,Tableau1[[#All],[Colonne1]:[ouvrés]],3,FALSE)),"",VLOOKUP(BL15,Tableau1[[#All],[Colonne1]:[ouvrés]],3,FALSE))</f>
        <v/>
      </c>
      <c r="BT15" s="54" t="str">
        <f t="shared" si="34"/>
        <v xml:space="preserve">  </v>
      </c>
      <c r="BU15" s="41">
        <f t="shared" si="35"/>
        <v>42960</v>
      </c>
      <c r="BV15" s="42">
        <f t="shared" si="48"/>
        <v>42960</v>
      </c>
      <c r="BW15" s="43" t="str">
        <f>IF(BV15="","",IF(ISERROR(MATCH(BV15,Lune!$A$1:$A$1000,0)),IF(WEEKDAY(BV15)=5,INT((BV15-DATE(YEAR(BV15),1,1))/7+1),IF(AND(WEEKDAY(BV15)=4,NOT( ISERROR(MATCH(BV15+1,Lune!$A$1:$A$1000,0)))),INT((BV15+1-DATE(YEAR(BV15+1),1,1))/7+1),"")),INDEX(Lune!$B$1:$B$1000,MATCH(BV15,Lune!$A$1:$A$1000,0),1)))</f>
        <v/>
      </c>
      <c r="BX15" s="80" t="str">
        <f ca="1">IF(BY15="",""," '")</f>
        <v xml:space="preserve"> '</v>
      </c>
      <c r="BY15" s="54" t="str">
        <f ca="1">IF(ISERROR(VLOOKUP(BV15,anniversaire!$X$2:$Z$100,2,0)),"",VLOOKUP(BV15,anniversaire!$X$2:$Z$100,2,0))</f>
        <v xml:space="preserve">Taraud  jerôme  6  </v>
      </c>
      <c r="BZ15" s="54" t="str">
        <f>IF(ISERROR(VLOOKUP(BV15,fête!$B$2:$C$367,2,0)),"",VLOOKUP(BV15,fête!$B$2:$C$367,2,0))</f>
        <v>Hippolyte</v>
      </c>
      <c r="CA15" s="54" t="str">
        <f>IF(ISERROR(VLOOKUP(BV15,évènements!$A$3:$E$200,3,0)),"",VLOOKUP(BV15,évènements!$A$3:$E$200,3,0))</f>
        <v/>
      </c>
      <c r="CB15" s="54" t="str">
        <f>IF(ISERROR(VLOOKUP(BV15,évènements!$B$3:$E$200,2,0)),"",VLOOKUP(BV15,évènements!$B$3:$E$200,2,0))</f>
        <v/>
      </c>
      <c r="CC15" s="54" t="str">
        <f ca="1">IF(ISNA(VLOOKUP(BV15,Tableau1[[#All],[Colonne1]:[ouvrés]],3,FALSE)),"",VLOOKUP(BV15,Tableau1[[#All],[Colonne1]:[ouvrés]],3,FALSE))</f>
        <v/>
      </c>
      <c r="CD15" s="54" t="str">
        <f t="shared" si="14"/>
        <v xml:space="preserve">  </v>
      </c>
      <c r="CE15" s="41">
        <f t="shared" si="36"/>
        <v>42991</v>
      </c>
      <c r="CF15" s="42">
        <f t="shared" si="49"/>
        <v>42991</v>
      </c>
      <c r="CG15" s="43" t="str">
        <f>IF(CF15="","",IF(ISERROR(MATCH(CF15,Lune!$A$1:$A$1000,0)),IF(WEEKDAY(CF15)=5,INT((CF15-DATE(YEAR(CF15),1,1))/7+1),IF(AND(WEEKDAY(CF15)=4,NOT( ISERROR(MATCH(CF15+1,Lune!$A$1:$A$1000,0)))),INT((CF15+1-DATE(YEAR(CF15+1),1,1))/7+1),"")),INDEX(Lune!$B$1:$B$1000,MATCH(CF15,Lune!$A$1:$A$1000,0),1)))</f>
        <v>◑</v>
      </c>
      <c r="CH15" s="80" t="str">
        <f ca="1">IF(CI15="",""," '")</f>
        <v/>
      </c>
      <c r="CI15" s="54" t="str">
        <f ca="1">IF(ISERROR(VLOOKUP(CF15,anniversaire!$X$2:$Z$100,2,0)),"",VLOOKUP(CF15,anniversaire!$X$2:$Z$100,2,0))</f>
        <v/>
      </c>
      <c r="CJ15" s="54" t="str">
        <f>IF(ISERROR(VLOOKUP(CF15,fête!$B$2:$C$367,2,0)),"",VLOOKUP(CF15,fête!$B$2:$C$367,2,0))</f>
        <v>Aimé</v>
      </c>
      <c r="CK15" s="54" t="str">
        <f>IF(ISERROR(VLOOKUP(CF15,évènements!$A$3:$E$200,3,0)),"",VLOOKUP(CF15,évènements!$A$3:$E$200,3,0))</f>
        <v/>
      </c>
      <c r="CL15" s="54" t="str">
        <f>IF(ISERROR(VLOOKUP(CF15,évènements!$B$3:$E$200,2,0)),"",VLOOKUP(CF15,évènements!$B$3:$E$200,2,0))</f>
        <v/>
      </c>
      <c r="CM15" s="54" t="str">
        <f ca="1">IF(ISNA(VLOOKUP(CF15,Tableau1[[#All],[Colonne1]:[ouvrés]],3,FALSE)),"",VLOOKUP(CF15,Tableau1[[#All],[Colonne1]:[ouvrés]],3,FALSE))</f>
        <v/>
      </c>
      <c r="CN15" s="54" t="str">
        <f t="shared" si="16"/>
        <v xml:space="preserve">  </v>
      </c>
      <c r="CO15" s="41">
        <f t="shared" si="37"/>
        <v>43021</v>
      </c>
      <c r="CP15" s="42">
        <f t="shared" si="50"/>
        <v>43021</v>
      </c>
      <c r="CQ15" s="43" t="str">
        <f>IF(CP15="","",IF(ISERROR(MATCH(CP15,Lune!$A$1:$A$1000,0)),IF(WEEKDAY(CP15)=5,INT((CP15-DATE(YEAR(CP15),1,1))/7+1),IF(AND(WEEKDAY(CP15)=4,NOT( ISERROR(MATCH(CP15+1,Lune!$A$1:$A$1000,0)))),INT((CP15+1-DATE(YEAR(CP15+1),1,1))/7+1),"")),INDEX(Lune!$B$1:$B$1000,MATCH(CP15,Lune!$A$1:$A$1000,0),1)))</f>
        <v/>
      </c>
      <c r="CR15" s="80" t="str">
        <f ca="1">IF(CS15="",""," '")</f>
        <v/>
      </c>
      <c r="CS15" s="54" t="str">
        <f ca="1">IF(ISERROR(VLOOKUP(CP15,anniversaire!$X$2:$Z$100,2,0)),"",VLOOKUP(CP15,anniversaire!$X$2:$Z$100,2,0))</f>
        <v/>
      </c>
      <c r="CT15" s="54" t="str">
        <f>IF(ISERROR(VLOOKUP(CP15,fête!$B$2:$C$367,2,0)),"",VLOOKUP(CP15,fête!$B$2:$C$367,2,0))</f>
        <v>Géraud</v>
      </c>
      <c r="CU15" s="54" t="str">
        <f>IF(ISERROR(VLOOKUP(CP15,évènements!$A$3:$E$200,3,0)),"",VLOOKUP(CP15,évènements!$A$3:$E$200,3,0))</f>
        <v/>
      </c>
      <c r="CV15" s="54" t="str">
        <f>IF(ISERROR(VLOOKUP(CP15,évènements!$B$3:$E$200,2,0)),"",VLOOKUP(CP15,évènements!$B$3:$E$200,2,0))</f>
        <v/>
      </c>
      <c r="CW15" s="54" t="str">
        <f ca="1">IF(ISNA(VLOOKUP(CP15,Tableau1[[#All],[Colonne1]:[ouvrés]],3,FALSE)),"",VLOOKUP(CP15,Tableau1[[#All],[Colonne1]:[ouvrés]],3,FALSE))</f>
        <v/>
      </c>
      <c r="CX15" s="54" t="str">
        <f t="shared" si="18"/>
        <v xml:space="preserve">  </v>
      </c>
      <c r="CY15" s="41">
        <f t="shared" si="38"/>
        <v>43052</v>
      </c>
      <c r="CZ15" s="42">
        <f t="shared" si="51"/>
        <v>43052</v>
      </c>
      <c r="DA15" s="43" t="str">
        <f>IF(CZ15="","",IF(ISERROR(MATCH(CZ15,Lune!$A$1:$A$1000,0)),IF(WEEKDAY(CZ15)=5,INT((CZ15-DATE(YEAR(CZ15),1,1))/7+1),IF(AND(WEEKDAY(CZ15)=4,NOT( ISERROR(MATCH(CZ15+1,Lune!$A$1:$A$1000,0)))),INT((CZ15+1-DATE(YEAR(CZ15+1),1,1))/7+1),"")),INDEX(Lune!$B$1:$B$1000,MATCH(CZ15,Lune!$A$1:$A$1000,0),1)))</f>
        <v/>
      </c>
      <c r="DB15" s="80" t="str">
        <f ca="1">IF(DC15="",""," '")</f>
        <v/>
      </c>
      <c r="DC15" s="54" t="str">
        <f ca="1">IF(ISERROR(VLOOKUP(CZ15,anniversaire!$X$2:$Z$100,2,0)),"",VLOOKUP(CZ15,anniversaire!$X$2:$Z$100,2,0))</f>
        <v/>
      </c>
      <c r="DD15" s="54" t="str">
        <f>IF(ISERROR(VLOOKUP(CZ15,fête!$B$2:$C$367,2,0)),"",VLOOKUP(CZ15,fête!$B$2:$C$367,2,0))</f>
        <v>Brice</v>
      </c>
      <c r="DE15" s="54" t="str">
        <f>IF(ISERROR(VLOOKUP(CZ15,évènements!$A$3:$E$200,3,0)),"",VLOOKUP(CZ15,évènements!$A$3:$E$200,3,0))</f>
        <v/>
      </c>
      <c r="DF15" s="54" t="str">
        <f>IF(ISERROR(VLOOKUP(CZ15,évènements!$B$3:$E$200,2,0)),"",VLOOKUP(CZ15,évènements!$B$3:$E$200,2,0))</f>
        <v/>
      </c>
      <c r="DG15" s="54"/>
      <c r="DH15" s="54" t="str">
        <f t="shared" si="20"/>
        <v xml:space="preserve">  </v>
      </c>
      <c r="DI15" s="41">
        <f t="shared" si="39"/>
        <v>43082</v>
      </c>
      <c r="DJ15" s="42">
        <f t="shared" si="52"/>
        <v>43082</v>
      </c>
      <c r="DK15" s="43" t="str">
        <f>IF(DJ15="","",IF(ISERROR(MATCH(DJ15,Lune!$A$1:$A$1000,0)),IF(WEEKDAY(DJ15)=5,INT((DJ15-DATE(YEAR(DJ15),1,1))/7+1),IF(AND(WEEKDAY(DJ15)=4,NOT( ISERROR(MATCH(DJ15+1,Lune!$A$1:$A$1000,0)))),INT((DJ15+1-DATE(YEAR(DJ15+1),1,1))/7+1),"")),INDEX(Lune!$B$1:$B$1000,MATCH(DJ15,Lune!$A$1:$A$1000,0),1)))</f>
        <v/>
      </c>
      <c r="DL15" s="80" t="str">
        <f ca="1">IF(DM15="",""," '")</f>
        <v/>
      </c>
      <c r="DM15" s="54" t="str">
        <f ca="1">IF(ISERROR(VLOOKUP(DJ15,anniversaire!$X$2:$Z$100,2,0)),"",VLOOKUP(DJ15,anniversaire!$X$2:$Z$100,2,0))</f>
        <v/>
      </c>
      <c r="DN15" s="54" t="str">
        <f>IF(ISERROR(VLOOKUP(DJ15,fête!$B$2:$C$367,2,0)),"",VLOOKUP(DJ15,fête!$B$2:$C$367,2,0))</f>
        <v>Lucie</v>
      </c>
      <c r="DO15" s="54" t="str">
        <f>IF(ISERROR(VLOOKUP(DJ15,évènements!$A$3:$E$200,3,0)),"",VLOOKUP(DJ15,évènements!$A$3:$E$200,3,0))</f>
        <v/>
      </c>
      <c r="DP15" s="54" t="str">
        <f>IF(ISERROR(VLOOKUP(DJ15,évènements!$B$3:$E$200,2,0)),"",VLOOKUP(DJ15,évènements!$B$3:$E$200,2,0))</f>
        <v/>
      </c>
      <c r="DQ15" s="54" t="str">
        <f ca="1">IF(ISNA(VLOOKUP(DJ15,Tableau1[[#All],[Colonne1]:[ouvrés]],3,FALSE)),"",VLOOKUP(DJ15,Tableau1[[#All],[Colonne1]:[ouvrés]],3,FALSE))</f>
        <v/>
      </c>
      <c r="DR15" s="54" t="str">
        <f t="shared" si="22"/>
        <v xml:space="preserve">  </v>
      </c>
      <c r="DS15" s="41">
        <f t="shared" si="40"/>
        <v>43113</v>
      </c>
      <c r="DT15" s="42">
        <f t="shared" si="53"/>
        <v>43113</v>
      </c>
      <c r="DU15" s="43" t="str">
        <f>IF(DT15="","",IF(ISERROR(MATCH(DT15,Lune!$A$1:$A$1000,0)),IF(WEEKDAY(DT15)=5,INT((DT15-DATE(YEAR(DT15),1,1))/7+1),IF(AND(WEEKDAY(DT15)=4,NOT( ISERROR(MATCH(DT15+1,Lune!$A$1:$A$1000,0)))),INT((DT15+1-DATE(YEAR(DT15+1),1,1))/7+1),"")),INDEX(Lune!$B$1:$B$1000,MATCH(DT15,Lune!$A$1:$A$1000,0),1)))</f>
        <v/>
      </c>
      <c r="DV15" s="89" t="str">
        <f t="shared" ca="1" si="23"/>
        <v xml:space="preserve"> '</v>
      </c>
      <c r="DW15" s="252" t="str">
        <f t="shared" ca="1" si="24"/>
        <v>Laborde   Clément    21</v>
      </c>
      <c r="DX15" s="252" t="str">
        <f t="shared" si="25"/>
        <v>Yvette</v>
      </c>
      <c r="DY15" s="252" t="str">
        <f>IF(ISERROR(VLOOKUP(DT15,évènements!$A$3:$E$200,3,0)),"",VLOOKUP(DT15,évènements!$A$3:$E$200,3,0))</f>
        <v/>
      </c>
      <c r="DZ15" s="252" t="str">
        <f>IF(ISERROR(VLOOKUP(DT15,évènements!$B$3:$E$200,2,0)),"",VLOOKUP(DT15,évènements!$B$3:$E$200,2,0))</f>
        <v/>
      </c>
      <c r="EA15" s="252" t="str">
        <f ca="1">IF(ISNA(VLOOKUP(DT15,Tableau1[[#All],[Colonne1]:[ouvrés]],3,FALSE)),"",VLOOKUP(DT15,Tableau1[[#All],[Colonne1]:[ouvrés]],3,FALSE))</f>
        <v/>
      </c>
      <c r="EB15" s="252" t="str">
        <f t="shared" si="26"/>
        <v xml:space="preserve">  </v>
      </c>
    </row>
    <row r="16" spans="2:132" ht="15" customHeight="1" x14ac:dyDescent="0.25">
      <c r="B16" s="29"/>
      <c r="C16" s="41">
        <f t="shared" si="27"/>
        <v>42749</v>
      </c>
      <c r="D16" s="40">
        <f t="shared" si="41"/>
        <v>42749</v>
      </c>
      <c r="E16" s="131" t="str">
        <f>IF(D16="","",IF(ISERROR(MATCH(D16,Lune!$A$1:$A$1000,0)),IF(WEEKDAY(D16)=5,INT((D16-DATE(YEAR(D16),1,1))/7+1),IF(AND(WEEKDAY(D16)=4,NOT( ISERROR(MATCH(D16+1,Lune!$A$1:$A$1000,0)))),INT((D16+1-DATE(YEAR(D16+1),1,1))/7+1),"")),INDEX(Lune!$B$1:$B$1000,MATCH(D16,Lune!$A$1:$A$1000,0),1)))</f>
        <v/>
      </c>
      <c r="F16" s="89" t="str">
        <f t="shared" ca="1" si="0"/>
        <v/>
      </c>
      <c r="G16" s="125" t="str">
        <f ca="1">IF(ISERROR(VLOOKUP(D16,anniversaire!$X$2:$Z$100,2,0)),"",VLOOKUP(D16,anniversaire!$X$2:$Z$100,2,0))</f>
        <v/>
      </c>
      <c r="H16" s="54" t="str">
        <f>IF(ISERROR(VLOOKUP(D16,fête!$B$2:$C$367,2,0)),"",VLOOKUP(D16,fête!$B$2:$C$367,2,0))</f>
        <v>Nina</v>
      </c>
      <c r="I16" s="239" t="str">
        <f>IF(ISERROR(VLOOKUP(D16,évènements!$A$3:$E$200,3,0)),"",VLOOKUP(D16,évènements!$A$3:$E$200,3,0))</f>
        <v/>
      </c>
      <c r="J16" s="239" t="str">
        <f>IF(ISERROR(VLOOKUP(D16,évènements!$B$3:$E$200,2,0)),"",VLOOKUP(D16,évènements!$B$3:$E$200,2,0))</f>
        <v/>
      </c>
      <c r="K16" s="239" t="str">
        <f ca="1">IF(ISNA(VLOOKUP(D16,Tableau1[[#All],[Colonne1]:[ouvrés]],3,FALSE)),"",VLOOKUP(D16,Tableau1[[#All],[Colonne1]:[ouvrés]],3,FALSE))</f>
        <v/>
      </c>
      <c r="L16" s="239" t="str">
        <f t="shared" si="1"/>
        <v xml:space="preserve">  </v>
      </c>
      <c r="M16" s="41">
        <f t="shared" si="28"/>
        <v>42780</v>
      </c>
      <c r="N16" s="42">
        <f t="shared" si="42"/>
        <v>42780</v>
      </c>
      <c r="O16" s="131" t="str">
        <f>IF(N16="","",IF(ISERROR(MATCH(N16,Lune!$A$1:$A$1000,0)),IF(WEEKDAY(N16)=5,INT((N16-DATE(YEAR(N16),1,1))/7+1),IF(AND(WEEKDAY(N16)=4,NOT( ISERROR(MATCH(N16+1,Lune!$A$1:$A$1000,0)))),INT((N16+1-DATE(YEAR(N16+1),1,1))/7+1),"")),INDEX(Lune!$B$1:$B$1000,MATCH(N16,Lune!$A$1:$A$1000,0),1)))</f>
        <v/>
      </c>
      <c r="P16" s="80" t="str">
        <f t="shared" ref="P16:P31" ca="1" si="54">IF(Q16="",""," '")</f>
        <v/>
      </c>
      <c r="Q16" s="54" t="str">
        <f ca="1">IF(ISERROR(VLOOKUP(N16,anniversaire!$X$2:$Z$100,2,0)),"",VLOOKUP(N16,anniversaire!$X$2:$Z$100,2,0))</f>
        <v/>
      </c>
      <c r="R16" s="54" t="str">
        <f>IF(ISERROR(VLOOKUP(N16,fête!$B$2:$C$367,2,0)),"",VLOOKUP(N16,fête!$B$2:$C$367,2,0))</f>
        <v>Valentin</v>
      </c>
      <c r="S16" s="54" t="str">
        <f>IF(ISERROR(VLOOKUP(N16,évènements!$A$3:$E$200,3,0)),"",VLOOKUP(N16,évènements!$A$3:$E$200,3,0))</f>
        <v/>
      </c>
      <c r="T16" s="54" t="str">
        <f>IF(ISERROR(VLOOKUP(N16,évènements!$B$3:$E$200,2,0)),"",VLOOKUP(N16,évènements!$B$3:$E$200,2,0))</f>
        <v/>
      </c>
      <c r="U16" s="54" t="str">
        <f ca="1">IF(ISNA(VLOOKUP(N16,Tableau1[[#All],[Colonne1]:[ouvrés]],3,FALSE)),"",VLOOKUP(N16,Tableau1[[#All],[Colonne1]:[ouvrés]],3,FALSE))</f>
        <v/>
      </c>
      <c r="V16" s="54" t="str">
        <f t="shared" si="3"/>
        <v xml:space="preserve">  </v>
      </c>
      <c r="W16" s="41">
        <f t="shared" si="29"/>
        <v>42808</v>
      </c>
      <c r="X16" s="42">
        <f t="shared" si="43"/>
        <v>42808</v>
      </c>
      <c r="Y16" s="132" t="str">
        <f>IF(X16="","",IF(ISERROR(MATCH(X16,Lune!$A$1:$A$1000,0)),IF(WEEKDAY(X16)=5,INT((X16-DATE(YEAR(X16),1,1))/7+1),IF(AND(WEEKDAY(X16)=4,NOT( ISERROR(MATCH(X16+1,Lune!$A$1:$A$1000,0)))),INT((X16+1-DATE(YEAR(X16+1),1,1))/7+1),"")),INDEX(Lune!$B$1:$B$1000,MATCH(X16,Lune!$A$1:$A$1000,0),1)))</f>
        <v/>
      </c>
      <c r="Z16" s="89" t="str">
        <f t="shared" ca="1" si="4"/>
        <v/>
      </c>
      <c r="AA16" s="125" t="str">
        <f ca="1">IF(ISERROR(VLOOKUP(X16,anniversaire!$X$2:$Z$100,2,0)),"",VLOOKUP(X16,anniversaire!$X$2:$Z$100,2,0))</f>
        <v/>
      </c>
      <c r="AB16" s="54" t="str">
        <f>IF(ISERROR(VLOOKUP(X16,fête!$B$2:$C$367,2,0)),"",VLOOKUP(X16,fête!$B$2:$C$367,2,0))</f>
        <v>Mathilde</v>
      </c>
      <c r="AC16" s="54" t="str">
        <f>IF(ISERROR(VLOOKUP(X16,évènements!$A$3:$E$200,3,0)),"",VLOOKUP(X16,évènements!$A$3:$E$200,3,0))</f>
        <v/>
      </c>
      <c r="AD16" s="54" t="str">
        <f>IF(ISERROR(VLOOKUP(X16,évènements!$B$3:$E$200,2,0)),"",VLOOKUP(X16,évènements!$B$3:$E$200,2,0))</f>
        <v/>
      </c>
      <c r="AE16" s="54" t="str">
        <f ca="1">IF(ISNA(VLOOKUP(X16,Tableau1[[#All],[Colonne1]:[ouvrés]],3,FALSE)),"",VLOOKUP(X16,Tableau1[[#All],[Colonne1]:[ouvrés]],3,FALSE))</f>
        <v/>
      </c>
      <c r="AF16" s="54" t="str">
        <f t="shared" si="5"/>
        <v xml:space="preserve">  </v>
      </c>
      <c r="AG16" s="41">
        <f t="shared" si="30"/>
        <v>42839</v>
      </c>
      <c r="AH16" s="42">
        <f t="shared" si="44"/>
        <v>42839</v>
      </c>
      <c r="AI16" s="137" t="str">
        <f>IF(AH16="","",IF(ISERROR(MATCH(AH16,Lune!$A$1:$A$1000,0)),IF(WEEKDAY(AH16)=5,INT((AH16-DATE(YEAR(AH16),1,1))/7+1),IF(AND(WEEKDAY(AH16)=4,NOT( ISERROR(MATCH(AH16+1,Lune!$A$1:$A$1000,0)))),INT((AH16+1-DATE(YEAR(AH16+1),1,1))/7+1),"")),INDEX(Lune!$B$1:$B$1000,MATCH(AH16,Lune!$A$1:$A$1000,0),1)))</f>
        <v/>
      </c>
      <c r="AJ16" s="80" t="str">
        <f t="shared" ca="1" si="6"/>
        <v xml:space="preserve"> '</v>
      </c>
      <c r="AK16" s="54" t="str">
        <f ca="1">IF(ISERROR(VLOOKUP(AH16,anniversaire!$X$2:$Z$100,2,0)),"",VLOOKUP(AH16,anniversaire!$X$2:$Z$100,2,0))</f>
        <v>boireau  bejamin    3</v>
      </c>
      <c r="AL16" s="54" t="str">
        <f>IF(ISERROR(VLOOKUP(AH16,fête!$B$2:$C$367,2,0)),"",VLOOKUP(AH16,fête!$B$2:$C$367,2,0))</f>
        <v>Maxime</v>
      </c>
      <c r="AM16" s="54" t="str">
        <f>IF(ISERROR(VLOOKUP(AH16,évènements!$A$3:$E$200,3,0)),"",VLOOKUP(AH16,évènements!$A$3:$E$200,3,0))</f>
        <v/>
      </c>
      <c r="AN16" s="54">
        <f ca="1">IF(ISERROR(VLOOKUP(AH16,évènements!$B$3:$E$200,2,0)),"",VLOOKUP(AH16,évènements!$B$3:$E$200,2,0))</f>
        <v>42839</v>
      </c>
      <c r="AO16" s="54" t="str">
        <f ca="1">IF(ISNA(VLOOKUP(AH16,Tableau1[[#All],[Colonne1]:[ouvrés]],3,FALSE)),"",VLOOKUP(AH16,Tableau1[[#All],[Colonne1]:[ouvrés]],3,FALSE))</f>
        <v>travail</v>
      </c>
      <c r="AP16" s="238" t="str">
        <f ca="1">CONCATENATE(AM16,"  ",AN16)</f>
        <v xml:space="preserve">  42839</v>
      </c>
      <c r="AQ16" s="41">
        <f t="shared" si="31"/>
        <v>42869</v>
      </c>
      <c r="AR16" s="42">
        <f t="shared" si="45"/>
        <v>42869</v>
      </c>
      <c r="AS16" s="43" t="str">
        <f>IF(AR16="","",IF(ISERROR(MATCH(AR16,Lune!$A$1:$A$1000,0)),IF(WEEKDAY(AR16)=5,INT((AR16-DATE(YEAR(AR16),1,1))/7+1),IF(AND(WEEKDAY(AR16)=4,NOT( ISERROR(MATCH(AR16+1,Lune!$A$1:$A$1000,0)))),INT((AR16+1-DATE(YEAR(AR16+1),1,1))/7+1),"")),INDEX(Lune!$B$1:$B$1000,MATCH(AR16,Lune!$A$1:$A$1000,0),1)))</f>
        <v/>
      </c>
      <c r="AT16" s="79" t="str">
        <f t="shared" ca="1" si="8"/>
        <v/>
      </c>
      <c r="AU16" s="54" t="str">
        <f ca="1">IF(ISERROR(VLOOKUP(AR16,anniversaire!$X$2:$Z$100,2,0)),"",VLOOKUP(AR16,anniversaire!$X$2:$Z$100,2,0))</f>
        <v/>
      </c>
      <c r="AV16" s="54" t="str">
        <f>IF(ISERROR(VLOOKUP(AR16,fête!$B$2:$C$367,2,0)),"",VLOOKUP(AR16,fête!$B$2:$C$367,2,0))</f>
        <v>Matthias</v>
      </c>
      <c r="AW16" s="238" t="str">
        <f ca="1">IF(ISERROR(VLOOKUP(AR16,évènements!$A$3:$E$200,3,0)),"",VLOOKUP(AR16,évènements!$A$3:$E$200,3,0))</f>
        <v/>
      </c>
      <c r="AX16" s="238" t="str">
        <f>IF(ISERROR(VLOOKUP(AR16,évènements!$B$3:$E$200,2,0)),"",VLOOKUP(AR16,évènements!$B$3:$E$200,2,0))</f>
        <v/>
      </c>
      <c r="AY16" s="238" t="str">
        <f ca="1">IF(ISNA(VLOOKUP(AR16,Tableau1[[#All],[Colonne1]:[ouvrés]],3,FALSE)),"",VLOOKUP(AR16,Tableau1[[#All],[Colonne1]:[ouvrés]],3,FALSE))</f>
        <v/>
      </c>
      <c r="AZ16" s="238" t="str">
        <f t="shared" ca="1" si="9"/>
        <v xml:space="preserve">  </v>
      </c>
      <c r="BA16" s="41">
        <f t="shared" si="32"/>
        <v>42900</v>
      </c>
      <c r="BB16" s="42">
        <f t="shared" si="46"/>
        <v>42900</v>
      </c>
      <c r="BC16" s="43" t="str">
        <f>IF(BB16="","",IF(ISERROR(MATCH(BB16,Lune!$A$1:$A$1000,0)),IF(WEEKDAY(BB16)=5,INT((BB16-DATE(YEAR(BB16),1,1))/7+1),IF(AND(WEEKDAY(BB16)=4,NOT( ISERROR(MATCH(BB16+1,Lune!$A$1:$A$1000,0)))),INT((BB16+1-DATE(YEAR(BB16+1),1,1))/7+1),"")),INDEX(Lune!$B$1:$B$1000,MATCH(BB16,Lune!$A$1:$A$1000,0),1)))</f>
        <v/>
      </c>
      <c r="BD16" s="79" t="str">
        <f t="shared" ca="1" si="10"/>
        <v/>
      </c>
      <c r="BE16" s="54" t="str">
        <f ca="1">IF(ISERROR(VLOOKUP(BB16,anniversaire!$X$2:$Z$100,2,0)),"",VLOOKUP(BB16,anniversaire!$X$2:$Z$100,2,0))</f>
        <v/>
      </c>
      <c r="BF16" s="54" t="str">
        <f>IF(ISERROR(VLOOKUP(BB16,fête!$B$2:$C$367,2,0)),"",VLOOKUP(BB16,fête!$B$2:$C$367,2,0))</f>
        <v>Elisée</v>
      </c>
      <c r="BG16" s="54" t="str">
        <f>IF(ISERROR(VLOOKUP(BB16,évènements!$A$3:$E$200,3,0)),"",VLOOKUP(BB16,évènements!$A$3:$E$200,3,0))</f>
        <v/>
      </c>
      <c r="BH16" s="54" t="str">
        <f>IF(ISERROR(VLOOKUP(BB16,évènements!$B$3:$E$200,2,0)),"",VLOOKUP(BB16,évènements!$B$3:$E$200,2,0))</f>
        <v/>
      </c>
      <c r="BI16" s="54" t="str">
        <f ca="1">IF(ISNA(VLOOKUP(BB16,Tableau1[[#All],[Colonne1]:[ouvrés]],3,FALSE)),"",VLOOKUP(BB16,Tableau1[[#All],[Colonne1]:[ouvrés]],3,FALSE))</f>
        <v/>
      </c>
      <c r="BJ16" s="54" t="str">
        <f>CONCATENATE(BG16,"  ",BH16)</f>
        <v xml:space="preserve">  </v>
      </c>
      <c r="BK16" s="41">
        <f t="shared" si="33"/>
        <v>42930</v>
      </c>
      <c r="BL16" s="42">
        <f t="shared" si="47"/>
        <v>42930</v>
      </c>
      <c r="BM16" s="43" t="str">
        <f>IF(BL16="","",IF(ISERROR(MATCH(BL16,Lune!$A$1:$A$1000,0)),IF(WEEKDAY(BL16)=5,INT((BL16-DATE(YEAR(BL16),1,1))/7+1),IF(AND(WEEKDAY(BL16)=4,NOT( ISERROR(MATCH(BL16+1,Lune!$A$1:$A$1000,0)))),INT((BL16+1-DATE(YEAR(BL16+1),1,1))/7+1),"")),INDEX(Lune!$B$1:$B$1000,MATCH(BL16,Lune!$A$1:$A$1000,0),1)))</f>
        <v/>
      </c>
      <c r="BN16" s="80" t="str">
        <f t="shared" ca="1" si="12"/>
        <v/>
      </c>
      <c r="BO16" s="54" t="str">
        <f ca="1">IF(ISERROR(VLOOKUP(BL16,anniversaire!$X$2:$Z$100,2,0)),"",VLOOKUP(BL16,anniversaire!$X$2:$Z$100,2,0))</f>
        <v/>
      </c>
      <c r="BP16" s="54" t="str">
        <f>IF(ISERROR(VLOOKUP(BL16,fête!$B$2:$C$367,2,0)),"",VLOOKUP(BL16,fête!$B$2:$C$367,2,0))</f>
        <v>Fête Nationale</v>
      </c>
      <c r="BQ16" s="54" t="str">
        <f>IF(ISERROR(VLOOKUP(BL16,évènements!$A$3:$E$200,3,0)),"",VLOOKUP(BL16,évènements!$A$3:$E$200,3,0))</f>
        <v/>
      </c>
      <c r="BR16" s="54" t="str">
        <f>IF(ISERROR(VLOOKUP(BL16,évènements!$B$3:$E$200,2,0)),"",VLOOKUP(BL16,évènements!$B$3:$E$200,2,0))</f>
        <v/>
      </c>
      <c r="BS16" s="54" t="str">
        <f ca="1">IF(ISNA(VLOOKUP(BL16,Tableau1[[#All],[Colonne1]:[ouvrés]],3,FALSE)),"",VLOOKUP(BL16,Tableau1[[#All],[Colonne1]:[ouvrés]],3,FALSE))</f>
        <v/>
      </c>
      <c r="BT16" s="54" t="str">
        <f t="shared" si="34"/>
        <v xml:space="preserve">  </v>
      </c>
      <c r="BU16" s="41">
        <f t="shared" si="35"/>
        <v>42961</v>
      </c>
      <c r="BV16" s="42">
        <f t="shared" si="48"/>
        <v>42961</v>
      </c>
      <c r="BW16" s="43" t="str">
        <f>IF(BV16="","",IF(ISERROR(MATCH(BV16,Lune!$A$1:$A$1000,0)),IF(WEEKDAY(BV16)=5,INT((BV16-DATE(YEAR(BV16),1,1))/7+1),IF(AND(WEEKDAY(BV16)=4,NOT( ISERROR(MATCH(BV16+1,Lune!$A$1:$A$1000,0)))),INT((BV16+1-DATE(YEAR(BV16+1),1,1))/7+1),"")),INDEX(Lune!$B$1:$B$1000,MATCH(BV16,Lune!$A$1:$A$1000,0),1)))</f>
        <v/>
      </c>
      <c r="BX16" s="80" t="str">
        <f t="shared" ca="1" si="13"/>
        <v/>
      </c>
      <c r="BY16" s="54" t="str">
        <f ca="1">IF(ISERROR(VLOOKUP(BV16,anniversaire!$X$2:$Z$100,2,0)),"",VLOOKUP(BV16,anniversaire!$X$2:$Z$100,2,0))</f>
        <v/>
      </c>
      <c r="BZ16" s="54" t="str">
        <f>IF(ISERROR(VLOOKUP(BV16,fête!$B$2:$C$367,2,0)),"",VLOOKUP(BV16,fête!$B$2:$C$367,2,0))</f>
        <v>Evrard</v>
      </c>
      <c r="CA16" s="54" t="str">
        <f>IF(ISERROR(VLOOKUP(BV16,évènements!$A$3:$E$200,3,0)),"",VLOOKUP(BV16,évènements!$A$3:$E$200,3,0))</f>
        <v/>
      </c>
      <c r="CB16" s="54" t="str">
        <f>IF(ISERROR(VLOOKUP(BV16,évènements!$B$3:$E$200,2,0)),"",VLOOKUP(BV16,évènements!$B$3:$E$200,2,0))</f>
        <v/>
      </c>
      <c r="CC16" s="54" t="str">
        <f ca="1">IF(ISNA(VLOOKUP(BV16,Tableau1[[#All],[Colonne1]:[ouvrés]],3,FALSE)),"",VLOOKUP(BV16,Tableau1[[#All],[Colonne1]:[ouvrés]],3,FALSE))</f>
        <v/>
      </c>
      <c r="CD16" s="54" t="str">
        <f>CONCATENATE(CA16,"  ",CB16)</f>
        <v xml:space="preserve">  </v>
      </c>
      <c r="CE16" s="41">
        <f t="shared" si="36"/>
        <v>42992</v>
      </c>
      <c r="CF16" s="42">
        <f t="shared" si="49"/>
        <v>42992</v>
      </c>
      <c r="CG16" s="43">
        <f>IF(CF16="","",IF(ISERROR(MATCH(CF16,Lune!$A$1:$A$1000,0)),IF(WEEKDAY(CF16)=5,INT((CF16-DATE(YEAR(CF16),1,1))/7+1),IF(AND(WEEKDAY(CF16)=4,NOT( ISERROR(MATCH(CF16+1,Lune!$A$1:$A$1000,0)))),INT((CF16+1-DATE(YEAR(CF16+1),1,1))/7+1),"")),INDEX(Lune!$B$1:$B$1000,MATCH(CF16,Lune!$A$1:$A$1000,0),1)))</f>
        <v>37</v>
      </c>
      <c r="CH16" s="80" t="str">
        <f t="shared" ca="1" si="15"/>
        <v/>
      </c>
      <c r="CI16" s="54" t="str">
        <f ca="1">IF(ISERROR(VLOOKUP(CF16,anniversaire!$X$2:$Z$100,2,0)),"",VLOOKUP(CF16,anniversaire!$X$2:$Z$100,2,0))</f>
        <v/>
      </c>
      <c r="CJ16" s="54" t="str">
        <f>IF(ISERROR(VLOOKUP(CF16,fête!$B$2:$C$367,2,0)),"",VLOOKUP(CF16,fête!$B$2:$C$367,2,0))</f>
        <v>Croix Glorieuse</v>
      </c>
      <c r="CK16" s="54" t="str">
        <f>IF(ISERROR(VLOOKUP(CF16,évènements!$A$3:$E$200,3,0)),"",VLOOKUP(CF16,évènements!$A$3:$E$200,3,0))</f>
        <v/>
      </c>
      <c r="CL16" s="54" t="str">
        <f>IF(ISERROR(VLOOKUP(CF16,évènements!$B$3:$E$200,2,0)),"",VLOOKUP(CF16,évènements!$B$3:$E$200,2,0))</f>
        <v/>
      </c>
      <c r="CM16" s="54" t="str">
        <f ca="1">IF(ISNA(VLOOKUP(CF16,Tableau1[[#All],[Colonne1]:[ouvrés]],3,FALSE)),"",VLOOKUP(CF16,Tableau1[[#All],[Colonne1]:[ouvrés]],3,FALSE))</f>
        <v/>
      </c>
      <c r="CN16" s="54" t="str">
        <f t="shared" si="16"/>
        <v xml:space="preserve">  </v>
      </c>
      <c r="CO16" s="41">
        <f t="shared" si="37"/>
        <v>43022</v>
      </c>
      <c r="CP16" s="42">
        <f t="shared" si="50"/>
        <v>43022</v>
      </c>
      <c r="CQ16" s="43" t="str">
        <f>IF(CP16="","",IF(ISERROR(MATCH(CP16,Lune!$A$1:$A$1000,0)),IF(WEEKDAY(CP16)=5,INT((CP16-DATE(YEAR(CP16),1,1))/7+1),IF(AND(WEEKDAY(CP16)=4,NOT( ISERROR(MATCH(CP16+1,Lune!$A$1:$A$1000,0)))),INT((CP16+1-DATE(YEAR(CP16+1),1,1))/7+1),"")),INDEX(Lune!$B$1:$B$1000,MATCH(CP16,Lune!$A$1:$A$1000,0),1)))</f>
        <v/>
      </c>
      <c r="CR16" s="80" t="str">
        <f t="shared" ca="1" si="17"/>
        <v/>
      </c>
      <c r="CS16" s="54" t="str">
        <f ca="1">IF(ISERROR(VLOOKUP(CP16,anniversaire!$X$2:$Z$100,2,0)),"",VLOOKUP(CP16,anniversaire!$X$2:$Z$100,2,0))</f>
        <v/>
      </c>
      <c r="CT16" s="54" t="str">
        <f>IF(ISERROR(VLOOKUP(CP16,fête!$B$2:$C$367,2,0)),"",VLOOKUP(CP16,fête!$B$2:$C$367,2,0))</f>
        <v>Juste</v>
      </c>
      <c r="CU16" s="54" t="str">
        <f>IF(ISERROR(VLOOKUP(CP16,évènements!$A$3:$E$200,3,0)),"",VLOOKUP(CP16,évènements!$A$3:$E$200,3,0))</f>
        <v/>
      </c>
      <c r="CV16" s="54" t="str">
        <f>IF(ISERROR(VLOOKUP(CP16,évènements!$B$3:$E$200,2,0)),"",VLOOKUP(CP16,évènements!$B$3:$E$200,2,0))</f>
        <v/>
      </c>
      <c r="CW16" s="54" t="str">
        <f ca="1">IF(ISNA(VLOOKUP(CP16,Tableau1[[#All],[Colonne1]:[ouvrés]],3,FALSE)),"",VLOOKUP(CP16,Tableau1[[#All],[Colonne1]:[ouvrés]],3,FALSE))</f>
        <v/>
      </c>
      <c r="CX16" s="54" t="str">
        <f t="shared" si="18"/>
        <v xml:space="preserve">  </v>
      </c>
      <c r="CY16" s="41">
        <f t="shared" si="38"/>
        <v>43053</v>
      </c>
      <c r="CZ16" s="42">
        <f t="shared" si="51"/>
        <v>43053</v>
      </c>
      <c r="DA16" s="43" t="str">
        <f>IF(CZ16="","",IF(ISERROR(MATCH(CZ16,Lune!$A$1:$A$1000,0)),IF(WEEKDAY(CZ16)=5,INT((CZ16-DATE(YEAR(CZ16),1,1))/7+1),IF(AND(WEEKDAY(CZ16)=4,NOT( ISERROR(MATCH(CZ16+1,Lune!$A$1:$A$1000,0)))),INT((CZ16+1-DATE(YEAR(CZ16+1),1,1))/7+1),"")),INDEX(Lune!$B$1:$B$1000,MATCH(CZ16,Lune!$A$1:$A$1000,0),1)))</f>
        <v/>
      </c>
      <c r="DB16" s="80" t="str">
        <f t="shared" ca="1" si="19"/>
        <v/>
      </c>
      <c r="DC16" s="54" t="str">
        <f ca="1">IF(ISERROR(VLOOKUP(CZ16,anniversaire!$X$2:$Z$100,2,0)),"",VLOOKUP(CZ16,anniversaire!$X$2:$Z$100,2,0))</f>
        <v/>
      </c>
      <c r="DD16" s="54" t="str">
        <f>IF(ISERROR(VLOOKUP(CZ16,fête!$B$2:$C$367,2,0)),"",VLOOKUP(CZ16,fête!$B$2:$C$367,2,0))</f>
        <v>Sidoine</v>
      </c>
      <c r="DE16" s="54" t="str">
        <f>IF(ISERROR(VLOOKUP(CZ16,évènements!$A$3:$E$200,3,0)),"",VLOOKUP(CZ16,évènements!$A$3:$E$200,3,0))</f>
        <v/>
      </c>
      <c r="DF16" s="54" t="str">
        <f>IF(ISERROR(VLOOKUP(CZ16,évènements!$B$3:$E$200,2,0)),"",VLOOKUP(CZ16,évènements!$B$3:$E$200,2,0))</f>
        <v/>
      </c>
      <c r="DG16" s="54"/>
      <c r="DH16" s="54" t="str">
        <f t="shared" si="20"/>
        <v xml:space="preserve">  </v>
      </c>
      <c r="DI16" s="41">
        <f t="shared" si="39"/>
        <v>43083</v>
      </c>
      <c r="DJ16" s="42">
        <f t="shared" si="52"/>
        <v>43083</v>
      </c>
      <c r="DK16" s="43">
        <f>IF(DJ16="","",IF(ISERROR(MATCH(DJ16,Lune!$A$1:$A$1000,0)),IF(WEEKDAY(DJ16)=5,INT((DJ16-DATE(YEAR(DJ16),1,1))/7+1),IF(AND(WEEKDAY(DJ16)=4,NOT( ISERROR(MATCH(DJ16+1,Lune!$A$1:$A$1000,0)))),INT((DJ16+1-DATE(YEAR(DJ16+1),1,1))/7+1),"")),INDEX(Lune!$B$1:$B$1000,MATCH(DJ16,Lune!$A$1:$A$1000,0),1)))</f>
        <v>50</v>
      </c>
      <c r="DL16" s="80" t="str">
        <f t="shared" ca="1" si="21"/>
        <v/>
      </c>
      <c r="DM16" s="54" t="str">
        <f ca="1">IF(ISERROR(VLOOKUP(DJ16,anniversaire!$X$2:$Z$100,2,0)),"",VLOOKUP(DJ16,anniversaire!$X$2:$Z$100,2,0))</f>
        <v/>
      </c>
      <c r="DN16" s="54" t="str">
        <f>IF(ISERROR(VLOOKUP(DJ16,fête!$B$2:$C$367,2,0)),"",VLOOKUP(DJ16,fête!$B$2:$C$367,2,0))</f>
        <v>Odile</v>
      </c>
      <c r="DO16" s="54" t="str">
        <f>IF(ISERROR(VLOOKUP(DJ16,évènements!$A$3:$E$200,3,0)),"",VLOOKUP(DJ16,évènements!$A$3:$E$200,3,0))</f>
        <v/>
      </c>
      <c r="DP16" s="54" t="str">
        <f>IF(ISERROR(VLOOKUP(DJ16,évènements!$B$3:$E$200,2,0)),"",VLOOKUP(DJ16,évènements!$B$3:$E$200,2,0))</f>
        <v/>
      </c>
      <c r="DQ16" s="54" t="str">
        <f ca="1">IF(ISNA(VLOOKUP(DJ16,Tableau1[[#All],[Colonne1]:[ouvrés]],3,FALSE)),"",VLOOKUP(DJ16,Tableau1[[#All],[Colonne1]:[ouvrés]],3,FALSE))</f>
        <v/>
      </c>
      <c r="DR16" s="54" t="str">
        <f t="shared" si="22"/>
        <v xml:space="preserve">  </v>
      </c>
      <c r="DS16" s="41">
        <f t="shared" si="40"/>
        <v>43114</v>
      </c>
      <c r="DT16" s="42">
        <f t="shared" si="53"/>
        <v>43114</v>
      </c>
      <c r="DU16" s="43" t="str">
        <f>IF(DT16="","",IF(ISERROR(MATCH(DT16,Lune!$A$1:$A$1000,0)),IF(WEEKDAY(DT16)=5,INT((DT16-DATE(YEAR(DT16),1,1))/7+1),IF(AND(WEEKDAY(DT16)=4,NOT( ISERROR(MATCH(DT16+1,Lune!$A$1:$A$1000,0)))),INT((DT16+1-DATE(YEAR(DT16+1),1,1))/7+1),"")),INDEX(Lune!$B$1:$B$1000,MATCH(DT16,Lune!$A$1:$A$1000,0),1)))</f>
        <v/>
      </c>
      <c r="DV16" s="89" t="str">
        <f t="shared" ca="1" si="23"/>
        <v/>
      </c>
      <c r="DW16" s="252" t="str">
        <f t="shared" ca="1" si="24"/>
        <v/>
      </c>
      <c r="DX16" s="252" t="str">
        <f t="shared" si="25"/>
        <v>Nina</v>
      </c>
      <c r="DY16" s="252" t="str">
        <f>IF(ISERROR(VLOOKUP(DT16,évènements!$A$3:$E$200,3,0)),"",VLOOKUP(DT16,évènements!$A$3:$E$200,3,0))</f>
        <v/>
      </c>
      <c r="DZ16" s="252" t="str">
        <f>IF(ISERROR(VLOOKUP(DT16,évènements!$B$3:$E$200,2,0)),"",VLOOKUP(DT16,évènements!$B$3:$E$200,2,0))</f>
        <v/>
      </c>
      <c r="EA16" s="252" t="str">
        <f ca="1">IF(ISNA(VLOOKUP(DT16,Tableau1[[#All],[Colonne1]:[ouvrés]],3,FALSE)),"",VLOOKUP(DT16,Tableau1[[#All],[Colonne1]:[ouvrés]],3,FALSE))</f>
        <v/>
      </c>
      <c r="EB16" s="252" t="str">
        <f t="shared" si="26"/>
        <v xml:space="preserve">  </v>
      </c>
    </row>
    <row r="17" spans="2:132" ht="15" customHeight="1" x14ac:dyDescent="0.25">
      <c r="B17" s="29"/>
      <c r="C17" s="41">
        <f t="shared" si="27"/>
        <v>42750</v>
      </c>
      <c r="D17" s="40">
        <f t="shared" si="41"/>
        <v>42750</v>
      </c>
      <c r="E17" s="131" t="str">
        <f>IF(D17="","",IF(ISERROR(MATCH(D17,Lune!$A$1:$A$1000,0)),IF(WEEKDAY(D17)=5,INT((D17-DATE(YEAR(D17),1,1))/7+1),IF(AND(WEEKDAY(D17)=4,NOT( ISERROR(MATCH(D17+1,Lune!$A$1:$A$1000,0)))),INT((D17+1-DATE(YEAR(D17+1),1,1))/7+1),"")),INDEX(Lune!$B$1:$B$1000,MATCH(D17,Lune!$A$1:$A$1000,0),1)))</f>
        <v/>
      </c>
      <c r="F17" s="89" t="str">
        <f t="shared" ca="1" si="0"/>
        <v/>
      </c>
      <c r="G17" s="125" t="str">
        <f ca="1">IF(ISERROR(VLOOKUP(D17,anniversaire!$X$2:$Z$100,2,0)),"",VLOOKUP(D17,anniversaire!$X$2:$Z$100,2,0))</f>
        <v/>
      </c>
      <c r="H17" s="54" t="str">
        <f>IF(ISERROR(VLOOKUP(D17,fête!$B$2:$C$367,2,0)),"",VLOOKUP(D17,fête!$B$2:$C$367,2,0))</f>
        <v>Rémi</v>
      </c>
      <c r="I17" s="239" t="str">
        <f>IF(ISERROR(VLOOKUP(D17,évènements!$A$3:$E$200,3,0)),"",VLOOKUP(D17,évènements!$A$3:$E$200,3,0))</f>
        <v/>
      </c>
      <c r="J17" s="239" t="str">
        <f>IF(ISERROR(VLOOKUP(D17,évènements!$B$3:$E$200,2,0)),"",VLOOKUP(D17,évènements!$B$3:$E$200,2,0))</f>
        <v/>
      </c>
      <c r="K17" s="239" t="str">
        <f ca="1">IF(ISNA(VLOOKUP(D17,Tableau1[[#All],[Colonne1]:[ouvrés]],3,FALSE)),"",VLOOKUP(D17,Tableau1[[#All],[Colonne1]:[ouvrés]],3,FALSE))</f>
        <v/>
      </c>
      <c r="L17" s="239" t="str">
        <f t="shared" si="1"/>
        <v xml:space="preserve">  </v>
      </c>
      <c r="M17" s="41">
        <f t="shared" si="28"/>
        <v>42781</v>
      </c>
      <c r="N17" s="42">
        <f t="shared" si="42"/>
        <v>42781</v>
      </c>
      <c r="O17" s="131" t="str">
        <f>IF(N17="","",IF(ISERROR(MATCH(N17,Lune!$A$1:$A$1000,0)),IF(WEEKDAY(N17)=5,INT((N17-DATE(YEAR(N17),1,1))/7+1),IF(AND(WEEKDAY(N17)=4,NOT( ISERROR(MATCH(N17+1,Lune!$A$1:$A$1000,0)))),INT((N17+1-DATE(YEAR(N17+1),1,1))/7+1),"")),INDEX(Lune!$B$1:$B$1000,MATCH(N17,Lune!$A$1:$A$1000,0),1)))</f>
        <v/>
      </c>
      <c r="P17" s="80" t="str">
        <f t="shared" ca="1" si="54"/>
        <v/>
      </c>
      <c r="Q17" s="54" t="str">
        <f ca="1">IF(ISERROR(VLOOKUP(N17,anniversaire!$X$2:$Z$100,2,0)),"",VLOOKUP(N17,anniversaire!$X$2:$Z$100,2,0))</f>
        <v/>
      </c>
      <c r="R17" s="54" t="str">
        <f>IF(ISERROR(VLOOKUP(N17,fête!$B$2:$C$367,2,0)),"",VLOOKUP(N17,fête!$B$2:$C$367,2,0))</f>
        <v>Claude</v>
      </c>
      <c r="S17" s="54" t="str">
        <f>IF(ISERROR(VLOOKUP(N17,évènements!$A$3:$E$200,3,0)),"",VLOOKUP(N17,évènements!$A$3:$E$200,3,0))</f>
        <v/>
      </c>
      <c r="T17" s="54" t="str">
        <f>IF(ISERROR(VLOOKUP(N17,évènements!$B$3:$E$200,2,0)),"",VLOOKUP(N17,évènements!$B$3:$E$200,2,0))</f>
        <v/>
      </c>
      <c r="U17" s="54" t="str">
        <f ca="1">IF(ISNA(VLOOKUP(N17,Tableau1[[#All],[Colonne1]:[ouvrés]],3,FALSE)),"",VLOOKUP(N17,Tableau1[[#All],[Colonne1]:[ouvrés]],3,FALSE))</f>
        <v/>
      </c>
      <c r="V17" s="54" t="str">
        <f t="shared" si="3"/>
        <v xml:space="preserve">  </v>
      </c>
      <c r="W17" s="41">
        <f t="shared" si="29"/>
        <v>42809</v>
      </c>
      <c r="X17" s="42">
        <f t="shared" si="43"/>
        <v>42809</v>
      </c>
      <c r="Y17" s="132" t="str">
        <f>IF(X17="","",IF(ISERROR(MATCH(X17,Lune!$A$1:$A$1000,0)),IF(WEEKDAY(X17)=5,INT((X17-DATE(YEAR(X17),1,1))/7+1),IF(AND(WEEKDAY(X17)=4,NOT( ISERROR(MATCH(X17+1,Lune!$A$1:$A$1000,0)))),INT((X17+1-DATE(YEAR(X17+1),1,1))/7+1),"")),INDEX(Lune!$B$1:$B$1000,MATCH(X17,Lune!$A$1:$A$1000,0),1)))</f>
        <v/>
      </c>
      <c r="Z17" s="89" t="str">
        <f t="shared" ca="1" si="4"/>
        <v/>
      </c>
      <c r="AA17" s="125" t="str">
        <f ca="1">IF(ISERROR(VLOOKUP(X17,anniversaire!$X$2:$Z$100,2,0)),"",VLOOKUP(X17,anniversaire!$X$2:$Z$100,2,0))</f>
        <v/>
      </c>
      <c r="AB17" s="54" t="str">
        <f>IF(ISERROR(VLOOKUP(X17,fête!$B$2:$C$367,2,0)),"",VLOOKUP(X17,fête!$B$2:$C$367,2,0))</f>
        <v>Louise</v>
      </c>
      <c r="AC17" s="54" t="str">
        <f>IF(ISERROR(VLOOKUP(X17,évènements!$A$3:$E$200,3,0)),"",VLOOKUP(X17,évènements!$A$3:$E$200,3,0))</f>
        <v/>
      </c>
      <c r="AD17" s="54" t="str">
        <f>IF(ISERROR(VLOOKUP(X17,évènements!$B$3:$E$200,2,0)),"",VLOOKUP(X17,évènements!$B$3:$E$200,2,0))</f>
        <v/>
      </c>
      <c r="AE17" s="54" t="str">
        <f ca="1">IF(ISNA(VLOOKUP(X17,Tableau1[[#All],[Colonne1]:[ouvrés]],3,FALSE)),"",VLOOKUP(X17,Tableau1[[#All],[Colonne1]:[ouvrés]],3,FALSE))</f>
        <v/>
      </c>
      <c r="AF17" s="54" t="str">
        <f t="shared" si="5"/>
        <v xml:space="preserve">  </v>
      </c>
      <c r="AG17" s="41">
        <f t="shared" si="30"/>
        <v>42840</v>
      </c>
      <c r="AH17" s="42">
        <f t="shared" si="44"/>
        <v>42840</v>
      </c>
      <c r="AI17" s="137" t="str">
        <f>IF(AH17="","",IF(ISERROR(MATCH(AH17,Lune!$A$1:$A$1000,0)),IF(WEEKDAY(AH17)=5,INT((AH17-DATE(YEAR(AH17),1,1))/7+1),IF(AND(WEEKDAY(AH17)=4,NOT( ISERROR(MATCH(AH17+1,Lune!$A$1:$A$1000,0)))),INT((AH17+1-DATE(YEAR(AH17+1),1,1))/7+1),"")),INDEX(Lune!$B$1:$B$1000,MATCH(AH17,Lune!$A$1:$A$1000,0),1)))</f>
        <v/>
      </c>
      <c r="AJ17" s="80" t="str">
        <f t="shared" ca="1" si="6"/>
        <v/>
      </c>
      <c r="AK17" s="54" t="str">
        <f ca="1">IF(ISERROR(VLOOKUP(AH17,anniversaire!$X$2:$Z$100,2,0)),"",VLOOKUP(AH17,anniversaire!$X$2:$Z$100,2,0))</f>
        <v/>
      </c>
      <c r="AL17" s="54" t="str">
        <f>IF(ISERROR(VLOOKUP(AH17,fête!$B$2:$C$367,2,0)),"",VLOOKUP(AH17,fête!$B$2:$C$367,2,0))</f>
        <v>Paterne</v>
      </c>
      <c r="AM17" s="54" t="str">
        <f>IF(ISERROR(VLOOKUP(AH17,évènements!$A$3:$E$200,3,0)),"",VLOOKUP(AH17,évènements!$A$3:$E$200,3,0))</f>
        <v/>
      </c>
      <c r="AN17" s="54" t="str">
        <f>IF(ISERROR(VLOOKUP(AH17,évènements!$B$3:$E$200,2,0)),"",VLOOKUP(AH17,évènements!$B$3:$E$200,2,0))</f>
        <v/>
      </c>
      <c r="AO17" s="54" t="str">
        <f ca="1">IF(ISNA(VLOOKUP(AH17,Tableau1[[#All],[Colonne1]:[ouvrés]],3,FALSE)),"",VLOOKUP(AH17,Tableau1[[#All],[Colonne1]:[ouvrés]],3,FALSE))</f>
        <v/>
      </c>
      <c r="AP17" s="238" t="str">
        <f t="shared" ref="AP17:AP32" si="55">CONCATENATE(AM17,"  ",AN17)</f>
        <v xml:space="preserve">  </v>
      </c>
      <c r="AQ17" s="41">
        <f t="shared" si="31"/>
        <v>42870</v>
      </c>
      <c r="AR17" s="42">
        <f t="shared" si="45"/>
        <v>42870</v>
      </c>
      <c r="AS17" s="43" t="str">
        <f>IF(AR17="","",IF(ISERROR(MATCH(AR17,Lune!$A$1:$A$1000,0)),IF(WEEKDAY(AR17)=5,INT((AR17-DATE(YEAR(AR17),1,1))/7+1),IF(AND(WEEKDAY(AR17)=4,NOT( ISERROR(MATCH(AR17+1,Lune!$A$1:$A$1000,0)))),INT((AR17+1-DATE(YEAR(AR17+1),1,1))/7+1),"")),INDEX(Lune!$B$1:$B$1000,MATCH(AR17,Lune!$A$1:$A$1000,0),1)))</f>
        <v/>
      </c>
      <c r="AT17" s="79" t="str">
        <f t="shared" ca="1" si="8"/>
        <v>'</v>
      </c>
      <c r="AU17" s="54" t="str">
        <f ca="1">IF(ISERROR(VLOOKUP(AR17,anniversaire!$X$2:$Z$100,2,0)),"",VLOOKUP(AR17,anniversaire!$X$2:$Z$100,2,0))</f>
        <v>chapellas  fabien    35</v>
      </c>
      <c r="AV17" s="54" t="str">
        <f>IF(ISERROR(VLOOKUP(AR17,fête!$B$2:$C$367,2,0)),"",VLOOKUP(AR17,fête!$B$2:$C$367,2,0))</f>
        <v>Denise</v>
      </c>
      <c r="AW17" s="238" t="str">
        <f>IF(ISERROR(VLOOKUP(AR17,évènements!$A$3:$E$200,3,0)),"",VLOOKUP(AR17,évènements!$A$3:$E$200,3,0))</f>
        <v/>
      </c>
      <c r="AX17" s="238" t="str">
        <f>IF(ISERROR(VLOOKUP(AR17,évènements!$B$3:$E$200,2,0)),"",VLOOKUP(AR17,évènements!$B$3:$E$200,2,0))</f>
        <v/>
      </c>
      <c r="AY17" s="238" t="str">
        <f ca="1">IF(ISNA(VLOOKUP(AR17,Tableau1[[#All],[Colonne1]:[ouvrés]],3,FALSE)),"",VLOOKUP(AR17,Tableau1[[#All],[Colonne1]:[ouvrés]],3,FALSE))</f>
        <v/>
      </c>
      <c r="AZ17" s="238" t="str">
        <f t="shared" si="9"/>
        <v xml:space="preserve">  </v>
      </c>
      <c r="BA17" s="41">
        <f t="shared" si="32"/>
        <v>42901</v>
      </c>
      <c r="BB17" s="42">
        <f t="shared" si="46"/>
        <v>42901</v>
      </c>
      <c r="BC17" s="43">
        <f>IF(BB17="","",IF(ISERROR(MATCH(BB17,Lune!$A$1:$A$1000,0)),IF(WEEKDAY(BB17)=5,INT((BB17-DATE(YEAR(BB17),1,1))/7+1),IF(AND(WEEKDAY(BB17)=4,NOT( ISERROR(MATCH(BB17+1,Lune!$A$1:$A$1000,0)))),INT((BB17+1-DATE(YEAR(BB17+1),1,1))/7+1),"")),INDEX(Lune!$B$1:$B$1000,MATCH(BB17,Lune!$A$1:$A$1000,0),1)))</f>
        <v>24</v>
      </c>
      <c r="BD17" s="79" t="str">
        <f t="shared" ca="1" si="10"/>
        <v/>
      </c>
      <c r="BE17" s="54" t="str">
        <f ca="1">IF(ISERROR(VLOOKUP(BB17,anniversaire!$X$2:$Z$100,2,0)),"",VLOOKUP(BB17,anniversaire!$X$2:$Z$100,2,0))</f>
        <v/>
      </c>
      <c r="BF17" s="54" t="str">
        <f>IF(ISERROR(VLOOKUP(BB17,fête!$B$2:$C$367,2,0)),"",VLOOKUP(BB17,fête!$B$2:$C$367,2,0))</f>
        <v>Germaine</v>
      </c>
      <c r="BG17" s="54" t="str">
        <f>IF(ISERROR(VLOOKUP(BB17,évènements!$A$3:$E$200,3,0)),"",VLOOKUP(BB17,évènements!$A$3:$E$200,3,0))</f>
        <v/>
      </c>
      <c r="BH17" s="54" t="str">
        <f>IF(ISERROR(VLOOKUP(BB17,évènements!$B$3:$E$200,2,0)),"",VLOOKUP(BB17,évènements!$B$3:$E$200,2,0))</f>
        <v/>
      </c>
      <c r="BI17" s="54" t="str">
        <f ca="1">IF(ISNA(VLOOKUP(BB17,Tableau1[[#All],[Colonne1]:[ouvrés]],3,FALSE)),"",VLOOKUP(BB17,Tableau1[[#All],[Colonne1]:[ouvrés]],3,FALSE))</f>
        <v/>
      </c>
      <c r="BJ17" s="54" t="str">
        <f t="shared" ref="BJ17:BJ33" si="56">CONCATENATE(BG17,"  ",BH17)</f>
        <v xml:space="preserve">  </v>
      </c>
      <c r="BK17" s="41">
        <f t="shared" si="33"/>
        <v>42931</v>
      </c>
      <c r="BL17" s="42">
        <f t="shared" si="47"/>
        <v>42931</v>
      </c>
      <c r="BM17" s="43" t="str">
        <f>IF(BL17="","",IF(ISERROR(MATCH(BL17,Lune!$A$1:$A$1000,0)),IF(WEEKDAY(BL17)=5,INT((BL17-DATE(YEAR(BL17),1,1))/7+1),IF(AND(WEEKDAY(BL17)=4,NOT( ISERROR(MATCH(BL17+1,Lune!$A$1:$A$1000,0)))),INT((BL17+1-DATE(YEAR(BL17+1),1,1))/7+1),"")),INDEX(Lune!$B$1:$B$1000,MATCH(BL17,Lune!$A$1:$A$1000,0),1)))</f>
        <v/>
      </c>
      <c r="BN17" s="80" t="str">
        <f t="shared" ca="1" si="12"/>
        <v/>
      </c>
      <c r="BO17" s="54" t="str">
        <f ca="1">IF(ISERROR(VLOOKUP(BL17,anniversaire!$X$2:$Z$100,2,0)),"",VLOOKUP(BL17,anniversaire!$X$2:$Z$100,2,0))</f>
        <v/>
      </c>
      <c r="BP17" s="54" t="str">
        <f>IF(ISERROR(VLOOKUP(BL17,fête!$B$2:$C$367,2,0)),"",VLOOKUP(BL17,fête!$B$2:$C$367,2,0))</f>
        <v>Donald</v>
      </c>
      <c r="BQ17" s="54" t="str">
        <f>IF(ISERROR(VLOOKUP(BL17,évènements!$A$3:$E$200,3,0)),"",VLOOKUP(BL17,évènements!$A$3:$E$200,3,0))</f>
        <v/>
      </c>
      <c r="BR17" s="54" t="str">
        <f>IF(ISERROR(VLOOKUP(BL17,évènements!$B$3:$E$200,2,0)),"",VLOOKUP(BL17,évènements!$B$3:$E$200,2,0))</f>
        <v/>
      </c>
      <c r="BS17" s="54" t="str">
        <f ca="1">IF(ISNA(VLOOKUP(BL17,Tableau1[[#All],[Colonne1]:[ouvrés]],3,FALSE)),"",VLOOKUP(BL17,Tableau1[[#All],[Colonne1]:[ouvrés]],3,FALSE))</f>
        <v/>
      </c>
      <c r="BT17" s="54" t="str">
        <f t="shared" si="34"/>
        <v xml:space="preserve">  </v>
      </c>
      <c r="BU17" s="41">
        <f t="shared" si="35"/>
        <v>42962</v>
      </c>
      <c r="BV17" s="42">
        <f t="shared" si="48"/>
        <v>42962</v>
      </c>
      <c r="BW17" s="43" t="str">
        <f>IF(BV17="","",IF(ISERROR(MATCH(BV17,Lune!$A$1:$A$1000,0)),IF(WEEKDAY(BV17)=5,INT((BV17-DATE(YEAR(BV17),1,1))/7+1),IF(AND(WEEKDAY(BV17)=4,NOT( ISERROR(MATCH(BV17+1,Lune!$A$1:$A$1000,0)))),INT((BV17+1-DATE(YEAR(BV17+1),1,1))/7+1),"")),INDEX(Lune!$B$1:$B$1000,MATCH(BV17,Lune!$A$1:$A$1000,0),1)))</f>
        <v>◑</v>
      </c>
      <c r="BX17" s="80" t="str">
        <f t="shared" ca="1" si="13"/>
        <v/>
      </c>
      <c r="BY17" s="54" t="str">
        <f ca="1">IF(ISERROR(VLOOKUP(BV17,anniversaire!$X$2:$Z$100,2,0)),"",VLOOKUP(BV17,anniversaire!$X$2:$Z$100,2,0))</f>
        <v/>
      </c>
      <c r="BZ17" s="54" t="str">
        <f>IF(ISERROR(VLOOKUP(BV17,fête!$B$2:$C$367,2,0)),"",VLOOKUP(BV17,fête!$B$2:$C$367,2,0))</f>
        <v>Assomption</v>
      </c>
      <c r="CA17" s="54" t="str">
        <f>IF(ISERROR(VLOOKUP(BV17,évènements!$A$3:$E$200,3,0)),"",VLOOKUP(BV17,évènements!$A$3:$E$200,3,0))</f>
        <v/>
      </c>
      <c r="CB17" s="54" t="str">
        <f>IF(ISERROR(VLOOKUP(BV17,évènements!$B$3:$E$200,2,0)),"",VLOOKUP(BV17,évènements!$B$3:$E$200,2,0))</f>
        <v/>
      </c>
      <c r="CC17" s="54" t="str">
        <f ca="1">IF(ISNA(VLOOKUP(BV17,Tableau1[[#All],[Colonne1]:[ouvrés]],3,FALSE)),"",VLOOKUP(BV17,Tableau1[[#All],[Colonne1]:[ouvrés]],3,FALSE))</f>
        <v/>
      </c>
      <c r="CD17" s="54" t="str">
        <f t="shared" si="14"/>
        <v xml:space="preserve">  </v>
      </c>
      <c r="CE17" s="41">
        <f t="shared" si="36"/>
        <v>42993</v>
      </c>
      <c r="CF17" s="42">
        <f t="shared" si="49"/>
        <v>42993</v>
      </c>
      <c r="CG17" s="43" t="str">
        <f>IF(CF17="","",IF(ISERROR(MATCH(CF17,Lune!$A$1:$A$1000,0)),IF(WEEKDAY(CF17)=5,INT((CF17-DATE(YEAR(CF17),1,1))/7+1),IF(AND(WEEKDAY(CF17)=4,NOT( ISERROR(MATCH(CF17+1,Lune!$A$1:$A$1000,0)))),INT((CF17+1-DATE(YEAR(CF17+1),1,1))/7+1),"")),INDEX(Lune!$B$1:$B$1000,MATCH(CF17,Lune!$A$1:$A$1000,0),1)))</f>
        <v/>
      </c>
      <c r="CH17" s="80" t="str">
        <f t="shared" ca="1" si="15"/>
        <v/>
      </c>
      <c r="CI17" s="54" t="str">
        <f ca="1">IF(ISERROR(VLOOKUP(CF17,anniversaire!$X$2:$Z$100,2,0)),"",VLOOKUP(CF17,anniversaire!$X$2:$Z$100,2,0))</f>
        <v/>
      </c>
      <c r="CJ17" s="54" t="str">
        <f>IF(ISERROR(VLOOKUP(CF17,fête!$B$2:$C$367,2,0)),"",VLOOKUP(CF17,fête!$B$2:$C$367,2,0))</f>
        <v>Roland</v>
      </c>
      <c r="CK17" s="54" t="str">
        <f>IF(ISERROR(VLOOKUP(CF17,évènements!$A$3:$E$200,3,0)),"",VLOOKUP(CF17,évènements!$A$3:$E$200,3,0))</f>
        <v/>
      </c>
      <c r="CL17" s="54" t="str">
        <f>IF(ISERROR(VLOOKUP(CF17,évènements!$B$3:$E$200,2,0)),"",VLOOKUP(CF17,évènements!$B$3:$E$200,2,0))</f>
        <v/>
      </c>
      <c r="CM17" s="54" t="str">
        <f ca="1">IF(ISNA(VLOOKUP(CF17,Tableau1[[#All],[Colonne1]:[ouvrés]],3,FALSE)),"",VLOOKUP(CF17,Tableau1[[#All],[Colonne1]:[ouvrés]],3,FALSE))</f>
        <v/>
      </c>
      <c r="CN17" s="54" t="str">
        <f t="shared" si="16"/>
        <v xml:space="preserve">  </v>
      </c>
      <c r="CO17" s="41">
        <f t="shared" si="37"/>
        <v>43023</v>
      </c>
      <c r="CP17" s="42">
        <f t="shared" si="50"/>
        <v>43023</v>
      </c>
      <c r="CQ17" s="43" t="str">
        <f>IF(CP17="","",IF(ISERROR(MATCH(CP17,Lune!$A$1:$A$1000,0)),IF(WEEKDAY(CP17)=5,INT((CP17-DATE(YEAR(CP17),1,1))/7+1),IF(AND(WEEKDAY(CP17)=4,NOT( ISERROR(MATCH(CP17+1,Lune!$A$1:$A$1000,0)))),INT((CP17+1-DATE(YEAR(CP17+1),1,1))/7+1),"")),INDEX(Lune!$B$1:$B$1000,MATCH(CP17,Lune!$A$1:$A$1000,0),1)))</f>
        <v/>
      </c>
      <c r="CR17" s="80" t="str">
        <f t="shared" ca="1" si="17"/>
        <v/>
      </c>
      <c r="CS17" s="54" t="str">
        <f ca="1">IF(ISERROR(VLOOKUP(CP17,anniversaire!$X$2:$Z$100,2,0)),"",VLOOKUP(CP17,anniversaire!$X$2:$Z$100,2,0))</f>
        <v/>
      </c>
      <c r="CT17" s="54" t="str">
        <f>IF(ISERROR(VLOOKUP(CP17,fête!$B$2:$C$367,2,0)),"",VLOOKUP(CP17,fête!$B$2:$C$367,2,0))</f>
        <v>Thérèse d'Avila</v>
      </c>
      <c r="CU17" s="54" t="str">
        <f>IF(ISERROR(VLOOKUP(CP17,évènements!$A$3:$E$200,3,0)),"",VLOOKUP(CP17,évènements!$A$3:$E$200,3,0))</f>
        <v/>
      </c>
      <c r="CV17" s="54" t="str">
        <f>IF(ISERROR(VLOOKUP(CP17,évènements!$B$3:$E$200,2,0)),"",VLOOKUP(CP17,évènements!$B$3:$E$200,2,0))</f>
        <v/>
      </c>
      <c r="CW17" s="54" t="str">
        <f ca="1">IF(ISNA(VLOOKUP(CP17,Tableau1[[#All],[Colonne1]:[ouvrés]],3,FALSE)),"",VLOOKUP(CP17,Tableau1[[#All],[Colonne1]:[ouvrés]],3,FALSE))</f>
        <v/>
      </c>
      <c r="CX17" s="54" t="str">
        <f t="shared" si="18"/>
        <v xml:space="preserve">  </v>
      </c>
      <c r="CY17" s="41">
        <f t="shared" si="38"/>
        <v>43054</v>
      </c>
      <c r="CZ17" s="42">
        <f t="shared" si="51"/>
        <v>43054</v>
      </c>
      <c r="DA17" s="43" t="str">
        <f>IF(CZ17="","",IF(ISERROR(MATCH(CZ17,Lune!$A$1:$A$1000,0)),IF(WEEKDAY(CZ17)=5,INT((CZ17-DATE(YEAR(CZ17),1,1))/7+1),IF(AND(WEEKDAY(CZ17)=4,NOT( ISERROR(MATCH(CZ17+1,Lune!$A$1:$A$1000,0)))),INT((CZ17+1-DATE(YEAR(CZ17+1),1,1))/7+1),"")),INDEX(Lune!$B$1:$B$1000,MATCH(CZ17,Lune!$A$1:$A$1000,0),1)))</f>
        <v/>
      </c>
      <c r="DB17" s="80" t="str">
        <f t="shared" ca="1" si="19"/>
        <v/>
      </c>
      <c r="DC17" s="54" t="str">
        <f ca="1">IF(ISERROR(VLOOKUP(CZ17,anniversaire!$X$2:$Z$100,2,0)),"",VLOOKUP(CZ17,anniversaire!$X$2:$Z$100,2,0))</f>
        <v/>
      </c>
      <c r="DD17" s="54" t="str">
        <f>IF(ISERROR(VLOOKUP(CZ17,fête!$B$2:$C$367,2,0)),"",VLOOKUP(CZ17,fête!$B$2:$C$367,2,0))</f>
        <v>Albert</v>
      </c>
      <c r="DE17" s="54" t="str">
        <f>IF(ISERROR(VLOOKUP(CZ17,évènements!$A$3:$E$200,3,0)),"",VLOOKUP(CZ17,évènements!$A$3:$E$200,3,0))</f>
        <v/>
      </c>
      <c r="DF17" s="54" t="str">
        <f>IF(ISERROR(VLOOKUP(CZ17,évènements!$B$3:$E$200,2,0)),"",VLOOKUP(CZ17,évènements!$B$3:$E$200,2,0))</f>
        <v/>
      </c>
      <c r="DG17" s="54"/>
      <c r="DH17" s="54" t="str">
        <f t="shared" si="20"/>
        <v xml:space="preserve">  </v>
      </c>
      <c r="DI17" s="41">
        <f t="shared" si="39"/>
        <v>43084</v>
      </c>
      <c r="DJ17" s="42">
        <f t="shared" si="52"/>
        <v>43084</v>
      </c>
      <c r="DK17" s="43" t="str">
        <f>IF(DJ17="","",IF(ISERROR(MATCH(DJ17,Lune!$A$1:$A$1000,0)),IF(WEEKDAY(DJ17)=5,INT((DJ17-DATE(YEAR(DJ17),1,1))/7+1),IF(AND(WEEKDAY(DJ17)=4,NOT( ISERROR(MATCH(DJ17+1,Lune!$A$1:$A$1000,0)))),INT((DJ17+1-DATE(YEAR(DJ17+1),1,1))/7+1),"")),INDEX(Lune!$B$1:$B$1000,MATCH(DJ17,Lune!$A$1:$A$1000,0),1)))</f>
        <v/>
      </c>
      <c r="DL17" s="80" t="str">
        <f t="shared" ca="1" si="21"/>
        <v/>
      </c>
      <c r="DM17" s="54" t="str">
        <f ca="1">IF(ISERROR(VLOOKUP(DJ17,anniversaire!$X$2:$Z$100,2,0)),"",VLOOKUP(DJ17,anniversaire!$X$2:$Z$100,2,0))</f>
        <v/>
      </c>
      <c r="DN17" s="54" t="str">
        <f>IF(ISERROR(VLOOKUP(DJ17,fête!$B$2:$C$367,2,0)),"",VLOOKUP(DJ17,fête!$B$2:$C$367,2,0))</f>
        <v>Ninon</v>
      </c>
      <c r="DO17" s="54" t="str">
        <f>IF(ISERROR(VLOOKUP(DJ17,évènements!$A$3:$E$200,3,0)),"",VLOOKUP(DJ17,évènements!$A$3:$E$200,3,0))</f>
        <v/>
      </c>
      <c r="DP17" s="54" t="str">
        <f>IF(ISERROR(VLOOKUP(DJ17,évènements!$B$3:$E$200,2,0)),"",VLOOKUP(DJ17,évènements!$B$3:$E$200,2,0))</f>
        <v/>
      </c>
      <c r="DQ17" s="54" t="str">
        <f ca="1">IF(ISNA(VLOOKUP(DJ17,Tableau1[[#All],[Colonne1]:[ouvrés]],3,FALSE)),"",VLOOKUP(DJ17,Tableau1[[#All],[Colonne1]:[ouvrés]],3,FALSE))</f>
        <v/>
      </c>
      <c r="DR17" s="54" t="str">
        <f t="shared" si="22"/>
        <v xml:space="preserve">  </v>
      </c>
      <c r="DS17" s="41">
        <f t="shared" si="40"/>
        <v>43115</v>
      </c>
      <c r="DT17" s="42">
        <f t="shared" si="53"/>
        <v>43115</v>
      </c>
      <c r="DU17" s="43" t="str">
        <f>IF(DT17="","",IF(ISERROR(MATCH(DT17,Lune!$A$1:$A$1000,0)),IF(WEEKDAY(DT17)=5,INT((DT17-DATE(YEAR(DT17),1,1))/7+1),IF(AND(WEEKDAY(DT17)=4,NOT( ISERROR(MATCH(DT17+1,Lune!$A$1:$A$1000,0)))),INT((DT17+1-DATE(YEAR(DT17+1),1,1))/7+1),"")),INDEX(Lune!$B$1:$B$1000,MATCH(DT17,Lune!$A$1:$A$1000,0),1)))</f>
        <v/>
      </c>
      <c r="DV17" s="89" t="str">
        <f t="shared" ca="1" si="23"/>
        <v/>
      </c>
      <c r="DW17" s="252" t="str">
        <f t="shared" ca="1" si="24"/>
        <v/>
      </c>
      <c r="DX17" s="252" t="str">
        <f t="shared" si="25"/>
        <v>Rémi</v>
      </c>
      <c r="DY17" s="252" t="str">
        <f>IF(ISERROR(VLOOKUP(DT17,évènements!$A$3:$E$200,3,0)),"",VLOOKUP(DT17,évènements!$A$3:$E$200,3,0))</f>
        <v/>
      </c>
      <c r="DZ17" s="252" t="str">
        <f>IF(ISERROR(VLOOKUP(DT17,évènements!$B$3:$E$200,2,0)),"",VLOOKUP(DT17,évènements!$B$3:$E$200,2,0))</f>
        <v/>
      </c>
      <c r="EA17" s="252" t="str">
        <f ca="1">IF(ISNA(VLOOKUP(DT17,Tableau1[[#All],[Colonne1]:[ouvrés]],3,FALSE)),"",VLOOKUP(DT17,Tableau1[[#All],[Colonne1]:[ouvrés]],3,FALSE))</f>
        <v/>
      </c>
      <c r="EB17" s="252" t="str">
        <f t="shared" si="26"/>
        <v xml:space="preserve">  </v>
      </c>
    </row>
    <row r="18" spans="2:132" ht="15" customHeight="1" x14ac:dyDescent="0.25">
      <c r="B18" s="29"/>
      <c r="C18" s="41">
        <f t="shared" si="27"/>
        <v>42751</v>
      </c>
      <c r="D18" s="40">
        <f t="shared" si="41"/>
        <v>42751</v>
      </c>
      <c r="E18" s="131" t="str">
        <f>IF(D18="","",IF(ISERROR(MATCH(D18,Lune!$A$1:$A$1000,0)),IF(WEEKDAY(D18)=5,INT((D18-DATE(YEAR(D18),1,1))/7+1),IF(AND(WEEKDAY(D18)=4,NOT( ISERROR(MATCH(D18+1,Lune!$A$1:$A$1000,0)))),INT((D18+1-DATE(YEAR(D18+1),1,1))/7+1),"")),INDEX(Lune!$B$1:$B$1000,MATCH(D18,Lune!$A$1:$A$1000,0),1)))</f>
        <v/>
      </c>
      <c r="F18" s="89" t="str">
        <f t="shared" ca="1" si="0"/>
        <v/>
      </c>
      <c r="G18" s="125" t="str">
        <f ca="1">IF(ISERROR(VLOOKUP(D18,anniversaire!$X$2:$Z$100,2,0)),"",VLOOKUP(D18,anniversaire!$X$2:$Z$100,2,0))</f>
        <v/>
      </c>
      <c r="H18" s="54" t="str">
        <f>IF(ISERROR(VLOOKUP(D18,fête!$B$2:$C$367,2,0)),"",VLOOKUP(D18,fête!$B$2:$C$367,2,0))</f>
        <v>Marcel</v>
      </c>
      <c r="I18" s="239" t="str">
        <f>IF(ISERROR(VLOOKUP(D18,évènements!$A$3:$E$200,3,0)),"",VLOOKUP(D18,évènements!$A$3:$E$200,3,0))</f>
        <v/>
      </c>
      <c r="J18" s="239" t="str">
        <f>IF(ISERROR(VLOOKUP(D18,évènements!$B$3:$E$200,2,0)),"",VLOOKUP(D18,évènements!$B$3:$E$200,2,0))</f>
        <v/>
      </c>
      <c r="K18" s="239" t="str">
        <f ca="1">IF(ISNA(VLOOKUP(D18,Tableau1[[#All],[Colonne1]:[ouvrés]],3,FALSE)),"",VLOOKUP(D18,Tableau1[[#All],[Colonne1]:[ouvrés]],3,FALSE))</f>
        <v/>
      </c>
      <c r="L18" s="239" t="str">
        <f t="shared" si="1"/>
        <v xml:space="preserve">  </v>
      </c>
      <c r="M18" s="41">
        <f t="shared" si="28"/>
        <v>42782</v>
      </c>
      <c r="N18" s="42">
        <f t="shared" si="42"/>
        <v>42782</v>
      </c>
      <c r="O18" s="131">
        <f>IF(N18="","",IF(ISERROR(MATCH(N18,Lune!$A$1:$A$1000,0)),IF(WEEKDAY(N18)=5,INT((N18-DATE(YEAR(N18),1,1))/7+1),IF(AND(WEEKDAY(N18)=4,NOT( ISERROR(MATCH(N18+1,Lune!$A$1:$A$1000,0)))),INT((N18+1-DATE(YEAR(N18+1),1,1))/7+1),"")),INDEX(Lune!$B$1:$B$1000,MATCH(N18,Lune!$A$1:$A$1000,0),1)))</f>
        <v>7</v>
      </c>
      <c r="P18" s="80" t="str">
        <f t="shared" ca="1" si="54"/>
        <v/>
      </c>
      <c r="Q18" s="54" t="str">
        <f ca="1">IF(ISERROR(VLOOKUP(N18,anniversaire!$X$2:$Z$100,2,0)),"",VLOOKUP(N18,anniversaire!$X$2:$Z$100,2,0))</f>
        <v/>
      </c>
      <c r="R18" s="54" t="str">
        <f>IF(ISERROR(VLOOKUP(N18,fête!$B$2:$C$367,2,0)),"",VLOOKUP(N18,fête!$B$2:$C$367,2,0))</f>
        <v>Julienne</v>
      </c>
      <c r="S18" s="54" t="str">
        <f>IF(ISERROR(VLOOKUP(N18,évènements!$A$3:$E$200,3,0)),"",VLOOKUP(N18,évènements!$A$3:$E$200,3,0))</f>
        <v/>
      </c>
      <c r="T18" s="54" t="str">
        <f>IF(ISERROR(VLOOKUP(N18,évènements!$B$3:$E$200,2,0)),"",VLOOKUP(N18,évènements!$B$3:$E$200,2,0))</f>
        <v/>
      </c>
      <c r="U18" s="54" t="str">
        <f ca="1">IF(ISNA(VLOOKUP(N18,Tableau1[[#All],[Colonne1]:[ouvrés]],3,FALSE)),"",VLOOKUP(N18,Tableau1[[#All],[Colonne1]:[ouvrés]],3,FALSE))</f>
        <v/>
      </c>
      <c r="V18" s="54" t="str">
        <f t="shared" si="3"/>
        <v xml:space="preserve">  </v>
      </c>
      <c r="W18" s="41">
        <f t="shared" si="29"/>
        <v>42810</v>
      </c>
      <c r="X18" s="42">
        <f t="shared" si="43"/>
        <v>42810</v>
      </c>
      <c r="Y18" s="132">
        <f>IF(X18="","",IF(ISERROR(MATCH(X18,Lune!$A$1:$A$1000,0)),IF(WEEKDAY(X18)=5,INT((X18-DATE(YEAR(X18),1,1))/7+1),IF(AND(WEEKDAY(X18)=4,NOT( ISERROR(MATCH(X18+1,Lune!$A$1:$A$1000,0)))),INT((X18+1-DATE(YEAR(X18+1),1,1))/7+1),"")),INDEX(Lune!$B$1:$B$1000,MATCH(X18,Lune!$A$1:$A$1000,0),1)))</f>
        <v>11</v>
      </c>
      <c r="Z18" s="89" t="str">
        <f t="shared" ca="1" si="4"/>
        <v/>
      </c>
      <c r="AA18" s="125" t="str">
        <f ca="1">IF(ISERROR(VLOOKUP(X18,anniversaire!$X$2:$Z$100,2,0)),"",VLOOKUP(X18,anniversaire!$X$2:$Z$100,2,0))</f>
        <v/>
      </c>
      <c r="AB18" s="54" t="str">
        <f>IF(ISERROR(VLOOKUP(X18,fête!$B$2:$C$367,2,0)),"",VLOOKUP(X18,fête!$B$2:$C$367,2,0))</f>
        <v>Bénédicte</v>
      </c>
      <c r="AC18" s="54" t="str">
        <f>IF(ISERROR(VLOOKUP(X18,évènements!$A$3:$E$200,3,0)),"",VLOOKUP(X18,évènements!$A$3:$E$200,3,0))</f>
        <v/>
      </c>
      <c r="AD18" s="54" t="str">
        <f>IF(ISERROR(VLOOKUP(X18,évènements!$B$3:$E$200,2,0)),"",VLOOKUP(X18,évènements!$B$3:$E$200,2,0))</f>
        <v/>
      </c>
      <c r="AE18" s="54" t="str">
        <f ca="1">IF(ISNA(VLOOKUP(X18,Tableau1[[#All],[Colonne1]:[ouvrés]],3,FALSE)),"",VLOOKUP(X18,Tableau1[[#All],[Colonne1]:[ouvrés]],3,FALSE))</f>
        <v/>
      </c>
      <c r="AF18" s="54" t="str">
        <f t="shared" si="5"/>
        <v xml:space="preserve">  </v>
      </c>
      <c r="AG18" s="41">
        <f t="shared" si="30"/>
        <v>42841</v>
      </c>
      <c r="AH18" s="42">
        <f t="shared" si="44"/>
        <v>42841</v>
      </c>
      <c r="AI18" s="137" t="str">
        <f>IF(AH18="","",IF(ISERROR(MATCH(AH18,Lune!$A$1:$A$1000,0)),IF(WEEKDAY(AH18)=5,INT((AH18-DATE(YEAR(AH18),1,1))/7+1),IF(AND(WEEKDAY(AH18)=4,NOT( ISERROR(MATCH(AH18+1,Lune!$A$1:$A$1000,0)))),INT((AH18+1-DATE(YEAR(AH18+1),1,1))/7+1),"")),INDEX(Lune!$B$1:$B$1000,MATCH(AH18,Lune!$A$1:$A$1000,0),1)))</f>
        <v/>
      </c>
      <c r="AJ18" s="80" t="str">
        <f t="shared" ca="1" si="6"/>
        <v/>
      </c>
      <c r="AK18" s="54" t="str">
        <f ca="1">IF(ISERROR(VLOOKUP(AH18,anniversaire!$X$2:$Z$100,2,0)),"",VLOOKUP(AH18,anniversaire!$X$2:$Z$100,2,0))</f>
        <v/>
      </c>
      <c r="AL18" s="54" t="str">
        <f>IF(ISERROR(VLOOKUP(AH18,fête!$B$2:$C$367,2,0)),"",VLOOKUP(AH18,fête!$B$2:$C$367,2,0))</f>
        <v>Benoît-Joseph</v>
      </c>
      <c r="AM18" s="54" t="str">
        <f>IF(ISERROR(VLOOKUP(AH18,évènements!$A$3:$E$200,3,0)),"",VLOOKUP(AH18,évènements!$A$3:$E$200,3,0))</f>
        <v/>
      </c>
      <c r="AN18" s="54" t="str">
        <f>IF(ISERROR(VLOOKUP(AH18,évènements!$B$3:$E$200,2,0)),"",VLOOKUP(AH18,évènements!$B$3:$E$200,2,0))</f>
        <v/>
      </c>
      <c r="AO18" s="54" t="str">
        <f ca="1">IF(ISNA(VLOOKUP(AH18,Tableau1[[#All],[Colonne1]:[ouvrés]],3,FALSE)),"",VLOOKUP(AH18,Tableau1[[#All],[Colonne1]:[ouvrés]],3,FALSE))</f>
        <v/>
      </c>
      <c r="AP18" s="238" t="str">
        <f t="shared" si="55"/>
        <v xml:space="preserve">  </v>
      </c>
      <c r="AQ18" s="41">
        <f t="shared" si="31"/>
        <v>42871</v>
      </c>
      <c r="AR18" s="42">
        <f t="shared" si="45"/>
        <v>42871</v>
      </c>
      <c r="AS18" s="43" t="str">
        <f>IF(AR18="","",IF(ISERROR(MATCH(AR18,Lune!$A$1:$A$1000,0)),IF(WEEKDAY(AR18)=5,INT((AR18-DATE(YEAR(AR18),1,1))/7+1),IF(AND(WEEKDAY(AR18)=4,NOT( ISERROR(MATCH(AR18+1,Lune!$A$1:$A$1000,0)))),INT((AR18+1-DATE(YEAR(AR18+1),1,1))/7+1),"")),INDEX(Lune!$B$1:$B$1000,MATCH(AR18,Lune!$A$1:$A$1000,0),1)))</f>
        <v/>
      </c>
      <c r="AT18" s="79" t="str">
        <f t="shared" ca="1" si="8"/>
        <v/>
      </c>
      <c r="AU18" s="54" t="str">
        <f ca="1">IF(ISERROR(VLOOKUP(AR18,anniversaire!$X$2:$Z$100,2,0)),"",VLOOKUP(AR18,anniversaire!$X$2:$Z$100,2,0))</f>
        <v/>
      </c>
      <c r="AV18" s="54" t="str">
        <f>IF(ISERROR(VLOOKUP(AR18,fête!$B$2:$C$367,2,0)),"",VLOOKUP(AR18,fête!$B$2:$C$367,2,0))</f>
        <v>Honoré</v>
      </c>
      <c r="AW18" s="238" t="str">
        <f ca="1">IF(ISERROR(VLOOKUP(AR18,évènements!$A$3:$E$200,3,0)),"",VLOOKUP(AR18,évènements!$A$3:$E$200,3,0))</f>
        <v/>
      </c>
      <c r="AX18" s="238" t="str">
        <f>IF(ISERROR(VLOOKUP(AR18,évènements!$B$3:$E$200,2,0)),"",VLOOKUP(AR18,évènements!$B$3:$E$200,2,0))</f>
        <v/>
      </c>
      <c r="AY18" s="238" t="str">
        <f ca="1">IF(ISNA(VLOOKUP(AR18,Tableau1[[#All],[Colonne1]:[ouvrés]],3,FALSE)),"",VLOOKUP(AR18,Tableau1[[#All],[Colonne1]:[ouvrés]],3,FALSE))</f>
        <v/>
      </c>
      <c r="AZ18" s="238" t="str">
        <f t="shared" ca="1" si="9"/>
        <v xml:space="preserve">  </v>
      </c>
      <c r="BA18" s="41">
        <f t="shared" si="32"/>
        <v>42902</v>
      </c>
      <c r="BB18" s="42">
        <f t="shared" si="46"/>
        <v>42902</v>
      </c>
      <c r="BC18" s="43" t="str">
        <f>IF(BB18="","",IF(ISERROR(MATCH(BB18,Lune!$A$1:$A$1000,0)),IF(WEEKDAY(BB18)=5,INT((BB18-DATE(YEAR(BB18),1,1))/7+1),IF(AND(WEEKDAY(BB18)=4,NOT( ISERROR(MATCH(BB18+1,Lune!$A$1:$A$1000,0)))),INT((BB18+1-DATE(YEAR(BB18+1),1,1))/7+1),"")),INDEX(Lune!$B$1:$B$1000,MATCH(BB18,Lune!$A$1:$A$1000,0),1)))</f>
        <v/>
      </c>
      <c r="BD18" s="79" t="str">
        <f t="shared" ca="1" si="10"/>
        <v/>
      </c>
      <c r="BE18" s="54" t="str">
        <f ca="1">IF(ISERROR(VLOOKUP(BB18,anniversaire!$X$2:$Z$100,2,0)),"",VLOOKUP(BB18,anniversaire!$X$2:$Z$100,2,0))</f>
        <v/>
      </c>
      <c r="BF18" s="54" t="str">
        <f>IF(ISERROR(VLOOKUP(BB18,fête!$B$2:$C$367,2,0)),"",VLOOKUP(BB18,fête!$B$2:$C$367,2,0))</f>
        <v>Jean-François Régis</v>
      </c>
      <c r="BG18" s="54" t="str">
        <f>IF(ISERROR(VLOOKUP(BB18,évènements!$A$3:$E$200,3,0)),"",VLOOKUP(BB18,évènements!$A$3:$E$200,3,0))</f>
        <v/>
      </c>
      <c r="BH18" s="54" t="str">
        <f>IF(ISERROR(VLOOKUP(BB18,évènements!$B$3:$E$200,2,0)),"",VLOOKUP(BB18,évènements!$B$3:$E$200,2,0))</f>
        <v/>
      </c>
      <c r="BI18" s="54" t="str">
        <f ca="1">IF(ISNA(VLOOKUP(BB18,Tableau1[[#All],[Colonne1]:[ouvrés]],3,FALSE)),"",VLOOKUP(BB18,Tableau1[[#All],[Colonne1]:[ouvrés]],3,FALSE))</f>
        <v/>
      </c>
      <c r="BJ18" s="54" t="str">
        <f t="shared" si="56"/>
        <v xml:space="preserve">  </v>
      </c>
      <c r="BK18" s="41">
        <f t="shared" si="33"/>
        <v>42932</v>
      </c>
      <c r="BL18" s="42">
        <f t="shared" si="47"/>
        <v>42932</v>
      </c>
      <c r="BM18" s="43" t="str">
        <f>IF(BL18="","",IF(ISERROR(MATCH(BL18,Lune!$A$1:$A$1000,0)),IF(WEEKDAY(BL18)=5,INT((BL18-DATE(YEAR(BL18),1,1))/7+1),IF(AND(WEEKDAY(BL18)=4,NOT( ISERROR(MATCH(BL18+1,Lune!$A$1:$A$1000,0)))),INT((BL18+1-DATE(YEAR(BL18+1),1,1))/7+1),"")),INDEX(Lune!$B$1:$B$1000,MATCH(BL18,Lune!$A$1:$A$1000,0),1)))</f>
        <v>◑</v>
      </c>
      <c r="BN18" s="80" t="str">
        <f t="shared" ca="1" si="12"/>
        <v/>
      </c>
      <c r="BO18" s="54" t="str">
        <f ca="1">IF(ISERROR(VLOOKUP(BL18,anniversaire!$X$2:$Z$100,2,0)),"",VLOOKUP(BL18,anniversaire!$X$2:$Z$100,2,0))</f>
        <v/>
      </c>
      <c r="BP18" s="54" t="str">
        <f>IF(ISERROR(VLOOKUP(BL18,fête!$B$2:$C$367,2,0)),"",VLOOKUP(BL18,fête!$B$2:$C$367,2,0))</f>
        <v>Notre Dame du Mont Carmel</v>
      </c>
      <c r="BQ18" s="54" t="str">
        <f>IF(ISERROR(VLOOKUP(BL18,évènements!$A$3:$E$200,3,0)),"",VLOOKUP(BL18,évènements!$A$3:$E$200,3,0))</f>
        <v/>
      </c>
      <c r="BR18" s="54" t="str">
        <f>IF(ISERROR(VLOOKUP(BL18,évènements!$B$3:$E$200,2,0)),"",VLOOKUP(BL18,évènements!$B$3:$E$200,2,0))</f>
        <v/>
      </c>
      <c r="BS18" s="54" t="str">
        <f ca="1">IF(ISNA(VLOOKUP(BL18,Tableau1[[#All],[Colonne1]:[ouvrés]],3,FALSE)),"",VLOOKUP(BL18,Tableau1[[#All],[Colonne1]:[ouvrés]],3,FALSE))</f>
        <v/>
      </c>
      <c r="BT18" s="54" t="str">
        <f t="shared" si="34"/>
        <v xml:space="preserve">  </v>
      </c>
      <c r="BU18" s="41">
        <f t="shared" si="35"/>
        <v>42963</v>
      </c>
      <c r="BV18" s="42">
        <f t="shared" si="48"/>
        <v>42963</v>
      </c>
      <c r="BW18" s="43" t="str">
        <f>IF(BV18="","",IF(ISERROR(MATCH(BV18,Lune!$A$1:$A$1000,0)),IF(WEEKDAY(BV18)=5,INT((BV18-DATE(YEAR(BV18),1,1))/7+1),IF(AND(WEEKDAY(BV18)=4,NOT( ISERROR(MATCH(BV18+1,Lune!$A$1:$A$1000,0)))),INT((BV18+1-DATE(YEAR(BV18+1),1,1))/7+1),"")),INDEX(Lune!$B$1:$B$1000,MATCH(BV18,Lune!$A$1:$A$1000,0),1)))</f>
        <v/>
      </c>
      <c r="BX18" s="80" t="str">
        <f t="shared" ca="1" si="13"/>
        <v/>
      </c>
      <c r="BY18" s="54" t="str">
        <f ca="1">IF(ISERROR(VLOOKUP(BV18,anniversaire!$X$2:$Z$100,2,0)),"",VLOOKUP(BV18,anniversaire!$X$2:$Z$100,2,0))</f>
        <v/>
      </c>
      <c r="BZ18" s="54" t="str">
        <f>IF(ISERROR(VLOOKUP(BV18,fête!$B$2:$C$367,2,0)),"",VLOOKUP(BV18,fête!$B$2:$C$367,2,0))</f>
        <v>Armel</v>
      </c>
      <c r="CA18" s="54" t="str">
        <f>IF(ISERROR(VLOOKUP(BV18,évènements!$A$3:$E$200,3,0)),"",VLOOKUP(BV18,évènements!$A$3:$E$200,3,0))</f>
        <v/>
      </c>
      <c r="CB18" s="54" t="str">
        <f>IF(ISERROR(VLOOKUP(BV18,évènements!$B$3:$E$200,2,0)),"",VLOOKUP(BV18,évènements!$B$3:$E$200,2,0))</f>
        <v/>
      </c>
      <c r="CC18" s="54" t="str">
        <f ca="1">IF(ISNA(VLOOKUP(BV18,Tableau1[[#All],[Colonne1]:[ouvrés]],3,FALSE)),"",VLOOKUP(BV18,Tableau1[[#All],[Colonne1]:[ouvrés]],3,FALSE))</f>
        <v/>
      </c>
      <c r="CD18" s="54" t="str">
        <f t="shared" si="14"/>
        <v xml:space="preserve">  </v>
      </c>
      <c r="CE18" s="41">
        <f t="shared" si="36"/>
        <v>42994</v>
      </c>
      <c r="CF18" s="42">
        <f t="shared" si="49"/>
        <v>42994</v>
      </c>
      <c r="CG18" s="43" t="str">
        <f>IF(CF18="","",IF(ISERROR(MATCH(CF18,Lune!$A$1:$A$1000,0)),IF(WEEKDAY(CF18)=5,INT((CF18-DATE(YEAR(CF18),1,1))/7+1),IF(AND(WEEKDAY(CF18)=4,NOT( ISERROR(MATCH(CF18+1,Lune!$A$1:$A$1000,0)))),INT((CF18+1-DATE(YEAR(CF18+1),1,1))/7+1),"")),INDEX(Lune!$B$1:$B$1000,MATCH(CF18,Lune!$A$1:$A$1000,0),1)))</f>
        <v/>
      </c>
      <c r="CH18" s="80" t="str">
        <f t="shared" ca="1" si="15"/>
        <v/>
      </c>
      <c r="CI18" s="54" t="str">
        <f ca="1">IF(ISERROR(VLOOKUP(CF18,anniversaire!$X$2:$Z$100,2,0)),"",VLOOKUP(CF18,anniversaire!$X$2:$Z$100,2,0))</f>
        <v/>
      </c>
      <c r="CJ18" s="54" t="str">
        <f>IF(ISERROR(VLOOKUP(CF18,fête!$B$2:$C$367,2,0)),"",VLOOKUP(CF18,fête!$B$2:$C$367,2,0))</f>
        <v>Edith</v>
      </c>
      <c r="CK18" s="54" t="str">
        <f>IF(ISERROR(VLOOKUP(CF18,évènements!$A$3:$E$200,3,0)),"",VLOOKUP(CF18,évènements!$A$3:$E$200,3,0))</f>
        <v/>
      </c>
      <c r="CL18" s="54" t="str">
        <f>IF(ISERROR(VLOOKUP(CF18,évènements!$B$3:$E$200,2,0)),"",VLOOKUP(CF18,évènements!$B$3:$E$200,2,0))</f>
        <v/>
      </c>
      <c r="CM18" s="54" t="str">
        <f ca="1">IF(ISNA(VLOOKUP(CF18,Tableau1[[#All],[Colonne1]:[ouvrés]],3,FALSE)),"",VLOOKUP(CF18,Tableau1[[#All],[Colonne1]:[ouvrés]],3,FALSE))</f>
        <v/>
      </c>
      <c r="CN18" s="54" t="str">
        <f t="shared" si="16"/>
        <v xml:space="preserve">  </v>
      </c>
      <c r="CO18" s="41">
        <f t="shared" si="37"/>
        <v>43024</v>
      </c>
      <c r="CP18" s="42">
        <f t="shared" si="50"/>
        <v>43024</v>
      </c>
      <c r="CQ18" s="43" t="str">
        <f>IF(CP18="","",IF(ISERROR(MATCH(CP18,Lune!$A$1:$A$1000,0)),IF(WEEKDAY(CP18)=5,INT((CP18-DATE(YEAR(CP18),1,1))/7+1),IF(AND(WEEKDAY(CP18)=4,NOT( ISERROR(MATCH(CP18+1,Lune!$A$1:$A$1000,0)))),INT((CP18+1-DATE(YEAR(CP18+1),1,1))/7+1),"")),INDEX(Lune!$B$1:$B$1000,MATCH(CP18,Lune!$A$1:$A$1000,0),1)))</f>
        <v/>
      </c>
      <c r="CR18" s="80" t="str">
        <f t="shared" ca="1" si="17"/>
        <v/>
      </c>
      <c r="CS18" s="54" t="str">
        <f ca="1">IF(ISERROR(VLOOKUP(CP18,anniversaire!$X$2:$Z$100,2,0)),"",VLOOKUP(CP18,anniversaire!$X$2:$Z$100,2,0))</f>
        <v/>
      </c>
      <c r="CT18" s="54" t="str">
        <f>IF(ISERROR(VLOOKUP(CP18,fête!$B$2:$C$367,2,0)),"",VLOOKUP(CP18,fête!$B$2:$C$367,2,0))</f>
        <v>Edwige</v>
      </c>
      <c r="CU18" s="54" t="str">
        <f>IF(ISERROR(VLOOKUP(CP18,évènements!$A$3:$E$200,3,0)),"",VLOOKUP(CP18,évènements!$A$3:$E$200,3,0))</f>
        <v/>
      </c>
      <c r="CV18" s="54" t="str">
        <f>IF(ISERROR(VLOOKUP(CP18,évènements!$B$3:$E$200,2,0)),"",VLOOKUP(CP18,évènements!$B$3:$E$200,2,0))</f>
        <v/>
      </c>
      <c r="CW18" s="54" t="str">
        <f ca="1">IF(ISNA(VLOOKUP(CP18,Tableau1[[#All],[Colonne1]:[ouvrés]],3,FALSE)),"",VLOOKUP(CP18,Tableau1[[#All],[Colonne1]:[ouvrés]],3,FALSE))</f>
        <v/>
      </c>
      <c r="CX18" s="54" t="str">
        <f t="shared" si="18"/>
        <v xml:space="preserve">  </v>
      </c>
      <c r="CY18" s="41">
        <f t="shared" si="38"/>
        <v>43055</v>
      </c>
      <c r="CZ18" s="42">
        <f t="shared" si="51"/>
        <v>43055</v>
      </c>
      <c r="DA18" s="43">
        <f>IF(CZ18="","",IF(ISERROR(MATCH(CZ18,Lune!$A$1:$A$1000,0)),IF(WEEKDAY(CZ18)=5,INT((CZ18-DATE(YEAR(CZ18),1,1))/7+1),IF(AND(WEEKDAY(CZ18)=4,NOT( ISERROR(MATCH(CZ18+1,Lune!$A$1:$A$1000,0)))),INT((CZ18+1-DATE(YEAR(CZ18+1),1,1))/7+1),"")),INDEX(Lune!$B$1:$B$1000,MATCH(CZ18,Lune!$A$1:$A$1000,0),1)))</f>
        <v>46</v>
      </c>
      <c r="DB18" s="80" t="str">
        <f t="shared" ca="1" si="19"/>
        <v/>
      </c>
      <c r="DC18" s="54" t="str">
        <f ca="1">IF(ISERROR(VLOOKUP(CZ18,anniversaire!$X$2:$Z$100,2,0)),"",VLOOKUP(CZ18,anniversaire!$X$2:$Z$100,2,0))</f>
        <v/>
      </c>
      <c r="DD18" s="54" t="str">
        <f>IF(ISERROR(VLOOKUP(CZ18,fête!$B$2:$C$367,2,0)),"",VLOOKUP(CZ18,fête!$B$2:$C$367,2,0))</f>
        <v>Marguerite</v>
      </c>
      <c r="DE18" s="54" t="str">
        <f>IF(ISERROR(VLOOKUP(CZ18,évènements!$A$3:$E$200,3,0)),"",VLOOKUP(CZ18,évènements!$A$3:$E$200,3,0))</f>
        <v/>
      </c>
      <c r="DF18" s="54" t="str">
        <f>IF(ISERROR(VLOOKUP(CZ18,évènements!$B$3:$E$200,2,0)),"",VLOOKUP(CZ18,évènements!$B$3:$E$200,2,0))</f>
        <v/>
      </c>
      <c r="DG18" s="54"/>
      <c r="DH18" s="54" t="str">
        <f t="shared" si="20"/>
        <v xml:space="preserve">  </v>
      </c>
      <c r="DI18" s="41">
        <f t="shared" si="39"/>
        <v>43085</v>
      </c>
      <c r="DJ18" s="42">
        <f t="shared" si="52"/>
        <v>43085</v>
      </c>
      <c r="DK18" s="43" t="str">
        <f>IF(DJ18="","",IF(ISERROR(MATCH(DJ18,Lune!$A$1:$A$1000,0)),IF(WEEKDAY(DJ18)=5,INT((DJ18-DATE(YEAR(DJ18),1,1))/7+1),IF(AND(WEEKDAY(DJ18)=4,NOT( ISERROR(MATCH(DJ18+1,Lune!$A$1:$A$1000,0)))),INT((DJ18+1-DATE(YEAR(DJ18+1),1,1))/7+1),"")),INDEX(Lune!$B$1:$B$1000,MATCH(DJ18,Lune!$A$1:$A$1000,0),1)))</f>
        <v/>
      </c>
      <c r="DL18" s="80" t="str">
        <f t="shared" ca="1" si="21"/>
        <v/>
      </c>
      <c r="DM18" s="54" t="str">
        <f ca="1">IF(ISERROR(VLOOKUP(DJ18,anniversaire!$X$2:$Z$100,2,0)),"",VLOOKUP(DJ18,anniversaire!$X$2:$Z$100,2,0))</f>
        <v/>
      </c>
      <c r="DN18" s="54" t="str">
        <f>IF(ISERROR(VLOOKUP(DJ18,fête!$B$2:$C$367,2,0)),"",VLOOKUP(DJ18,fête!$B$2:$C$367,2,0))</f>
        <v>Alice</v>
      </c>
      <c r="DO18" s="54" t="str">
        <f>IF(ISERROR(VLOOKUP(DJ18,évènements!$A$3:$E$200,3,0)),"",VLOOKUP(DJ18,évènements!$A$3:$E$200,3,0))</f>
        <v/>
      </c>
      <c r="DP18" s="54" t="str">
        <f>IF(ISERROR(VLOOKUP(DJ18,évènements!$B$3:$E$200,2,0)),"",VLOOKUP(DJ18,évènements!$B$3:$E$200,2,0))</f>
        <v/>
      </c>
      <c r="DQ18" s="54" t="str">
        <f ca="1">IF(ISNA(VLOOKUP(DJ18,Tableau1[[#All],[Colonne1]:[ouvrés]],3,FALSE)),"",VLOOKUP(DJ18,Tableau1[[#All],[Colonne1]:[ouvrés]],3,FALSE))</f>
        <v/>
      </c>
      <c r="DR18" s="54" t="str">
        <f t="shared" si="22"/>
        <v xml:space="preserve">  </v>
      </c>
      <c r="DS18" s="41">
        <f t="shared" si="40"/>
        <v>43116</v>
      </c>
      <c r="DT18" s="42">
        <f t="shared" si="53"/>
        <v>43116</v>
      </c>
      <c r="DU18" s="43" t="str">
        <f>IF(DT18="","",IF(ISERROR(MATCH(DT18,Lune!$A$1:$A$1000,0)),IF(WEEKDAY(DT18)=5,INT((DT18-DATE(YEAR(DT18),1,1))/7+1),IF(AND(WEEKDAY(DT18)=4,NOT( ISERROR(MATCH(DT18+1,Lune!$A$1:$A$1000,0)))),INT((DT18+1-DATE(YEAR(DT18+1),1,1))/7+1),"")),INDEX(Lune!$B$1:$B$1000,MATCH(DT18,Lune!$A$1:$A$1000,0),1)))</f>
        <v/>
      </c>
      <c r="DV18" s="89" t="str">
        <f t="shared" ca="1" si="23"/>
        <v/>
      </c>
      <c r="DW18" s="252" t="str">
        <f t="shared" ca="1" si="24"/>
        <v/>
      </c>
      <c r="DX18" s="252" t="str">
        <f t="shared" si="25"/>
        <v>Marcel</v>
      </c>
      <c r="DY18" s="252" t="str">
        <f>IF(ISERROR(VLOOKUP(DT18,évènements!$A$3:$E$200,3,0)),"",VLOOKUP(DT18,évènements!$A$3:$E$200,3,0))</f>
        <v/>
      </c>
      <c r="DZ18" s="252" t="str">
        <f>IF(ISERROR(VLOOKUP(DT18,évènements!$B$3:$E$200,2,0)),"",VLOOKUP(DT18,évènements!$B$3:$E$200,2,0))</f>
        <v/>
      </c>
      <c r="EA18" s="252" t="str">
        <f ca="1">IF(ISNA(VLOOKUP(DT18,Tableau1[[#All],[Colonne1]:[ouvrés]],3,FALSE)),"",VLOOKUP(DT18,Tableau1[[#All],[Colonne1]:[ouvrés]],3,FALSE))</f>
        <v/>
      </c>
      <c r="EB18" s="252" t="str">
        <f t="shared" si="26"/>
        <v xml:space="preserve">  </v>
      </c>
    </row>
    <row r="19" spans="2:132" ht="15" customHeight="1" x14ac:dyDescent="0.25">
      <c r="B19" s="29"/>
      <c r="C19" s="41">
        <f t="shared" si="27"/>
        <v>42752</v>
      </c>
      <c r="D19" s="40">
        <f t="shared" si="41"/>
        <v>42752</v>
      </c>
      <c r="E19" s="131" t="str">
        <f>IF(D19="","",IF(ISERROR(MATCH(D19,Lune!$A$1:$A$1000,0)),IF(WEEKDAY(D19)=5,INT((D19-DATE(YEAR(D19),1,1))/7+1),IF(AND(WEEKDAY(D19)=4,NOT( ISERROR(MATCH(D19+1,Lune!$A$1:$A$1000,0)))),INT((D19+1-DATE(YEAR(D19+1),1,1))/7+1),"")),INDEX(Lune!$B$1:$B$1000,MATCH(D19,Lune!$A$1:$A$1000,0),1)))</f>
        <v/>
      </c>
      <c r="F19" s="89" t="str">
        <f t="shared" ca="1" si="0"/>
        <v/>
      </c>
      <c r="G19" s="125" t="str">
        <f ca="1">IF(ISERROR(VLOOKUP(D19,anniversaire!$X$2:$Z$100,2,0)),"",VLOOKUP(D19,anniversaire!$X$2:$Z$100,2,0))</f>
        <v/>
      </c>
      <c r="H19" s="54" t="str">
        <f>IF(ISERROR(VLOOKUP(D19,fête!$B$2:$C$367,2,0)),"",VLOOKUP(D19,fête!$B$2:$C$367,2,0))</f>
        <v>Roseline</v>
      </c>
      <c r="I19" s="239" t="str">
        <f>IF(ISERROR(VLOOKUP(D19,évènements!$A$3:$E$200,3,0)),"",VLOOKUP(D19,évènements!$A$3:$E$200,3,0))</f>
        <v/>
      </c>
      <c r="J19" s="239" t="str">
        <f>IF(ISERROR(VLOOKUP(D19,évènements!$B$3:$E$200,2,0)),"",VLOOKUP(D19,évènements!$B$3:$E$200,2,0))</f>
        <v/>
      </c>
      <c r="K19" s="239" t="str">
        <f ca="1">IF(ISNA(VLOOKUP(D19,Tableau1[[#All],[Colonne1]:[ouvrés]],3,FALSE)),"",VLOOKUP(D19,Tableau1[[#All],[Colonne1]:[ouvrés]],3,FALSE))</f>
        <v/>
      </c>
      <c r="L19" s="239" t="str">
        <f t="shared" si="1"/>
        <v xml:space="preserve">  </v>
      </c>
      <c r="M19" s="41">
        <f t="shared" si="28"/>
        <v>42783</v>
      </c>
      <c r="N19" s="42">
        <f t="shared" si="42"/>
        <v>42783</v>
      </c>
      <c r="O19" s="131" t="str">
        <f>IF(N19="","",IF(ISERROR(MATCH(N19,Lune!$A$1:$A$1000,0)),IF(WEEKDAY(N19)=5,INT((N19-DATE(YEAR(N19),1,1))/7+1),IF(AND(WEEKDAY(N19)=4,NOT( ISERROR(MATCH(N19+1,Lune!$A$1:$A$1000,0)))),INT((N19+1-DATE(YEAR(N19+1),1,1))/7+1),"")),INDEX(Lune!$B$1:$B$1000,MATCH(N19,Lune!$A$1:$A$1000,0),1)))</f>
        <v/>
      </c>
      <c r="P19" s="80" t="str">
        <f t="shared" ca="1" si="54"/>
        <v/>
      </c>
      <c r="Q19" s="54" t="str">
        <f ca="1">IF(ISERROR(VLOOKUP(N19,anniversaire!$X$2:$Z$100,2,0)),"",VLOOKUP(N19,anniversaire!$X$2:$Z$100,2,0))</f>
        <v/>
      </c>
      <c r="R19" s="54" t="str">
        <f>IF(ISERROR(VLOOKUP(N19,fête!$B$2:$C$367,2,0)),"",VLOOKUP(N19,fête!$B$2:$C$367,2,0))</f>
        <v>Alexis</v>
      </c>
      <c r="S19" s="54" t="str">
        <f>IF(ISERROR(VLOOKUP(N19,évènements!$A$3:$E$200,3,0)),"",VLOOKUP(N19,évènements!$A$3:$E$200,3,0))</f>
        <v/>
      </c>
      <c r="T19" s="54" t="str">
        <f>IF(ISERROR(VLOOKUP(N19,évènements!$B$3:$E$200,2,0)),"",VLOOKUP(N19,évènements!$B$3:$E$200,2,0))</f>
        <v/>
      </c>
      <c r="U19" s="54" t="str">
        <f ca="1">IF(ISNA(VLOOKUP(N19,Tableau1[[#All],[Colonne1]:[ouvrés]],3,FALSE)),"",VLOOKUP(N19,Tableau1[[#All],[Colonne1]:[ouvrés]],3,FALSE))</f>
        <v/>
      </c>
      <c r="V19" s="54" t="str">
        <f t="shared" si="3"/>
        <v xml:space="preserve">  </v>
      </c>
      <c r="W19" s="41">
        <f t="shared" si="29"/>
        <v>42811</v>
      </c>
      <c r="X19" s="42">
        <f t="shared" si="43"/>
        <v>42811</v>
      </c>
      <c r="Y19" s="132" t="str">
        <f>IF(X19="","",IF(ISERROR(MATCH(X19,Lune!$A$1:$A$1000,0)),IF(WEEKDAY(X19)=5,INT((X19-DATE(YEAR(X19),1,1))/7+1),IF(AND(WEEKDAY(X19)=4,NOT( ISERROR(MATCH(X19+1,Lune!$A$1:$A$1000,0)))),INT((X19+1-DATE(YEAR(X19+1),1,1))/7+1),"")),INDEX(Lune!$B$1:$B$1000,MATCH(X19,Lune!$A$1:$A$1000,0),1)))</f>
        <v/>
      </c>
      <c r="Z19" s="89" t="str">
        <f t="shared" ca="1" si="4"/>
        <v/>
      </c>
      <c r="AA19" s="125" t="str">
        <f ca="1">IF(ISERROR(VLOOKUP(X19,anniversaire!$X$2:$Z$100,2,0)),"",VLOOKUP(X19,anniversaire!$X$2:$Z$100,2,0))</f>
        <v/>
      </c>
      <c r="AB19" s="54" t="str">
        <f>IF(ISERROR(VLOOKUP(X19,fête!$B$2:$C$367,2,0)),"",VLOOKUP(X19,fête!$B$2:$C$367,2,0))</f>
        <v>Patrice</v>
      </c>
      <c r="AC19" s="54" t="str">
        <f ca="1">IF(ISERROR(VLOOKUP(X19,évènements!$A$3:$E$200,3,0)),"",VLOOKUP(X19,évènements!$A$3:$E$200,3,0))</f>
        <v/>
      </c>
      <c r="AD19" s="54" t="str">
        <f>IF(ISERROR(VLOOKUP(X19,évènements!$B$3:$E$200,2,0)),"",VLOOKUP(X19,évènements!$B$3:$E$200,2,0))</f>
        <v/>
      </c>
      <c r="AE19" s="54" t="str">
        <f ca="1">IF(ISNA(VLOOKUP(X19,Tableau1[[#All],[Colonne1]:[ouvrés]],3,FALSE)),"",VLOOKUP(X19,Tableau1[[#All],[Colonne1]:[ouvrés]],3,FALSE))</f>
        <v/>
      </c>
      <c r="AF19" s="54" t="str">
        <f t="shared" ca="1" si="5"/>
        <v xml:space="preserve">  </v>
      </c>
      <c r="AG19" s="41">
        <f t="shared" si="30"/>
        <v>42842</v>
      </c>
      <c r="AH19" s="42">
        <f t="shared" si="44"/>
        <v>42842</v>
      </c>
      <c r="AI19" s="137" t="str">
        <f>IF(AH19="","",IF(ISERROR(MATCH(AH19,Lune!$A$1:$A$1000,0)),IF(WEEKDAY(AH19)=5,INT((AH19-DATE(YEAR(AH19),1,1))/7+1),IF(AND(WEEKDAY(AH19)=4,NOT( ISERROR(MATCH(AH19+1,Lune!$A$1:$A$1000,0)))),INT((AH19+1-DATE(YEAR(AH19+1),1,1))/7+1),"")),INDEX(Lune!$B$1:$B$1000,MATCH(AH19,Lune!$A$1:$A$1000,0),1)))</f>
        <v/>
      </c>
      <c r="AJ19" s="80" t="str">
        <f t="shared" ca="1" si="6"/>
        <v/>
      </c>
      <c r="AK19" s="54" t="str">
        <f ca="1">IF(ISERROR(VLOOKUP(AH19,anniversaire!$X$2:$Z$100,2,0)),"",VLOOKUP(AH19,anniversaire!$X$2:$Z$100,2,0))</f>
        <v/>
      </c>
      <c r="AL19" s="54" t="str">
        <f>IF(ISERROR(VLOOKUP(AH19,fête!$B$2:$C$367,2,0)),"",VLOOKUP(AH19,fête!$B$2:$C$367,2,0))</f>
        <v>Anicet</v>
      </c>
      <c r="AM19" s="54" t="str">
        <f>IF(ISERROR(VLOOKUP(AH19,évènements!$A$3:$E$200,3,0)),"",VLOOKUP(AH19,évènements!$A$3:$E$200,3,0))</f>
        <v/>
      </c>
      <c r="AN19" s="54" t="str">
        <f>IF(ISERROR(VLOOKUP(AH19,évènements!$B$3:$E$200,2,0)),"",VLOOKUP(AH19,évènements!$B$3:$E$200,2,0))</f>
        <v/>
      </c>
      <c r="AO19" s="54" t="str">
        <f ca="1">IF(ISNA(VLOOKUP(AH19,Tableau1[[#All],[Colonne1]:[ouvrés]],3,FALSE)),"",VLOOKUP(AH19,Tableau1[[#All],[Colonne1]:[ouvrés]],3,FALSE))</f>
        <v/>
      </c>
      <c r="AP19" s="238" t="str">
        <f t="shared" si="55"/>
        <v xml:space="preserve">  </v>
      </c>
      <c r="AQ19" s="41">
        <f t="shared" si="31"/>
        <v>42872</v>
      </c>
      <c r="AR19" s="42">
        <f t="shared" si="45"/>
        <v>42872</v>
      </c>
      <c r="AS19" s="43" t="str">
        <f>IF(AR19="","",IF(ISERROR(MATCH(AR19,Lune!$A$1:$A$1000,0)),IF(WEEKDAY(AR19)=5,INT((AR19-DATE(YEAR(AR19),1,1))/7+1),IF(AND(WEEKDAY(AR19)=4,NOT( ISERROR(MATCH(AR19+1,Lune!$A$1:$A$1000,0)))),INT((AR19+1-DATE(YEAR(AR19+1),1,1))/7+1),"")),INDEX(Lune!$B$1:$B$1000,MATCH(AR19,Lune!$A$1:$A$1000,0),1)))</f>
        <v/>
      </c>
      <c r="AT19" s="79" t="str">
        <f t="shared" ca="1" si="8"/>
        <v/>
      </c>
      <c r="AU19" s="54" t="str">
        <f ca="1">IF(ISERROR(VLOOKUP(AR19,anniversaire!$X$2:$Z$100,2,0)),"",VLOOKUP(AR19,anniversaire!$X$2:$Z$100,2,0))</f>
        <v/>
      </c>
      <c r="AV19" s="54" t="str">
        <f>IF(ISERROR(VLOOKUP(AR19,fête!$B$2:$C$367,2,0)),"",VLOOKUP(AR19,fête!$B$2:$C$367,2,0))</f>
        <v>Pascal</v>
      </c>
      <c r="AW19" s="238" t="str">
        <f>IF(ISERROR(VLOOKUP(AR19,évènements!$A$3:$E$200,3,0)),"",VLOOKUP(AR19,évènements!$A$3:$E$200,3,0))</f>
        <v/>
      </c>
      <c r="AX19" s="238" t="str">
        <f>IF(ISERROR(VLOOKUP(AR19,évènements!$B$3:$E$200,2,0)),"",VLOOKUP(AR19,évènements!$B$3:$E$200,2,0))</f>
        <v/>
      </c>
      <c r="AY19" s="238" t="str">
        <f ca="1">IF(ISNA(VLOOKUP(AR19,Tableau1[[#All],[Colonne1]:[ouvrés]],3,FALSE)),"",VLOOKUP(AR19,Tableau1[[#All],[Colonne1]:[ouvrés]],3,FALSE))</f>
        <v/>
      </c>
      <c r="AZ19" s="238" t="str">
        <f t="shared" si="9"/>
        <v xml:space="preserve">  </v>
      </c>
      <c r="BA19" s="41">
        <f t="shared" si="32"/>
        <v>42903</v>
      </c>
      <c r="BB19" s="42">
        <f t="shared" si="46"/>
        <v>42903</v>
      </c>
      <c r="BC19" s="43" t="str">
        <f>IF(BB19="","",IF(ISERROR(MATCH(BB19,Lune!$A$1:$A$1000,0)),IF(WEEKDAY(BB19)=5,INT((BB19-DATE(YEAR(BB19),1,1))/7+1),IF(AND(WEEKDAY(BB19)=4,NOT( ISERROR(MATCH(BB19+1,Lune!$A$1:$A$1000,0)))),INT((BB19+1-DATE(YEAR(BB19+1),1,1))/7+1),"")),INDEX(Lune!$B$1:$B$1000,MATCH(BB19,Lune!$A$1:$A$1000,0),1)))</f>
        <v>◑</v>
      </c>
      <c r="BD19" s="79" t="str">
        <f t="shared" ca="1" si="10"/>
        <v/>
      </c>
      <c r="BE19" s="54" t="str">
        <f ca="1">IF(ISERROR(VLOOKUP(BB19,anniversaire!$X$2:$Z$100,2,0)),"",VLOOKUP(BB19,anniversaire!$X$2:$Z$100,2,0))</f>
        <v/>
      </c>
      <c r="BF19" s="54" t="str">
        <f>IF(ISERROR(VLOOKUP(BB19,fête!$B$2:$C$367,2,0)),"",VLOOKUP(BB19,fête!$B$2:$C$367,2,0))</f>
        <v>Hervé</v>
      </c>
      <c r="BG19" s="54" t="str">
        <f>IF(ISERROR(VLOOKUP(BB19,évènements!$A$3:$E$200,3,0)),"",VLOOKUP(BB19,évènements!$A$3:$E$200,3,0))</f>
        <v/>
      </c>
      <c r="BH19" s="54" t="str">
        <f>IF(ISERROR(VLOOKUP(BB19,évènements!$B$3:$E$200,2,0)),"",VLOOKUP(BB19,évènements!$B$3:$E$200,2,0))</f>
        <v/>
      </c>
      <c r="BI19" s="54" t="str">
        <f ca="1">IF(ISNA(VLOOKUP(BB19,Tableau1[[#All],[Colonne1]:[ouvrés]],3,FALSE)),"",VLOOKUP(BB19,Tableau1[[#All],[Colonne1]:[ouvrés]],3,FALSE))</f>
        <v/>
      </c>
      <c r="BJ19" s="54" t="str">
        <f t="shared" si="56"/>
        <v xml:space="preserve">  </v>
      </c>
      <c r="BK19" s="41">
        <f t="shared" si="33"/>
        <v>42933</v>
      </c>
      <c r="BL19" s="42">
        <f t="shared" si="47"/>
        <v>42933</v>
      </c>
      <c r="BM19" s="43" t="str">
        <f>IF(BL19="","",IF(ISERROR(MATCH(BL19,Lune!$A$1:$A$1000,0)),IF(WEEKDAY(BL19)=5,INT((BL19-DATE(YEAR(BL19),1,1))/7+1),IF(AND(WEEKDAY(BL19)=4,NOT( ISERROR(MATCH(BL19+1,Lune!$A$1:$A$1000,0)))),INT((BL19+1-DATE(YEAR(BL19+1),1,1))/7+1),"")),INDEX(Lune!$B$1:$B$1000,MATCH(BL19,Lune!$A$1:$A$1000,0),1)))</f>
        <v/>
      </c>
      <c r="BN19" s="80" t="str">
        <f t="shared" ca="1" si="12"/>
        <v/>
      </c>
      <c r="BO19" s="54" t="str">
        <f ca="1">IF(ISERROR(VLOOKUP(BL19,anniversaire!$X$2:$Z$100,2,0)),"",VLOOKUP(BL19,anniversaire!$X$2:$Z$100,2,0))</f>
        <v/>
      </c>
      <c r="BP19" s="54" t="str">
        <f>IF(ISERROR(VLOOKUP(BL19,fête!$B$2:$C$367,2,0)),"",VLOOKUP(BL19,fête!$B$2:$C$367,2,0))</f>
        <v>Charlotte</v>
      </c>
      <c r="BQ19" s="54" t="str">
        <f>IF(ISERROR(VLOOKUP(BL19,évènements!$A$3:$E$200,3,0)),"",VLOOKUP(BL19,évènements!$A$3:$E$200,3,0))</f>
        <v/>
      </c>
      <c r="BR19" s="54" t="str">
        <f>IF(ISERROR(VLOOKUP(BL19,évènements!$B$3:$E$200,2,0)),"",VLOOKUP(BL19,évènements!$B$3:$E$200,2,0))</f>
        <v/>
      </c>
      <c r="BS19" s="54" t="str">
        <f ca="1">IF(ISNA(VLOOKUP(BL19,Tableau1[[#All],[Colonne1]:[ouvrés]],3,FALSE)),"",VLOOKUP(BL19,Tableau1[[#All],[Colonne1]:[ouvrés]],3,FALSE))</f>
        <v/>
      </c>
      <c r="BT19" s="54" t="str">
        <f t="shared" si="34"/>
        <v xml:space="preserve">  </v>
      </c>
      <c r="BU19" s="41">
        <f t="shared" si="35"/>
        <v>42964</v>
      </c>
      <c r="BV19" s="42">
        <f t="shared" si="48"/>
        <v>42964</v>
      </c>
      <c r="BW19" s="43">
        <f>IF(BV19="","",IF(ISERROR(MATCH(BV19,Lune!$A$1:$A$1000,0)),IF(WEEKDAY(BV19)=5,INT((BV19-DATE(YEAR(BV19),1,1))/7+1),IF(AND(WEEKDAY(BV19)=4,NOT( ISERROR(MATCH(BV19+1,Lune!$A$1:$A$1000,0)))),INT((BV19+1-DATE(YEAR(BV19+1),1,1))/7+1),"")),INDEX(Lune!$B$1:$B$1000,MATCH(BV19,Lune!$A$1:$A$1000,0),1)))</f>
        <v>33</v>
      </c>
      <c r="BX19" s="80" t="str">
        <f t="shared" ca="1" si="13"/>
        <v/>
      </c>
      <c r="BY19" s="54" t="str">
        <f ca="1">IF(ISERROR(VLOOKUP(BV19,anniversaire!$X$2:$Z$100,2,0)),"",VLOOKUP(BV19,anniversaire!$X$2:$Z$100,2,0))</f>
        <v/>
      </c>
      <c r="BZ19" s="54" t="str">
        <f>IF(ISERROR(VLOOKUP(BV19,fête!$B$2:$C$367,2,0)),"",VLOOKUP(BV19,fête!$B$2:$C$367,2,0))</f>
        <v>Hyacinthe</v>
      </c>
      <c r="CA19" s="54" t="str">
        <f>IF(ISERROR(VLOOKUP(BV19,évènements!$A$3:$E$200,3,0)),"",VLOOKUP(BV19,évènements!$A$3:$E$200,3,0))</f>
        <v/>
      </c>
      <c r="CB19" s="54" t="str">
        <f>IF(ISERROR(VLOOKUP(BV19,évènements!$B$3:$E$200,2,0)),"",VLOOKUP(BV19,évènements!$B$3:$E$200,2,0))</f>
        <v/>
      </c>
      <c r="CC19" s="54" t="str">
        <f ca="1">IF(ISNA(VLOOKUP(BV19,Tableau1[[#All],[Colonne1]:[ouvrés]],3,FALSE)),"",VLOOKUP(BV19,Tableau1[[#All],[Colonne1]:[ouvrés]],3,FALSE))</f>
        <v/>
      </c>
      <c r="CD19" s="54" t="str">
        <f t="shared" si="14"/>
        <v xml:space="preserve">  </v>
      </c>
      <c r="CE19" s="41">
        <f t="shared" si="36"/>
        <v>42995</v>
      </c>
      <c r="CF19" s="42">
        <f t="shared" si="49"/>
        <v>42995</v>
      </c>
      <c r="CG19" s="43" t="str">
        <f>IF(CF19="","",IF(ISERROR(MATCH(CF19,Lune!$A$1:$A$1000,0)),IF(WEEKDAY(CF19)=5,INT((CF19-DATE(YEAR(CF19),1,1))/7+1),IF(AND(WEEKDAY(CF19)=4,NOT( ISERROR(MATCH(CF19+1,Lune!$A$1:$A$1000,0)))),INT((CF19+1-DATE(YEAR(CF19+1),1,1))/7+1),"")),INDEX(Lune!$B$1:$B$1000,MATCH(CF19,Lune!$A$1:$A$1000,0),1)))</f>
        <v/>
      </c>
      <c r="CH19" s="80" t="str">
        <f t="shared" ca="1" si="15"/>
        <v xml:space="preserve"> '</v>
      </c>
      <c r="CI19" s="54" t="str">
        <f ca="1">IF(ISERROR(VLOOKUP(CF19,anniversaire!$X$2:$Z$100,2,0)),"",VLOOKUP(CF19,anniversaire!$X$2:$Z$100,2,0))</f>
        <v>decelle  nelly    36</v>
      </c>
      <c r="CJ19" s="54" t="str">
        <f>IF(ISERROR(VLOOKUP(CF19,fête!$B$2:$C$367,2,0)),"",VLOOKUP(CF19,fête!$B$2:$C$367,2,0))</f>
        <v>Renaud</v>
      </c>
      <c r="CK19" s="54" t="str">
        <f>IF(ISERROR(VLOOKUP(CF19,évènements!$A$3:$E$200,3,0)),"",VLOOKUP(CF19,évènements!$A$3:$E$200,3,0))</f>
        <v/>
      </c>
      <c r="CL19" s="54" t="str">
        <f>IF(ISERROR(VLOOKUP(CF19,évènements!$B$3:$E$200,2,0)),"",VLOOKUP(CF19,évènements!$B$3:$E$200,2,0))</f>
        <v/>
      </c>
      <c r="CM19" s="54" t="str">
        <f ca="1">IF(ISNA(VLOOKUP(CF19,Tableau1[[#All],[Colonne1]:[ouvrés]],3,FALSE)),"",VLOOKUP(CF19,Tableau1[[#All],[Colonne1]:[ouvrés]],3,FALSE))</f>
        <v/>
      </c>
      <c r="CN19" s="54" t="str">
        <f t="shared" si="16"/>
        <v xml:space="preserve">  </v>
      </c>
      <c r="CO19" s="41">
        <f t="shared" si="37"/>
        <v>43025</v>
      </c>
      <c r="CP19" s="42">
        <f t="shared" si="50"/>
        <v>43025</v>
      </c>
      <c r="CQ19" s="43" t="str">
        <f>IF(CP19="","",IF(ISERROR(MATCH(CP19,Lune!$A$1:$A$1000,0)),IF(WEEKDAY(CP19)=5,INT((CP19-DATE(YEAR(CP19),1,1))/7+1),IF(AND(WEEKDAY(CP19)=4,NOT( ISERROR(MATCH(CP19+1,Lune!$A$1:$A$1000,0)))),INT((CP19+1-DATE(YEAR(CP19+1),1,1))/7+1),"")),INDEX(Lune!$B$1:$B$1000,MATCH(CP19,Lune!$A$1:$A$1000,0),1)))</f>
        <v/>
      </c>
      <c r="CR19" s="80" t="str">
        <f t="shared" ca="1" si="17"/>
        <v/>
      </c>
      <c r="CS19" s="54" t="str">
        <f ca="1">IF(ISERROR(VLOOKUP(CP19,anniversaire!$X$2:$Z$100,2,0)),"",VLOOKUP(CP19,anniversaire!$X$2:$Z$100,2,0))</f>
        <v/>
      </c>
      <c r="CT19" s="54" t="str">
        <f>IF(ISERROR(VLOOKUP(CP19,fête!$B$2:$C$367,2,0)),"",VLOOKUP(CP19,fête!$B$2:$C$367,2,0))</f>
        <v>Baudoin</v>
      </c>
      <c r="CU19" s="54" t="str">
        <f>IF(ISERROR(VLOOKUP(CP19,évènements!$A$3:$E$200,3,0)),"",VLOOKUP(CP19,évènements!$A$3:$E$200,3,0))</f>
        <v/>
      </c>
      <c r="CV19" s="54" t="str">
        <f>IF(ISERROR(VLOOKUP(CP19,évènements!$B$3:$E$200,2,0)),"",VLOOKUP(CP19,évènements!$B$3:$E$200,2,0))</f>
        <v/>
      </c>
      <c r="CW19" s="54" t="str">
        <f ca="1">IF(ISNA(VLOOKUP(CP19,Tableau1[[#All],[Colonne1]:[ouvrés]],3,FALSE)),"",VLOOKUP(CP19,Tableau1[[#All],[Colonne1]:[ouvrés]],3,FALSE))</f>
        <v/>
      </c>
      <c r="CX19" s="54" t="str">
        <f t="shared" si="18"/>
        <v xml:space="preserve">  </v>
      </c>
      <c r="CY19" s="41">
        <f t="shared" si="38"/>
        <v>43056</v>
      </c>
      <c r="CZ19" s="42">
        <f t="shared" si="51"/>
        <v>43056</v>
      </c>
      <c r="DA19" s="43" t="str">
        <f>IF(CZ19="","",IF(ISERROR(MATCH(CZ19,Lune!$A$1:$A$1000,0)),IF(WEEKDAY(CZ19)=5,INT((CZ19-DATE(YEAR(CZ19),1,1))/7+1),IF(AND(WEEKDAY(CZ19)=4,NOT( ISERROR(MATCH(CZ19+1,Lune!$A$1:$A$1000,0)))),INT((CZ19+1-DATE(YEAR(CZ19+1),1,1))/7+1),"")),INDEX(Lune!$B$1:$B$1000,MATCH(CZ19,Lune!$A$1:$A$1000,0),1)))</f>
        <v/>
      </c>
      <c r="DB19" s="80" t="str">
        <f t="shared" ca="1" si="19"/>
        <v/>
      </c>
      <c r="DC19" s="54" t="str">
        <f ca="1">IF(ISERROR(VLOOKUP(CZ19,anniversaire!$X$2:$Z$100,2,0)),"",VLOOKUP(CZ19,anniversaire!$X$2:$Z$100,2,0))</f>
        <v/>
      </c>
      <c r="DD19" s="54" t="str">
        <f>IF(ISERROR(VLOOKUP(CZ19,fête!$B$2:$C$367,2,0)),"",VLOOKUP(CZ19,fête!$B$2:$C$367,2,0))</f>
        <v>Elisabeth</v>
      </c>
      <c r="DE19" s="54" t="str">
        <f>IF(ISERROR(VLOOKUP(CZ19,évènements!$A$3:$E$200,3,0)),"",VLOOKUP(CZ19,évènements!$A$3:$E$200,3,0))</f>
        <v/>
      </c>
      <c r="DF19" s="54" t="str">
        <f>IF(ISERROR(VLOOKUP(CZ19,évènements!$B$3:$E$200,2,0)),"",VLOOKUP(CZ19,évènements!$B$3:$E$200,2,0))</f>
        <v/>
      </c>
      <c r="DG19" s="54"/>
      <c r="DH19" s="54" t="str">
        <f t="shared" si="20"/>
        <v xml:space="preserve">  </v>
      </c>
      <c r="DI19" s="41">
        <f t="shared" si="39"/>
        <v>43086</v>
      </c>
      <c r="DJ19" s="42">
        <f t="shared" si="52"/>
        <v>43086</v>
      </c>
      <c r="DK19" s="43" t="str">
        <f>IF(DJ19="","",IF(ISERROR(MATCH(DJ19,Lune!$A$1:$A$1000,0)),IF(WEEKDAY(DJ19)=5,INT((DJ19-DATE(YEAR(DJ19),1,1))/7+1),IF(AND(WEEKDAY(DJ19)=4,NOT( ISERROR(MATCH(DJ19+1,Lune!$A$1:$A$1000,0)))),INT((DJ19+1-DATE(YEAR(DJ19+1),1,1))/7+1),"")),INDEX(Lune!$B$1:$B$1000,MATCH(DJ19,Lune!$A$1:$A$1000,0),1)))</f>
        <v/>
      </c>
      <c r="DL19" s="80" t="str">
        <f t="shared" ca="1" si="21"/>
        <v/>
      </c>
      <c r="DM19" s="54" t="str">
        <f ca="1">IF(ISERROR(VLOOKUP(DJ19,anniversaire!$X$2:$Z$100,2,0)),"",VLOOKUP(DJ19,anniversaire!$X$2:$Z$100,2,0))</f>
        <v/>
      </c>
      <c r="DN19" s="54" t="str">
        <f>IF(ISERROR(VLOOKUP(DJ19,fête!$B$2:$C$367,2,0)),"",VLOOKUP(DJ19,fête!$B$2:$C$367,2,0))</f>
        <v>Gaël</v>
      </c>
      <c r="DO19" s="54" t="str">
        <f>IF(ISERROR(VLOOKUP(DJ19,évènements!$A$3:$E$200,3,0)),"",VLOOKUP(DJ19,évènements!$A$3:$E$200,3,0))</f>
        <v/>
      </c>
      <c r="DP19" s="54" t="str">
        <f>IF(ISERROR(VLOOKUP(DJ19,évènements!$B$3:$E$200,2,0)),"",VLOOKUP(DJ19,évènements!$B$3:$E$200,2,0))</f>
        <v/>
      </c>
      <c r="DQ19" s="54" t="str">
        <f ca="1">IF(ISNA(VLOOKUP(DJ19,Tableau1[[#All],[Colonne1]:[ouvrés]],3,FALSE)),"",VLOOKUP(DJ19,Tableau1[[#All],[Colonne1]:[ouvrés]],3,FALSE))</f>
        <v/>
      </c>
      <c r="DR19" s="54" t="str">
        <f t="shared" si="22"/>
        <v xml:space="preserve">  </v>
      </c>
      <c r="DS19" s="41">
        <f t="shared" si="40"/>
        <v>43117</v>
      </c>
      <c r="DT19" s="42">
        <f t="shared" si="53"/>
        <v>43117</v>
      </c>
      <c r="DU19" s="43" t="str">
        <f>IF(DT19="","",IF(ISERROR(MATCH(DT19,Lune!$A$1:$A$1000,0)),IF(WEEKDAY(DT19)=5,INT((DT19-DATE(YEAR(DT19),1,1))/7+1),IF(AND(WEEKDAY(DT19)=4,NOT( ISERROR(MATCH(DT19+1,Lune!$A$1:$A$1000,0)))),INT((DT19+1-DATE(YEAR(DT19+1),1,1))/7+1),"")),INDEX(Lune!$B$1:$B$1000,MATCH(DT19,Lune!$A$1:$A$1000,0),1)))</f>
        <v>●</v>
      </c>
      <c r="DV19" s="89" t="str">
        <f t="shared" ca="1" si="23"/>
        <v/>
      </c>
      <c r="DW19" s="252" t="str">
        <f t="shared" ca="1" si="24"/>
        <v/>
      </c>
      <c r="DX19" s="252" t="str">
        <f t="shared" si="25"/>
        <v>Roseline</v>
      </c>
      <c r="DY19" s="252" t="str">
        <f>IF(ISERROR(VLOOKUP(DT19,évènements!$A$3:$E$200,3,0)),"",VLOOKUP(DT19,évènements!$A$3:$E$200,3,0))</f>
        <v/>
      </c>
      <c r="DZ19" s="252" t="str">
        <f>IF(ISERROR(VLOOKUP(DT19,évènements!$B$3:$E$200,2,0)),"",VLOOKUP(DT19,évènements!$B$3:$E$200,2,0))</f>
        <v/>
      </c>
      <c r="EA19" s="252" t="str">
        <f ca="1">IF(ISNA(VLOOKUP(DT19,Tableau1[[#All],[Colonne1]:[ouvrés]],3,FALSE)),"",VLOOKUP(DT19,Tableau1[[#All],[Colonne1]:[ouvrés]],3,FALSE))</f>
        <v/>
      </c>
      <c r="EB19" s="252" t="str">
        <f t="shared" si="26"/>
        <v xml:space="preserve">  </v>
      </c>
    </row>
    <row r="20" spans="2:132" ht="15" customHeight="1" x14ac:dyDescent="0.25">
      <c r="B20" s="29"/>
      <c r="C20" s="41">
        <f t="shared" si="27"/>
        <v>42753</v>
      </c>
      <c r="D20" s="40">
        <f t="shared" si="41"/>
        <v>42753</v>
      </c>
      <c r="E20" s="131">
        <f>IF(D20="","",IF(ISERROR(MATCH(D20,Lune!$A$1:$A$1000,0)),IF(WEEKDAY(D20)=5,INT((D20-DATE(YEAR(D20),1,1))/7+1),IF(AND(WEEKDAY(D20)=4,NOT( ISERROR(MATCH(D20+1,Lune!$A$1:$A$1000,0)))),INT((D20+1-DATE(YEAR(D20+1),1,1))/7+1),"")),INDEX(Lune!$B$1:$B$1000,MATCH(D20,Lune!$A$1:$A$1000,0),1)))</f>
        <v>3</v>
      </c>
      <c r="F20" s="89" t="str">
        <f t="shared" ca="1" si="0"/>
        <v/>
      </c>
      <c r="G20" s="125" t="str">
        <f ca="1">IF(ISERROR(VLOOKUP(D20,anniversaire!$X$2:$Z$100,2,0)),"",VLOOKUP(D20,anniversaire!$X$2:$Z$100,2,0))</f>
        <v/>
      </c>
      <c r="H20" s="54" t="str">
        <f>IF(ISERROR(VLOOKUP(D20,fête!$B$2:$C$367,2,0)),"",VLOOKUP(D20,fête!$B$2:$C$367,2,0))</f>
        <v>Prisca</v>
      </c>
      <c r="I20" s="239" t="str">
        <f>IF(ISERROR(VLOOKUP(D20,évènements!$A$3:$E$200,3,0)),"",VLOOKUP(D20,évènements!$A$3:$E$200,3,0))</f>
        <v/>
      </c>
      <c r="J20" s="239" t="str">
        <f>IF(ISERROR(VLOOKUP(D20,évènements!$B$3:$E$200,2,0)),"",VLOOKUP(D20,évènements!$B$3:$E$200,2,0))</f>
        <v/>
      </c>
      <c r="K20" s="239" t="str">
        <f ca="1">IF(ISNA(VLOOKUP(D20,Tableau1[[#All],[Colonne1]:[ouvrés]],3,FALSE)),"",VLOOKUP(D20,Tableau1[[#All],[Colonne1]:[ouvrés]],3,FALSE))</f>
        <v/>
      </c>
      <c r="L20" s="239" t="str">
        <f t="shared" si="1"/>
        <v xml:space="preserve">  </v>
      </c>
      <c r="M20" s="41">
        <f t="shared" si="28"/>
        <v>42784</v>
      </c>
      <c r="N20" s="42">
        <f t="shared" si="42"/>
        <v>42784</v>
      </c>
      <c r="O20" s="131" t="str">
        <f>IF(N20="","",IF(ISERROR(MATCH(N20,Lune!$A$1:$A$1000,0)),IF(WEEKDAY(N20)=5,INT((N20-DATE(YEAR(N20),1,1))/7+1),IF(AND(WEEKDAY(N20)=4,NOT( ISERROR(MATCH(N20+1,Lune!$A$1:$A$1000,0)))),INT((N20+1-DATE(YEAR(N20+1),1,1))/7+1),"")),INDEX(Lune!$B$1:$B$1000,MATCH(N20,Lune!$A$1:$A$1000,0),1)))</f>
        <v>◑</v>
      </c>
      <c r="P20" s="80" t="str">
        <f t="shared" ca="1" si="54"/>
        <v/>
      </c>
      <c r="Q20" s="54" t="str">
        <f ca="1">IF(ISERROR(VLOOKUP(N20,anniversaire!$X$2:$Z$100,2,0)),"",VLOOKUP(N20,anniversaire!$X$2:$Z$100,2,0))</f>
        <v/>
      </c>
      <c r="R20" s="54" t="str">
        <f>IF(ISERROR(VLOOKUP(N20,fête!$B$2:$C$367,2,0)),"",VLOOKUP(N20,fête!$B$2:$C$367,2,0))</f>
        <v>Bernadette</v>
      </c>
      <c r="S20" s="54" t="str">
        <f>IF(ISERROR(VLOOKUP(N20,évènements!$A$3:$E$200,3,0)),"",VLOOKUP(N20,évènements!$A$3:$E$200,3,0))</f>
        <v/>
      </c>
      <c r="T20" s="54" t="str">
        <f>IF(ISERROR(VLOOKUP(N20,évènements!$B$3:$E$200,2,0)),"",VLOOKUP(N20,évènements!$B$3:$E$200,2,0))</f>
        <v/>
      </c>
      <c r="U20" s="54" t="str">
        <f ca="1">IF(ISNA(VLOOKUP(N20,Tableau1[[#All],[Colonne1]:[ouvrés]],3,FALSE)),"",VLOOKUP(N20,Tableau1[[#All],[Colonne1]:[ouvrés]],3,FALSE))</f>
        <v/>
      </c>
      <c r="V20" s="54" t="str">
        <f t="shared" si="3"/>
        <v xml:space="preserve">  </v>
      </c>
      <c r="W20" s="41">
        <f t="shared" si="29"/>
        <v>42812</v>
      </c>
      <c r="X20" s="42">
        <f t="shared" si="43"/>
        <v>42812</v>
      </c>
      <c r="Y20" s="132" t="str">
        <f>IF(X20="","",IF(ISERROR(MATCH(X20,Lune!$A$1:$A$1000,0)),IF(WEEKDAY(X20)=5,INT((X20-DATE(YEAR(X20),1,1))/7+1),IF(AND(WEEKDAY(X20)=4,NOT( ISERROR(MATCH(X20+1,Lune!$A$1:$A$1000,0)))),INT((X20+1-DATE(YEAR(X20+1),1,1))/7+1),"")),INDEX(Lune!$B$1:$B$1000,MATCH(X20,Lune!$A$1:$A$1000,0),1)))</f>
        <v/>
      </c>
      <c r="Z20" s="89" t="str">
        <f t="shared" ca="1" si="4"/>
        <v xml:space="preserve"> '</v>
      </c>
      <c r="AA20" s="125" t="str">
        <f ca="1">IF(ISERROR(VLOOKUP(X20,anniversaire!$X$2:$Z$100,2,0)),"",VLOOKUP(X20,anniversaire!$X$2:$Z$100,2,0))</f>
        <v>laborde  marine    23</v>
      </c>
      <c r="AB20" s="54" t="str">
        <f>IF(ISERROR(VLOOKUP(X20,fête!$B$2:$C$367,2,0)),"",VLOOKUP(X20,fête!$B$2:$C$367,2,0))</f>
        <v>Cyrille</v>
      </c>
      <c r="AC20" s="54" t="str">
        <f>IF(ISERROR(VLOOKUP(X20,évènements!$A$3:$E$200,3,0)),"",VLOOKUP(X20,évènements!$A$3:$E$200,3,0))</f>
        <v/>
      </c>
      <c r="AD20" s="54" t="str">
        <f>IF(ISERROR(VLOOKUP(X20,évènements!$B$3:$E$200,2,0)),"",VLOOKUP(X20,évènements!$B$3:$E$200,2,0))</f>
        <v/>
      </c>
      <c r="AE20" s="54" t="str">
        <f ca="1">IF(ISNA(VLOOKUP(X20,Tableau1[[#All],[Colonne1]:[ouvrés]],3,FALSE)),"",VLOOKUP(X20,Tableau1[[#All],[Colonne1]:[ouvrés]],3,FALSE))</f>
        <v/>
      </c>
      <c r="AF20" s="54" t="str">
        <f>CONCATENATE(AC20,"  ",AD20)</f>
        <v xml:space="preserve">  </v>
      </c>
      <c r="AG20" s="41">
        <f t="shared" si="30"/>
        <v>42843</v>
      </c>
      <c r="AH20" s="42">
        <f t="shared" si="44"/>
        <v>42843</v>
      </c>
      <c r="AI20" s="137" t="str">
        <f>IF(AH20="","",IF(ISERROR(MATCH(AH20,Lune!$A$1:$A$1000,0)),IF(WEEKDAY(AH20)=5,INT((AH20-DATE(YEAR(AH20),1,1))/7+1),IF(AND(WEEKDAY(AH20)=4,NOT( ISERROR(MATCH(AH20+1,Lune!$A$1:$A$1000,0)))),INT((AH20+1-DATE(YEAR(AH20+1),1,1))/7+1),"")),INDEX(Lune!$B$1:$B$1000,MATCH(AH20,Lune!$A$1:$A$1000,0),1)))</f>
        <v/>
      </c>
      <c r="AJ20" s="80" t="str">
        <f t="shared" ca="1" si="6"/>
        <v/>
      </c>
      <c r="AK20" s="54" t="str">
        <f ca="1">IF(ISERROR(VLOOKUP(AH20,anniversaire!$X$2:$Z$100,2,0)),"",VLOOKUP(AH20,anniversaire!$X$2:$Z$100,2,0))</f>
        <v/>
      </c>
      <c r="AL20" s="54" t="str">
        <f>IF(ISERROR(VLOOKUP(AH20,fête!$B$2:$C$367,2,0)),"",VLOOKUP(AH20,fête!$B$2:$C$367,2,0))</f>
        <v>Parfait</v>
      </c>
      <c r="AM20" s="54" t="str">
        <f>IF(ISERROR(VLOOKUP(AH20,évènements!$A$3:$E$200,3,0)),"",VLOOKUP(AH20,évènements!$A$3:$E$200,3,0))</f>
        <v/>
      </c>
      <c r="AN20" s="54" t="str">
        <f>IF(ISERROR(VLOOKUP(AH20,évènements!$B$3:$E$200,2,0)),"",VLOOKUP(AH20,évènements!$B$3:$E$200,2,0))</f>
        <v/>
      </c>
      <c r="AO20" s="54" t="str">
        <f ca="1">IF(ISNA(VLOOKUP(AH20,Tableau1[[#All],[Colonne1]:[ouvrés]],3,FALSE)),"",VLOOKUP(AH20,Tableau1[[#All],[Colonne1]:[ouvrés]],3,FALSE))</f>
        <v/>
      </c>
      <c r="AP20" s="238" t="str">
        <f>CONCATENATE(AM20,"  ",AN20)</f>
        <v xml:space="preserve">  </v>
      </c>
      <c r="AQ20" s="41">
        <f t="shared" si="31"/>
        <v>42873</v>
      </c>
      <c r="AR20" s="42">
        <f t="shared" si="45"/>
        <v>42873</v>
      </c>
      <c r="AS20" s="43">
        <f>IF(AR20="","",IF(ISERROR(MATCH(AR20,Lune!$A$1:$A$1000,0)),IF(WEEKDAY(AR20)=5,INT((AR20-DATE(YEAR(AR20),1,1))/7+1),IF(AND(WEEKDAY(AR20)=4,NOT( ISERROR(MATCH(AR20+1,Lune!$A$1:$A$1000,0)))),INT((AR20+1-DATE(YEAR(AR20+1),1,1))/7+1),"")),INDEX(Lune!$B$1:$B$1000,MATCH(AR20,Lune!$A$1:$A$1000,0),1)))</f>
        <v>20</v>
      </c>
      <c r="AT20" s="79" t="str">
        <f t="shared" ca="1" si="8"/>
        <v/>
      </c>
      <c r="AU20" s="54" t="str">
        <f ca="1">IF(ISERROR(VLOOKUP(AR20,anniversaire!$X$2:$Z$100,2,0)),"",VLOOKUP(AR20,anniversaire!$X$2:$Z$100,2,0))</f>
        <v/>
      </c>
      <c r="AV20" s="54" t="str">
        <f>IF(ISERROR(VLOOKUP(AR20,fête!$B$2:$C$367,2,0)),"",VLOOKUP(AR20,fête!$B$2:$C$367,2,0))</f>
        <v>Eric</v>
      </c>
      <c r="AW20" s="238" t="str">
        <f>IF(ISERROR(VLOOKUP(AR20,évènements!$A$3:$E$200,3,0)),"",VLOOKUP(AR20,évènements!$A$3:$E$200,3,0))</f>
        <v/>
      </c>
      <c r="AX20" s="238" t="str">
        <f>IF(ISERROR(VLOOKUP(AR20,évènements!$B$3:$E$200,2,0)),"",VLOOKUP(AR20,évènements!$B$3:$E$200,2,0))</f>
        <v/>
      </c>
      <c r="AY20" s="238" t="str">
        <f ca="1">IF(ISNA(VLOOKUP(AR20,Tableau1[[#All],[Colonne1]:[ouvrés]],3,FALSE)),"",VLOOKUP(AR20,Tableau1[[#All],[Colonne1]:[ouvrés]],3,FALSE))</f>
        <v/>
      </c>
      <c r="AZ20" s="238" t="str">
        <f t="shared" si="9"/>
        <v xml:space="preserve">  </v>
      </c>
      <c r="BA20" s="41">
        <f t="shared" si="32"/>
        <v>42904</v>
      </c>
      <c r="BB20" s="42">
        <f t="shared" si="46"/>
        <v>42904</v>
      </c>
      <c r="BC20" s="43" t="str">
        <f>IF(BB20="","",IF(ISERROR(MATCH(BB20,Lune!$A$1:$A$1000,0)),IF(WEEKDAY(BB20)=5,INT((BB20-DATE(YEAR(BB20),1,1))/7+1),IF(AND(WEEKDAY(BB20)=4,NOT( ISERROR(MATCH(BB20+1,Lune!$A$1:$A$1000,0)))),INT((BB20+1-DATE(YEAR(BB20+1),1,1))/7+1),"")),INDEX(Lune!$B$1:$B$1000,MATCH(BB20,Lune!$A$1:$A$1000,0),1)))</f>
        <v/>
      </c>
      <c r="BD20" s="79" t="str">
        <f t="shared" ca="1" si="10"/>
        <v/>
      </c>
      <c r="BE20" s="54" t="str">
        <f ca="1">IF(ISERROR(VLOOKUP(BB20,anniversaire!$X$2:$Z$100,2,0)),"",VLOOKUP(BB20,anniversaire!$X$2:$Z$100,2,0))</f>
        <v/>
      </c>
      <c r="BF20" s="54" t="str">
        <f>IF(ISERROR(VLOOKUP(BB20,fête!$B$2:$C$367,2,0)),"",VLOOKUP(BB20,fête!$B$2:$C$367,2,0))</f>
        <v>Léonce</v>
      </c>
      <c r="BG20" s="54" t="str">
        <f>IF(ISERROR(VLOOKUP(BB20,évènements!$A$3:$E$200,3,0)),"",VLOOKUP(BB20,évènements!$A$3:$E$200,3,0))</f>
        <v/>
      </c>
      <c r="BH20" s="54" t="str">
        <f>IF(ISERROR(VLOOKUP(BB20,évènements!$B$3:$E$200,2,0)),"",VLOOKUP(BB20,évènements!$B$3:$E$200,2,0))</f>
        <v/>
      </c>
      <c r="BI20" s="54" t="str">
        <f ca="1">IF(ISNA(VLOOKUP(BB20,Tableau1[[#All],[Colonne1]:[ouvrés]],3,FALSE)),"",VLOOKUP(BB20,Tableau1[[#All],[Colonne1]:[ouvrés]],3,FALSE))</f>
        <v/>
      </c>
      <c r="BJ20" s="54" t="str">
        <f t="shared" si="56"/>
        <v xml:space="preserve">  </v>
      </c>
      <c r="BK20" s="41">
        <f t="shared" si="33"/>
        <v>42934</v>
      </c>
      <c r="BL20" s="42">
        <f t="shared" si="47"/>
        <v>42934</v>
      </c>
      <c r="BM20" s="43" t="str">
        <f>IF(BL20="","",IF(ISERROR(MATCH(BL20,Lune!$A$1:$A$1000,0)),IF(WEEKDAY(BL20)=5,INT((BL20-DATE(YEAR(BL20),1,1))/7+1),IF(AND(WEEKDAY(BL20)=4,NOT( ISERROR(MATCH(BL20+1,Lune!$A$1:$A$1000,0)))),INT((BL20+1-DATE(YEAR(BL20+1),1,1))/7+1),"")),INDEX(Lune!$B$1:$B$1000,MATCH(BL20,Lune!$A$1:$A$1000,0),1)))</f>
        <v/>
      </c>
      <c r="BN20" s="80" t="str">
        <f t="shared" ca="1" si="12"/>
        <v/>
      </c>
      <c r="BO20" s="54" t="str">
        <f ca="1">IF(ISERROR(VLOOKUP(BL20,anniversaire!$X$2:$Z$100,2,0)),"",VLOOKUP(BL20,anniversaire!$X$2:$Z$100,2,0))</f>
        <v/>
      </c>
      <c r="BP20" s="54" t="str">
        <f>IF(ISERROR(VLOOKUP(BL20,fête!$B$2:$C$367,2,0)),"",VLOOKUP(BL20,fête!$B$2:$C$367,2,0))</f>
        <v>Frédéric</v>
      </c>
      <c r="BQ20" s="54" t="str">
        <f>IF(ISERROR(VLOOKUP(BL20,évènements!$A$3:$E$200,3,0)),"",VLOOKUP(BL20,évènements!$A$3:$E$200,3,0))</f>
        <v/>
      </c>
      <c r="BR20" s="54" t="str">
        <f>IF(ISERROR(VLOOKUP(BL20,évènements!$B$3:$E$200,2,0)),"",VLOOKUP(BL20,évènements!$B$3:$E$200,2,0))</f>
        <v/>
      </c>
      <c r="BS20" s="54" t="str">
        <f ca="1">IF(ISNA(VLOOKUP(BL20,Tableau1[[#All],[Colonne1]:[ouvrés]],3,FALSE)),"",VLOOKUP(BL20,Tableau1[[#All],[Colonne1]:[ouvrés]],3,FALSE))</f>
        <v/>
      </c>
      <c r="BT20" s="54" t="str">
        <f t="shared" si="34"/>
        <v xml:space="preserve">  </v>
      </c>
      <c r="BU20" s="41">
        <f t="shared" si="35"/>
        <v>42965</v>
      </c>
      <c r="BV20" s="42">
        <f t="shared" si="48"/>
        <v>42965</v>
      </c>
      <c r="BW20" s="43" t="str">
        <f>IF(BV20="","",IF(ISERROR(MATCH(BV20,Lune!$A$1:$A$1000,0)),IF(WEEKDAY(BV20)=5,INT((BV20-DATE(YEAR(BV20),1,1))/7+1),IF(AND(WEEKDAY(BV20)=4,NOT( ISERROR(MATCH(BV20+1,Lune!$A$1:$A$1000,0)))),INT((BV20+1-DATE(YEAR(BV20+1),1,1))/7+1),"")),INDEX(Lune!$B$1:$B$1000,MATCH(BV20,Lune!$A$1:$A$1000,0),1)))</f>
        <v/>
      </c>
      <c r="BX20" s="80" t="str">
        <f t="shared" ca="1" si="13"/>
        <v/>
      </c>
      <c r="BY20" s="54" t="str">
        <f ca="1">IF(ISERROR(VLOOKUP(BV20,anniversaire!$X$2:$Z$100,2,0)),"",VLOOKUP(BV20,anniversaire!$X$2:$Z$100,2,0))</f>
        <v/>
      </c>
      <c r="BZ20" s="54" t="str">
        <f>IF(ISERROR(VLOOKUP(BV20,fête!$B$2:$C$367,2,0)),"",VLOOKUP(BV20,fête!$B$2:$C$367,2,0))</f>
        <v>Hélène</v>
      </c>
      <c r="CA20" s="54" t="str">
        <f>IF(ISERROR(VLOOKUP(BV20,évènements!$A$3:$E$200,3,0)),"",VLOOKUP(BV20,évènements!$A$3:$E$200,3,0))</f>
        <v/>
      </c>
      <c r="CB20" s="54" t="str">
        <f>IF(ISERROR(VLOOKUP(BV20,évènements!$B$3:$E$200,2,0)),"",VLOOKUP(BV20,évènements!$B$3:$E$200,2,0))</f>
        <v/>
      </c>
      <c r="CC20" s="54" t="str">
        <f ca="1">IF(ISNA(VLOOKUP(BV20,Tableau1[[#All],[Colonne1]:[ouvrés]],3,FALSE)),"",VLOOKUP(BV20,Tableau1[[#All],[Colonne1]:[ouvrés]],3,FALSE))</f>
        <v/>
      </c>
      <c r="CD20" s="54" t="str">
        <f t="shared" si="14"/>
        <v xml:space="preserve">  </v>
      </c>
      <c r="CE20" s="41">
        <f t="shared" si="36"/>
        <v>42996</v>
      </c>
      <c r="CF20" s="42">
        <f t="shared" si="49"/>
        <v>42996</v>
      </c>
      <c r="CG20" s="43" t="str">
        <f>IF(CF20="","",IF(ISERROR(MATCH(CF20,Lune!$A$1:$A$1000,0)),IF(WEEKDAY(CF20)=5,INT((CF20-DATE(YEAR(CF20),1,1))/7+1),IF(AND(WEEKDAY(CF20)=4,NOT( ISERROR(MATCH(CF20+1,Lune!$A$1:$A$1000,0)))),INT((CF20+1-DATE(YEAR(CF20+1),1,1))/7+1),"")),INDEX(Lune!$B$1:$B$1000,MATCH(CF20,Lune!$A$1:$A$1000,0),1)))</f>
        <v/>
      </c>
      <c r="CH20" s="80" t="str">
        <f t="shared" ca="1" si="15"/>
        <v/>
      </c>
      <c r="CI20" s="54" t="str">
        <f ca="1">IF(ISERROR(VLOOKUP(CF20,anniversaire!$X$2:$Z$100,2,0)),"",VLOOKUP(CF20,anniversaire!$X$2:$Z$100,2,0))</f>
        <v/>
      </c>
      <c r="CJ20" s="54" t="str">
        <f>IF(ISERROR(VLOOKUP(CF20,fête!$B$2:$C$367,2,0)),"",VLOOKUP(CF20,fête!$B$2:$C$367,2,0))</f>
        <v>Nadège</v>
      </c>
      <c r="CK20" s="54" t="str">
        <f>IF(ISERROR(VLOOKUP(CF20,évènements!$A$3:$E$200,3,0)),"",VLOOKUP(CF20,évènements!$A$3:$E$200,3,0))</f>
        <v/>
      </c>
      <c r="CL20" s="54" t="str">
        <f>IF(ISERROR(VLOOKUP(CF20,évènements!$B$3:$E$200,2,0)),"",VLOOKUP(CF20,évènements!$B$3:$E$200,2,0))</f>
        <v/>
      </c>
      <c r="CM20" s="54" t="str">
        <f ca="1">IF(ISNA(VLOOKUP(CF20,Tableau1[[#All],[Colonne1]:[ouvrés]],3,FALSE)),"",VLOOKUP(CF20,Tableau1[[#All],[Colonne1]:[ouvrés]],3,FALSE))</f>
        <v/>
      </c>
      <c r="CN20" s="54" t="str">
        <f t="shared" si="16"/>
        <v xml:space="preserve">  </v>
      </c>
      <c r="CO20" s="41">
        <f t="shared" si="37"/>
        <v>43026</v>
      </c>
      <c r="CP20" s="42">
        <f t="shared" si="50"/>
        <v>43026</v>
      </c>
      <c r="CQ20" s="43">
        <f>IF(CP20="","",IF(ISERROR(MATCH(CP20,Lune!$A$1:$A$1000,0)),IF(WEEKDAY(CP20)=5,INT((CP20-DATE(YEAR(CP20),1,1))/7+1),IF(AND(WEEKDAY(CP20)=4,NOT( ISERROR(MATCH(CP20+1,Lune!$A$1:$A$1000,0)))),INT((CP20+1-DATE(YEAR(CP20+1),1,1))/7+1),"")),INDEX(Lune!$B$1:$B$1000,MATCH(CP20,Lune!$A$1:$A$1000,0),1)))</f>
        <v>42</v>
      </c>
      <c r="CR20" s="80" t="str">
        <f t="shared" ca="1" si="17"/>
        <v/>
      </c>
      <c r="CS20" s="54" t="str">
        <f ca="1">IF(ISERROR(VLOOKUP(CP20,anniversaire!$X$2:$Z$100,2,0)),"",VLOOKUP(CP20,anniversaire!$X$2:$Z$100,2,0))</f>
        <v/>
      </c>
      <c r="CT20" s="54" t="str">
        <f>IF(ISERROR(VLOOKUP(CP20,fête!$B$2:$C$367,2,0)),"",VLOOKUP(CP20,fête!$B$2:$C$367,2,0))</f>
        <v>Luc</v>
      </c>
      <c r="CU20" s="54" t="str">
        <f>IF(ISERROR(VLOOKUP(CP20,évènements!$A$3:$E$200,3,0)),"",VLOOKUP(CP20,évènements!$A$3:$E$200,3,0))</f>
        <v/>
      </c>
      <c r="CV20" s="54" t="str">
        <f>IF(ISERROR(VLOOKUP(CP20,évènements!$B$3:$E$200,2,0)),"",VLOOKUP(CP20,évènements!$B$3:$E$200,2,0))</f>
        <v/>
      </c>
      <c r="CW20" s="54" t="str">
        <f ca="1">IF(ISNA(VLOOKUP(CP20,Tableau1[[#All],[Colonne1]:[ouvrés]],3,FALSE)),"",VLOOKUP(CP20,Tableau1[[#All],[Colonne1]:[ouvrés]],3,FALSE))</f>
        <v/>
      </c>
      <c r="CX20" s="54" t="str">
        <f t="shared" si="18"/>
        <v xml:space="preserve">  </v>
      </c>
      <c r="CY20" s="41">
        <f t="shared" si="38"/>
        <v>43057</v>
      </c>
      <c r="CZ20" s="42">
        <f t="shared" si="51"/>
        <v>43057</v>
      </c>
      <c r="DA20" s="43" t="str">
        <f>IF(CZ20="","",IF(ISERROR(MATCH(CZ20,Lune!$A$1:$A$1000,0)),IF(WEEKDAY(CZ20)=5,INT((CZ20-DATE(YEAR(CZ20),1,1))/7+1),IF(AND(WEEKDAY(CZ20)=4,NOT( ISERROR(MATCH(CZ20+1,Lune!$A$1:$A$1000,0)))),INT((CZ20+1-DATE(YEAR(CZ20+1),1,1))/7+1),"")),INDEX(Lune!$B$1:$B$1000,MATCH(CZ20,Lune!$A$1:$A$1000,0),1)))</f>
        <v>●</v>
      </c>
      <c r="DB20" s="80" t="str">
        <f t="shared" ca="1" si="19"/>
        <v/>
      </c>
      <c r="DC20" s="54" t="str">
        <f ca="1">IF(ISERROR(VLOOKUP(CZ20,anniversaire!$X$2:$Z$100,2,0)),"",VLOOKUP(CZ20,anniversaire!$X$2:$Z$100,2,0))</f>
        <v/>
      </c>
      <c r="DD20" s="54" t="str">
        <f>IF(ISERROR(VLOOKUP(CZ20,fête!$B$2:$C$367,2,0)),"",VLOOKUP(CZ20,fête!$B$2:$C$367,2,0))</f>
        <v>Aude</v>
      </c>
      <c r="DE20" s="54" t="str">
        <f>IF(ISERROR(VLOOKUP(CZ20,évènements!$A$3:$E$200,3,0)),"",VLOOKUP(CZ20,évènements!$A$3:$E$200,3,0))</f>
        <v/>
      </c>
      <c r="DF20" s="54" t="str">
        <f>IF(ISERROR(VLOOKUP(CZ20,évènements!$B$3:$E$200,2,0)),"",VLOOKUP(CZ20,évènements!$B$3:$E$200,2,0))</f>
        <v/>
      </c>
      <c r="DG20" s="54"/>
      <c r="DH20" s="54" t="str">
        <f t="shared" si="20"/>
        <v xml:space="preserve">  </v>
      </c>
      <c r="DI20" s="41">
        <f t="shared" si="39"/>
        <v>43087</v>
      </c>
      <c r="DJ20" s="42">
        <f t="shared" si="52"/>
        <v>43087</v>
      </c>
      <c r="DK20" s="43" t="str">
        <f>IF(DJ20="","",IF(ISERROR(MATCH(DJ20,Lune!$A$1:$A$1000,0)),IF(WEEKDAY(DJ20)=5,INT((DJ20-DATE(YEAR(DJ20),1,1))/7+1),IF(AND(WEEKDAY(DJ20)=4,NOT( ISERROR(MATCH(DJ20+1,Lune!$A$1:$A$1000,0)))),INT((DJ20+1-DATE(YEAR(DJ20+1),1,1))/7+1),"")),INDEX(Lune!$B$1:$B$1000,MATCH(DJ20,Lune!$A$1:$A$1000,0),1)))</f>
        <v>●</v>
      </c>
      <c r="DL20" s="80" t="str">
        <f t="shared" ca="1" si="21"/>
        <v/>
      </c>
      <c r="DM20" s="54" t="str">
        <f ca="1">IF(ISERROR(VLOOKUP(DJ20,anniversaire!$X$2:$Z$100,2,0)),"",VLOOKUP(DJ20,anniversaire!$X$2:$Z$100,2,0))</f>
        <v/>
      </c>
      <c r="DN20" s="54" t="str">
        <f>IF(ISERROR(VLOOKUP(DJ20,fête!$B$2:$C$367,2,0)),"",VLOOKUP(DJ20,fête!$B$2:$C$367,2,0))</f>
        <v>Gatien</v>
      </c>
      <c r="DO20" s="54" t="str">
        <f>IF(ISERROR(VLOOKUP(DJ20,évènements!$A$3:$E$200,3,0)),"",VLOOKUP(DJ20,évènements!$A$3:$E$200,3,0))</f>
        <v/>
      </c>
      <c r="DP20" s="54" t="str">
        <f>IF(ISERROR(VLOOKUP(DJ20,évènements!$B$3:$E$200,2,0)),"",VLOOKUP(DJ20,évènements!$B$3:$E$200,2,0))</f>
        <v/>
      </c>
      <c r="DQ20" s="54" t="str">
        <f ca="1">IF(ISNA(VLOOKUP(DJ20,Tableau1[[#All],[Colonne1]:[ouvrés]],3,FALSE)),"",VLOOKUP(DJ20,Tableau1[[#All],[Colonne1]:[ouvrés]],3,FALSE))</f>
        <v/>
      </c>
      <c r="DR20" s="54" t="str">
        <f t="shared" si="22"/>
        <v xml:space="preserve">  </v>
      </c>
      <c r="DS20" s="41">
        <f t="shared" si="40"/>
        <v>43118</v>
      </c>
      <c r="DT20" s="42">
        <f t="shared" si="53"/>
        <v>43118</v>
      </c>
      <c r="DU20" s="43">
        <f>IF(DT20="","",IF(ISERROR(MATCH(DT20,Lune!$A$1:$A$1000,0)),IF(WEEKDAY(DT20)=5,INT((DT20-DATE(YEAR(DT20),1,1))/7+1),IF(AND(WEEKDAY(DT20)=4,NOT( ISERROR(MATCH(DT20+1,Lune!$A$1:$A$1000,0)))),INT((DT20+1-DATE(YEAR(DT20+1),1,1))/7+1),"")),INDEX(Lune!$B$1:$B$1000,MATCH(DT20,Lune!$A$1:$A$1000,0),1)))</f>
        <v>3</v>
      </c>
      <c r="DV20" s="89" t="str">
        <f t="shared" ca="1" si="23"/>
        <v/>
      </c>
      <c r="DW20" s="252" t="str">
        <f t="shared" ca="1" si="24"/>
        <v/>
      </c>
      <c r="DX20" s="252" t="str">
        <f t="shared" si="25"/>
        <v>Prisca</v>
      </c>
      <c r="DY20" s="252" t="str">
        <f>IF(ISERROR(VLOOKUP(DT20,évènements!$A$3:$E$200,3,0)),"",VLOOKUP(DT20,évènements!$A$3:$E$200,3,0))</f>
        <v/>
      </c>
      <c r="DZ20" s="252" t="str">
        <f>IF(ISERROR(VLOOKUP(DT20,évènements!$B$3:$E$200,2,0)),"",VLOOKUP(DT20,évènements!$B$3:$E$200,2,0))</f>
        <v/>
      </c>
      <c r="EA20" s="252" t="str">
        <f ca="1">IF(ISNA(VLOOKUP(DT20,Tableau1[[#All],[Colonne1]:[ouvrés]],3,FALSE)),"",VLOOKUP(DT20,Tableau1[[#All],[Colonne1]:[ouvrés]],3,FALSE))</f>
        <v/>
      </c>
      <c r="EB20" s="252" t="str">
        <f t="shared" si="26"/>
        <v xml:space="preserve">  </v>
      </c>
    </row>
    <row r="21" spans="2:132" ht="15" customHeight="1" x14ac:dyDescent="0.25">
      <c r="B21" s="29"/>
      <c r="C21" s="41">
        <f t="shared" si="27"/>
        <v>42754</v>
      </c>
      <c r="D21" s="40">
        <f t="shared" si="41"/>
        <v>42754</v>
      </c>
      <c r="E21" s="131" t="str">
        <f>IF(D21="","",IF(ISERROR(MATCH(D21,Lune!$A$1:$A$1000,0)),IF(WEEKDAY(D21)=5,INT((D21-DATE(YEAR(D21),1,1))/7+1),IF(AND(WEEKDAY(D21)=4,NOT( ISERROR(MATCH(D21+1,Lune!$A$1:$A$1000,0)))),INT((D21+1-DATE(YEAR(D21+1),1,1))/7+1),"")),INDEX(Lune!$B$1:$B$1000,MATCH(D21,Lune!$A$1:$A$1000,0),1)))</f>
        <v>◑</v>
      </c>
      <c r="F21" s="89" t="str">
        <f t="shared" ca="1" si="0"/>
        <v/>
      </c>
      <c r="G21" s="125" t="str">
        <f ca="1">IF(ISERROR(VLOOKUP(D21,anniversaire!$X$2:$Z$100,2,0)),"",VLOOKUP(D21,anniversaire!$X$2:$Z$100,2,0))</f>
        <v/>
      </c>
      <c r="H21" s="54" t="str">
        <f>IF(ISERROR(VLOOKUP(D21,fête!$B$2:$C$367,2,0)),"",VLOOKUP(D21,fête!$B$2:$C$367,2,0))</f>
        <v>Marius</v>
      </c>
      <c r="I21" s="239" t="str">
        <f>IF(ISERROR(VLOOKUP(D21,évènements!$A$3:$E$200,3,0)),"",VLOOKUP(D21,évènements!$A$3:$E$200,3,0))</f>
        <v/>
      </c>
      <c r="J21" s="239" t="str">
        <f>IF(ISERROR(VLOOKUP(D21,évènements!$B$3:$E$200,2,0)),"",VLOOKUP(D21,évènements!$B$3:$E$200,2,0))</f>
        <v/>
      </c>
      <c r="K21" s="239" t="str">
        <f ca="1">IF(ISNA(VLOOKUP(D21,Tableau1[[#All],[Colonne1]:[ouvrés]],3,FALSE)),"",VLOOKUP(D21,Tableau1[[#All],[Colonne1]:[ouvrés]],3,FALSE))</f>
        <v/>
      </c>
      <c r="L21" s="239" t="str">
        <f t="shared" si="1"/>
        <v xml:space="preserve">  </v>
      </c>
      <c r="M21" s="41">
        <f t="shared" si="28"/>
        <v>42785</v>
      </c>
      <c r="N21" s="42">
        <f t="shared" si="42"/>
        <v>42785</v>
      </c>
      <c r="O21" s="131" t="str">
        <f>IF(N21="","",IF(ISERROR(MATCH(N21,Lune!$A$1:$A$1000,0)),IF(WEEKDAY(N21)=5,INT((N21-DATE(YEAR(N21),1,1))/7+1),IF(AND(WEEKDAY(N21)=4,NOT( ISERROR(MATCH(N21+1,Lune!$A$1:$A$1000,0)))),INT((N21+1-DATE(YEAR(N21+1),1,1))/7+1),"")),INDEX(Lune!$B$1:$B$1000,MATCH(N21,Lune!$A$1:$A$1000,0),1)))</f>
        <v/>
      </c>
      <c r="P21" s="80" t="str">
        <f t="shared" ca="1" si="54"/>
        <v/>
      </c>
      <c r="Q21" s="54" t="str">
        <f ca="1">IF(ISERROR(VLOOKUP(N21,anniversaire!$X$2:$Z$100,2,0)),"",VLOOKUP(N21,anniversaire!$X$2:$Z$100,2,0))</f>
        <v/>
      </c>
      <c r="R21" s="54" t="str">
        <f>IF(ISERROR(VLOOKUP(N21,fête!$B$2:$C$367,2,0)),"",VLOOKUP(N21,fête!$B$2:$C$367,2,0))</f>
        <v>Gabin</v>
      </c>
      <c r="S21" s="54" t="str">
        <f>IF(ISERROR(VLOOKUP(N21,évènements!$A$3:$E$200,3,0)),"",VLOOKUP(N21,évènements!$A$3:$E$200,3,0))</f>
        <v/>
      </c>
      <c r="T21" s="54" t="str">
        <f>IF(ISERROR(VLOOKUP(N21,évènements!$B$3:$E$200,2,0)),"",VLOOKUP(N21,évènements!$B$3:$E$200,2,0))</f>
        <v/>
      </c>
      <c r="U21" s="54" t="str">
        <f ca="1">IF(ISNA(VLOOKUP(N21,Tableau1[[#All],[Colonne1]:[ouvrés]],3,FALSE)),"",VLOOKUP(N21,Tableau1[[#All],[Colonne1]:[ouvrés]],3,FALSE))</f>
        <v/>
      </c>
      <c r="V21" s="54" t="str">
        <f t="shared" si="3"/>
        <v xml:space="preserve">  </v>
      </c>
      <c r="W21" s="41">
        <f t="shared" si="29"/>
        <v>42813</v>
      </c>
      <c r="X21" s="42">
        <f t="shared" si="43"/>
        <v>42813</v>
      </c>
      <c r="Y21" s="132" t="str">
        <f>IF(X21="","",IF(ISERROR(MATCH(X21,Lune!$A$1:$A$1000,0)),IF(WEEKDAY(X21)=5,INT((X21-DATE(YEAR(X21),1,1))/7+1),IF(AND(WEEKDAY(X21)=4,NOT( ISERROR(MATCH(X21+1,Lune!$A$1:$A$1000,0)))),INT((X21+1-DATE(YEAR(X21+1),1,1))/7+1),"")),INDEX(Lune!$B$1:$B$1000,MATCH(X21,Lune!$A$1:$A$1000,0),1)))</f>
        <v/>
      </c>
      <c r="Z21" s="89" t="str">
        <f t="shared" ca="1" si="4"/>
        <v/>
      </c>
      <c r="AA21" s="125" t="str">
        <f ca="1">IF(ISERROR(VLOOKUP(X21,anniversaire!$X$2:$Z$100,2,0)),"",VLOOKUP(X21,anniversaire!$X$2:$Z$100,2,0))</f>
        <v/>
      </c>
      <c r="AB21" s="54" t="str">
        <f>IF(ISERROR(VLOOKUP(X21,fête!$B$2:$C$367,2,0)),"",VLOOKUP(X21,fête!$B$2:$C$367,2,0))</f>
        <v>Joseph</v>
      </c>
      <c r="AC21" s="54" t="str">
        <f>IF(ISERROR(VLOOKUP(X21,évènements!$A$3:$E$200,3,0)),"",VLOOKUP(X21,évènements!$A$3:$E$200,3,0))</f>
        <v/>
      </c>
      <c r="AD21" s="54" t="str">
        <f>IF(ISERROR(VLOOKUP(X21,évènements!$B$3:$E$200,2,0)),"",VLOOKUP(X21,évènements!$B$3:$E$200,2,0))</f>
        <v/>
      </c>
      <c r="AE21" s="54" t="str">
        <f ca="1">IF(ISNA(VLOOKUP(X21,Tableau1[[#All],[Colonne1]:[ouvrés]],3,FALSE)),"",VLOOKUP(X21,Tableau1[[#All],[Colonne1]:[ouvrés]],3,FALSE))</f>
        <v/>
      </c>
      <c r="AF21" s="54" t="str">
        <f t="shared" ref="AF21:AF33" si="57">CONCATENATE(AC21,"  ",AD21)</f>
        <v xml:space="preserve">  </v>
      </c>
      <c r="AG21" s="41">
        <f t="shared" si="30"/>
        <v>42844</v>
      </c>
      <c r="AH21" s="42">
        <f t="shared" si="44"/>
        <v>42844</v>
      </c>
      <c r="AI21" s="137" t="str">
        <f>IF(AH21="","",IF(ISERROR(MATCH(AH21,Lune!$A$1:$A$1000,0)),IF(WEEKDAY(AH21)=5,INT((AH21-DATE(YEAR(AH21),1,1))/7+1),IF(AND(WEEKDAY(AH21)=4,NOT( ISERROR(MATCH(AH21+1,Lune!$A$1:$A$1000,0)))),INT((AH21+1-DATE(YEAR(AH21+1),1,1))/7+1),"")),INDEX(Lune!$B$1:$B$1000,MATCH(AH21,Lune!$A$1:$A$1000,0),1)))</f>
        <v>◑</v>
      </c>
      <c r="AJ21" s="80" t="str">
        <f t="shared" ca="1" si="6"/>
        <v/>
      </c>
      <c r="AK21" s="54" t="str">
        <f ca="1">IF(ISERROR(VLOOKUP(AH21,anniversaire!$X$2:$Z$100,2,0)),"",VLOOKUP(AH21,anniversaire!$X$2:$Z$100,2,0))</f>
        <v/>
      </c>
      <c r="AL21" s="54" t="str">
        <f>IF(ISERROR(VLOOKUP(AH21,fête!$B$2:$C$367,2,0)),"",VLOOKUP(AH21,fête!$B$2:$C$367,2,0))</f>
        <v>Emma</v>
      </c>
      <c r="AM21" s="54" t="str">
        <f>IF(ISERROR(VLOOKUP(AH21,évènements!$A$3:$E$200,3,0)),"",VLOOKUP(AH21,évènements!$A$3:$E$200,3,0))</f>
        <v/>
      </c>
      <c r="AN21" s="54" t="str">
        <f>IF(ISERROR(VLOOKUP(AH21,évènements!$B$3:$E$200,2,0)),"",VLOOKUP(AH21,évènements!$B$3:$E$200,2,0))</f>
        <v/>
      </c>
      <c r="AO21" s="54" t="str">
        <f ca="1">IF(ISNA(VLOOKUP(AH21,Tableau1[[#All],[Colonne1]:[ouvrés]],3,FALSE)),"",VLOOKUP(AH21,Tableau1[[#All],[Colonne1]:[ouvrés]],3,FALSE))</f>
        <v/>
      </c>
      <c r="AP21" s="238" t="str">
        <f t="shared" si="55"/>
        <v xml:space="preserve">  </v>
      </c>
      <c r="AQ21" s="41">
        <f t="shared" si="31"/>
        <v>42874</v>
      </c>
      <c r="AR21" s="42">
        <f t="shared" si="45"/>
        <v>42874</v>
      </c>
      <c r="AS21" s="43" t="str">
        <f>IF(AR21="","",IF(ISERROR(MATCH(AR21,Lune!$A$1:$A$1000,0)),IF(WEEKDAY(AR21)=5,INT((AR21-DATE(YEAR(AR21),1,1))/7+1),IF(AND(WEEKDAY(AR21)=4,NOT( ISERROR(MATCH(AR21+1,Lune!$A$1:$A$1000,0)))),INT((AR21+1-DATE(YEAR(AR21+1),1,1))/7+1),"")),INDEX(Lune!$B$1:$B$1000,MATCH(AR21,Lune!$A$1:$A$1000,0),1)))</f>
        <v>◑</v>
      </c>
      <c r="AT21" s="79" t="str">
        <f t="shared" ca="1" si="8"/>
        <v/>
      </c>
      <c r="AU21" s="54" t="str">
        <f ca="1">IF(ISERROR(VLOOKUP(AR21,anniversaire!$X$2:$Z$100,2,0)),"",VLOOKUP(AR21,anniversaire!$X$2:$Z$100,2,0))</f>
        <v/>
      </c>
      <c r="AV21" s="54" t="str">
        <f>IF(ISERROR(VLOOKUP(AR21,fête!$B$2:$C$367,2,0)),"",VLOOKUP(AR21,fête!$B$2:$C$367,2,0))</f>
        <v>Yves</v>
      </c>
      <c r="AW21" s="238" t="str">
        <f>IF(ISERROR(VLOOKUP(AR21,évènements!$A$3:$E$200,3,0)),"",VLOOKUP(AR21,évènements!$A$3:$E$200,3,0))</f>
        <v/>
      </c>
      <c r="AX21" s="238" t="str">
        <f>IF(ISERROR(VLOOKUP(AR21,évènements!$B$3:$E$200,2,0)),"",VLOOKUP(AR21,évènements!$B$3:$E$200,2,0))</f>
        <v/>
      </c>
      <c r="AY21" s="238" t="str">
        <f ca="1">IF(ISNA(VLOOKUP(AR21,Tableau1[[#All],[Colonne1]:[ouvrés]],3,FALSE)),"",VLOOKUP(AR21,Tableau1[[#All],[Colonne1]:[ouvrés]],3,FALSE))</f>
        <v/>
      </c>
      <c r="AZ21" s="238" t="str">
        <f t="shared" si="9"/>
        <v xml:space="preserve">  </v>
      </c>
      <c r="BA21" s="41">
        <f t="shared" si="32"/>
        <v>42905</v>
      </c>
      <c r="BB21" s="42">
        <f t="shared" si="46"/>
        <v>42905</v>
      </c>
      <c r="BC21" s="43" t="str">
        <f>IF(BB21="","",IF(ISERROR(MATCH(BB21,Lune!$A$1:$A$1000,0)),IF(WEEKDAY(BB21)=5,INT((BB21-DATE(YEAR(BB21),1,1))/7+1),IF(AND(WEEKDAY(BB21)=4,NOT( ISERROR(MATCH(BB21+1,Lune!$A$1:$A$1000,0)))),INT((BB21+1-DATE(YEAR(BB21+1),1,1))/7+1),"")),INDEX(Lune!$B$1:$B$1000,MATCH(BB21,Lune!$A$1:$A$1000,0),1)))</f>
        <v/>
      </c>
      <c r="BD21" s="79" t="str">
        <f t="shared" ca="1" si="10"/>
        <v/>
      </c>
      <c r="BE21" s="54" t="str">
        <f ca="1">IF(ISERROR(VLOOKUP(BB21,anniversaire!$X$2:$Z$100,2,0)),"",VLOOKUP(BB21,anniversaire!$X$2:$Z$100,2,0))</f>
        <v/>
      </c>
      <c r="BF21" s="54" t="str">
        <f>IF(ISERROR(VLOOKUP(BB21,fête!$B$2:$C$367,2,0)),"",VLOOKUP(BB21,fête!$B$2:$C$367,2,0))</f>
        <v>Romuald</v>
      </c>
      <c r="BG21" s="54" t="str">
        <f>IF(ISERROR(VLOOKUP(BB21,évènements!$A$3:$E$200,3,0)),"",VLOOKUP(BB21,évènements!$A$3:$E$200,3,0))</f>
        <v/>
      </c>
      <c r="BH21" s="54" t="str">
        <f>IF(ISERROR(VLOOKUP(BB21,évènements!$B$3:$E$200,2,0)),"",VLOOKUP(BB21,évènements!$B$3:$E$200,2,0))</f>
        <v/>
      </c>
      <c r="BI21" s="54" t="str">
        <f ca="1">IF(ISNA(VLOOKUP(BB21,Tableau1[[#All],[Colonne1]:[ouvrés]],3,FALSE)),"",VLOOKUP(BB21,Tableau1[[#All],[Colonne1]:[ouvrés]],3,FALSE))</f>
        <v/>
      </c>
      <c r="BJ21" s="54" t="str">
        <f t="shared" si="56"/>
        <v xml:space="preserve">  </v>
      </c>
      <c r="BK21" s="41">
        <f t="shared" si="33"/>
        <v>42935</v>
      </c>
      <c r="BL21" s="42">
        <f t="shared" si="47"/>
        <v>42935</v>
      </c>
      <c r="BM21" s="43" t="str">
        <f>IF(BL21="","",IF(ISERROR(MATCH(BL21,Lune!$A$1:$A$1000,0)),IF(WEEKDAY(BL21)=5,INT((BL21-DATE(YEAR(BL21),1,1))/7+1),IF(AND(WEEKDAY(BL21)=4,NOT( ISERROR(MATCH(BL21+1,Lune!$A$1:$A$1000,0)))),INT((BL21+1-DATE(YEAR(BL21+1),1,1))/7+1),"")),INDEX(Lune!$B$1:$B$1000,MATCH(BL21,Lune!$A$1:$A$1000,0),1)))</f>
        <v/>
      </c>
      <c r="BN21" s="80" t="str">
        <f t="shared" ca="1" si="12"/>
        <v/>
      </c>
      <c r="BO21" s="54" t="str">
        <f ca="1">IF(ISERROR(VLOOKUP(BL21,anniversaire!$X$2:$Z$100,2,0)),"",VLOOKUP(BL21,anniversaire!$X$2:$Z$100,2,0))</f>
        <v/>
      </c>
      <c r="BP21" s="54" t="str">
        <f>IF(ISERROR(VLOOKUP(BL21,fête!$B$2:$C$367,2,0)),"",VLOOKUP(BL21,fête!$B$2:$C$367,2,0))</f>
        <v>Arsène</v>
      </c>
      <c r="BQ21" s="54" t="str">
        <f>IF(ISERROR(VLOOKUP(BL21,évènements!$A$3:$E$200,3,0)),"",VLOOKUP(BL21,évènements!$A$3:$E$200,3,0))</f>
        <v/>
      </c>
      <c r="BR21" s="54" t="str">
        <f>IF(ISERROR(VLOOKUP(BL21,évènements!$B$3:$E$200,2,0)),"",VLOOKUP(BL21,évènements!$B$3:$E$200,2,0))</f>
        <v/>
      </c>
      <c r="BS21" s="54" t="str">
        <f ca="1">IF(ISNA(VLOOKUP(BL21,Tableau1[[#All],[Colonne1]:[ouvrés]],3,FALSE)),"",VLOOKUP(BL21,Tableau1[[#All],[Colonne1]:[ouvrés]],3,FALSE))</f>
        <v/>
      </c>
      <c r="BT21" s="54" t="str">
        <f t="shared" si="34"/>
        <v xml:space="preserve">  </v>
      </c>
      <c r="BU21" s="41">
        <f t="shared" si="35"/>
        <v>42966</v>
      </c>
      <c r="BV21" s="42">
        <f t="shared" si="48"/>
        <v>42966</v>
      </c>
      <c r="BW21" s="43" t="str">
        <f>IF(BV21="","",IF(ISERROR(MATCH(BV21,Lune!$A$1:$A$1000,0)),IF(WEEKDAY(BV21)=5,INT((BV21-DATE(YEAR(BV21),1,1))/7+1),IF(AND(WEEKDAY(BV21)=4,NOT( ISERROR(MATCH(BV21+1,Lune!$A$1:$A$1000,0)))),INT((BV21+1-DATE(YEAR(BV21+1),1,1))/7+1),"")),INDEX(Lune!$B$1:$B$1000,MATCH(BV21,Lune!$A$1:$A$1000,0),1)))</f>
        <v/>
      </c>
      <c r="BX21" s="80" t="str">
        <f t="shared" ca="1" si="13"/>
        <v/>
      </c>
      <c r="BY21" s="54" t="str">
        <f ca="1">IF(ISERROR(VLOOKUP(BV21,anniversaire!$X$2:$Z$100,2,0)),"",VLOOKUP(BV21,anniversaire!$X$2:$Z$100,2,0))</f>
        <v/>
      </c>
      <c r="BZ21" s="54" t="str">
        <f>IF(ISERROR(VLOOKUP(BV21,fête!$B$2:$C$367,2,0)),"",VLOOKUP(BV21,fête!$B$2:$C$367,2,0))</f>
        <v>Jean-Eudes</v>
      </c>
      <c r="CA21" s="54" t="str">
        <f>IF(ISERROR(VLOOKUP(BV21,évènements!$A$3:$E$200,3,0)),"",VLOOKUP(BV21,évènements!$A$3:$E$200,3,0))</f>
        <v/>
      </c>
      <c r="CB21" s="54" t="str">
        <f>IF(ISERROR(VLOOKUP(BV21,évènements!$B$3:$E$200,2,0)),"",VLOOKUP(BV21,évènements!$B$3:$E$200,2,0))</f>
        <v/>
      </c>
      <c r="CC21" s="54" t="str">
        <f ca="1">IF(ISNA(VLOOKUP(BV21,Tableau1[[#All],[Colonne1]:[ouvrés]],3,FALSE)),"",VLOOKUP(BV21,Tableau1[[#All],[Colonne1]:[ouvrés]],3,FALSE))</f>
        <v/>
      </c>
      <c r="CD21" s="54" t="str">
        <f t="shared" si="14"/>
        <v xml:space="preserve">  </v>
      </c>
      <c r="CE21" s="41">
        <f t="shared" si="36"/>
        <v>42997</v>
      </c>
      <c r="CF21" s="42">
        <f t="shared" si="49"/>
        <v>42997</v>
      </c>
      <c r="CG21" s="43" t="str">
        <f>IF(CF21="","",IF(ISERROR(MATCH(CF21,Lune!$A$1:$A$1000,0)),IF(WEEKDAY(CF21)=5,INT((CF21-DATE(YEAR(CF21),1,1))/7+1),IF(AND(WEEKDAY(CF21)=4,NOT( ISERROR(MATCH(CF21+1,Lune!$A$1:$A$1000,0)))),INT((CF21+1-DATE(YEAR(CF21+1),1,1))/7+1),"")),INDEX(Lune!$B$1:$B$1000,MATCH(CF21,Lune!$A$1:$A$1000,0),1)))</f>
        <v/>
      </c>
      <c r="CH21" s="80" t="str">
        <f t="shared" ca="1" si="15"/>
        <v/>
      </c>
      <c r="CI21" s="54" t="str">
        <f ca="1">IF(ISERROR(VLOOKUP(CF21,anniversaire!$X$2:$Z$100,2,0)),"",VLOOKUP(CF21,anniversaire!$X$2:$Z$100,2,0))</f>
        <v/>
      </c>
      <c r="CJ21" s="54" t="str">
        <f>IF(ISERROR(VLOOKUP(CF21,fête!$B$2:$C$367,2,0)),"",VLOOKUP(CF21,fête!$B$2:$C$367,2,0))</f>
        <v>Emilie</v>
      </c>
      <c r="CK21" s="54" t="str">
        <f>IF(ISERROR(VLOOKUP(CF21,évènements!$A$3:$E$200,3,0)),"",VLOOKUP(CF21,évènements!$A$3:$E$200,3,0))</f>
        <v/>
      </c>
      <c r="CL21" s="54" t="str">
        <f>IF(ISERROR(VLOOKUP(CF21,évènements!$B$3:$E$200,2,0)),"",VLOOKUP(CF21,évènements!$B$3:$E$200,2,0))</f>
        <v/>
      </c>
      <c r="CM21" s="54" t="str">
        <f ca="1">IF(ISNA(VLOOKUP(CF21,Tableau1[[#All],[Colonne1]:[ouvrés]],3,FALSE)),"",VLOOKUP(CF21,Tableau1[[#All],[Colonne1]:[ouvrés]],3,FALSE))</f>
        <v/>
      </c>
      <c r="CN21" s="54" t="str">
        <f t="shared" si="16"/>
        <v xml:space="preserve">  </v>
      </c>
      <c r="CO21" s="41">
        <f t="shared" si="37"/>
        <v>43027</v>
      </c>
      <c r="CP21" s="42">
        <f t="shared" si="50"/>
        <v>43027</v>
      </c>
      <c r="CQ21" s="43" t="str">
        <f>IF(CP21="","",IF(ISERROR(MATCH(CP21,Lune!$A$1:$A$1000,0)),IF(WEEKDAY(CP21)=5,INT((CP21-DATE(YEAR(CP21),1,1))/7+1),IF(AND(WEEKDAY(CP21)=4,NOT( ISERROR(MATCH(CP21+1,Lune!$A$1:$A$1000,0)))),INT((CP21+1-DATE(YEAR(CP21+1),1,1))/7+1),"")),INDEX(Lune!$B$1:$B$1000,MATCH(CP21,Lune!$A$1:$A$1000,0),1)))</f>
        <v>●</v>
      </c>
      <c r="CR21" s="80" t="str">
        <f t="shared" ca="1" si="17"/>
        <v/>
      </c>
      <c r="CS21" s="54" t="str">
        <f ca="1">IF(ISERROR(VLOOKUP(CP21,anniversaire!$X$2:$Z$100,2,0)),"",VLOOKUP(CP21,anniversaire!$X$2:$Z$100,2,0))</f>
        <v/>
      </c>
      <c r="CT21" s="54" t="str">
        <f>IF(ISERROR(VLOOKUP(CP21,fête!$B$2:$C$367,2,0)),"",VLOOKUP(CP21,fête!$B$2:$C$367,2,0))</f>
        <v>René</v>
      </c>
      <c r="CU21" s="54" t="str">
        <f>IF(ISERROR(VLOOKUP(CP21,évènements!$A$3:$E$200,3,0)),"",VLOOKUP(CP21,évènements!$A$3:$E$200,3,0))</f>
        <v/>
      </c>
      <c r="CV21" s="54" t="str">
        <f>IF(ISERROR(VLOOKUP(CP21,évènements!$B$3:$E$200,2,0)),"",VLOOKUP(CP21,évènements!$B$3:$E$200,2,0))</f>
        <v/>
      </c>
      <c r="CW21" s="54" t="str">
        <f ca="1">IF(ISNA(VLOOKUP(CP21,Tableau1[[#All],[Colonne1]:[ouvrés]],3,FALSE)),"",VLOOKUP(CP21,Tableau1[[#All],[Colonne1]:[ouvrés]],3,FALSE))</f>
        <v/>
      </c>
      <c r="CX21" s="54" t="str">
        <f t="shared" si="18"/>
        <v xml:space="preserve">  </v>
      </c>
      <c r="CY21" s="41">
        <f t="shared" si="38"/>
        <v>43058</v>
      </c>
      <c r="CZ21" s="42">
        <f t="shared" si="51"/>
        <v>43058</v>
      </c>
      <c r="DA21" s="43" t="str">
        <f>IF(CZ21="","",IF(ISERROR(MATCH(CZ21,Lune!$A$1:$A$1000,0)),IF(WEEKDAY(CZ21)=5,INT((CZ21-DATE(YEAR(CZ21),1,1))/7+1),IF(AND(WEEKDAY(CZ21)=4,NOT( ISERROR(MATCH(CZ21+1,Lune!$A$1:$A$1000,0)))),INT((CZ21+1-DATE(YEAR(CZ21+1),1,1))/7+1),"")),INDEX(Lune!$B$1:$B$1000,MATCH(CZ21,Lune!$A$1:$A$1000,0),1)))</f>
        <v/>
      </c>
      <c r="DB21" s="80" t="str">
        <f t="shared" ca="1" si="19"/>
        <v/>
      </c>
      <c r="DC21" s="54" t="str">
        <f ca="1">IF(ISERROR(VLOOKUP(CZ21,anniversaire!$X$2:$Z$100,2,0)),"",VLOOKUP(CZ21,anniversaire!$X$2:$Z$100,2,0))</f>
        <v/>
      </c>
      <c r="DD21" s="54" t="str">
        <f>IF(ISERROR(VLOOKUP(CZ21,fête!$B$2:$C$367,2,0)),"",VLOOKUP(CZ21,fête!$B$2:$C$367,2,0))</f>
        <v>Tanguy</v>
      </c>
      <c r="DE21" s="54" t="str">
        <f>IF(ISERROR(VLOOKUP(CZ21,évènements!$A$3:$E$200,3,0)),"",VLOOKUP(CZ21,évènements!$A$3:$E$200,3,0))</f>
        <v/>
      </c>
      <c r="DF21" s="54" t="str">
        <f>IF(ISERROR(VLOOKUP(CZ21,évènements!$B$3:$E$200,2,0)),"",VLOOKUP(CZ21,évènements!$B$3:$E$200,2,0))</f>
        <v/>
      </c>
      <c r="DG21" s="54"/>
      <c r="DH21" s="54" t="str">
        <f t="shared" si="20"/>
        <v xml:space="preserve">  </v>
      </c>
      <c r="DI21" s="41">
        <f t="shared" si="39"/>
        <v>43088</v>
      </c>
      <c r="DJ21" s="42">
        <f t="shared" si="52"/>
        <v>43088</v>
      </c>
      <c r="DK21" s="43" t="str">
        <f>IF(DJ21="","",IF(ISERROR(MATCH(DJ21,Lune!$A$1:$A$1000,0)),IF(WEEKDAY(DJ21)=5,INT((DJ21-DATE(YEAR(DJ21),1,1))/7+1),IF(AND(WEEKDAY(DJ21)=4,NOT( ISERROR(MATCH(DJ21+1,Lune!$A$1:$A$1000,0)))),INT((DJ21+1-DATE(YEAR(DJ21+1),1,1))/7+1),"")),INDEX(Lune!$B$1:$B$1000,MATCH(DJ21,Lune!$A$1:$A$1000,0),1)))</f>
        <v/>
      </c>
      <c r="DL21" s="80" t="str">
        <f t="shared" ca="1" si="21"/>
        <v/>
      </c>
      <c r="DM21" s="54" t="str">
        <f ca="1">IF(ISERROR(VLOOKUP(DJ21,anniversaire!$X$2:$Z$100,2,0)),"",VLOOKUP(DJ21,anniversaire!$X$2:$Z$100,2,0))</f>
        <v/>
      </c>
      <c r="DN21" s="54" t="str">
        <f>IF(ISERROR(VLOOKUP(DJ21,fête!$B$2:$C$367,2,0)),"",VLOOKUP(DJ21,fête!$B$2:$C$367,2,0))</f>
        <v>Urbain</v>
      </c>
      <c r="DO21" s="54" t="str">
        <f>IF(ISERROR(VLOOKUP(DJ21,évènements!$A$3:$E$200,3,0)),"",VLOOKUP(DJ21,évènements!$A$3:$E$200,3,0))</f>
        <v/>
      </c>
      <c r="DP21" s="54" t="str">
        <f>IF(ISERROR(VLOOKUP(DJ21,évènements!$B$3:$E$200,2,0)),"",VLOOKUP(DJ21,évènements!$B$3:$E$200,2,0))</f>
        <v/>
      </c>
      <c r="DQ21" s="54" t="str">
        <f ca="1">IF(ISNA(VLOOKUP(DJ21,Tableau1[[#All],[Colonne1]:[ouvrés]],3,FALSE)),"",VLOOKUP(DJ21,Tableau1[[#All],[Colonne1]:[ouvrés]],3,FALSE))</f>
        <v/>
      </c>
      <c r="DR21" s="54" t="str">
        <f t="shared" si="22"/>
        <v xml:space="preserve">  </v>
      </c>
      <c r="DS21" s="41">
        <f t="shared" si="40"/>
        <v>43119</v>
      </c>
      <c r="DT21" s="42">
        <f t="shared" si="53"/>
        <v>43119</v>
      </c>
      <c r="DU21" s="43" t="str">
        <f>IF(DT21="","",IF(ISERROR(MATCH(DT21,Lune!$A$1:$A$1000,0)),IF(WEEKDAY(DT21)=5,INT((DT21-DATE(YEAR(DT21),1,1))/7+1),IF(AND(WEEKDAY(DT21)=4,NOT( ISERROR(MATCH(DT21+1,Lune!$A$1:$A$1000,0)))),INT((DT21+1-DATE(YEAR(DT21+1),1,1))/7+1),"")),INDEX(Lune!$B$1:$B$1000,MATCH(DT21,Lune!$A$1:$A$1000,0),1)))</f>
        <v/>
      </c>
      <c r="DV21" s="89" t="str">
        <f t="shared" ca="1" si="23"/>
        <v/>
      </c>
      <c r="DW21" s="252" t="str">
        <f t="shared" ca="1" si="24"/>
        <v/>
      </c>
      <c r="DX21" s="252" t="str">
        <f t="shared" si="25"/>
        <v>Marius</v>
      </c>
      <c r="DY21" s="252" t="str">
        <f>IF(ISERROR(VLOOKUP(DT21,évènements!$A$3:$E$200,3,0)),"",VLOOKUP(DT21,évènements!$A$3:$E$200,3,0))</f>
        <v/>
      </c>
      <c r="DZ21" s="252" t="str">
        <f>IF(ISERROR(VLOOKUP(DT21,évènements!$B$3:$E$200,2,0)),"",VLOOKUP(DT21,évènements!$B$3:$E$200,2,0))</f>
        <v/>
      </c>
      <c r="EA21" s="252" t="str">
        <f ca="1">IF(ISNA(VLOOKUP(DT21,Tableau1[[#All],[Colonne1]:[ouvrés]],3,FALSE)),"",VLOOKUP(DT21,Tableau1[[#All],[Colonne1]:[ouvrés]],3,FALSE))</f>
        <v/>
      </c>
      <c r="EB21" s="252" t="str">
        <f t="shared" si="26"/>
        <v xml:space="preserve">  </v>
      </c>
    </row>
    <row r="22" spans="2:132" ht="15" customHeight="1" x14ac:dyDescent="0.25">
      <c r="B22" s="29"/>
      <c r="C22" s="41">
        <f t="shared" si="27"/>
        <v>42755</v>
      </c>
      <c r="D22" s="40">
        <f t="shared" si="41"/>
        <v>42755</v>
      </c>
      <c r="E22" s="131" t="str">
        <f>IF(D22="","",IF(ISERROR(MATCH(D22,Lune!$A$1:$A$1000,0)),IF(WEEKDAY(D22)=5,INT((D22-DATE(YEAR(D22),1,1))/7+1),IF(AND(WEEKDAY(D22)=4,NOT( ISERROR(MATCH(D22+1,Lune!$A$1:$A$1000,0)))),INT((D22+1-DATE(YEAR(D22+1),1,1))/7+1),"")),INDEX(Lune!$B$1:$B$1000,MATCH(D22,Lune!$A$1:$A$1000,0),1)))</f>
        <v/>
      </c>
      <c r="F22" s="89" t="str">
        <f t="shared" ca="1" si="0"/>
        <v/>
      </c>
      <c r="G22" s="125" t="str">
        <f ca="1">IF(ISERROR(VLOOKUP(D22,anniversaire!$X$2:$Z$100,2,0)),"",VLOOKUP(D22,anniversaire!$X$2:$Z$100,2,0))</f>
        <v/>
      </c>
      <c r="H22" s="54" t="str">
        <f>IF(ISERROR(VLOOKUP(D22,fête!$B$2:$C$367,2,0)),"",VLOOKUP(D22,fête!$B$2:$C$367,2,0))</f>
        <v>Sébastien</v>
      </c>
      <c r="I22" s="239" t="str">
        <f>IF(ISERROR(VLOOKUP(D22,évènements!$A$3:$E$200,3,0)),"",VLOOKUP(D22,évènements!$A$3:$E$200,3,0))</f>
        <v/>
      </c>
      <c r="J22" s="239" t="str">
        <f>IF(ISERROR(VLOOKUP(D22,évènements!$B$3:$E$200,2,0)),"",VLOOKUP(D22,évènements!$B$3:$E$200,2,0))</f>
        <v/>
      </c>
      <c r="K22" s="239" t="str">
        <f ca="1">IF(ISNA(VLOOKUP(D22,Tableau1[[#All],[Colonne1]:[ouvrés]],3,FALSE)),"",VLOOKUP(D22,Tableau1[[#All],[Colonne1]:[ouvrés]],3,FALSE))</f>
        <v/>
      </c>
      <c r="L22" s="239" t="str">
        <f>CONCATENATE(I22,"  ",J22)</f>
        <v xml:space="preserve">  </v>
      </c>
      <c r="M22" s="41">
        <f t="shared" si="28"/>
        <v>42786</v>
      </c>
      <c r="N22" s="42">
        <f t="shared" si="42"/>
        <v>42786</v>
      </c>
      <c r="O22" s="131" t="str">
        <f>IF(N22="","",IF(ISERROR(MATCH(N22,Lune!$A$1:$A$1000,0)),IF(WEEKDAY(N22)=5,INT((N22-DATE(YEAR(N22),1,1))/7+1),IF(AND(WEEKDAY(N22)=4,NOT( ISERROR(MATCH(N22+1,Lune!$A$1:$A$1000,0)))),INT((N22+1-DATE(YEAR(N22+1),1,1))/7+1),"")),INDEX(Lune!$B$1:$B$1000,MATCH(N22,Lune!$A$1:$A$1000,0),1)))</f>
        <v/>
      </c>
      <c r="P22" s="80" t="str">
        <f t="shared" ca="1" si="54"/>
        <v/>
      </c>
      <c r="Q22" s="54" t="str">
        <f ca="1">IF(ISERROR(VLOOKUP(N22,anniversaire!$X$2:$Z$100,2,0)),"",VLOOKUP(N22,anniversaire!$X$2:$Z$100,2,0))</f>
        <v/>
      </c>
      <c r="R22" s="54" t="str">
        <f>IF(ISERROR(VLOOKUP(N22,fête!$B$2:$C$367,2,0)),"",VLOOKUP(N22,fête!$B$2:$C$367,2,0))</f>
        <v>Aimée</v>
      </c>
      <c r="S22" s="54">
        <f ca="1">IF(ISERROR(VLOOKUP(N22,évènements!$A$3:$E$200,3,0)),"",VLOOKUP(N22,évènements!$A$3:$E$200,3,0))</f>
        <v>42839</v>
      </c>
      <c r="T22" s="54" t="str">
        <f>IF(ISERROR(VLOOKUP(N22,évènements!$B$3:$E$200,2,0)),"",VLOOKUP(N22,évènements!$B$3:$E$200,2,0))</f>
        <v/>
      </c>
      <c r="U22" s="54" t="str">
        <f ca="1">IF(ISNA(VLOOKUP(N22,Tableau1[[#All],[Colonne1]:[ouvrés]],3,FALSE)),"",VLOOKUP(N22,Tableau1[[#All],[Colonne1]:[ouvrés]],3,FALSE))</f>
        <v/>
      </c>
      <c r="V22" s="54" t="str">
        <f t="shared" ca="1" si="3"/>
        <v xml:space="preserve">42839  </v>
      </c>
      <c r="W22" s="41">
        <f t="shared" si="29"/>
        <v>42814</v>
      </c>
      <c r="X22" s="42">
        <f t="shared" si="43"/>
        <v>42814</v>
      </c>
      <c r="Y22" s="132" t="str">
        <f>IF(X22="","",IF(ISERROR(MATCH(X22,Lune!$A$1:$A$1000,0)),IF(WEEKDAY(X22)=5,INT((X22-DATE(YEAR(X22),1,1))/7+1),IF(AND(WEEKDAY(X22)=4,NOT( ISERROR(MATCH(X22+1,Lune!$A$1:$A$1000,0)))),INT((X22+1-DATE(YEAR(X22+1),1,1))/7+1),"")),INDEX(Lune!$B$1:$B$1000,MATCH(X22,Lune!$A$1:$A$1000,0),1)))</f>
        <v>◑</v>
      </c>
      <c r="Z22" s="89" t="str">
        <f t="shared" ca="1" si="4"/>
        <v xml:space="preserve"> '</v>
      </c>
      <c r="AA22" s="125" t="str">
        <f ca="1">IF(ISERROR(VLOOKUP(X22,anniversaire!$X$2:$Z$100,2,0)),"",VLOOKUP(X22,anniversaire!$X$2:$Z$100,2,0))</f>
        <v>malandin  yoann    37</v>
      </c>
      <c r="AB22" s="54" t="str">
        <f>IF(ISERROR(VLOOKUP(X22,fête!$B$2:$C$367,2,0)),"",VLOOKUP(X22,fête!$B$2:$C$367,2,0))</f>
        <v>Printemps/Rameaux</v>
      </c>
      <c r="AC22" s="54" t="str">
        <f>IF(ISERROR(VLOOKUP(X22,évènements!$A$3:$E$200,3,0)),"",VLOOKUP(X22,évènements!$A$3:$E$200,3,0))</f>
        <v/>
      </c>
      <c r="AD22" s="54" t="str">
        <f>IF(ISERROR(VLOOKUP(X22,évènements!$B$3:$E$200,2,0)),"",VLOOKUP(X22,évènements!$B$3:$E$200,2,0))</f>
        <v/>
      </c>
      <c r="AE22" s="54" t="str">
        <f ca="1">IF(ISNA(VLOOKUP(X22,Tableau1[[#All],[Colonne1]:[ouvrés]],3,FALSE)),"",VLOOKUP(X22,Tableau1[[#All],[Colonne1]:[ouvrés]],3,FALSE))</f>
        <v/>
      </c>
      <c r="AF22" s="54" t="str">
        <f t="shared" si="57"/>
        <v xml:space="preserve">  </v>
      </c>
      <c r="AG22" s="41">
        <f t="shared" si="30"/>
        <v>42845</v>
      </c>
      <c r="AH22" s="42">
        <f t="shared" si="44"/>
        <v>42845</v>
      </c>
      <c r="AI22" s="137">
        <f>IF(AH22="","",IF(ISERROR(MATCH(AH22,Lune!$A$1:$A$1000,0)),IF(WEEKDAY(AH22)=5,INT((AH22-DATE(YEAR(AH22),1,1))/7+1),IF(AND(WEEKDAY(AH22)=4,NOT( ISERROR(MATCH(AH22+1,Lune!$A$1:$A$1000,0)))),INT((AH22+1-DATE(YEAR(AH22+1),1,1))/7+1),"")),INDEX(Lune!$B$1:$B$1000,MATCH(AH22,Lune!$A$1:$A$1000,0),1)))</f>
        <v>16</v>
      </c>
      <c r="AJ22" s="80" t="str">
        <f t="shared" ca="1" si="6"/>
        <v/>
      </c>
      <c r="AK22" s="54" t="str">
        <f ca="1">IF(ISERROR(VLOOKUP(AH22,anniversaire!$X$2:$Z$100,2,0)),"",VLOOKUP(AH22,anniversaire!$X$2:$Z$100,2,0))</f>
        <v/>
      </c>
      <c r="AL22" s="54" t="str">
        <f>IF(ISERROR(VLOOKUP(AH22,fête!$B$2:$C$367,2,0)),"",VLOOKUP(AH22,fête!$B$2:$C$367,2,0))</f>
        <v>Odette</v>
      </c>
      <c r="AM22" s="54" t="str">
        <f>IF(ISERROR(VLOOKUP(AH22,évènements!$A$3:$E$200,3,0)),"",VLOOKUP(AH22,évènements!$A$3:$E$200,3,0))</f>
        <v/>
      </c>
      <c r="AN22" s="54" t="str">
        <f>IF(ISERROR(VLOOKUP(AH22,évènements!$B$3:$E$200,2,0)),"",VLOOKUP(AH22,évènements!$B$3:$E$200,2,0))</f>
        <v/>
      </c>
      <c r="AO22" s="54" t="str">
        <f ca="1">IF(ISNA(VLOOKUP(AH22,Tableau1[[#All],[Colonne1]:[ouvrés]],3,FALSE)),"",VLOOKUP(AH22,Tableau1[[#All],[Colonne1]:[ouvrés]],3,FALSE))</f>
        <v/>
      </c>
      <c r="AP22" s="238" t="str">
        <f t="shared" si="55"/>
        <v xml:space="preserve">  </v>
      </c>
      <c r="AQ22" s="41">
        <f t="shared" si="31"/>
        <v>42875</v>
      </c>
      <c r="AR22" s="42">
        <f t="shared" si="45"/>
        <v>42875</v>
      </c>
      <c r="AS22" s="43" t="str">
        <f>IF(AR22="","",IF(ISERROR(MATCH(AR22,Lune!$A$1:$A$1000,0)),IF(WEEKDAY(AR22)=5,INT((AR22-DATE(YEAR(AR22),1,1))/7+1),IF(AND(WEEKDAY(AR22)=4,NOT( ISERROR(MATCH(AR22+1,Lune!$A$1:$A$1000,0)))),INT((AR22+1-DATE(YEAR(AR22+1),1,1))/7+1),"")),INDEX(Lune!$B$1:$B$1000,MATCH(AR22,Lune!$A$1:$A$1000,0),1)))</f>
        <v/>
      </c>
      <c r="AT22" s="79" t="str">
        <f t="shared" ca="1" si="8"/>
        <v/>
      </c>
      <c r="AU22" s="54" t="str">
        <f ca="1">IF(ISERROR(VLOOKUP(AR22,anniversaire!$X$2:$Z$100,2,0)),"",VLOOKUP(AR22,anniversaire!$X$2:$Z$100,2,0))</f>
        <v/>
      </c>
      <c r="AV22" s="54" t="str">
        <f>IF(ISERROR(VLOOKUP(AR22,fête!$B$2:$C$367,2,0)),"",VLOOKUP(AR22,fête!$B$2:$C$367,2,0))</f>
        <v>Bernardin</v>
      </c>
      <c r="AW22" s="238" t="str">
        <f ca="1">IF(ISERROR(VLOOKUP(AR22,évènements!$A$3:$E$200,3,0)),"",VLOOKUP(AR22,évènements!$A$3:$E$200,3,0))</f>
        <v/>
      </c>
      <c r="AX22" s="238" t="str">
        <f>IF(ISERROR(VLOOKUP(AR22,évènements!$B$3:$E$200,2,0)),"",VLOOKUP(AR22,évènements!$B$3:$E$200,2,0))</f>
        <v/>
      </c>
      <c r="AY22" s="238" t="str">
        <f ca="1">IF(ISNA(VLOOKUP(AR22,Tableau1[[#All],[Colonne1]:[ouvrés]],3,FALSE)),"",VLOOKUP(AR22,Tableau1[[#All],[Colonne1]:[ouvrés]],3,FALSE))</f>
        <v/>
      </c>
      <c r="AZ22" s="238" t="str">
        <f t="shared" ca="1" si="9"/>
        <v xml:space="preserve">  </v>
      </c>
      <c r="BA22" s="41">
        <f t="shared" si="32"/>
        <v>42906</v>
      </c>
      <c r="BB22" s="42">
        <f t="shared" si="46"/>
        <v>42906</v>
      </c>
      <c r="BC22" s="43" t="str">
        <f>IF(BB22="","",IF(ISERROR(MATCH(BB22,Lune!$A$1:$A$1000,0)),IF(WEEKDAY(BB22)=5,INT((BB22-DATE(YEAR(BB22),1,1))/7+1),IF(AND(WEEKDAY(BB22)=4,NOT( ISERROR(MATCH(BB22+1,Lune!$A$1:$A$1000,0)))),INT((BB22+1-DATE(YEAR(BB22+1),1,1))/7+1),"")),INDEX(Lune!$B$1:$B$1000,MATCH(BB22,Lune!$A$1:$A$1000,0),1)))</f>
        <v/>
      </c>
      <c r="BD22" s="79" t="str">
        <f t="shared" ca="1" si="10"/>
        <v/>
      </c>
      <c r="BE22" s="54" t="str">
        <f ca="1">IF(ISERROR(VLOOKUP(BB22,anniversaire!$X$2:$Z$100,2,0)),"",VLOOKUP(BB22,anniversaire!$X$2:$Z$100,2,0))</f>
        <v/>
      </c>
      <c r="BF22" s="54" t="str">
        <f>IF(ISERROR(VLOOKUP(BB22,fête!$B$2:$C$367,2,0)),"",VLOOKUP(BB22,fête!$B$2:$C$367,2,0))</f>
        <v>Silvère</v>
      </c>
      <c r="BG22" s="54" t="str">
        <f>IF(ISERROR(VLOOKUP(BB22,évènements!$A$3:$E$200,3,0)),"",VLOOKUP(BB22,évènements!$A$3:$E$200,3,0))</f>
        <v/>
      </c>
      <c r="BH22" s="54" t="str">
        <f>IF(ISERROR(VLOOKUP(BB22,évènements!$B$3:$E$200,2,0)),"",VLOOKUP(BB22,évènements!$B$3:$E$200,2,0))</f>
        <v/>
      </c>
      <c r="BI22" s="54" t="str">
        <f ca="1">IF(ISNA(VLOOKUP(BB22,Tableau1[[#All],[Colonne1]:[ouvrés]],3,FALSE)),"",VLOOKUP(BB22,Tableau1[[#All],[Colonne1]:[ouvrés]],3,FALSE))</f>
        <v/>
      </c>
      <c r="BJ22" s="54" t="str">
        <f t="shared" si="56"/>
        <v xml:space="preserve">  </v>
      </c>
      <c r="BK22" s="41">
        <f t="shared" si="33"/>
        <v>42936</v>
      </c>
      <c r="BL22" s="42">
        <f t="shared" si="47"/>
        <v>42936</v>
      </c>
      <c r="BM22" s="43">
        <f>IF(BL22="","",IF(ISERROR(MATCH(BL22,Lune!$A$1:$A$1000,0)),IF(WEEKDAY(BL22)=5,INT((BL22-DATE(YEAR(BL22),1,1))/7+1),IF(AND(WEEKDAY(BL22)=4,NOT( ISERROR(MATCH(BL22+1,Lune!$A$1:$A$1000,0)))),INT((BL22+1-DATE(YEAR(BL22+1),1,1))/7+1),"")),INDEX(Lune!$B$1:$B$1000,MATCH(BL22,Lune!$A$1:$A$1000,0),1)))</f>
        <v>29</v>
      </c>
      <c r="BN22" s="80" t="str">
        <f t="shared" ca="1" si="12"/>
        <v/>
      </c>
      <c r="BO22" s="54" t="str">
        <f ca="1">IF(ISERROR(VLOOKUP(BL22,anniversaire!$X$2:$Z$100,2,0)),"",VLOOKUP(BL22,anniversaire!$X$2:$Z$100,2,0))</f>
        <v/>
      </c>
      <c r="BP22" s="54" t="str">
        <f>IF(ISERROR(VLOOKUP(BL22,fête!$B$2:$C$367,2,0)),"",VLOOKUP(BL22,fête!$B$2:$C$367,2,0))</f>
        <v>Marina</v>
      </c>
      <c r="BQ22" s="54" t="str">
        <f>IF(ISERROR(VLOOKUP(BL22,évènements!$A$3:$E$200,3,0)),"",VLOOKUP(BL22,évènements!$A$3:$E$200,3,0))</f>
        <v/>
      </c>
      <c r="BR22" s="54" t="str">
        <f>IF(ISERROR(VLOOKUP(BL22,évènements!$B$3:$E$200,2,0)),"",VLOOKUP(BL22,évènements!$B$3:$E$200,2,0))</f>
        <v/>
      </c>
      <c r="BS22" s="54" t="str">
        <f ca="1">IF(ISNA(VLOOKUP(BL22,Tableau1[[#All],[Colonne1]:[ouvrés]],3,FALSE)),"",VLOOKUP(BL22,Tableau1[[#All],[Colonne1]:[ouvrés]],3,FALSE))</f>
        <v/>
      </c>
      <c r="BT22" s="54" t="str">
        <f t="shared" si="34"/>
        <v xml:space="preserve">  </v>
      </c>
      <c r="BU22" s="41">
        <f t="shared" si="35"/>
        <v>42967</v>
      </c>
      <c r="BV22" s="42">
        <f t="shared" si="48"/>
        <v>42967</v>
      </c>
      <c r="BW22" s="43" t="str">
        <f>IF(BV22="","",IF(ISERROR(MATCH(BV22,Lune!$A$1:$A$1000,0)),IF(WEEKDAY(BV22)=5,INT((BV22-DATE(YEAR(BV22),1,1))/7+1),IF(AND(WEEKDAY(BV22)=4,NOT( ISERROR(MATCH(BV22+1,Lune!$A$1:$A$1000,0)))),INT((BV22+1-DATE(YEAR(BV22+1),1,1))/7+1),"")),INDEX(Lune!$B$1:$B$1000,MATCH(BV22,Lune!$A$1:$A$1000,0),1)))</f>
        <v/>
      </c>
      <c r="BX22" s="80" t="str">
        <f t="shared" ca="1" si="13"/>
        <v/>
      </c>
      <c r="BY22" s="54" t="str">
        <f ca="1">IF(ISERROR(VLOOKUP(BV22,anniversaire!$X$2:$Z$100,2,0)),"",VLOOKUP(BV22,anniversaire!$X$2:$Z$100,2,0))</f>
        <v/>
      </c>
      <c r="BZ22" s="54" t="str">
        <f>IF(ISERROR(VLOOKUP(BV22,fête!$B$2:$C$367,2,0)),"",VLOOKUP(BV22,fête!$B$2:$C$367,2,0))</f>
        <v>Bernard</v>
      </c>
      <c r="CA22" s="54" t="str">
        <f>IF(ISERROR(VLOOKUP(BV22,évènements!$A$3:$E$200,3,0)),"",VLOOKUP(BV22,évènements!$A$3:$E$200,3,0))</f>
        <v/>
      </c>
      <c r="CB22" s="54" t="str">
        <f>IF(ISERROR(VLOOKUP(BV22,évènements!$B$3:$E$200,2,0)),"",VLOOKUP(BV22,évènements!$B$3:$E$200,2,0))</f>
        <v/>
      </c>
      <c r="CC22" s="54" t="str">
        <f ca="1">IF(ISNA(VLOOKUP(BV22,Tableau1[[#All],[Colonne1]:[ouvrés]],3,FALSE)),"",VLOOKUP(BV22,Tableau1[[#All],[Colonne1]:[ouvrés]],3,FALSE))</f>
        <v/>
      </c>
      <c r="CD22" s="54" t="str">
        <f t="shared" si="14"/>
        <v xml:space="preserve">  </v>
      </c>
      <c r="CE22" s="41">
        <f t="shared" si="36"/>
        <v>42998</v>
      </c>
      <c r="CF22" s="42">
        <f t="shared" si="49"/>
        <v>42998</v>
      </c>
      <c r="CG22" s="43" t="str">
        <f>IF(CF22="","",IF(ISERROR(MATCH(CF22,Lune!$A$1:$A$1000,0)),IF(WEEKDAY(CF22)=5,INT((CF22-DATE(YEAR(CF22),1,1))/7+1),IF(AND(WEEKDAY(CF22)=4,NOT( ISERROR(MATCH(CF22+1,Lune!$A$1:$A$1000,0)))),INT((CF22+1-DATE(YEAR(CF22+1),1,1))/7+1),"")),INDEX(Lune!$B$1:$B$1000,MATCH(CF22,Lune!$A$1:$A$1000,0),1)))</f>
        <v>●</v>
      </c>
      <c r="CH22" s="80" t="str">
        <f t="shared" ca="1" si="15"/>
        <v/>
      </c>
      <c r="CI22" s="54" t="str">
        <f ca="1">IF(ISERROR(VLOOKUP(CF22,anniversaire!$X$2:$Z$100,2,0)),"",VLOOKUP(CF22,anniversaire!$X$2:$Z$100,2,0))</f>
        <v/>
      </c>
      <c r="CJ22" s="54" t="str">
        <f>IF(ISERROR(VLOOKUP(CF22,fête!$B$2:$C$367,2,0)),"",VLOOKUP(CF22,fête!$B$2:$C$367,2,0))</f>
        <v>Davy</v>
      </c>
      <c r="CK22" s="54" t="str">
        <f>IF(ISERROR(VLOOKUP(CF22,évènements!$A$3:$E$200,3,0)),"",VLOOKUP(CF22,évènements!$A$3:$E$200,3,0))</f>
        <v/>
      </c>
      <c r="CL22" s="54" t="str">
        <f>IF(ISERROR(VLOOKUP(CF22,évènements!$B$3:$E$200,2,0)),"",VLOOKUP(CF22,évènements!$B$3:$E$200,2,0))</f>
        <v/>
      </c>
      <c r="CM22" s="54" t="str">
        <f ca="1">IF(ISNA(VLOOKUP(CF22,Tableau1[[#All],[Colonne1]:[ouvrés]],3,FALSE)),"",VLOOKUP(CF22,Tableau1[[#All],[Colonne1]:[ouvrés]],3,FALSE))</f>
        <v/>
      </c>
      <c r="CN22" s="54" t="str">
        <f t="shared" si="16"/>
        <v xml:space="preserve">  </v>
      </c>
      <c r="CO22" s="41">
        <f t="shared" si="37"/>
        <v>43028</v>
      </c>
      <c r="CP22" s="42">
        <f t="shared" si="50"/>
        <v>43028</v>
      </c>
      <c r="CQ22" s="43" t="str">
        <f>IF(CP22="","",IF(ISERROR(MATCH(CP22,Lune!$A$1:$A$1000,0)),IF(WEEKDAY(CP22)=5,INT((CP22-DATE(YEAR(CP22),1,1))/7+1),IF(AND(WEEKDAY(CP22)=4,NOT( ISERROR(MATCH(CP22+1,Lune!$A$1:$A$1000,0)))),INT((CP22+1-DATE(YEAR(CP22+1),1,1))/7+1),"")),INDEX(Lune!$B$1:$B$1000,MATCH(CP22,Lune!$A$1:$A$1000,0),1)))</f>
        <v/>
      </c>
      <c r="CR22" s="80" t="str">
        <f t="shared" ca="1" si="17"/>
        <v xml:space="preserve"> '</v>
      </c>
      <c r="CS22" s="54" t="str">
        <f ca="1">IF(ISERROR(VLOOKUP(CP22,anniversaire!$X$2:$Z$100,2,0)),"",VLOOKUP(CP22,anniversaire!$X$2:$Z$100,2,0))</f>
        <v>Virely  élodie    32</v>
      </c>
      <c r="CT22" s="54" t="str">
        <f>IF(ISERROR(VLOOKUP(CP22,fête!$B$2:$C$367,2,0)),"",VLOOKUP(CP22,fête!$B$2:$C$367,2,0))</f>
        <v>Adeline</v>
      </c>
      <c r="CU22" s="54" t="str">
        <f>IF(ISERROR(VLOOKUP(CP22,évènements!$A$3:$E$200,3,0)),"",VLOOKUP(CP22,évènements!$A$3:$E$200,3,0))</f>
        <v/>
      </c>
      <c r="CV22" s="54" t="str">
        <f>IF(ISERROR(VLOOKUP(CP22,évènements!$B$3:$E$200,2,0)),"",VLOOKUP(CP22,évènements!$B$3:$E$200,2,0))</f>
        <v/>
      </c>
      <c r="CW22" s="54" t="str">
        <f ca="1">IF(ISNA(VLOOKUP(CP22,Tableau1[[#All],[Colonne1]:[ouvrés]],3,FALSE)),"",VLOOKUP(CP22,Tableau1[[#All],[Colonne1]:[ouvrés]],3,FALSE))</f>
        <v/>
      </c>
      <c r="CX22" s="54" t="str">
        <f t="shared" si="18"/>
        <v xml:space="preserve">  </v>
      </c>
      <c r="CY22" s="41">
        <f t="shared" si="38"/>
        <v>43059</v>
      </c>
      <c r="CZ22" s="42">
        <f t="shared" si="51"/>
        <v>43059</v>
      </c>
      <c r="DA22" s="43" t="str">
        <f>IF(CZ22="","",IF(ISERROR(MATCH(CZ22,Lune!$A$1:$A$1000,0)),IF(WEEKDAY(CZ22)=5,INT((CZ22-DATE(YEAR(CZ22),1,1))/7+1),IF(AND(WEEKDAY(CZ22)=4,NOT( ISERROR(MATCH(CZ22+1,Lune!$A$1:$A$1000,0)))),INT((CZ22+1-DATE(YEAR(CZ22+1),1,1))/7+1),"")),INDEX(Lune!$B$1:$B$1000,MATCH(CZ22,Lune!$A$1:$A$1000,0),1)))</f>
        <v/>
      </c>
      <c r="DB22" s="80" t="str">
        <f t="shared" ca="1" si="19"/>
        <v/>
      </c>
      <c r="DC22" s="54" t="str">
        <f ca="1">IF(ISERROR(VLOOKUP(CZ22,anniversaire!$X$2:$Z$100,2,0)),"",VLOOKUP(CZ22,anniversaire!$X$2:$Z$100,2,0))</f>
        <v/>
      </c>
      <c r="DD22" s="54" t="str">
        <f>IF(ISERROR(VLOOKUP(CZ22,fête!$B$2:$C$367,2,0)),"",VLOOKUP(CZ22,fête!$B$2:$C$367,2,0))</f>
        <v>Edmond</v>
      </c>
      <c r="DE22" s="54" t="str">
        <f>IF(ISERROR(VLOOKUP(CZ22,évènements!$A$3:$E$200,3,0)),"",VLOOKUP(CZ22,évènements!$A$3:$E$200,3,0))</f>
        <v/>
      </c>
      <c r="DF22" s="54" t="str">
        <f>IF(ISERROR(VLOOKUP(CZ22,évènements!$B$3:$E$200,2,0)),"",VLOOKUP(CZ22,évènements!$B$3:$E$200,2,0))</f>
        <v/>
      </c>
      <c r="DG22" s="54"/>
      <c r="DH22" s="54" t="str">
        <f t="shared" si="20"/>
        <v xml:space="preserve">  </v>
      </c>
      <c r="DI22" s="41">
        <f t="shared" si="39"/>
        <v>43089</v>
      </c>
      <c r="DJ22" s="42">
        <f t="shared" si="52"/>
        <v>43089</v>
      </c>
      <c r="DK22" s="43" t="str">
        <f>IF(DJ22="","",IF(ISERROR(MATCH(DJ22,Lune!$A$1:$A$1000,0)),IF(WEEKDAY(DJ22)=5,INT((DJ22-DATE(YEAR(DJ22),1,1))/7+1),IF(AND(WEEKDAY(DJ22)=4,NOT( ISERROR(MATCH(DJ22+1,Lune!$A$1:$A$1000,0)))),INT((DJ22+1-DATE(YEAR(DJ22+1),1,1))/7+1),"")),INDEX(Lune!$B$1:$B$1000,MATCH(DJ22,Lune!$A$1:$A$1000,0),1)))</f>
        <v/>
      </c>
      <c r="DL22" s="80" t="str">
        <f t="shared" ca="1" si="21"/>
        <v/>
      </c>
      <c r="DM22" s="54" t="str">
        <f ca="1">IF(ISERROR(VLOOKUP(DJ22,anniversaire!$X$2:$Z$100,2,0)),"",VLOOKUP(DJ22,anniversaire!$X$2:$Z$100,2,0))</f>
        <v/>
      </c>
      <c r="DN22" s="54" t="str">
        <f>IF(ISERROR(VLOOKUP(DJ22,fête!$B$2:$C$367,2,0)),"",VLOOKUP(DJ22,fête!$B$2:$C$367,2,0))</f>
        <v>Théophile</v>
      </c>
      <c r="DO22" s="54" t="str">
        <f>IF(ISERROR(VLOOKUP(DJ22,évènements!$A$3:$E$200,3,0)),"",VLOOKUP(DJ22,évènements!$A$3:$E$200,3,0))</f>
        <v/>
      </c>
      <c r="DP22" s="54" t="str">
        <f>IF(ISERROR(VLOOKUP(DJ22,évènements!$B$3:$E$200,2,0)),"",VLOOKUP(DJ22,évènements!$B$3:$E$200,2,0))</f>
        <v/>
      </c>
      <c r="DQ22" s="54" t="str">
        <f ca="1">IF(ISNA(VLOOKUP(DJ22,Tableau1[[#All],[Colonne1]:[ouvrés]],3,FALSE)),"",VLOOKUP(DJ22,Tableau1[[#All],[Colonne1]:[ouvrés]],3,FALSE))</f>
        <v/>
      </c>
      <c r="DR22" s="54" t="str">
        <f t="shared" si="22"/>
        <v xml:space="preserve">  </v>
      </c>
      <c r="DS22" s="41">
        <f t="shared" si="40"/>
        <v>43120</v>
      </c>
      <c r="DT22" s="42">
        <f t="shared" si="53"/>
        <v>43120</v>
      </c>
      <c r="DU22" s="43" t="str">
        <f>IF(DT22="","",IF(ISERROR(MATCH(DT22,Lune!$A$1:$A$1000,0)),IF(WEEKDAY(DT22)=5,INT((DT22-DATE(YEAR(DT22),1,1))/7+1),IF(AND(WEEKDAY(DT22)=4,NOT( ISERROR(MATCH(DT22+1,Lune!$A$1:$A$1000,0)))),INT((DT22+1-DATE(YEAR(DT22+1),1,1))/7+1),"")),INDEX(Lune!$B$1:$B$1000,MATCH(DT22,Lune!$A$1:$A$1000,0),1)))</f>
        <v/>
      </c>
      <c r="DV22" s="89" t="str">
        <f t="shared" ca="1" si="23"/>
        <v/>
      </c>
      <c r="DW22" s="252" t="str">
        <f t="shared" ca="1" si="24"/>
        <v/>
      </c>
      <c r="DX22" s="252" t="str">
        <f t="shared" si="25"/>
        <v>Sébastien</v>
      </c>
      <c r="DY22" s="252" t="str">
        <f>IF(ISERROR(VLOOKUP(DT22,évènements!$A$3:$E$200,3,0)),"",VLOOKUP(DT22,évènements!$A$3:$E$200,3,0))</f>
        <v/>
      </c>
      <c r="DZ22" s="252" t="str">
        <f>IF(ISERROR(VLOOKUP(DT22,évènements!$B$3:$E$200,2,0)),"",VLOOKUP(DT22,évènements!$B$3:$E$200,2,0))</f>
        <v/>
      </c>
      <c r="EA22" s="252" t="str">
        <f ca="1">IF(ISNA(VLOOKUP(DT22,Tableau1[[#All],[Colonne1]:[ouvrés]],3,FALSE)),"",VLOOKUP(DT22,Tableau1[[#All],[Colonne1]:[ouvrés]],3,FALSE))</f>
        <v/>
      </c>
      <c r="EB22" s="252" t="str">
        <f t="shared" si="26"/>
        <v xml:space="preserve">  </v>
      </c>
    </row>
    <row r="23" spans="2:132" ht="15" customHeight="1" x14ac:dyDescent="0.25">
      <c r="B23" s="29"/>
      <c r="C23" s="41">
        <f t="shared" si="27"/>
        <v>42756</v>
      </c>
      <c r="D23" s="40">
        <f t="shared" si="41"/>
        <v>42756</v>
      </c>
      <c r="E23" s="131" t="str">
        <f>IF(D23="","",IF(ISERROR(MATCH(D23,Lune!$A$1:$A$1000,0)),IF(WEEKDAY(D23)=5,INT((D23-DATE(YEAR(D23),1,1))/7+1),IF(AND(WEEKDAY(D23)=4,NOT( ISERROR(MATCH(D23+1,Lune!$A$1:$A$1000,0)))),INT((D23+1-DATE(YEAR(D23+1),1,1))/7+1),"")),INDEX(Lune!$B$1:$B$1000,MATCH(D23,Lune!$A$1:$A$1000,0),1)))</f>
        <v/>
      </c>
      <c r="F23" s="89" t="str">
        <f t="shared" ca="1" si="0"/>
        <v/>
      </c>
      <c r="G23" s="125" t="str">
        <f ca="1">IF(ISERROR(VLOOKUP(D23,anniversaire!$X$2:$Z$100,2,0)),"",VLOOKUP(D23,anniversaire!$X$2:$Z$100,2,0))</f>
        <v/>
      </c>
      <c r="H23" s="54" t="str">
        <f>IF(ISERROR(VLOOKUP(D23,fête!$B$2:$C$367,2,0)),"",VLOOKUP(D23,fête!$B$2:$C$367,2,0))</f>
        <v>Agnès</v>
      </c>
      <c r="I23" s="239" t="str">
        <f>IF(ISERROR(VLOOKUP(D23,évènements!$A$3:$E$200,3,0)),"",VLOOKUP(D23,évènements!$A$3:$E$200,3,0))</f>
        <v/>
      </c>
      <c r="J23" s="239" t="str">
        <f>IF(ISERROR(VLOOKUP(D23,évènements!$B$3:$E$200,2,0)),"",VLOOKUP(D23,évènements!$B$3:$E$200,2,0))</f>
        <v/>
      </c>
      <c r="K23" s="239" t="str">
        <f ca="1">IF(ISNA(VLOOKUP(D23,Tableau1[[#All],[Colonne1]:[ouvrés]],3,FALSE)),"",VLOOKUP(D23,Tableau1[[#All],[Colonne1]:[ouvrés]],3,FALSE))</f>
        <v/>
      </c>
      <c r="L23" s="239" t="str">
        <f t="shared" ref="L23:L33" si="58">CONCATENATE(I23,"  ",J23)</f>
        <v xml:space="preserve">  </v>
      </c>
      <c r="M23" s="41">
        <f t="shared" si="28"/>
        <v>42787</v>
      </c>
      <c r="N23" s="42">
        <f t="shared" si="42"/>
        <v>42787</v>
      </c>
      <c r="O23" s="131" t="str">
        <f>IF(N23="","",IF(ISERROR(MATCH(N23,Lune!$A$1:$A$1000,0)),IF(WEEKDAY(N23)=5,INT((N23-DATE(YEAR(N23),1,1))/7+1),IF(AND(WEEKDAY(N23)=4,NOT( ISERROR(MATCH(N23+1,Lune!$A$1:$A$1000,0)))),INT((N23+1-DATE(YEAR(N23+1),1,1))/7+1),"")),INDEX(Lune!$B$1:$B$1000,MATCH(N23,Lune!$A$1:$A$1000,0),1)))</f>
        <v/>
      </c>
      <c r="P23" s="80" t="str">
        <f t="shared" ca="1" si="54"/>
        <v/>
      </c>
      <c r="Q23" s="54" t="str">
        <f ca="1">IF(ISERROR(VLOOKUP(N23,anniversaire!$X$2:$Z$100,2,0)),"",VLOOKUP(N23,anniversaire!$X$2:$Z$100,2,0))</f>
        <v/>
      </c>
      <c r="R23" s="54" t="str">
        <f>IF(ISERROR(VLOOKUP(N23,fête!$B$2:$C$367,2,0)),"",VLOOKUP(N23,fête!$B$2:$C$367,2,0))</f>
        <v>Damien</v>
      </c>
      <c r="S23" s="54" t="str">
        <f>IF(ISERROR(VLOOKUP(N23,évènements!$A$3:$E$200,3,0)),"",VLOOKUP(N23,évènements!$A$3:$E$200,3,0))</f>
        <v/>
      </c>
      <c r="T23" s="54" t="str">
        <f>IF(ISERROR(VLOOKUP(N23,évènements!$B$3:$E$200,2,0)),"",VLOOKUP(N23,évènements!$B$3:$E$200,2,0))</f>
        <v/>
      </c>
      <c r="U23" s="54" t="str">
        <f ca="1">IF(ISNA(VLOOKUP(N23,Tableau1[[#All],[Colonne1]:[ouvrés]],3,FALSE)),"",VLOOKUP(N23,Tableau1[[#All],[Colonne1]:[ouvrés]],3,FALSE))</f>
        <v/>
      </c>
      <c r="V23" s="54" t="str">
        <f t="shared" si="3"/>
        <v xml:space="preserve">  </v>
      </c>
      <c r="W23" s="41">
        <f t="shared" si="29"/>
        <v>42815</v>
      </c>
      <c r="X23" s="42">
        <f t="shared" si="43"/>
        <v>42815</v>
      </c>
      <c r="Y23" s="132" t="str">
        <f>IF(X23="","",IF(ISERROR(MATCH(X23,Lune!$A$1:$A$1000,0)),IF(WEEKDAY(X23)=5,INT((X23-DATE(YEAR(X23),1,1))/7+1),IF(AND(WEEKDAY(X23)=4,NOT( ISERROR(MATCH(X23+1,Lune!$A$1:$A$1000,0)))),INT((X23+1-DATE(YEAR(X23+1),1,1))/7+1),"")),INDEX(Lune!$B$1:$B$1000,MATCH(X23,Lune!$A$1:$A$1000,0),1)))</f>
        <v/>
      </c>
      <c r="Z23" s="89" t="str">
        <f t="shared" ca="1" si="4"/>
        <v/>
      </c>
      <c r="AA23" s="125" t="str">
        <f ca="1">IF(ISERROR(VLOOKUP(X23,anniversaire!$X$2:$Z$100,2,0)),"",VLOOKUP(X23,anniversaire!$X$2:$Z$100,2,0))</f>
        <v/>
      </c>
      <c r="AB23" s="54" t="str">
        <f>IF(ISERROR(VLOOKUP(X23,fête!$B$2:$C$367,2,0)),"",VLOOKUP(X23,fête!$B$2:$C$367,2,0))</f>
        <v>Clémence</v>
      </c>
      <c r="AC23" s="54" t="str">
        <f>IF(ISERROR(VLOOKUP(X23,évènements!$A$3:$E$200,3,0)),"",VLOOKUP(X23,évènements!$A$3:$E$200,3,0))</f>
        <v/>
      </c>
      <c r="AD23" s="54" t="str">
        <f>IF(ISERROR(VLOOKUP(X23,évènements!$B$3:$E$200,2,0)),"",VLOOKUP(X23,évènements!$B$3:$E$200,2,0))</f>
        <v/>
      </c>
      <c r="AE23" s="54" t="str">
        <f ca="1">IF(ISNA(VLOOKUP(X23,Tableau1[[#All],[Colonne1]:[ouvrés]],3,FALSE)),"",VLOOKUP(X23,Tableau1[[#All],[Colonne1]:[ouvrés]],3,FALSE))</f>
        <v/>
      </c>
      <c r="AF23" s="54" t="str">
        <f t="shared" si="57"/>
        <v xml:space="preserve">  </v>
      </c>
      <c r="AG23" s="41">
        <f t="shared" si="30"/>
        <v>42846</v>
      </c>
      <c r="AH23" s="42">
        <f t="shared" si="44"/>
        <v>42846</v>
      </c>
      <c r="AI23" s="137" t="str">
        <f>IF(AH23="","",IF(ISERROR(MATCH(AH23,Lune!$A$1:$A$1000,0)),IF(WEEKDAY(AH23)=5,INT((AH23-DATE(YEAR(AH23),1,1))/7+1),IF(AND(WEEKDAY(AH23)=4,NOT( ISERROR(MATCH(AH23+1,Lune!$A$1:$A$1000,0)))),INT((AH23+1-DATE(YEAR(AH23+1),1,1))/7+1),"")),INDEX(Lune!$B$1:$B$1000,MATCH(AH23,Lune!$A$1:$A$1000,0),1)))</f>
        <v/>
      </c>
      <c r="AJ23" s="80" t="str">
        <f t="shared" ca="1" si="6"/>
        <v/>
      </c>
      <c r="AK23" s="54" t="str">
        <f ca="1">IF(ISERROR(VLOOKUP(AH23,anniversaire!$X$2:$Z$100,2,0)),"",VLOOKUP(AH23,anniversaire!$X$2:$Z$100,2,0))</f>
        <v/>
      </c>
      <c r="AL23" s="54" t="str">
        <f>IF(ISERROR(VLOOKUP(AH23,fête!$B$2:$C$367,2,0)),"",VLOOKUP(AH23,fête!$B$2:$C$367,2,0))</f>
        <v>Anselme</v>
      </c>
      <c r="AM23" s="54" t="str">
        <f>IF(ISERROR(VLOOKUP(AH23,évènements!$A$3:$E$200,3,0)),"",VLOOKUP(AH23,évènements!$A$3:$E$200,3,0))</f>
        <v/>
      </c>
      <c r="AN23" s="54" t="str">
        <f>IF(ISERROR(VLOOKUP(AH23,évènements!$B$3:$E$200,2,0)),"",VLOOKUP(AH23,évènements!$B$3:$E$200,2,0))</f>
        <v/>
      </c>
      <c r="AO23" s="54" t="str">
        <f ca="1">IF(ISNA(VLOOKUP(AH23,Tableau1[[#All],[Colonne1]:[ouvrés]],3,FALSE)),"",VLOOKUP(AH23,Tableau1[[#All],[Colonne1]:[ouvrés]],3,FALSE))</f>
        <v/>
      </c>
      <c r="AP23" s="238" t="str">
        <f t="shared" si="55"/>
        <v xml:space="preserve">  </v>
      </c>
      <c r="AQ23" s="41">
        <f t="shared" si="31"/>
        <v>42876</v>
      </c>
      <c r="AR23" s="42">
        <f t="shared" si="45"/>
        <v>42876</v>
      </c>
      <c r="AS23" s="43" t="str">
        <f>IF(AR23="","",IF(ISERROR(MATCH(AR23,Lune!$A$1:$A$1000,0)),IF(WEEKDAY(AR23)=5,INT((AR23-DATE(YEAR(AR23),1,1))/7+1),IF(AND(WEEKDAY(AR23)=4,NOT( ISERROR(MATCH(AR23+1,Lune!$A$1:$A$1000,0)))),INT((AR23+1-DATE(YEAR(AR23+1),1,1))/7+1),"")),INDEX(Lune!$B$1:$B$1000,MATCH(AR23,Lune!$A$1:$A$1000,0),1)))</f>
        <v/>
      </c>
      <c r="AT23" s="79" t="str">
        <f t="shared" ca="1" si="8"/>
        <v/>
      </c>
      <c r="AU23" s="54" t="str">
        <f ca="1">IF(ISERROR(VLOOKUP(AR23,anniversaire!$X$2:$Z$100,2,0)),"",VLOOKUP(AR23,anniversaire!$X$2:$Z$100,2,0))</f>
        <v/>
      </c>
      <c r="AV23" s="54" t="str">
        <f>IF(ISERROR(VLOOKUP(AR23,fête!$B$2:$C$367,2,0)),"",VLOOKUP(AR23,fête!$B$2:$C$367,2,0))</f>
        <v>Constantin</v>
      </c>
      <c r="AW23" s="238" t="str">
        <f>IF(ISERROR(VLOOKUP(AR23,évènements!$A$3:$E$200,3,0)),"",VLOOKUP(AR23,évènements!$A$3:$E$200,3,0))</f>
        <v/>
      </c>
      <c r="AX23" s="238" t="str">
        <f>IF(ISERROR(VLOOKUP(AR23,évènements!$B$3:$E$200,2,0)),"",VLOOKUP(AR23,évènements!$B$3:$E$200,2,0))</f>
        <v/>
      </c>
      <c r="AY23" s="238" t="str">
        <f ca="1">IF(ISNA(VLOOKUP(AR23,Tableau1[[#All],[Colonne1]:[ouvrés]],3,FALSE)),"",VLOOKUP(AR23,Tableau1[[#All],[Colonne1]:[ouvrés]],3,FALSE))</f>
        <v/>
      </c>
      <c r="AZ23" s="238" t="str">
        <f t="shared" si="9"/>
        <v xml:space="preserve">  </v>
      </c>
      <c r="BA23" s="41">
        <f t="shared" si="32"/>
        <v>42907</v>
      </c>
      <c r="BB23" s="42">
        <f t="shared" si="46"/>
        <v>42907</v>
      </c>
      <c r="BC23" s="43" t="str">
        <f>IF(BB23="","",IF(ISERROR(MATCH(BB23,Lune!$A$1:$A$1000,0)),IF(WEEKDAY(BB23)=5,INT((BB23-DATE(YEAR(BB23),1,1))/7+1),IF(AND(WEEKDAY(BB23)=4,NOT( ISERROR(MATCH(BB23+1,Lune!$A$1:$A$1000,0)))),INT((BB23+1-DATE(YEAR(BB23+1),1,1))/7+1),"")),INDEX(Lune!$B$1:$B$1000,MATCH(BB23,Lune!$A$1:$A$1000,0),1)))</f>
        <v/>
      </c>
      <c r="BD23" s="79" t="str">
        <f t="shared" ca="1" si="10"/>
        <v/>
      </c>
      <c r="BE23" s="54" t="str">
        <f ca="1">IF(ISERROR(VLOOKUP(BB23,anniversaire!$X$2:$Z$100,2,0)),"",VLOOKUP(BB23,anniversaire!$X$2:$Z$100,2,0))</f>
        <v/>
      </c>
      <c r="BF23" s="54" t="str">
        <f>IF(ISERROR(VLOOKUP(BB23,fête!$B$2:$C$367,2,0)),"",VLOOKUP(BB23,fête!$B$2:$C$367,2,0))</f>
        <v>Eté</v>
      </c>
      <c r="BG23" s="54" t="str">
        <f>IF(ISERROR(VLOOKUP(BB23,évènements!$A$3:$E$200,3,0)),"",VLOOKUP(BB23,évènements!$A$3:$E$200,3,0))</f>
        <v/>
      </c>
      <c r="BH23" s="54" t="str">
        <f>IF(ISERROR(VLOOKUP(BB23,évènements!$B$3:$E$200,2,0)),"",VLOOKUP(BB23,évènements!$B$3:$E$200,2,0))</f>
        <v/>
      </c>
      <c r="BI23" s="54" t="str">
        <f ca="1">IF(ISNA(VLOOKUP(BB23,Tableau1[[#All],[Colonne1]:[ouvrés]],3,FALSE)),"",VLOOKUP(BB23,Tableau1[[#All],[Colonne1]:[ouvrés]],3,FALSE))</f>
        <v/>
      </c>
      <c r="BJ23" s="54" t="str">
        <f t="shared" si="56"/>
        <v xml:space="preserve">  </v>
      </c>
      <c r="BK23" s="41">
        <f t="shared" si="33"/>
        <v>42937</v>
      </c>
      <c r="BL23" s="42">
        <f t="shared" si="47"/>
        <v>42937</v>
      </c>
      <c r="BM23" s="43" t="str">
        <f>IF(BL23="","",IF(ISERROR(MATCH(BL23,Lune!$A$1:$A$1000,0)),IF(WEEKDAY(BL23)=5,INT((BL23-DATE(YEAR(BL23),1,1))/7+1),IF(AND(WEEKDAY(BL23)=4,NOT( ISERROR(MATCH(BL23+1,Lune!$A$1:$A$1000,0)))),INT((BL23+1-DATE(YEAR(BL23+1),1,1))/7+1),"")),INDEX(Lune!$B$1:$B$1000,MATCH(BL23,Lune!$A$1:$A$1000,0),1)))</f>
        <v/>
      </c>
      <c r="BN23" s="80" t="str">
        <f t="shared" ca="1" si="12"/>
        <v/>
      </c>
      <c r="BO23" s="54" t="str">
        <f ca="1">IF(ISERROR(VLOOKUP(BL23,anniversaire!$X$2:$Z$100,2,0)),"",VLOOKUP(BL23,anniversaire!$X$2:$Z$100,2,0))</f>
        <v/>
      </c>
      <c r="BP23" s="54" t="str">
        <f>IF(ISERROR(VLOOKUP(BL23,fête!$B$2:$C$367,2,0)),"",VLOOKUP(BL23,fête!$B$2:$C$367,2,0))</f>
        <v>Victor</v>
      </c>
      <c r="BQ23" s="54" t="str">
        <f>IF(ISERROR(VLOOKUP(BL23,évènements!$A$3:$E$200,3,0)),"",VLOOKUP(BL23,évènements!$A$3:$E$200,3,0))</f>
        <v/>
      </c>
      <c r="BR23" s="54" t="str">
        <f>IF(ISERROR(VLOOKUP(BL23,évènements!$B$3:$E$200,2,0)),"",VLOOKUP(BL23,évènements!$B$3:$E$200,2,0))</f>
        <v/>
      </c>
      <c r="BS23" s="54" t="str">
        <f ca="1">IF(ISNA(VLOOKUP(BL23,Tableau1[[#All],[Colonne1]:[ouvrés]],3,FALSE)),"",VLOOKUP(BL23,Tableau1[[#All],[Colonne1]:[ouvrés]],3,FALSE))</f>
        <v/>
      </c>
      <c r="BT23" s="54" t="str">
        <f t="shared" si="34"/>
        <v xml:space="preserve">  </v>
      </c>
      <c r="BU23" s="41">
        <f t="shared" si="35"/>
        <v>42968</v>
      </c>
      <c r="BV23" s="42">
        <f t="shared" si="48"/>
        <v>42968</v>
      </c>
      <c r="BW23" s="43" t="str">
        <f>IF(BV23="","",IF(ISERROR(MATCH(BV23,Lune!$A$1:$A$1000,0)),IF(WEEKDAY(BV23)=5,INT((BV23-DATE(YEAR(BV23),1,1))/7+1),IF(AND(WEEKDAY(BV23)=4,NOT( ISERROR(MATCH(BV23+1,Lune!$A$1:$A$1000,0)))),INT((BV23+1-DATE(YEAR(BV23+1),1,1))/7+1),"")),INDEX(Lune!$B$1:$B$1000,MATCH(BV23,Lune!$A$1:$A$1000,0),1)))</f>
        <v>●</v>
      </c>
      <c r="BX23" s="80" t="str">
        <f t="shared" ca="1" si="13"/>
        <v/>
      </c>
      <c r="BY23" s="54" t="str">
        <f ca="1">IF(ISERROR(VLOOKUP(BV23,anniversaire!$X$2:$Z$100,2,0)),"",VLOOKUP(BV23,anniversaire!$X$2:$Z$100,2,0))</f>
        <v/>
      </c>
      <c r="BZ23" s="54" t="str">
        <f>IF(ISERROR(VLOOKUP(BV23,fête!$B$2:$C$367,2,0)),"",VLOOKUP(BV23,fête!$B$2:$C$367,2,0))</f>
        <v>Christophe</v>
      </c>
      <c r="CA23" s="54" t="str">
        <f>IF(ISERROR(VLOOKUP(BV23,évènements!$A$3:$E$200,3,0)),"",VLOOKUP(BV23,évènements!$A$3:$E$200,3,0))</f>
        <v/>
      </c>
      <c r="CB23" s="54" t="str">
        <f>IF(ISERROR(VLOOKUP(BV23,évènements!$B$3:$E$200,2,0)),"",VLOOKUP(BV23,évènements!$B$3:$E$200,2,0))</f>
        <v/>
      </c>
      <c r="CC23" s="54" t="str">
        <f ca="1">IF(ISNA(VLOOKUP(BV23,Tableau1[[#All],[Colonne1]:[ouvrés]],3,FALSE)),"",VLOOKUP(BV23,Tableau1[[#All],[Colonne1]:[ouvrés]],3,FALSE))</f>
        <v/>
      </c>
      <c r="CD23" s="54" t="str">
        <f t="shared" si="14"/>
        <v xml:space="preserve">  </v>
      </c>
      <c r="CE23" s="41">
        <f t="shared" si="36"/>
        <v>42999</v>
      </c>
      <c r="CF23" s="42">
        <f t="shared" si="49"/>
        <v>42999</v>
      </c>
      <c r="CG23" s="43">
        <f>IF(CF23="","",IF(ISERROR(MATCH(CF23,Lune!$A$1:$A$1000,0)),IF(WEEKDAY(CF23)=5,INT((CF23-DATE(YEAR(CF23),1,1))/7+1),IF(AND(WEEKDAY(CF23)=4,NOT( ISERROR(MATCH(CF23+1,Lune!$A$1:$A$1000,0)))),INT((CF23+1-DATE(YEAR(CF23+1),1,1))/7+1),"")),INDEX(Lune!$B$1:$B$1000,MATCH(CF23,Lune!$A$1:$A$1000,0),1)))</f>
        <v>38</v>
      </c>
      <c r="CH23" s="80" t="str">
        <f t="shared" ca="1" si="15"/>
        <v/>
      </c>
      <c r="CI23" s="54" t="str">
        <f ca="1">IF(ISERROR(VLOOKUP(CF23,anniversaire!$X$2:$Z$100,2,0)),"",VLOOKUP(CF23,anniversaire!$X$2:$Z$100,2,0))</f>
        <v/>
      </c>
      <c r="CJ23" s="54" t="str">
        <f>IF(ISERROR(VLOOKUP(CF23,fête!$B$2:$C$367,2,0)),"",VLOOKUP(CF23,fête!$B$2:$C$367,2,0))</f>
        <v>Matthieu</v>
      </c>
      <c r="CK23" s="54" t="str">
        <f>IF(ISERROR(VLOOKUP(CF23,évènements!$A$3:$E$200,3,0)),"",VLOOKUP(CF23,évènements!$A$3:$E$200,3,0))</f>
        <v/>
      </c>
      <c r="CL23" s="54" t="str">
        <f>IF(ISERROR(VLOOKUP(CF23,évènements!$B$3:$E$200,2,0)),"",VLOOKUP(CF23,évènements!$B$3:$E$200,2,0))</f>
        <v/>
      </c>
      <c r="CM23" s="54" t="str">
        <f ca="1">IF(ISNA(VLOOKUP(CF23,Tableau1[[#All],[Colonne1]:[ouvrés]],3,FALSE)),"",VLOOKUP(CF23,Tableau1[[#All],[Colonne1]:[ouvrés]],3,FALSE))</f>
        <v/>
      </c>
      <c r="CN23" s="54" t="str">
        <f t="shared" si="16"/>
        <v xml:space="preserve">  </v>
      </c>
      <c r="CO23" s="41">
        <f t="shared" si="37"/>
        <v>43029</v>
      </c>
      <c r="CP23" s="42">
        <f t="shared" si="50"/>
        <v>43029</v>
      </c>
      <c r="CQ23" s="43" t="str">
        <f>IF(CP23="","",IF(ISERROR(MATCH(CP23,Lune!$A$1:$A$1000,0)),IF(WEEKDAY(CP23)=5,INT((CP23-DATE(YEAR(CP23),1,1))/7+1),IF(AND(WEEKDAY(CP23)=4,NOT( ISERROR(MATCH(CP23+1,Lune!$A$1:$A$1000,0)))),INT((CP23+1-DATE(YEAR(CP23+1),1,1))/7+1),"")),INDEX(Lune!$B$1:$B$1000,MATCH(CP23,Lune!$A$1:$A$1000,0),1)))</f>
        <v/>
      </c>
      <c r="CR23" s="80" t="str">
        <f t="shared" ca="1" si="17"/>
        <v/>
      </c>
      <c r="CS23" s="54" t="str">
        <f ca="1">IF(ISERROR(VLOOKUP(CP23,anniversaire!$X$2:$Z$100,2,0)),"",VLOOKUP(CP23,anniversaire!$X$2:$Z$100,2,0))</f>
        <v/>
      </c>
      <c r="CT23" s="54" t="str">
        <f>IF(ISERROR(VLOOKUP(CP23,fête!$B$2:$C$367,2,0)),"",VLOOKUP(CP23,fête!$B$2:$C$367,2,0))</f>
        <v>Céline</v>
      </c>
      <c r="CU23" s="54" t="str">
        <f>IF(ISERROR(VLOOKUP(CP23,évènements!$A$3:$E$200,3,0)),"",VLOOKUP(CP23,évènements!$A$3:$E$200,3,0))</f>
        <v/>
      </c>
      <c r="CV23" s="54" t="str">
        <f>IF(ISERROR(VLOOKUP(CP23,évènements!$B$3:$E$200,2,0)),"",VLOOKUP(CP23,évènements!$B$3:$E$200,2,0))</f>
        <v/>
      </c>
      <c r="CW23" s="54" t="str">
        <f ca="1">IF(ISNA(VLOOKUP(CP23,Tableau1[[#All],[Colonne1]:[ouvrés]],3,FALSE)),"",VLOOKUP(CP23,Tableau1[[#All],[Colonne1]:[ouvrés]],3,FALSE))</f>
        <v/>
      </c>
      <c r="CX23" s="54" t="str">
        <f t="shared" si="18"/>
        <v xml:space="preserve">  </v>
      </c>
      <c r="CY23" s="41">
        <f t="shared" si="38"/>
        <v>43060</v>
      </c>
      <c r="CZ23" s="42">
        <f t="shared" si="51"/>
        <v>43060</v>
      </c>
      <c r="DA23" s="43" t="str">
        <f>IF(CZ23="","",IF(ISERROR(MATCH(CZ23,Lune!$A$1:$A$1000,0)),IF(WEEKDAY(CZ23)=5,INT((CZ23-DATE(YEAR(CZ23),1,1))/7+1),IF(AND(WEEKDAY(CZ23)=4,NOT( ISERROR(MATCH(CZ23+1,Lune!$A$1:$A$1000,0)))),INT((CZ23+1-DATE(YEAR(CZ23+1),1,1))/7+1),"")),INDEX(Lune!$B$1:$B$1000,MATCH(CZ23,Lune!$A$1:$A$1000,0),1)))</f>
        <v/>
      </c>
      <c r="DB23" s="80" t="str">
        <f t="shared" ca="1" si="19"/>
        <v/>
      </c>
      <c r="DC23" s="54" t="str">
        <f ca="1">IF(ISERROR(VLOOKUP(CZ23,anniversaire!$X$2:$Z$100,2,0)),"",VLOOKUP(CZ23,anniversaire!$X$2:$Z$100,2,0))</f>
        <v/>
      </c>
      <c r="DD23" s="54" t="str">
        <f>IF(ISERROR(VLOOKUP(CZ23,fête!$B$2:$C$367,2,0)),"",VLOOKUP(CZ23,fête!$B$2:$C$367,2,0))</f>
        <v>Présence de Marie</v>
      </c>
      <c r="DE23" s="54" t="str">
        <f>IF(ISERROR(VLOOKUP(CZ23,évènements!$A$3:$E$200,3,0)),"",VLOOKUP(CZ23,évènements!$A$3:$E$200,3,0))</f>
        <v/>
      </c>
      <c r="DF23" s="54" t="str">
        <f>IF(ISERROR(VLOOKUP(CZ23,évènements!$B$3:$E$200,2,0)),"",VLOOKUP(CZ23,évènements!$B$3:$E$200,2,0))</f>
        <v/>
      </c>
      <c r="DG23" s="54"/>
      <c r="DH23" s="54" t="str">
        <f t="shared" si="20"/>
        <v xml:space="preserve">  </v>
      </c>
      <c r="DI23" s="41">
        <f t="shared" si="39"/>
        <v>43090</v>
      </c>
      <c r="DJ23" s="42">
        <f t="shared" si="52"/>
        <v>43090</v>
      </c>
      <c r="DK23" s="43">
        <f>IF(DJ23="","",IF(ISERROR(MATCH(DJ23,Lune!$A$1:$A$1000,0)),IF(WEEKDAY(DJ23)=5,INT((DJ23-DATE(YEAR(DJ23),1,1))/7+1),IF(AND(WEEKDAY(DJ23)=4,NOT( ISERROR(MATCH(DJ23+1,Lune!$A$1:$A$1000,0)))),INT((DJ23+1-DATE(YEAR(DJ23+1),1,1))/7+1),"")),INDEX(Lune!$B$1:$B$1000,MATCH(DJ23,Lune!$A$1:$A$1000,0),1)))</f>
        <v>51</v>
      </c>
      <c r="DL23" s="80" t="str">
        <f t="shared" ca="1" si="21"/>
        <v/>
      </c>
      <c r="DM23" s="54" t="str">
        <f ca="1">IF(ISERROR(VLOOKUP(DJ23,anniversaire!$X$2:$Z$100,2,0)),"",VLOOKUP(DJ23,anniversaire!$X$2:$Z$100,2,0))</f>
        <v/>
      </c>
      <c r="DN23" s="54" t="str">
        <f>IF(ISERROR(VLOOKUP(DJ23,fête!$B$2:$C$367,2,0)),"",VLOOKUP(DJ23,fête!$B$2:$C$367,2,0))</f>
        <v>Hiver</v>
      </c>
      <c r="DO23" s="54" t="str">
        <f>IF(ISERROR(VLOOKUP(DJ23,évènements!$A$3:$E$200,3,0)),"",VLOOKUP(DJ23,évènements!$A$3:$E$200,3,0))</f>
        <v/>
      </c>
      <c r="DP23" s="54" t="str">
        <f>IF(ISERROR(VLOOKUP(DJ23,évènements!$B$3:$E$200,2,0)),"",VLOOKUP(DJ23,évènements!$B$3:$E$200,2,0))</f>
        <v/>
      </c>
      <c r="DQ23" s="54" t="str">
        <f ca="1">IF(ISNA(VLOOKUP(DJ23,Tableau1[[#All],[Colonne1]:[ouvrés]],3,FALSE)),"",VLOOKUP(DJ23,Tableau1[[#All],[Colonne1]:[ouvrés]],3,FALSE))</f>
        <v/>
      </c>
      <c r="DR23" s="54" t="str">
        <f t="shared" si="22"/>
        <v xml:space="preserve">  </v>
      </c>
      <c r="DS23" s="41">
        <f t="shared" si="40"/>
        <v>43121</v>
      </c>
      <c r="DT23" s="42">
        <f t="shared" si="53"/>
        <v>43121</v>
      </c>
      <c r="DU23" s="43" t="str">
        <f>IF(DT23="","",IF(ISERROR(MATCH(DT23,Lune!$A$1:$A$1000,0)),IF(WEEKDAY(DT23)=5,INT((DT23-DATE(YEAR(DT23),1,1))/7+1),IF(AND(WEEKDAY(DT23)=4,NOT( ISERROR(MATCH(DT23+1,Lune!$A$1:$A$1000,0)))),INT((DT23+1-DATE(YEAR(DT23+1),1,1))/7+1),"")),INDEX(Lune!$B$1:$B$1000,MATCH(DT23,Lune!$A$1:$A$1000,0),1)))</f>
        <v/>
      </c>
      <c r="DV23" s="89" t="str">
        <f t="shared" ca="1" si="23"/>
        <v/>
      </c>
      <c r="DW23" s="252" t="str">
        <f t="shared" ca="1" si="24"/>
        <v/>
      </c>
      <c r="DX23" s="252" t="str">
        <f t="shared" si="25"/>
        <v>Agnès</v>
      </c>
      <c r="DY23" s="252" t="str">
        <f>IF(ISERROR(VLOOKUP(DT23,évènements!$A$3:$E$200,3,0)),"",VLOOKUP(DT23,évènements!$A$3:$E$200,3,0))</f>
        <v/>
      </c>
      <c r="DZ23" s="252" t="str">
        <f>IF(ISERROR(VLOOKUP(DT23,évènements!$B$3:$E$200,2,0)),"",VLOOKUP(DT23,évènements!$B$3:$E$200,2,0))</f>
        <v/>
      </c>
      <c r="EA23" s="252" t="str">
        <f ca="1">IF(ISNA(VLOOKUP(DT23,Tableau1[[#All],[Colonne1]:[ouvrés]],3,FALSE)),"",VLOOKUP(DT23,Tableau1[[#All],[Colonne1]:[ouvrés]],3,FALSE))</f>
        <v/>
      </c>
      <c r="EB23" s="252" t="str">
        <f t="shared" si="26"/>
        <v xml:space="preserve">  </v>
      </c>
    </row>
    <row r="24" spans="2:132" ht="15" customHeight="1" x14ac:dyDescent="0.25">
      <c r="B24" s="29"/>
      <c r="C24" s="41">
        <f t="shared" si="27"/>
        <v>42757</v>
      </c>
      <c r="D24" s="40">
        <f t="shared" si="41"/>
        <v>42757</v>
      </c>
      <c r="E24" s="131" t="str">
        <f>IF(D24="","",IF(ISERROR(MATCH(D24,Lune!$A$1:$A$1000,0)),IF(WEEKDAY(D24)=5,INT((D24-DATE(YEAR(D24),1,1))/7+1),IF(AND(WEEKDAY(D24)=4,NOT( ISERROR(MATCH(D24+1,Lune!$A$1:$A$1000,0)))),INT((D24+1-DATE(YEAR(D24+1),1,1))/7+1),"")),INDEX(Lune!$B$1:$B$1000,MATCH(D24,Lune!$A$1:$A$1000,0),1)))</f>
        <v/>
      </c>
      <c r="F24" s="89" t="str">
        <f t="shared" ca="1" si="0"/>
        <v/>
      </c>
      <c r="G24" s="125" t="str">
        <f ca="1">IF(ISERROR(VLOOKUP(D24,anniversaire!$X$2:$Z$100,2,0)),"",VLOOKUP(D24,anniversaire!$X$2:$Z$100,2,0))</f>
        <v/>
      </c>
      <c r="H24" s="54" t="str">
        <f>IF(ISERROR(VLOOKUP(D24,fête!$B$2:$C$367,2,0)),"",VLOOKUP(D24,fête!$B$2:$C$367,2,0))</f>
        <v>Vincent</v>
      </c>
      <c r="I24" s="239" t="str">
        <f>IF(ISERROR(VLOOKUP(D24,évènements!$A$3:$E$200,3,0)),"",VLOOKUP(D24,évènements!$A$3:$E$200,3,0))</f>
        <v/>
      </c>
      <c r="J24" s="239" t="str">
        <f>IF(ISERROR(VLOOKUP(D24,évènements!$B$3:$E$200,2,0)),"",VLOOKUP(D24,évènements!$B$3:$E$200,2,0))</f>
        <v/>
      </c>
      <c r="K24" s="239" t="str">
        <f ca="1">IF(ISNA(VLOOKUP(D24,Tableau1[[#All],[Colonne1]:[ouvrés]],3,FALSE)),"",VLOOKUP(D24,Tableau1[[#All],[Colonne1]:[ouvrés]],3,FALSE))</f>
        <v/>
      </c>
      <c r="L24" s="239" t="str">
        <f t="shared" si="58"/>
        <v xml:space="preserve">  </v>
      </c>
      <c r="M24" s="41">
        <f t="shared" si="28"/>
        <v>42788</v>
      </c>
      <c r="N24" s="42">
        <f t="shared" si="42"/>
        <v>42788</v>
      </c>
      <c r="O24" s="131" t="str">
        <f>IF(N24="","",IF(ISERROR(MATCH(N24,Lune!$A$1:$A$1000,0)),IF(WEEKDAY(N24)=5,INT((N24-DATE(YEAR(N24),1,1))/7+1),IF(AND(WEEKDAY(N24)=4,NOT( ISERROR(MATCH(N24+1,Lune!$A$1:$A$1000,0)))),INT((N24+1-DATE(YEAR(N24+1),1,1))/7+1),"")),INDEX(Lune!$B$1:$B$1000,MATCH(N24,Lune!$A$1:$A$1000,0),1)))</f>
        <v/>
      </c>
      <c r="P24" s="80" t="str">
        <f t="shared" ca="1" si="54"/>
        <v/>
      </c>
      <c r="Q24" s="54" t="str">
        <f ca="1">IF(ISERROR(VLOOKUP(N24,anniversaire!$X$2:$Z$100,2,0)),"",VLOOKUP(N24,anniversaire!$X$2:$Z$100,2,0))</f>
        <v/>
      </c>
      <c r="R24" s="54" t="str">
        <f>IF(ISERROR(VLOOKUP(N24,fête!$B$2:$C$367,2,0)),"",VLOOKUP(N24,fête!$B$2:$C$367,2,0))</f>
        <v>Isabelle</v>
      </c>
      <c r="S24" s="54" t="str">
        <f>IF(ISERROR(VLOOKUP(N24,évènements!$A$3:$E$200,3,0)),"",VLOOKUP(N24,évènements!$A$3:$E$200,3,0))</f>
        <v/>
      </c>
      <c r="T24" s="54" t="str">
        <f>IF(ISERROR(VLOOKUP(N24,évènements!$B$3:$E$200,2,0)),"",VLOOKUP(N24,évènements!$B$3:$E$200,2,0))</f>
        <v/>
      </c>
      <c r="U24" s="54" t="str">
        <f ca="1">IF(ISNA(VLOOKUP(N24,Tableau1[[#All],[Colonne1]:[ouvrés]],3,FALSE)),"",VLOOKUP(N24,Tableau1[[#All],[Colonne1]:[ouvrés]],3,FALSE))</f>
        <v/>
      </c>
      <c r="V24" s="54" t="str">
        <f t="shared" si="3"/>
        <v xml:space="preserve">  </v>
      </c>
      <c r="W24" s="41">
        <f t="shared" si="29"/>
        <v>42816</v>
      </c>
      <c r="X24" s="42">
        <f t="shared" si="43"/>
        <v>42816</v>
      </c>
      <c r="Y24" s="132" t="str">
        <f>IF(X24="","",IF(ISERROR(MATCH(X24,Lune!$A$1:$A$1000,0)),IF(WEEKDAY(X24)=5,INT((X24-DATE(YEAR(X24),1,1))/7+1),IF(AND(WEEKDAY(X24)=4,NOT( ISERROR(MATCH(X24+1,Lune!$A$1:$A$1000,0)))),INT((X24+1-DATE(YEAR(X24+1),1,1))/7+1),"")),INDEX(Lune!$B$1:$B$1000,MATCH(X24,Lune!$A$1:$A$1000,0),1)))</f>
        <v/>
      </c>
      <c r="Z24" s="89" t="str">
        <f t="shared" ca="1" si="4"/>
        <v xml:space="preserve"> '</v>
      </c>
      <c r="AA24" s="125" t="str">
        <f ca="1">IF(ISERROR(VLOOKUP(X24,anniversaire!$X$2:$Z$100,2,0)),"",VLOOKUP(X24,anniversaire!$X$2:$Z$100,2,0))</f>
        <v>decelle  antoine    7</v>
      </c>
      <c r="AB24" s="54" t="str">
        <f>IF(ISERROR(VLOOKUP(X24,fête!$B$2:$C$367,2,0)),"",VLOOKUP(X24,fête!$B$2:$C$367,2,0))</f>
        <v>Léa</v>
      </c>
      <c r="AC24" s="54" t="str">
        <f>IF(ISERROR(VLOOKUP(X24,évènements!$A$3:$E$200,3,0)),"",VLOOKUP(X24,évènements!$A$3:$E$200,3,0))</f>
        <v/>
      </c>
      <c r="AD24" s="54" t="str">
        <f>IF(ISERROR(VLOOKUP(X24,évènements!$B$3:$E$200,2,0)),"",VLOOKUP(X24,évènements!$B$3:$E$200,2,0))</f>
        <v/>
      </c>
      <c r="AE24" s="54" t="str">
        <f ca="1">IF(ISNA(VLOOKUP(X24,Tableau1[[#All],[Colonne1]:[ouvrés]],3,FALSE)),"",VLOOKUP(X24,Tableau1[[#All],[Colonne1]:[ouvrés]],3,FALSE))</f>
        <v/>
      </c>
      <c r="AF24" s="54" t="str">
        <f t="shared" si="57"/>
        <v xml:space="preserve">  </v>
      </c>
      <c r="AG24" s="41">
        <f t="shared" si="30"/>
        <v>42847</v>
      </c>
      <c r="AH24" s="42">
        <f t="shared" si="44"/>
        <v>42847</v>
      </c>
      <c r="AI24" s="137" t="str">
        <f>IF(AH24="","",IF(ISERROR(MATCH(AH24,Lune!$A$1:$A$1000,0)),IF(WEEKDAY(AH24)=5,INT((AH24-DATE(YEAR(AH24),1,1))/7+1),IF(AND(WEEKDAY(AH24)=4,NOT( ISERROR(MATCH(AH24+1,Lune!$A$1:$A$1000,0)))),INT((AH24+1-DATE(YEAR(AH24+1),1,1))/7+1),"")),INDEX(Lune!$B$1:$B$1000,MATCH(AH24,Lune!$A$1:$A$1000,0),1)))</f>
        <v/>
      </c>
      <c r="AJ24" s="80" t="str">
        <f t="shared" ca="1" si="6"/>
        <v/>
      </c>
      <c r="AK24" s="54" t="str">
        <f ca="1">IF(ISERROR(VLOOKUP(AH24,anniversaire!$X$2:$Z$100,2,0)),"",VLOOKUP(AH24,anniversaire!$X$2:$Z$100,2,0))</f>
        <v/>
      </c>
      <c r="AL24" s="54" t="str">
        <f>IF(ISERROR(VLOOKUP(AH24,fête!$B$2:$C$367,2,0)),"",VLOOKUP(AH24,fête!$B$2:$C$367,2,0))</f>
        <v>Alexandre</v>
      </c>
      <c r="AM24" s="54" t="str">
        <f>IF(ISERROR(VLOOKUP(AH24,évènements!$A$3:$E$200,3,0)),"",VLOOKUP(AH24,évènements!$A$3:$E$200,3,0))</f>
        <v/>
      </c>
      <c r="AN24" s="54" t="str">
        <f>IF(ISERROR(VLOOKUP(AH24,évènements!$B$3:$E$200,2,0)),"",VLOOKUP(AH24,évènements!$B$3:$E$200,2,0))</f>
        <v/>
      </c>
      <c r="AO24" s="54" t="str">
        <f ca="1">IF(ISNA(VLOOKUP(AH24,Tableau1[[#All],[Colonne1]:[ouvrés]],3,FALSE)),"",VLOOKUP(AH24,Tableau1[[#All],[Colonne1]:[ouvrés]],3,FALSE))</f>
        <v/>
      </c>
      <c r="AP24" s="238" t="str">
        <f t="shared" si="55"/>
        <v xml:space="preserve">  </v>
      </c>
      <c r="AQ24" s="41">
        <f t="shared" si="31"/>
        <v>42877</v>
      </c>
      <c r="AR24" s="42">
        <f t="shared" si="45"/>
        <v>42877</v>
      </c>
      <c r="AS24" s="43" t="str">
        <f>IF(AR24="","",IF(ISERROR(MATCH(AR24,Lune!$A$1:$A$1000,0)),IF(WEEKDAY(AR24)=5,INT((AR24-DATE(YEAR(AR24),1,1))/7+1),IF(AND(WEEKDAY(AR24)=4,NOT( ISERROR(MATCH(AR24+1,Lune!$A$1:$A$1000,0)))),INT((AR24+1-DATE(YEAR(AR24+1),1,1))/7+1),"")),INDEX(Lune!$B$1:$B$1000,MATCH(AR24,Lune!$A$1:$A$1000,0),1)))</f>
        <v/>
      </c>
      <c r="AT24" s="79" t="str">
        <f t="shared" ca="1" si="8"/>
        <v/>
      </c>
      <c r="AU24" s="54" t="str">
        <f ca="1">IF(ISERROR(VLOOKUP(AR24,anniversaire!$X$2:$Z$100,2,0)),"",VLOOKUP(AR24,anniversaire!$X$2:$Z$100,2,0))</f>
        <v/>
      </c>
      <c r="AV24" s="54" t="str">
        <f>IF(ISERROR(VLOOKUP(AR24,fête!$B$2:$C$367,2,0)),"",VLOOKUP(AR24,fête!$B$2:$C$367,2,0))</f>
        <v>Emile</v>
      </c>
      <c r="AW24" s="238" t="str">
        <f>IF(ISERROR(VLOOKUP(AR24,évènements!$A$3:$E$200,3,0)),"",VLOOKUP(AR24,évènements!$A$3:$E$200,3,0))</f>
        <v/>
      </c>
      <c r="AX24" s="238" t="str">
        <f>IF(ISERROR(VLOOKUP(AR24,évènements!$B$3:$E$200,2,0)),"",VLOOKUP(AR24,évènements!$B$3:$E$200,2,0))</f>
        <v/>
      </c>
      <c r="AY24" s="238" t="str">
        <f ca="1">IF(ISNA(VLOOKUP(AR24,Tableau1[[#All],[Colonne1]:[ouvrés]],3,FALSE)),"",VLOOKUP(AR24,Tableau1[[#All],[Colonne1]:[ouvrés]],3,FALSE))</f>
        <v/>
      </c>
      <c r="AZ24" s="238" t="str">
        <f t="shared" si="9"/>
        <v xml:space="preserve">  </v>
      </c>
      <c r="BA24" s="41">
        <f t="shared" si="32"/>
        <v>42908</v>
      </c>
      <c r="BB24" s="42">
        <f t="shared" si="46"/>
        <v>42908</v>
      </c>
      <c r="BC24" s="43">
        <f>IF(BB24="","",IF(ISERROR(MATCH(BB24,Lune!$A$1:$A$1000,0)),IF(WEEKDAY(BB24)=5,INT((BB24-DATE(YEAR(BB24),1,1))/7+1),IF(AND(WEEKDAY(BB24)=4,NOT( ISERROR(MATCH(BB24+1,Lune!$A$1:$A$1000,0)))),INT((BB24+1-DATE(YEAR(BB24+1),1,1))/7+1),"")),INDEX(Lune!$B$1:$B$1000,MATCH(BB24,Lune!$A$1:$A$1000,0),1)))</f>
        <v>25</v>
      </c>
      <c r="BD24" s="79" t="str">
        <f t="shared" ca="1" si="10"/>
        <v/>
      </c>
      <c r="BE24" s="54" t="str">
        <f ca="1">IF(ISERROR(VLOOKUP(BB24,anniversaire!$X$2:$Z$100,2,0)),"",VLOOKUP(BB24,anniversaire!$X$2:$Z$100,2,0))</f>
        <v/>
      </c>
      <c r="BF24" s="54" t="str">
        <f>IF(ISERROR(VLOOKUP(BB24,fête!$B$2:$C$367,2,0)),"",VLOOKUP(BB24,fête!$B$2:$C$367,2,0))</f>
        <v>Alban</v>
      </c>
      <c r="BG24" s="54" t="str">
        <f>IF(ISERROR(VLOOKUP(BB24,évènements!$A$3:$E$200,3,0)),"",VLOOKUP(BB24,évènements!$A$3:$E$200,3,0))</f>
        <v/>
      </c>
      <c r="BH24" s="54" t="str">
        <f>IF(ISERROR(VLOOKUP(BB24,évènements!$B$3:$E$200,2,0)),"",VLOOKUP(BB24,évènements!$B$3:$E$200,2,0))</f>
        <v/>
      </c>
      <c r="BI24" s="54" t="str">
        <f ca="1">IF(ISNA(VLOOKUP(BB24,Tableau1[[#All],[Colonne1]:[ouvrés]],3,FALSE)),"",VLOOKUP(BB24,Tableau1[[#All],[Colonne1]:[ouvrés]],3,FALSE))</f>
        <v/>
      </c>
      <c r="BJ24" s="54" t="str">
        <f t="shared" si="56"/>
        <v xml:space="preserve">  </v>
      </c>
      <c r="BK24" s="41">
        <f t="shared" si="33"/>
        <v>42938</v>
      </c>
      <c r="BL24" s="42">
        <f t="shared" si="47"/>
        <v>42938</v>
      </c>
      <c r="BM24" s="43" t="str">
        <f>IF(BL24="","",IF(ISERROR(MATCH(BL24,Lune!$A$1:$A$1000,0)),IF(WEEKDAY(BL24)=5,INT((BL24-DATE(YEAR(BL24),1,1))/7+1),IF(AND(WEEKDAY(BL24)=4,NOT( ISERROR(MATCH(BL24+1,Lune!$A$1:$A$1000,0)))),INT((BL24+1-DATE(YEAR(BL24+1),1,1))/7+1),"")),INDEX(Lune!$B$1:$B$1000,MATCH(BL24,Lune!$A$1:$A$1000,0),1)))</f>
        <v/>
      </c>
      <c r="BN24" s="80" t="str">
        <f t="shared" ca="1" si="12"/>
        <v/>
      </c>
      <c r="BO24" s="54" t="str">
        <f ca="1">IF(ISERROR(VLOOKUP(BL24,anniversaire!$X$2:$Z$100,2,0)),"",VLOOKUP(BL24,anniversaire!$X$2:$Z$100,2,0))</f>
        <v/>
      </c>
      <c r="BP24" s="54" t="str">
        <f>IF(ISERROR(VLOOKUP(BL24,fête!$B$2:$C$367,2,0)),"",VLOOKUP(BL24,fête!$B$2:$C$367,2,0))</f>
        <v>Marie-Madeleine</v>
      </c>
      <c r="BQ24" s="54" t="str">
        <f>IF(ISERROR(VLOOKUP(BL24,évènements!$A$3:$E$200,3,0)),"",VLOOKUP(BL24,évènements!$A$3:$E$200,3,0))</f>
        <v/>
      </c>
      <c r="BR24" s="54" t="str">
        <f>IF(ISERROR(VLOOKUP(BL24,évènements!$B$3:$E$200,2,0)),"",VLOOKUP(BL24,évènements!$B$3:$E$200,2,0))</f>
        <v/>
      </c>
      <c r="BS24" s="54" t="str">
        <f ca="1">IF(ISNA(VLOOKUP(BL24,Tableau1[[#All],[Colonne1]:[ouvrés]],3,FALSE)),"",VLOOKUP(BL24,Tableau1[[#All],[Colonne1]:[ouvrés]],3,FALSE))</f>
        <v/>
      </c>
      <c r="BT24" s="54" t="str">
        <f t="shared" si="34"/>
        <v xml:space="preserve">  </v>
      </c>
      <c r="BU24" s="41">
        <f t="shared" si="35"/>
        <v>42969</v>
      </c>
      <c r="BV24" s="42">
        <f t="shared" si="48"/>
        <v>42969</v>
      </c>
      <c r="BW24" s="43" t="str">
        <f>IF(BV24="","",IF(ISERROR(MATCH(BV24,Lune!$A$1:$A$1000,0)),IF(WEEKDAY(BV24)=5,INT((BV24-DATE(YEAR(BV24),1,1))/7+1),IF(AND(WEEKDAY(BV24)=4,NOT( ISERROR(MATCH(BV24+1,Lune!$A$1:$A$1000,0)))),INT((BV24+1-DATE(YEAR(BV24+1),1,1))/7+1),"")),INDEX(Lune!$B$1:$B$1000,MATCH(BV24,Lune!$A$1:$A$1000,0),1)))</f>
        <v/>
      </c>
      <c r="BX24" s="80" t="str">
        <f t="shared" ca="1" si="13"/>
        <v/>
      </c>
      <c r="BY24" s="54" t="str">
        <f ca="1">IF(ISERROR(VLOOKUP(BV24,anniversaire!$X$2:$Z$100,2,0)),"",VLOOKUP(BV24,anniversaire!$X$2:$Z$100,2,0))</f>
        <v/>
      </c>
      <c r="BZ24" s="54" t="str">
        <f>IF(ISERROR(VLOOKUP(BV24,fête!$B$2:$C$367,2,0)),"",VLOOKUP(BV24,fête!$B$2:$C$367,2,0))</f>
        <v>Fabrice</v>
      </c>
      <c r="CA24" s="54" t="str">
        <f>IF(ISERROR(VLOOKUP(BV24,évènements!$A$3:$E$200,3,0)),"",VLOOKUP(BV24,évènements!$A$3:$E$200,3,0))</f>
        <v/>
      </c>
      <c r="CB24" s="54" t="str">
        <f>IF(ISERROR(VLOOKUP(BV24,évènements!$B$3:$E$200,2,0)),"",VLOOKUP(BV24,évènements!$B$3:$E$200,2,0))</f>
        <v/>
      </c>
      <c r="CC24" s="54" t="str">
        <f ca="1">IF(ISNA(VLOOKUP(BV24,Tableau1[[#All],[Colonne1]:[ouvrés]],3,FALSE)),"",VLOOKUP(BV24,Tableau1[[#All],[Colonne1]:[ouvrés]],3,FALSE))</f>
        <v/>
      </c>
      <c r="CD24" s="54" t="str">
        <f t="shared" si="14"/>
        <v xml:space="preserve">  </v>
      </c>
      <c r="CE24" s="41">
        <f t="shared" si="36"/>
        <v>43000</v>
      </c>
      <c r="CF24" s="42">
        <f t="shared" si="49"/>
        <v>43000</v>
      </c>
      <c r="CG24" s="43" t="str">
        <f>IF(CF24="","",IF(ISERROR(MATCH(CF24,Lune!$A$1:$A$1000,0)),IF(WEEKDAY(CF24)=5,INT((CF24-DATE(YEAR(CF24),1,1))/7+1),IF(AND(WEEKDAY(CF24)=4,NOT( ISERROR(MATCH(CF24+1,Lune!$A$1:$A$1000,0)))),INT((CF24+1-DATE(YEAR(CF24+1),1,1))/7+1),"")),INDEX(Lune!$B$1:$B$1000,MATCH(CF24,Lune!$A$1:$A$1000,0),1)))</f>
        <v/>
      </c>
      <c r="CH24" s="80" t="str">
        <f t="shared" ca="1" si="15"/>
        <v/>
      </c>
      <c r="CI24" s="54" t="str">
        <f ca="1">IF(ISERROR(VLOOKUP(CF24,anniversaire!$X$2:$Z$100,2,0)),"",VLOOKUP(CF24,anniversaire!$X$2:$Z$100,2,0))</f>
        <v/>
      </c>
      <c r="CJ24" s="54" t="str">
        <f>IF(ISERROR(VLOOKUP(CF24,fête!$B$2:$C$367,2,0)),"",VLOOKUP(CF24,fête!$B$2:$C$367,2,0))</f>
        <v>Maurice</v>
      </c>
      <c r="CK24" s="54" t="str">
        <f>IF(ISERROR(VLOOKUP(CF24,évènements!$A$3:$E$200,3,0)),"",VLOOKUP(CF24,évènements!$A$3:$E$200,3,0))</f>
        <v/>
      </c>
      <c r="CL24" s="54" t="str">
        <f>IF(ISERROR(VLOOKUP(CF24,évènements!$B$3:$E$200,2,0)),"",VLOOKUP(CF24,évènements!$B$3:$E$200,2,0))</f>
        <v/>
      </c>
      <c r="CM24" s="54" t="str">
        <f ca="1">IF(ISNA(VLOOKUP(CF24,Tableau1[[#All],[Colonne1]:[ouvrés]],3,FALSE)),"",VLOOKUP(CF24,Tableau1[[#All],[Colonne1]:[ouvrés]],3,FALSE))</f>
        <v/>
      </c>
      <c r="CN24" s="54" t="str">
        <f t="shared" si="16"/>
        <v xml:space="preserve">  </v>
      </c>
      <c r="CO24" s="41">
        <f t="shared" si="37"/>
        <v>43030</v>
      </c>
      <c r="CP24" s="42">
        <f t="shared" si="50"/>
        <v>43030</v>
      </c>
      <c r="CQ24" s="43" t="str">
        <f>IF(CP24="","",IF(ISERROR(MATCH(CP24,Lune!$A$1:$A$1000,0)),IF(WEEKDAY(CP24)=5,INT((CP24-DATE(YEAR(CP24),1,1))/7+1),IF(AND(WEEKDAY(CP24)=4,NOT( ISERROR(MATCH(CP24+1,Lune!$A$1:$A$1000,0)))),INT((CP24+1-DATE(YEAR(CP24+1),1,1))/7+1),"")),INDEX(Lune!$B$1:$B$1000,MATCH(CP24,Lune!$A$1:$A$1000,0),1)))</f>
        <v/>
      </c>
      <c r="CR24" s="80" t="str">
        <f t="shared" ca="1" si="17"/>
        <v/>
      </c>
      <c r="CS24" s="54" t="str">
        <f ca="1">IF(ISERROR(VLOOKUP(CP24,anniversaire!$X$2:$Z$100,2,0)),"",VLOOKUP(CP24,anniversaire!$X$2:$Z$100,2,0))</f>
        <v/>
      </c>
      <c r="CT24" s="54" t="str">
        <f>IF(ISERROR(VLOOKUP(CP24,fête!$B$2:$C$367,2,0)),"",VLOOKUP(CP24,fête!$B$2:$C$367,2,0))</f>
        <v>Elodie</v>
      </c>
      <c r="CU24" s="54" t="str">
        <f>IF(ISERROR(VLOOKUP(CP24,évènements!$A$3:$E$200,3,0)),"",VLOOKUP(CP24,évènements!$A$3:$E$200,3,0))</f>
        <v/>
      </c>
      <c r="CV24" s="54" t="str">
        <f>IF(ISERROR(VLOOKUP(CP24,évènements!$B$3:$E$200,2,0)),"",VLOOKUP(CP24,évènements!$B$3:$E$200,2,0))</f>
        <v/>
      </c>
      <c r="CW24" s="54" t="str">
        <f ca="1">IF(ISNA(VLOOKUP(CP24,Tableau1[[#All],[Colonne1]:[ouvrés]],3,FALSE)),"",VLOOKUP(CP24,Tableau1[[#All],[Colonne1]:[ouvrés]],3,FALSE))</f>
        <v/>
      </c>
      <c r="CX24" s="54" t="str">
        <f t="shared" si="18"/>
        <v xml:space="preserve">  </v>
      </c>
      <c r="CY24" s="41">
        <f t="shared" si="38"/>
        <v>43061</v>
      </c>
      <c r="CZ24" s="42">
        <f t="shared" si="51"/>
        <v>43061</v>
      </c>
      <c r="DA24" s="43" t="str">
        <f>IF(CZ24="","",IF(ISERROR(MATCH(CZ24,Lune!$A$1:$A$1000,0)),IF(WEEKDAY(CZ24)=5,INT((CZ24-DATE(YEAR(CZ24),1,1))/7+1),IF(AND(WEEKDAY(CZ24)=4,NOT( ISERROR(MATCH(CZ24+1,Lune!$A$1:$A$1000,0)))),INT((CZ24+1-DATE(YEAR(CZ24+1),1,1))/7+1),"")),INDEX(Lune!$B$1:$B$1000,MATCH(CZ24,Lune!$A$1:$A$1000,0),1)))</f>
        <v/>
      </c>
      <c r="DB24" s="80" t="str">
        <f t="shared" ca="1" si="19"/>
        <v/>
      </c>
      <c r="DC24" s="54" t="str">
        <f ca="1">IF(ISERROR(VLOOKUP(CZ24,anniversaire!$X$2:$Z$100,2,0)),"",VLOOKUP(CZ24,anniversaire!$X$2:$Z$100,2,0))</f>
        <v/>
      </c>
      <c r="DD24" s="54" t="str">
        <f>IF(ISERROR(VLOOKUP(CZ24,fête!$B$2:$C$367,2,0)),"",VLOOKUP(CZ24,fête!$B$2:$C$367,2,0))</f>
        <v>Cécile</v>
      </c>
      <c r="DE24" s="54" t="str">
        <f>IF(ISERROR(VLOOKUP(CZ24,évènements!$A$3:$E$200,3,0)),"",VLOOKUP(CZ24,évènements!$A$3:$E$200,3,0))</f>
        <v/>
      </c>
      <c r="DF24" s="54" t="str">
        <f>IF(ISERROR(VLOOKUP(CZ24,évènements!$B$3:$E$200,2,0)),"",VLOOKUP(CZ24,évènements!$B$3:$E$200,2,0))</f>
        <v/>
      </c>
      <c r="DG24" s="54"/>
      <c r="DH24" s="54" t="str">
        <f t="shared" si="20"/>
        <v xml:space="preserve">  </v>
      </c>
      <c r="DI24" s="41">
        <f t="shared" si="39"/>
        <v>43091</v>
      </c>
      <c r="DJ24" s="42">
        <f t="shared" si="52"/>
        <v>43091</v>
      </c>
      <c r="DK24" s="43" t="str">
        <f>IF(DJ24="","",IF(ISERROR(MATCH(DJ24,Lune!$A$1:$A$1000,0)),IF(WEEKDAY(DJ24)=5,INT((DJ24-DATE(YEAR(DJ24),1,1))/7+1),IF(AND(WEEKDAY(DJ24)=4,NOT( ISERROR(MATCH(DJ24+1,Lune!$A$1:$A$1000,0)))),INT((DJ24+1-DATE(YEAR(DJ24+1),1,1))/7+1),"")),INDEX(Lune!$B$1:$B$1000,MATCH(DJ24,Lune!$A$1:$A$1000,0),1)))</f>
        <v/>
      </c>
      <c r="DL24" s="80" t="str">
        <f t="shared" ca="1" si="21"/>
        <v/>
      </c>
      <c r="DM24" s="54" t="str">
        <f ca="1">IF(ISERROR(VLOOKUP(DJ24,anniversaire!$X$2:$Z$100,2,0)),"",VLOOKUP(DJ24,anniversaire!$X$2:$Z$100,2,0))</f>
        <v/>
      </c>
      <c r="DN24" s="54" t="str">
        <f>IF(ISERROR(VLOOKUP(DJ24,fête!$B$2:$C$367,2,0)),"",VLOOKUP(DJ24,fête!$B$2:$C$367,2,0))</f>
        <v>Françoise-Xavière</v>
      </c>
      <c r="DO24" s="54" t="str">
        <f>IF(ISERROR(VLOOKUP(DJ24,évènements!$A$3:$E$200,3,0)),"",VLOOKUP(DJ24,évènements!$A$3:$E$200,3,0))</f>
        <v/>
      </c>
      <c r="DP24" s="54" t="str">
        <f>IF(ISERROR(VLOOKUP(DJ24,évènements!$B$3:$E$200,2,0)),"",VLOOKUP(DJ24,évènements!$B$3:$E$200,2,0))</f>
        <v/>
      </c>
      <c r="DQ24" s="54" t="str">
        <f ca="1">IF(ISNA(VLOOKUP(DJ24,Tableau1[[#All],[Colonne1]:[ouvrés]],3,FALSE)),"",VLOOKUP(DJ24,Tableau1[[#All],[Colonne1]:[ouvrés]],3,FALSE))</f>
        <v/>
      </c>
      <c r="DR24" s="54" t="str">
        <f t="shared" si="22"/>
        <v xml:space="preserve">  </v>
      </c>
      <c r="DS24" s="41">
        <f t="shared" si="40"/>
        <v>43122</v>
      </c>
      <c r="DT24" s="42">
        <f t="shared" si="53"/>
        <v>43122</v>
      </c>
      <c r="DU24" s="43" t="str">
        <f>IF(DT24="","",IF(ISERROR(MATCH(DT24,Lune!$A$1:$A$1000,0)),IF(WEEKDAY(DT24)=5,INT((DT24-DATE(YEAR(DT24),1,1))/7+1),IF(AND(WEEKDAY(DT24)=4,NOT( ISERROR(MATCH(DT24+1,Lune!$A$1:$A$1000,0)))),INT((DT24+1-DATE(YEAR(DT24+1),1,1))/7+1),"")),INDEX(Lune!$B$1:$B$1000,MATCH(DT24,Lune!$A$1:$A$1000,0),1)))</f>
        <v/>
      </c>
      <c r="DV24" s="89" t="str">
        <f t="shared" ca="1" si="23"/>
        <v/>
      </c>
      <c r="DW24" s="252" t="str">
        <f t="shared" ca="1" si="24"/>
        <v/>
      </c>
      <c r="DX24" s="252" t="str">
        <f t="shared" si="25"/>
        <v>Vincent</v>
      </c>
      <c r="DY24" s="252" t="str">
        <f>IF(ISERROR(VLOOKUP(DT24,évènements!$A$3:$E$200,3,0)),"",VLOOKUP(DT24,évènements!$A$3:$E$200,3,0))</f>
        <v/>
      </c>
      <c r="DZ24" s="252" t="str">
        <f>IF(ISERROR(VLOOKUP(DT24,évènements!$B$3:$E$200,2,0)),"",VLOOKUP(DT24,évènements!$B$3:$E$200,2,0))</f>
        <v/>
      </c>
      <c r="EA24" s="252" t="str">
        <f ca="1">IF(ISNA(VLOOKUP(DT24,Tableau1[[#All],[Colonne1]:[ouvrés]],3,FALSE)),"",VLOOKUP(DT24,Tableau1[[#All],[Colonne1]:[ouvrés]],3,FALSE))</f>
        <v/>
      </c>
      <c r="EB24" s="252" t="str">
        <f t="shared" si="26"/>
        <v xml:space="preserve">  </v>
      </c>
    </row>
    <row r="25" spans="2:132" ht="15" customHeight="1" x14ac:dyDescent="0.25">
      <c r="B25" s="29"/>
      <c r="C25" s="41">
        <f t="shared" si="27"/>
        <v>42758</v>
      </c>
      <c r="D25" s="40">
        <f t="shared" si="41"/>
        <v>42758</v>
      </c>
      <c r="E25" s="131" t="str">
        <f>IF(D25="","",IF(ISERROR(MATCH(D25,Lune!$A$1:$A$1000,0)),IF(WEEKDAY(D25)=5,INT((D25-DATE(YEAR(D25),1,1))/7+1),IF(AND(WEEKDAY(D25)=4,NOT( ISERROR(MATCH(D25+1,Lune!$A$1:$A$1000,0)))),INT((D25+1-DATE(YEAR(D25+1),1,1))/7+1),"")),INDEX(Lune!$B$1:$B$1000,MATCH(D25,Lune!$A$1:$A$1000,0),1)))</f>
        <v/>
      </c>
      <c r="F25" s="89" t="str">
        <f t="shared" ca="1" si="0"/>
        <v/>
      </c>
      <c r="G25" s="125" t="str">
        <f ca="1">IF(ISERROR(VLOOKUP(D25,anniversaire!$X$2:$Z$100,2,0)),"",VLOOKUP(D25,anniversaire!$X$2:$Z$100,2,0))</f>
        <v/>
      </c>
      <c r="H25" s="54" t="str">
        <f>IF(ISERROR(VLOOKUP(D25,fête!$B$2:$C$367,2,0)),"",VLOOKUP(D25,fête!$B$2:$C$367,2,0))</f>
        <v>Banard</v>
      </c>
      <c r="I25" s="239" t="str">
        <f>IF(ISERROR(VLOOKUP(D25,évènements!$A$3:$E$200,3,0)),"",VLOOKUP(D25,évènements!$A$3:$E$200,3,0))</f>
        <v/>
      </c>
      <c r="J25" s="239" t="str">
        <f>IF(ISERROR(VLOOKUP(D25,évènements!$B$3:$E$200,2,0)),"",VLOOKUP(D25,évènements!$B$3:$E$200,2,0))</f>
        <v/>
      </c>
      <c r="K25" s="239" t="str">
        <f ca="1">IF(ISNA(VLOOKUP(D25,Tableau1[[#All],[Colonne1]:[ouvrés]],3,FALSE)),"",VLOOKUP(D25,Tableau1[[#All],[Colonne1]:[ouvrés]],3,FALSE))</f>
        <v/>
      </c>
      <c r="L25" s="239" t="str">
        <f t="shared" si="58"/>
        <v xml:space="preserve">  </v>
      </c>
      <c r="M25" s="41">
        <f t="shared" si="28"/>
        <v>42789</v>
      </c>
      <c r="N25" s="42">
        <f t="shared" si="42"/>
        <v>42789</v>
      </c>
      <c r="O25" s="131">
        <f>IF(N25="","",IF(ISERROR(MATCH(N25,Lune!$A$1:$A$1000,0)),IF(WEEKDAY(N25)=5,INT((N25-DATE(YEAR(N25),1,1))/7+1),IF(AND(WEEKDAY(N25)=4,NOT( ISERROR(MATCH(N25+1,Lune!$A$1:$A$1000,0)))),INT((N25+1-DATE(YEAR(N25+1),1,1))/7+1),"")),INDEX(Lune!$B$1:$B$1000,MATCH(N25,Lune!$A$1:$A$1000,0),1)))</f>
        <v>8</v>
      </c>
      <c r="P25" s="80" t="str">
        <f t="shared" ca="1" si="54"/>
        <v/>
      </c>
      <c r="Q25" s="54" t="str">
        <f ca="1">IF(ISERROR(VLOOKUP(N25,anniversaire!$X$2:$Z$100,2,0)),"",VLOOKUP(N25,anniversaire!$X$2:$Z$100,2,0))</f>
        <v/>
      </c>
      <c r="R25" s="54" t="str">
        <f>IF(ISERROR(VLOOKUP(N25,fête!$B$2:$C$367,2,0)),"",VLOOKUP(N25,fête!$B$2:$C$367,2,0))</f>
        <v>Lazare</v>
      </c>
      <c r="S25" s="54" t="str">
        <f>IF(ISERROR(VLOOKUP(N25,évènements!$A$3:$E$200,3,0)),"",VLOOKUP(N25,évènements!$A$3:$E$200,3,0))</f>
        <v/>
      </c>
      <c r="T25" s="54" t="str">
        <f>IF(ISERROR(VLOOKUP(N25,évènements!$B$3:$E$200,2,0)),"",VLOOKUP(N25,évènements!$B$3:$E$200,2,0))</f>
        <v/>
      </c>
      <c r="U25" s="54" t="str">
        <f ca="1">IF(ISNA(VLOOKUP(N25,Tableau1[[#All],[Colonne1]:[ouvrés]],3,FALSE)),"",VLOOKUP(N25,Tableau1[[#All],[Colonne1]:[ouvrés]],3,FALSE))</f>
        <v/>
      </c>
      <c r="V25" s="54" t="str">
        <f t="shared" si="3"/>
        <v xml:space="preserve">  </v>
      </c>
      <c r="W25" s="41">
        <f t="shared" si="29"/>
        <v>42817</v>
      </c>
      <c r="X25" s="42">
        <f t="shared" si="43"/>
        <v>42817</v>
      </c>
      <c r="Y25" s="132">
        <f>IF(X25="","",IF(ISERROR(MATCH(X25,Lune!$A$1:$A$1000,0)),IF(WEEKDAY(X25)=5,INT((X25-DATE(YEAR(X25),1,1))/7+1),IF(AND(WEEKDAY(X25)=4,NOT( ISERROR(MATCH(X25+1,Lune!$A$1:$A$1000,0)))),INT((X25+1-DATE(YEAR(X25+1),1,1))/7+1),"")),INDEX(Lune!$B$1:$B$1000,MATCH(X25,Lune!$A$1:$A$1000,0),1)))</f>
        <v>12</v>
      </c>
      <c r="Z25" s="89" t="str">
        <f t="shared" ca="1" si="4"/>
        <v/>
      </c>
      <c r="AA25" s="125" t="str">
        <f ca="1">IF(ISERROR(VLOOKUP(X25,anniversaire!$X$2:$Z$100,2,0)),"",VLOOKUP(X25,anniversaire!$X$2:$Z$100,2,0))</f>
        <v/>
      </c>
      <c r="AB25" s="54" t="str">
        <f>IF(ISERROR(VLOOKUP(X25,fête!$B$2:$C$367,2,0)),"",VLOOKUP(X25,fête!$B$2:$C$367,2,0))</f>
        <v>Victorien</v>
      </c>
      <c r="AC25" s="54" t="str">
        <f>IF(ISERROR(VLOOKUP(X25,évènements!$A$3:$E$200,3,0)),"",VLOOKUP(X25,évènements!$A$3:$E$200,3,0))</f>
        <v/>
      </c>
      <c r="AD25" s="54" t="str">
        <f>IF(ISERROR(VLOOKUP(X25,évènements!$B$3:$E$200,2,0)),"",VLOOKUP(X25,évènements!$B$3:$E$200,2,0))</f>
        <v/>
      </c>
      <c r="AE25" s="54" t="str">
        <f ca="1">IF(ISNA(VLOOKUP(X25,Tableau1[[#All],[Colonne1]:[ouvrés]],3,FALSE)),"",VLOOKUP(X25,Tableau1[[#All],[Colonne1]:[ouvrés]],3,FALSE))</f>
        <v/>
      </c>
      <c r="AF25" s="54" t="str">
        <f t="shared" si="57"/>
        <v xml:space="preserve">  </v>
      </c>
      <c r="AG25" s="41">
        <f t="shared" si="30"/>
        <v>42848</v>
      </c>
      <c r="AH25" s="42">
        <f t="shared" si="44"/>
        <v>42848</v>
      </c>
      <c r="AI25" s="137" t="str">
        <f>IF(AH25="","",IF(ISERROR(MATCH(AH25,Lune!$A$1:$A$1000,0)),IF(WEEKDAY(AH25)=5,INT((AH25-DATE(YEAR(AH25),1,1))/7+1),IF(AND(WEEKDAY(AH25)=4,NOT( ISERROR(MATCH(AH25+1,Lune!$A$1:$A$1000,0)))),INT((AH25+1-DATE(YEAR(AH25+1),1,1))/7+1),"")),INDEX(Lune!$B$1:$B$1000,MATCH(AH25,Lune!$A$1:$A$1000,0),1)))</f>
        <v/>
      </c>
      <c r="AJ25" s="80" t="str">
        <f t="shared" ca="1" si="6"/>
        <v/>
      </c>
      <c r="AK25" s="54" t="str">
        <f ca="1">IF(ISERROR(VLOOKUP(AH25,anniversaire!$X$2:$Z$100,2,0)),"",VLOOKUP(AH25,anniversaire!$X$2:$Z$100,2,0))</f>
        <v/>
      </c>
      <c r="AL25" s="54" t="str">
        <f>IF(ISERROR(VLOOKUP(AH25,fête!$B$2:$C$367,2,0)),"",VLOOKUP(AH25,fête!$B$2:$C$367,2,0))</f>
        <v>Georges</v>
      </c>
      <c r="AM25" s="54" t="str">
        <f>IF(ISERROR(VLOOKUP(AH25,évènements!$A$3:$E$200,3,0)),"",VLOOKUP(AH25,évènements!$A$3:$E$200,3,0))</f>
        <v/>
      </c>
      <c r="AN25" s="54" t="str">
        <f>IF(ISERROR(VLOOKUP(AH25,évènements!$B$3:$E$200,2,0)),"",VLOOKUP(AH25,évènements!$B$3:$E$200,2,0))</f>
        <v/>
      </c>
      <c r="AO25" s="54" t="str">
        <f ca="1">IF(ISNA(VLOOKUP(AH25,Tableau1[[#All],[Colonne1]:[ouvrés]],3,FALSE)),"",VLOOKUP(AH25,Tableau1[[#All],[Colonne1]:[ouvrés]],3,FALSE))</f>
        <v/>
      </c>
      <c r="AP25" s="238" t="str">
        <f t="shared" si="55"/>
        <v xml:space="preserve">  </v>
      </c>
      <c r="AQ25" s="41">
        <f t="shared" si="31"/>
        <v>42878</v>
      </c>
      <c r="AR25" s="42">
        <f t="shared" si="45"/>
        <v>42878</v>
      </c>
      <c r="AS25" s="43" t="str">
        <f>IF(AR25="","",IF(ISERROR(MATCH(AR25,Lune!$A$1:$A$1000,0)),IF(WEEKDAY(AR25)=5,INT((AR25-DATE(YEAR(AR25),1,1))/7+1),IF(AND(WEEKDAY(AR25)=4,NOT( ISERROR(MATCH(AR25+1,Lune!$A$1:$A$1000,0)))),INT((AR25+1-DATE(YEAR(AR25+1),1,1))/7+1),"")),INDEX(Lune!$B$1:$B$1000,MATCH(AR25,Lune!$A$1:$A$1000,0),1)))</f>
        <v/>
      </c>
      <c r="AT25" s="79" t="str">
        <f t="shared" ca="1" si="8"/>
        <v/>
      </c>
      <c r="AU25" s="54" t="str">
        <f ca="1">IF(ISERROR(VLOOKUP(AR25,anniversaire!$X$2:$Z$100,2,0)),"",VLOOKUP(AR25,anniversaire!$X$2:$Z$100,2,0))</f>
        <v/>
      </c>
      <c r="AV25" s="54" t="str">
        <f>IF(ISERROR(VLOOKUP(AR25,fête!$B$2:$C$367,2,0)),"",VLOOKUP(AR25,fête!$B$2:$C$367,2,0))</f>
        <v>Didier</v>
      </c>
      <c r="AW25" s="238" t="str">
        <f>IF(ISERROR(VLOOKUP(AR25,évènements!$A$3:$E$200,3,0)),"",VLOOKUP(AR25,évènements!$A$3:$E$200,3,0))</f>
        <v/>
      </c>
      <c r="AX25" s="238" t="str">
        <f>IF(ISERROR(VLOOKUP(AR25,évènements!$B$3:$E$200,2,0)),"",VLOOKUP(AR25,évènements!$B$3:$E$200,2,0))</f>
        <v/>
      </c>
      <c r="AY25" s="238" t="str">
        <f ca="1">IF(ISNA(VLOOKUP(AR25,Tableau1[[#All],[Colonne1]:[ouvrés]],3,FALSE)),"",VLOOKUP(AR25,Tableau1[[#All],[Colonne1]:[ouvrés]],3,FALSE))</f>
        <v/>
      </c>
      <c r="AZ25" s="238" t="str">
        <f t="shared" si="9"/>
        <v xml:space="preserve">  </v>
      </c>
      <c r="BA25" s="41">
        <f t="shared" si="32"/>
        <v>42909</v>
      </c>
      <c r="BB25" s="42">
        <f t="shared" si="46"/>
        <v>42909</v>
      </c>
      <c r="BC25" s="43" t="str">
        <f>IF(BB25="","",IF(ISERROR(MATCH(BB25,Lune!$A$1:$A$1000,0)),IF(WEEKDAY(BB25)=5,INT((BB25-DATE(YEAR(BB25),1,1))/7+1),IF(AND(WEEKDAY(BB25)=4,NOT( ISERROR(MATCH(BB25+1,Lune!$A$1:$A$1000,0)))),INT((BB25+1-DATE(YEAR(BB25+1),1,1))/7+1),"")),INDEX(Lune!$B$1:$B$1000,MATCH(BB25,Lune!$A$1:$A$1000,0),1)))</f>
        <v/>
      </c>
      <c r="BD25" s="79" t="str">
        <f t="shared" ca="1" si="10"/>
        <v xml:space="preserve"> '</v>
      </c>
      <c r="BE25" s="54" t="str">
        <f ca="1">IF(ISERROR(VLOOKUP(BB25,anniversaire!$X$2:$Z$100,2,0)),"",VLOOKUP(BB25,anniversaire!$X$2:$Z$100,2,0))</f>
        <v>Lachaise   Hervé    38</v>
      </c>
      <c r="BF25" s="54" t="str">
        <f>IF(ISERROR(VLOOKUP(BB25,fête!$B$2:$C$367,2,0)),"",VLOOKUP(BB25,fête!$B$2:$C$367,2,0))</f>
        <v>Audrey</v>
      </c>
      <c r="BG25" s="54" t="str">
        <f>IF(ISERROR(VLOOKUP(BB25,évènements!$A$3:$E$200,3,0)),"",VLOOKUP(BB25,évènements!$A$3:$E$200,3,0))</f>
        <v/>
      </c>
      <c r="BH25" s="54" t="str">
        <f>IF(ISERROR(VLOOKUP(BB25,évènements!$B$3:$E$200,2,0)),"",VLOOKUP(BB25,évènements!$B$3:$E$200,2,0))</f>
        <v/>
      </c>
      <c r="BI25" s="54" t="str">
        <f ca="1">IF(ISNA(VLOOKUP(BB25,Tableau1[[#All],[Colonne1]:[ouvrés]],3,FALSE)),"",VLOOKUP(BB25,Tableau1[[#All],[Colonne1]:[ouvrés]],3,FALSE))</f>
        <v/>
      </c>
      <c r="BJ25" s="54" t="str">
        <f t="shared" si="56"/>
        <v xml:space="preserve">  </v>
      </c>
      <c r="BK25" s="41">
        <f t="shared" si="33"/>
        <v>42939</v>
      </c>
      <c r="BL25" s="42">
        <f t="shared" si="47"/>
        <v>42939</v>
      </c>
      <c r="BM25" s="43" t="str">
        <f>IF(BL25="","",IF(ISERROR(MATCH(BL25,Lune!$A$1:$A$1000,0)),IF(WEEKDAY(BL25)=5,INT((BL25-DATE(YEAR(BL25),1,1))/7+1),IF(AND(WEEKDAY(BL25)=4,NOT( ISERROR(MATCH(BL25+1,Lune!$A$1:$A$1000,0)))),INT((BL25+1-DATE(YEAR(BL25+1),1,1))/7+1),"")),INDEX(Lune!$B$1:$B$1000,MATCH(BL25,Lune!$A$1:$A$1000,0),1)))</f>
        <v>●</v>
      </c>
      <c r="BN25" s="80" t="str">
        <f t="shared" ca="1" si="12"/>
        <v/>
      </c>
      <c r="BO25" s="54" t="str">
        <f ca="1">IF(ISERROR(VLOOKUP(BL25,anniversaire!$X$2:$Z$100,2,0)),"",VLOOKUP(BL25,anniversaire!$X$2:$Z$100,2,0))</f>
        <v/>
      </c>
      <c r="BP25" s="54" t="str">
        <f>IF(ISERROR(VLOOKUP(BL25,fête!$B$2:$C$367,2,0)),"",VLOOKUP(BL25,fête!$B$2:$C$367,2,0))</f>
        <v>Brigitte</v>
      </c>
      <c r="BQ25" s="54" t="str">
        <f>IF(ISERROR(VLOOKUP(BL25,évènements!$A$3:$E$200,3,0)),"",VLOOKUP(BL25,évènements!$A$3:$E$200,3,0))</f>
        <v/>
      </c>
      <c r="BR25" s="54" t="str">
        <f>IF(ISERROR(VLOOKUP(BL25,évènements!$B$3:$E$200,2,0)),"",VLOOKUP(BL25,évènements!$B$3:$E$200,2,0))</f>
        <v/>
      </c>
      <c r="BS25" s="54" t="str">
        <f ca="1">IF(ISNA(VLOOKUP(BL25,Tableau1[[#All],[Colonne1]:[ouvrés]],3,FALSE)),"",VLOOKUP(BL25,Tableau1[[#All],[Colonne1]:[ouvrés]],3,FALSE))</f>
        <v/>
      </c>
      <c r="BT25" s="54" t="str">
        <f t="shared" si="34"/>
        <v xml:space="preserve">  </v>
      </c>
      <c r="BU25" s="41">
        <f t="shared" si="35"/>
        <v>42970</v>
      </c>
      <c r="BV25" s="42">
        <f t="shared" si="48"/>
        <v>42970</v>
      </c>
      <c r="BW25" s="43" t="str">
        <f>IF(BV25="","",IF(ISERROR(MATCH(BV25,Lune!$A$1:$A$1000,0)),IF(WEEKDAY(BV25)=5,INT((BV25-DATE(YEAR(BV25),1,1))/7+1),IF(AND(WEEKDAY(BV25)=4,NOT( ISERROR(MATCH(BV25+1,Lune!$A$1:$A$1000,0)))),INT((BV25+1-DATE(YEAR(BV25+1),1,1))/7+1),"")),INDEX(Lune!$B$1:$B$1000,MATCH(BV25,Lune!$A$1:$A$1000,0),1)))</f>
        <v/>
      </c>
      <c r="BX25" s="80" t="str">
        <f t="shared" ca="1" si="13"/>
        <v/>
      </c>
      <c r="BY25" s="54" t="str">
        <f ca="1">IF(ISERROR(VLOOKUP(BV25,anniversaire!$X$2:$Z$100,2,0)),"",VLOOKUP(BV25,anniversaire!$X$2:$Z$100,2,0))</f>
        <v/>
      </c>
      <c r="BZ25" s="54" t="str">
        <f>IF(ISERROR(VLOOKUP(BV25,fête!$B$2:$C$367,2,0)),"",VLOOKUP(BV25,fête!$B$2:$C$367,2,0))</f>
        <v>Rose de Lima</v>
      </c>
      <c r="CA25" s="54" t="str">
        <f>IF(ISERROR(VLOOKUP(BV25,évènements!$A$3:$E$200,3,0)),"",VLOOKUP(BV25,évènements!$A$3:$E$200,3,0))</f>
        <v/>
      </c>
      <c r="CB25" s="54" t="str">
        <f>IF(ISERROR(VLOOKUP(BV25,évènements!$B$3:$E$200,2,0)),"",VLOOKUP(BV25,évènements!$B$3:$E$200,2,0))</f>
        <v/>
      </c>
      <c r="CC25" s="54" t="str">
        <f ca="1">IF(ISNA(VLOOKUP(BV25,Tableau1[[#All],[Colonne1]:[ouvrés]],3,FALSE)),"",VLOOKUP(BV25,Tableau1[[#All],[Colonne1]:[ouvrés]],3,FALSE))</f>
        <v/>
      </c>
      <c r="CD25" s="54" t="str">
        <f t="shared" si="14"/>
        <v xml:space="preserve">  </v>
      </c>
      <c r="CE25" s="41">
        <f t="shared" si="36"/>
        <v>43001</v>
      </c>
      <c r="CF25" s="42">
        <f t="shared" si="49"/>
        <v>43001</v>
      </c>
      <c r="CG25" s="43" t="str">
        <f>IF(CF25="","",IF(ISERROR(MATCH(CF25,Lune!$A$1:$A$1000,0)),IF(WEEKDAY(CF25)=5,INT((CF25-DATE(YEAR(CF25),1,1))/7+1),IF(AND(WEEKDAY(CF25)=4,NOT( ISERROR(MATCH(CF25+1,Lune!$A$1:$A$1000,0)))),INT((CF25+1-DATE(YEAR(CF25+1),1,1))/7+1),"")),INDEX(Lune!$B$1:$B$1000,MATCH(CF25,Lune!$A$1:$A$1000,0),1)))</f>
        <v/>
      </c>
      <c r="CH25" s="80" t="str">
        <f t="shared" ca="1" si="15"/>
        <v/>
      </c>
      <c r="CI25" s="54" t="str">
        <f ca="1">IF(ISERROR(VLOOKUP(CF25,anniversaire!$X$2:$Z$100,2,0)),"",VLOOKUP(CF25,anniversaire!$X$2:$Z$100,2,0))</f>
        <v/>
      </c>
      <c r="CJ25" s="54" t="str">
        <f>IF(ISERROR(VLOOKUP(CF25,fête!$B$2:$C$367,2,0)),"",VLOOKUP(CF25,fête!$B$2:$C$367,2,0))</f>
        <v>Automne</v>
      </c>
      <c r="CK25" s="54" t="str">
        <f>IF(ISERROR(VLOOKUP(CF25,évènements!$A$3:$E$200,3,0)),"",VLOOKUP(CF25,évènements!$A$3:$E$200,3,0))</f>
        <v/>
      </c>
      <c r="CL25" s="54" t="str">
        <f>IF(ISERROR(VLOOKUP(CF25,évènements!$B$3:$E$200,2,0)),"",VLOOKUP(CF25,évènements!$B$3:$E$200,2,0))</f>
        <v/>
      </c>
      <c r="CM25" s="54" t="str">
        <f ca="1">IF(ISNA(VLOOKUP(CF25,Tableau1[[#All],[Colonne1]:[ouvrés]],3,FALSE)),"",VLOOKUP(CF25,Tableau1[[#All],[Colonne1]:[ouvrés]],3,FALSE))</f>
        <v/>
      </c>
      <c r="CN25" s="54" t="str">
        <f t="shared" si="16"/>
        <v xml:space="preserve">  </v>
      </c>
      <c r="CO25" s="41">
        <f t="shared" si="37"/>
        <v>43031</v>
      </c>
      <c r="CP25" s="42">
        <f t="shared" si="50"/>
        <v>43031</v>
      </c>
      <c r="CQ25" s="43" t="str">
        <f>IF(CP25="","",IF(ISERROR(MATCH(CP25,Lune!$A$1:$A$1000,0)),IF(WEEKDAY(CP25)=5,INT((CP25-DATE(YEAR(CP25),1,1))/7+1),IF(AND(WEEKDAY(CP25)=4,NOT( ISERROR(MATCH(CP25+1,Lune!$A$1:$A$1000,0)))),INT((CP25+1-DATE(YEAR(CP25+1),1,1))/7+1),"")),INDEX(Lune!$B$1:$B$1000,MATCH(CP25,Lune!$A$1:$A$1000,0),1)))</f>
        <v/>
      </c>
      <c r="CR25" s="80" t="str">
        <f t="shared" ca="1" si="17"/>
        <v/>
      </c>
      <c r="CS25" s="54" t="str">
        <f ca="1">IF(ISERROR(VLOOKUP(CP25,anniversaire!$X$2:$Z$100,2,0)),"",VLOOKUP(CP25,anniversaire!$X$2:$Z$100,2,0))</f>
        <v/>
      </c>
      <c r="CT25" s="54" t="str">
        <f>IF(ISERROR(VLOOKUP(CP25,fête!$B$2:$C$367,2,0)),"",VLOOKUP(CP25,fête!$B$2:$C$367,2,0))</f>
        <v>Jean de Capistran</v>
      </c>
      <c r="CU25" s="54" t="str">
        <f>IF(ISERROR(VLOOKUP(CP25,évènements!$A$3:$E$200,3,0)),"",VLOOKUP(CP25,évènements!$A$3:$E$200,3,0))</f>
        <v/>
      </c>
      <c r="CV25" s="54" t="str">
        <f>IF(ISERROR(VLOOKUP(CP25,évènements!$B$3:$E$200,2,0)),"",VLOOKUP(CP25,évènements!$B$3:$E$200,2,0))</f>
        <v/>
      </c>
      <c r="CW25" s="54" t="str">
        <f ca="1">IF(ISNA(VLOOKUP(CP25,Tableau1[[#All],[Colonne1]:[ouvrés]],3,FALSE)),"",VLOOKUP(CP25,Tableau1[[#All],[Colonne1]:[ouvrés]],3,FALSE))</f>
        <v/>
      </c>
      <c r="CX25" s="54" t="str">
        <f t="shared" si="18"/>
        <v xml:space="preserve">  </v>
      </c>
      <c r="CY25" s="41">
        <f t="shared" si="38"/>
        <v>43062</v>
      </c>
      <c r="CZ25" s="42">
        <f t="shared" si="51"/>
        <v>43062</v>
      </c>
      <c r="DA25" s="43">
        <f>IF(CZ25="","",IF(ISERROR(MATCH(CZ25,Lune!$A$1:$A$1000,0)),IF(WEEKDAY(CZ25)=5,INT((CZ25-DATE(YEAR(CZ25),1,1))/7+1),IF(AND(WEEKDAY(CZ25)=4,NOT( ISERROR(MATCH(CZ25+1,Lune!$A$1:$A$1000,0)))),INT((CZ25+1-DATE(YEAR(CZ25+1),1,1))/7+1),"")),INDEX(Lune!$B$1:$B$1000,MATCH(CZ25,Lune!$A$1:$A$1000,0),1)))</f>
        <v>47</v>
      </c>
      <c r="DB25" s="80" t="str">
        <f t="shared" ca="1" si="19"/>
        <v/>
      </c>
      <c r="DC25" s="54" t="str">
        <f ca="1">IF(ISERROR(VLOOKUP(CZ25,anniversaire!$X$2:$Z$100,2,0)),"",VLOOKUP(CZ25,anniversaire!$X$2:$Z$100,2,0))</f>
        <v/>
      </c>
      <c r="DD25" s="54" t="str">
        <f>IF(ISERROR(VLOOKUP(CZ25,fête!$B$2:$C$367,2,0)),"",VLOOKUP(CZ25,fête!$B$2:$C$367,2,0))</f>
        <v>Clément</v>
      </c>
      <c r="DE25" s="54" t="str">
        <f>IF(ISERROR(VLOOKUP(CZ25,évènements!$A$3:$E$200,3,0)),"",VLOOKUP(CZ25,évènements!$A$3:$E$200,3,0))</f>
        <v/>
      </c>
      <c r="DF25" s="54" t="str">
        <f>IF(ISERROR(VLOOKUP(CZ25,évènements!$B$3:$E$200,2,0)),"",VLOOKUP(CZ25,évènements!$B$3:$E$200,2,0))</f>
        <v/>
      </c>
      <c r="DG25" s="54"/>
      <c r="DH25" s="54" t="str">
        <f t="shared" si="20"/>
        <v xml:space="preserve">  </v>
      </c>
      <c r="DI25" s="41">
        <f t="shared" si="39"/>
        <v>43092</v>
      </c>
      <c r="DJ25" s="42">
        <f t="shared" si="52"/>
        <v>43092</v>
      </c>
      <c r="DK25" s="43" t="str">
        <f>IF(DJ25="","",IF(ISERROR(MATCH(DJ25,Lune!$A$1:$A$1000,0)),IF(WEEKDAY(DJ25)=5,INT((DJ25-DATE(YEAR(DJ25),1,1))/7+1),IF(AND(WEEKDAY(DJ25)=4,NOT( ISERROR(MATCH(DJ25+1,Lune!$A$1:$A$1000,0)))),INT((DJ25+1-DATE(YEAR(DJ25+1),1,1))/7+1),"")),INDEX(Lune!$B$1:$B$1000,MATCH(DJ25,Lune!$A$1:$A$1000,0),1)))</f>
        <v/>
      </c>
      <c r="DL25" s="80" t="str">
        <f t="shared" ca="1" si="21"/>
        <v/>
      </c>
      <c r="DM25" s="54" t="str">
        <f ca="1">IF(ISERROR(VLOOKUP(DJ25,anniversaire!$X$2:$Z$100,2,0)),"",VLOOKUP(DJ25,anniversaire!$X$2:$Z$100,2,0))</f>
        <v/>
      </c>
      <c r="DN25" s="54" t="str">
        <f>IF(ISERROR(VLOOKUP(DJ25,fête!$B$2:$C$367,2,0)),"",VLOOKUP(DJ25,fête!$B$2:$C$367,2,0))</f>
        <v>Armand</v>
      </c>
      <c r="DO25" s="54" t="str">
        <f>IF(ISERROR(VLOOKUP(DJ25,évènements!$A$3:$E$200,3,0)),"",VLOOKUP(DJ25,évènements!$A$3:$E$200,3,0))</f>
        <v/>
      </c>
      <c r="DP25" s="54" t="str">
        <f>IF(ISERROR(VLOOKUP(DJ25,évènements!$B$3:$E$200,2,0)),"",VLOOKUP(DJ25,évènements!$B$3:$E$200,2,0))</f>
        <v/>
      </c>
      <c r="DQ25" s="54" t="str">
        <f ca="1">IF(ISNA(VLOOKUP(DJ25,Tableau1[[#All],[Colonne1]:[ouvrés]],3,FALSE)),"",VLOOKUP(DJ25,Tableau1[[#All],[Colonne1]:[ouvrés]],3,FALSE))</f>
        <v/>
      </c>
      <c r="DR25" s="54" t="str">
        <f t="shared" si="22"/>
        <v xml:space="preserve">  </v>
      </c>
      <c r="DS25" s="41">
        <f t="shared" si="40"/>
        <v>43123</v>
      </c>
      <c r="DT25" s="42">
        <f t="shared" si="53"/>
        <v>43123</v>
      </c>
      <c r="DU25" s="43" t="str">
        <f>IF(DT25="","",IF(ISERROR(MATCH(DT25,Lune!$A$1:$A$1000,0)),IF(WEEKDAY(DT25)=5,INT((DT25-DATE(YEAR(DT25),1,1))/7+1),IF(AND(WEEKDAY(DT25)=4,NOT( ISERROR(MATCH(DT25+1,Lune!$A$1:$A$1000,0)))),INT((DT25+1-DATE(YEAR(DT25+1),1,1))/7+1),"")),INDEX(Lune!$B$1:$B$1000,MATCH(DT25,Lune!$A$1:$A$1000,0),1)))</f>
        <v/>
      </c>
      <c r="DV25" s="89" t="str">
        <f t="shared" ca="1" si="23"/>
        <v/>
      </c>
      <c r="DW25" s="252" t="str">
        <f t="shared" ca="1" si="24"/>
        <v/>
      </c>
      <c r="DX25" s="252" t="str">
        <f t="shared" si="25"/>
        <v>Banard</v>
      </c>
      <c r="DY25" s="252" t="str">
        <f>IF(ISERROR(VLOOKUP(DT25,évènements!$A$3:$E$200,3,0)),"",VLOOKUP(DT25,évènements!$A$3:$E$200,3,0))</f>
        <v/>
      </c>
      <c r="DZ25" s="252" t="str">
        <f>IF(ISERROR(VLOOKUP(DT25,évènements!$B$3:$E$200,2,0)),"",VLOOKUP(DT25,évènements!$B$3:$E$200,2,0))</f>
        <v/>
      </c>
      <c r="EA25" s="252" t="str">
        <f ca="1">IF(ISNA(VLOOKUP(DT25,Tableau1[[#All],[Colonne1]:[ouvrés]],3,FALSE)),"",VLOOKUP(DT25,Tableau1[[#All],[Colonne1]:[ouvrés]],3,FALSE))</f>
        <v/>
      </c>
      <c r="EB25" s="252" t="str">
        <f t="shared" si="26"/>
        <v xml:space="preserve">  </v>
      </c>
    </row>
    <row r="26" spans="2:132" ht="15" customHeight="1" x14ac:dyDescent="0.25">
      <c r="B26" s="29"/>
      <c r="C26" s="41">
        <f t="shared" si="27"/>
        <v>42759</v>
      </c>
      <c r="D26" s="40">
        <f t="shared" si="41"/>
        <v>42759</v>
      </c>
      <c r="E26" s="131" t="str">
        <f>IF(D26="","",IF(ISERROR(MATCH(D26,Lune!$A$1:$A$1000,0)),IF(WEEKDAY(D26)=5,INT((D26-DATE(YEAR(D26),1,1))/7+1),IF(AND(WEEKDAY(D26)=4,NOT( ISERROR(MATCH(D26+1,Lune!$A$1:$A$1000,0)))),INT((D26+1-DATE(YEAR(D26+1),1,1))/7+1),"")),INDEX(Lune!$B$1:$B$1000,MATCH(D26,Lune!$A$1:$A$1000,0),1)))</f>
        <v/>
      </c>
      <c r="F26" s="89" t="str">
        <f t="shared" ca="1" si="0"/>
        <v/>
      </c>
      <c r="G26" s="125" t="str">
        <f ca="1">IF(ISERROR(VLOOKUP(D26,anniversaire!$X$2:$Z$100,2,0)),"",VLOOKUP(D26,anniversaire!$X$2:$Z$100,2,0))</f>
        <v/>
      </c>
      <c r="H26" s="54" t="str">
        <f>IF(ISERROR(VLOOKUP(D26,fête!$B$2:$C$367,2,0)),"",VLOOKUP(D26,fête!$B$2:$C$367,2,0))</f>
        <v>François de Sales</v>
      </c>
      <c r="I26" s="239" t="str">
        <f>IF(ISERROR(VLOOKUP(D26,évènements!$A$3:$E$200,3,0)),"",VLOOKUP(D26,évènements!$A$3:$E$200,3,0))</f>
        <v/>
      </c>
      <c r="J26" s="239" t="str">
        <f>IF(ISERROR(VLOOKUP(D26,évènements!$B$3:$E$200,2,0)),"",VLOOKUP(D26,évènements!$B$3:$E$200,2,0))</f>
        <v/>
      </c>
      <c r="K26" s="239" t="str">
        <f ca="1">IF(ISNA(VLOOKUP(D26,Tableau1[[#All],[Colonne1]:[ouvrés]],3,FALSE)),"",VLOOKUP(D26,Tableau1[[#All],[Colonne1]:[ouvrés]],3,FALSE))</f>
        <v/>
      </c>
      <c r="L26" s="239" t="str">
        <f t="shared" si="58"/>
        <v xml:space="preserve">  </v>
      </c>
      <c r="M26" s="41">
        <f t="shared" si="28"/>
        <v>42790</v>
      </c>
      <c r="N26" s="42">
        <f t="shared" si="42"/>
        <v>42790</v>
      </c>
      <c r="O26" s="131" t="str">
        <f>IF(N26="","",IF(ISERROR(MATCH(N26,Lune!$A$1:$A$1000,0)),IF(WEEKDAY(N26)=5,INT((N26-DATE(YEAR(N26),1,1))/7+1),IF(AND(WEEKDAY(N26)=4,NOT( ISERROR(MATCH(N26+1,Lune!$A$1:$A$1000,0)))),INT((N26+1-DATE(YEAR(N26+1),1,1))/7+1),"")),INDEX(Lune!$B$1:$B$1000,MATCH(N26,Lune!$A$1:$A$1000,0),1)))</f>
        <v/>
      </c>
      <c r="P26" s="80" t="str">
        <f t="shared" ca="1" si="54"/>
        <v/>
      </c>
      <c r="Q26" s="54" t="str">
        <f ca="1">IF(ISERROR(VLOOKUP(N26,anniversaire!$X$2:$Z$100,2,0)),"",VLOOKUP(N26,anniversaire!$X$2:$Z$100,2,0))</f>
        <v/>
      </c>
      <c r="R26" s="54" t="str">
        <f>IF(ISERROR(VLOOKUP(N26,fête!$B$2:$C$367,2,0)),"",VLOOKUP(N26,fête!$B$2:$C$367,2,0))</f>
        <v>Modeste</v>
      </c>
      <c r="S26" s="54" t="str">
        <f>IF(ISERROR(VLOOKUP(N26,évènements!$A$3:$E$200,3,0)),"",VLOOKUP(N26,évènements!$A$3:$E$200,3,0))</f>
        <v/>
      </c>
      <c r="T26" s="54" t="str">
        <f>IF(ISERROR(VLOOKUP(N26,évènements!$B$3:$E$200,2,0)),"",VLOOKUP(N26,évènements!$B$3:$E$200,2,0))</f>
        <v/>
      </c>
      <c r="U26" s="54" t="str">
        <f ca="1">IF(ISNA(VLOOKUP(N26,Tableau1[[#All],[Colonne1]:[ouvrés]],3,FALSE)),"",VLOOKUP(N26,Tableau1[[#All],[Colonne1]:[ouvrés]],3,FALSE))</f>
        <v/>
      </c>
      <c r="V26" s="54" t="str">
        <f t="shared" si="3"/>
        <v xml:space="preserve">  </v>
      </c>
      <c r="W26" s="41">
        <f t="shared" si="29"/>
        <v>42818</v>
      </c>
      <c r="X26" s="42">
        <f t="shared" si="43"/>
        <v>42818</v>
      </c>
      <c r="Y26" s="132" t="str">
        <f>IF(X26="","",IF(ISERROR(MATCH(X26,Lune!$A$1:$A$1000,0)),IF(WEEKDAY(X26)=5,INT((X26-DATE(YEAR(X26),1,1))/7+1),IF(AND(WEEKDAY(X26)=4,NOT( ISERROR(MATCH(X26+1,Lune!$A$1:$A$1000,0)))),INT((X26+1-DATE(YEAR(X26+1),1,1))/7+1),"")),INDEX(Lune!$B$1:$B$1000,MATCH(X26,Lune!$A$1:$A$1000,0),1)))</f>
        <v/>
      </c>
      <c r="Z26" s="89" t="str">
        <f t="shared" ca="1" si="4"/>
        <v/>
      </c>
      <c r="AA26" s="125" t="str">
        <f ca="1">IF(ISERROR(VLOOKUP(X26,anniversaire!$X$2:$Z$100,2,0)),"",VLOOKUP(X26,anniversaire!$X$2:$Z$100,2,0))</f>
        <v/>
      </c>
      <c r="AB26" s="54" t="str">
        <f>IF(ISERROR(VLOOKUP(X26,fête!$B$2:$C$367,2,0)),"",VLOOKUP(X26,fête!$B$2:$C$367,2,0))</f>
        <v>Catherine</v>
      </c>
      <c r="AC26" s="54" t="str">
        <f>IF(ISERROR(VLOOKUP(X26,évènements!$A$3:$E$200,3,0)),"",VLOOKUP(X26,évènements!$A$3:$E$200,3,0))</f>
        <v/>
      </c>
      <c r="AD26" s="54" t="str">
        <f>IF(ISERROR(VLOOKUP(X26,évènements!$B$3:$E$200,2,0)),"",VLOOKUP(X26,évènements!$B$3:$E$200,2,0))</f>
        <v/>
      </c>
      <c r="AE26" s="54" t="str">
        <f ca="1">IF(ISNA(VLOOKUP(X26,Tableau1[[#All],[Colonne1]:[ouvrés]],3,FALSE)),"",VLOOKUP(X26,Tableau1[[#All],[Colonne1]:[ouvrés]],3,FALSE))</f>
        <v/>
      </c>
      <c r="AF26" s="54" t="str">
        <f t="shared" si="57"/>
        <v xml:space="preserve">  </v>
      </c>
      <c r="AG26" s="41">
        <f t="shared" si="30"/>
        <v>42849</v>
      </c>
      <c r="AH26" s="42">
        <f t="shared" si="44"/>
        <v>42849</v>
      </c>
      <c r="AI26" s="137" t="str">
        <f>IF(AH26="","",IF(ISERROR(MATCH(AH26,Lune!$A$1:$A$1000,0)),IF(WEEKDAY(AH26)=5,INT((AH26-DATE(YEAR(AH26),1,1))/7+1),IF(AND(WEEKDAY(AH26)=4,NOT( ISERROR(MATCH(AH26+1,Lune!$A$1:$A$1000,0)))),INT((AH26+1-DATE(YEAR(AH26+1),1,1))/7+1),"")),INDEX(Lune!$B$1:$B$1000,MATCH(AH26,Lune!$A$1:$A$1000,0),1)))</f>
        <v/>
      </c>
      <c r="AJ26" s="80" t="str">
        <f t="shared" ca="1" si="6"/>
        <v/>
      </c>
      <c r="AK26" s="54" t="str">
        <f ca="1">IF(ISERROR(VLOOKUP(AH26,anniversaire!$X$2:$Z$100,2,0)),"",VLOOKUP(AH26,anniversaire!$X$2:$Z$100,2,0))</f>
        <v/>
      </c>
      <c r="AL26" s="54" t="str">
        <f>IF(ISERROR(VLOOKUP(AH26,fête!$B$2:$C$367,2,0)),"",VLOOKUP(AH26,fête!$B$2:$C$367,2,0))</f>
        <v>Fidèle</v>
      </c>
      <c r="AM26" s="54">
        <f ca="1">IF(ISERROR(VLOOKUP(AH26,évènements!$A$3:$E$200,3,0)),"",VLOOKUP(AH26,évènements!$A$3:$E$200,3,0))</f>
        <v>42887</v>
      </c>
      <c r="AN26" s="54" t="str">
        <f>IF(ISERROR(VLOOKUP(AH26,évènements!$B$3:$E$200,2,0)),"",VLOOKUP(AH26,évènements!$B$3:$E$200,2,0))</f>
        <v/>
      </c>
      <c r="AO26" s="54" t="str">
        <f ca="1">IF(ISNA(VLOOKUP(AH26,Tableau1[[#All],[Colonne1]:[ouvrés]],3,FALSE)),"",VLOOKUP(AH26,Tableau1[[#All],[Colonne1]:[ouvrés]],3,FALSE))</f>
        <v/>
      </c>
      <c r="AP26" s="238" t="str">
        <f t="shared" ca="1" si="55"/>
        <v xml:space="preserve">42887  </v>
      </c>
      <c r="AQ26" s="41">
        <f t="shared" si="31"/>
        <v>42879</v>
      </c>
      <c r="AR26" s="42">
        <f t="shared" si="45"/>
        <v>42879</v>
      </c>
      <c r="AS26" s="43">
        <f>IF(AR26="","",IF(ISERROR(MATCH(AR26,Lune!$A$1:$A$1000,0)),IF(WEEKDAY(AR26)=5,INT((AR26-DATE(YEAR(AR26),1,1))/7+1),IF(AND(WEEKDAY(AR26)=4,NOT( ISERROR(MATCH(AR26+1,Lune!$A$1:$A$1000,0)))),INT((AR26+1-DATE(YEAR(AR26+1),1,1))/7+1),"")),INDEX(Lune!$B$1:$B$1000,MATCH(AR26,Lune!$A$1:$A$1000,0),1)))</f>
        <v>21</v>
      </c>
      <c r="AT26" s="79" t="str">
        <f t="shared" ca="1" si="8"/>
        <v/>
      </c>
      <c r="AU26" s="54" t="str">
        <f ca="1">IF(ISERROR(VLOOKUP(AR26,anniversaire!$X$2:$Z$100,2,0)),"",VLOOKUP(AR26,anniversaire!$X$2:$Z$100,2,0))</f>
        <v/>
      </c>
      <c r="AV26" s="54" t="str">
        <f>IF(ISERROR(VLOOKUP(AR26,fête!$B$2:$C$367,2,0)),"",VLOOKUP(AR26,fête!$B$2:$C$367,2,0))</f>
        <v>Donatien</v>
      </c>
      <c r="AW26" s="238" t="str">
        <f>IF(ISERROR(VLOOKUP(AR26,évènements!$A$3:$E$200,3,0)),"",VLOOKUP(AR26,évènements!$A$3:$E$200,3,0))</f>
        <v/>
      </c>
      <c r="AX26" s="238" t="str">
        <f>IF(ISERROR(VLOOKUP(AR26,évènements!$B$3:$E$200,2,0)),"",VLOOKUP(AR26,évènements!$B$3:$E$200,2,0))</f>
        <v/>
      </c>
      <c r="AY26" s="238" t="str">
        <f ca="1">IF(ISNA(VLOOKUP(AR26,Tableau1[[#All],[Colonne1]:[ouvrés]],3,FALSE)),"",VLOOKUP(AR26,Tableau1[[#All],[Colonne1]:[ouvrés]],3,FALSE))</f>
        <v/>
      </c>
      <c r="AZ26" s="238" t="str">
        <f t="shared" si="9"/>
        <v xml:space="preserve">  </v>
      </c>
      <c r="BA26" s="41">
        <f t="shared" si="32"/>
        <v>42910</v>
      </c>
      <c r="BB26" s="42">
        <f t="shared" si="46"/>
        <v>42910</v>
      </c>
      <c r="BC26" s="43" t="str">
        <f>IF(BB26="","",IF(ISERROR(MATCH(BB26,Lune!$A$1:$A$1000,0)),IF(WEEKDAY(BB26)=5,INT((BB26-DATE(YEAR(BB26),1,1))/7+1),IF(AND(WEEKDAY(BB26)=4,NOT( ISERROR(MATCH(BB26+1,Lune!$A$1:$A$1000,0)))),INT((BB26+1-DATE(YEAR(BB26+1),1,1))/7+1),"")),INDEX(Lune!$B$1:$B$1000,MATCH(BB26,Lune!$A$1:$A$1000,0),1)))</f>
        <v>●</v>
      </c>
      <c r="BD26" s="79" t="str">
        <f t="shared" ca="1" si="10"/>
        <v/>
      </c>
      <c r="BE26" s="54" t="str">
        <f ca="1">IF(ISERROR(VLOOKUP(BB26,anniversaire!$X$2:$Z$100,2,0)),"",VLOOKUP(BB26,anniversaire!$X$2:$Z$100,2,0))</f>
        <v/>
      </c>
      <c r="BF26" s="54" t="str">
        <f>IF(ISERROR(VLOOKUP(BB26,fête!$B$2:$C$367,2,0)),"",VLOOKUP(BB26,fête!$B$2:$C$367,2,0))</f>
        <v>Jean-Baptiste</v>
      </c>
      <c r="BG26" s="54" t="str">
        <f>IF(ISERROR(VLOOKUP(BB26,évènements!$A$3:$E$200,3,0)),"",VLOOKUP(BB26,évènements!$A$3:$E$200,3,0))</f>
        <v/>
      </c>
      <c r="BH26" s="54" t="str">
        <f>IF(ISERROR(VLOOKUP(BB26,évènements!$B$3:$E$200,2,0)),"",VLOOKUP(BB26,évènements!$B$3:$E$200,2,0))</f>
        <v/>
      </c>
      <c r="BI26" s="54" t="str">
        <f ca="1">IF(ISNA(VLOOKUP(BB26,Tableau1[[#All],[Colonne1]:[ouvrés]],3,FALSE)),"",VLOOKUP(BB26,Tableau1[[#All],[Colonne1]:[ouvrés]],3,FALSE))</f>
        <v/>
      </c>
      <c r="BJ26" s="54" t="str">
        <f t="shared" si="56"/>
        <v xml:space="preserve">  </v>
      </c>
      <c r="BK26" s="41">
        <f t="shared" si="33"/>
        <v>42940</v>
      </c>
      <c r="BL26" s="42">
        <f t="shared" si="47"/>
        <v>42940</v>
      </c>
      <c r="BM26" s="43" t="str">
        <f>IF(BL26="","",IF(ISERROR(MATCH(BL26,Lune!$A$1:$A$1000,0)),IF(WEEKDAY(BL26)=5,INT((BL26-DATE(YEAR(BL26),1,1))/7+1),IF(AND(WEEKDAY(BL26)=4,NOT( ISERROR(MATCH(BL26+1,Lune!$A$1:$A$1000,0)))),INT((BL26+1-DATE(YEAR(BL26+1),1,1))/7+1),"")),INDEX(Lune!$B$1:$B$1000,MATCH(BL26,Lune!$A$1:$A$1000,0),1)))</f>
        <v/>
      </c>
      <c r="BN26" s="80" t="str">
        <f t="shared" ca="1" si="12"/>
        <v/>
      </c>
      <c r="BO26" s="54" t="str">
        <f ca="1">IF(ISERROR(VLOOKUP(BL26,anniversaire!$X$2:$Z$100,2,0)),"",VLOOKUP(BL26,anniversaire!$X$2:$Z$100,2,0))</f>
        <v/>
      </c>
      <c r="BP26" s="54" t="str">
        <f>IF(ISERROR(VLOOKUP(BL26,fête!$B$2:$C$367,2,0)),"",VLOOKUP(BL26,fête!$B$2:$C$367,2,0))</f>
        <v>Christine</v>
      </c>
      <c r="BQ26" s="54" t="str">
        <f>IF(ISERROR(VLOOKUP(BL26,évènements!$A$3:$E$200,3,0)),"",VLOOKUP(BL26,évènements!$A$3:$E$200,3,0))</f>
        <v/>
      </c>
      <c r="BR26" s="54" t="str">
        <f>IF(ISERROR(VLOOKUP(BL26,évènements!$B$3:$E$200,2,0)),"",VLOOKUP(BL26,évènements!$B$3:$E$200,2,0))</f>
        <v/>
      </c>
      <c r="BS26" s="54" t="str">
        <f ca="1">IF(ISNA(VLOOKUP(BL26,Tableau1[[#All],[Colonne1]:[ouvrés]],3,FALSE)),"",VLOOKUP(BL26,Tableau1[[#All],[Colonne1]:[ouvrés]],3,FALSE))</f>
        <v/>
      </c>
      <c r="BT26" s="54" t="str">
        <f t="shared" si="34"/>
        <v xml:space="preserve">  </v>
      </c>
      <c r="BU26" s="41">
        <f t="shared" si="35"/>
        <v>42971</v>
      </c>
      <c r="BV26" s="42">
        <f t="shared" si="48"/>
        <v>42971</v>
      </c>
      <c r="BW26" s="43">
        <f>IF(BV26="","",IF(ISERROR(MATCH(BV26,Lune!$A$1:$A$1000,0)),IF(WEEKDAY(BV26)=5,INT((BV26-DATE(YEAR(BV26),1,1))/7+1),IF(AND(WEEKDAY(BV26)=4,NOT( ISERROR(MATCH(BV26+1,Lune!$A$1:$A$1000,0)))),INT((BV26+1-DATE(YEAR(BV26+1),1,1))/7+1),"")),INDEX(Lune!$B$1:$B$1000,MATCH(BV26,Lune!$A$1:$A$1000,0),1)))</f>
        <v>34</v>
      </c>
      <c r="BX26" s="80" t="str">
        <f t="shared" ca="1" si="13"/>
        <v/>
      </c>
      <c r="BY26" s="54" t="str">
        <f ca="1">IF(ISERROR(VLOOKUP(BV26,anniversaire!$X$2:$Z$100,2,0)),"",VLOOKUP(BV26,anniversaire!$X$2:$Z$100,2,0))</f>
        <v/>
      </c>
      <c r="BZ26" s="54" t="str">
        <f>IF(ISERROR(VLOOKUP(BV26,fête!$B$2:$C$367,2,0)),"",VLOOKUP(BV26,fête!$B$2:$C$367,2,0))</f>
        <v>Barthélémy</v>
      </c>
      <c r="CA26" s="54" t="str">
        <f>IF(ISERROR(VLOOKUP(BV26,évènements!$A$3:$E$200,3,0)),"",VLOOKUP(BV26,évènements!$A$3:$E$200,3,0))</f>
        <v/>
      </c>
      <c r="CB26" s="54" t="str">
        <f>IF(ISERROR(VLOOKUP(BV26,évènements!$B$3:$E$200,2,0)),"",VLOOKUP(BV26,évènements!$B$3:$E$200,2,0))</f>
        <v/>
      </c>
      <c r="CC26" s="54" t="str">
        <f ca="1">IF(ISNA(VLOOKUP(BV26,Tableau1[[#All],[Colonne1]:[ouvrés]],3,FALSE)),"",VLOOKUP(BV26,Tableau1[[#All],[Colonne1]:[ouvrés]],3,FALSE))</f>
        <v/>
      </c>
      <c r="CD26" s="54" t="str">
        <f t="shared" si="14"/>
        <v xml:space="preserve">  </v>
      </c>
      <c r="CE26" s="41">
        <f t="shared" si="36"/>
        <v>43002</v>
      </c>
      <c r="CF26" s="42">
        <f t="shared" si="49"/>
        <v>43002</v>
      </c>
      <c r="CG26" s="43" t="str">
        <f>IF(CF26="","",IF(ISERROR(MATCH(CF26,Lune!$A$1:$A$1000,0)),IF(WEEKDAY(CF26)=5,INT((CF26-DATE(YEAR(CF26),1,1))/7+1),IF(AND(WEEKDAY(CF26)=4,NOT( ISERROR(MATCH(CF26+1,Lune!$A$1:$A$1000,0)))),INT((CF26+1-DATE(YEAR(CF26+1),1,1))/7+1),"")),INDEX(Lune!$B$1:$B$1000,MATCH(CF26,Lune!$A$1:$A$1000,0),1)))</f>
        <v/>
      </c>
      <c r="CH26" s="80" t="str">
        <f t="shared" ca="1" si="15"/>
        <v/>
      </c>
      <c r="CI26" s="54" t="str">
        <f ca="1">IF(ISERROR(VLOOKUP(CF26,anniversaire!$X$2:$Z$100,2,0)),"",VLOOKUP(CF26,anniversaire!$X$2:$Z$100,2,0))</f>
        <v/>
      </c>
      <c r="CJ26" s="54" t="str">
        <f>IF(ISERROR(VLOOKUP(CF26,fête!$B$2:$C$367,2,0)),"",VLOOKUP(CF26,fête!$B$2:$C$367,2,0))</f>
        <v>Thècle</v>
      </c>
      <c r="CK26" s="54" t="str">
        <f>IF(ISERROR(VLOOKUP(CF26,évènements!$A$3:$E$200,3,0)),"",VLOOKUP(CF26,évènements!$A$3:$E$200,3,0))</f>
        <v/>
      </c>
      <c r="CL26" s="54" t="str">
        <f>IF(ISERROR(VLOOKUP(CF26,évènements!$B$3:$E$200,2,0)),"",VLOOKUP(CF26,évènements!$B$3:$E$200,2,0))</f>
        <v/>
      </c>
      <c r="CM26" s="54" t="str">
        <f ca="1">IF(ISNA(VLOOKUP(CF26,Tableau1[[#All],[Colonne1]:[ouvrés]],3,FALSE)),"",VLOOKUP(CF26,Tableau1[[#All],[Colonne1]:[ouvrés]],3,FALSE))</f>
        <v/>
      </c>
      <c r="CN26" s="54" t="str">
        <f t="shared" si="16"/>
        <v xml:space="preserve">  </v>
      </c>
      <c r="CO26" s="41">
        <f t="shared" si="37"/>
        <v>43032</v>
      </c>
      <c r="CP26" s="42">
        <f t="shared" si="50"/>
        <v>43032</v>
      </c>
      <c r="CQ26" s="43" t="str">
        <f>IF(CP26="","",IF(ISERROR(MATCH(CP26,Lune!$A$1:$A$1000,0)),IF(WEEKDAY(CP26)=5,INT((CP26-DATE(YEAR(CP26),1,1))/7+1),IF(AND(WEEKDAY(CP26)=4,NOT( ISERROR(MATCH(CP26+1,Lune!$A$1:$A$1000,0)))),INT((CP26+1-DATE(YEAR(CP26+1),1,1))/7+1),"")),INDEX(Lune!$B$1:$B$1000,MATCH(CP26,Lune!$A$1:$A$1000,0),1)))</f>
        <v/>
      </c>
      <c r="CR26" s="80" t="str">
        <f t="shared" ca="1" si="17"/>
        <v/>
      </c>
      <c r="CS26" s="54" t="str">
        <f ca="1">IF(ISERROR(VLOOKUP(CP26,anniversaire!$X$2:$Z$100,2,0)),"",VLOOKUP(CP26,anniversaire!$X$2:$Z$100,2,0))</f>
        <v/>
      </c>
      <c r="CT26" s="54" t="str">
        <f>IF(ISERROR(VLOOKUP(CP26,fête!$B$2:$C$367,2,0)),"",VLOOKUP(CP26,fête!$B$2:$C$367,2,0))</f>
        <v>Florentin</v>
      </c>
      <c r="CU26" s="54" t="str">
        <f>IF(ISERROR(VLOOKUP(CP26,évènements!$A$3:$E$200,3,0)),"",VLOOKUP(CP26,évènements!$A$3:$E$200,3,0))</f>
        <v/>
      </c>
      <c r="CV26" s="54" t="str">
        <f>IF(ISERROR(VLOOKUP(CP26,évènements!$B$3:$E$200,2,0)),"",VLOOKUP(CP26,évènements!$B$3:$E$200,2,0))</f>
        <v/>
      </c>
      <c r="CW26" s="54" t="str">
        <f ca="1">IF(ISNA(VLOOKUP(CP26,Tableau1[[#All],[Colonne1]:[ouvrés]],3,FALSE)),"",VLOOKUP(CP26,Tableau1[[#All],[Colonne1]:[ouvrés]],3,FALSE))</f>
        <v/>
      </c>
      <c r="CX26" s="54" t="str">
        <f t="shared" si="18"/>
        <v xml:space="preserve">  </v>
      </c>
      <c r="CY26" s="41">
        <f t="shared" si="38"/>
        <v>43063</v>
      </c>
      <c r="CZ26" s="42">
        <f t="shared" si="51"/>
        <v>43063</v>
      </c>
      <c r="DA26" s="43" t="str">
        <f>IF(CZ26="","",IF(ISERROR(MATCH(CZ26,Lune!$A$1:$A$1000,0)),IF(WEEKDAY(CZ26)=5,INT((CZ26-DATE(YEAR(CZ26),1,1))/7+1),IF(AND(WEEKDAY(CZ26)=4,NOT( ISERROR(MATCH(CZ26+1,Lune!$A$1:$A$1000,0)))),INT((CZ26+1-DATE(YEAR(CZ26+1),1,1))/7+1),"")),INDEX(Lune!$B$1:$B$1000,MATCH(CZ26,Lune!$A$1:$A$1000,0),1)))</f>
        <v/>
      </c>
      <c r="DB26" s="80" t="str">
        <f t="shared" ca="1" si="19"/>
        <v/>
      </c>
      <c r="DC26" s="54" t="str">
        <f ca="1">IF(ISERROR(VLOOKUP(CZ26,anniversaire!$X$2:$Z$100,2,0)),"",VLOOKUP(CZ26,anniversaire!$X$2:$Z$100,2,0))</f>
        <v/>
      </c>
      <c r="DD26" s="54" t="str">
        <f>IF(ISERROR(VLOOKUP(CZ26,fête!$B$2:$C$367,2,0)),"",VLOOKUP(CZ26,fête!$B$2:$C$367,2,0))</f>
        <v>Flora</v>
      </c>
      <c r="DE26" s="54" t="str">
        <f>IF(ISERROR(VLOOKUP(CZ26,évènements!$A$3:$E$200,3,0)),"",VLOOKUP(CZ26,évènements!$A$3:$E$200,3,0))</f>
        <v/>
      </c>
      <c r="DF26" s="54" t="str">
        <f>IF(ISERROR(VLOOKUP(CZ26,évènements!$B$3:$E$200,2,0)),"",VLOOKUP(CZ26,évènements!$B$3:$E$200,2,0))</f>
        <v/>
      </c>
      <c r="DG26" s="54"/>
      <c r="DH26" s="54" t="str">
        <f t="shared" si="20"/>
        <v xml:space="preserve">  </v>
      </c>
      <c r="DI26" s="41">
        <f t="shared" si="39"/>
        <v>43093</v>
      </c>
      <c r="DJ26" s="42">
        <f t="shared" si="52"/>
        <v>43093</v>
      </c>
      <c r="DK26" s="43" t="str">
        <f>IF(DJ26="","",IF(ISERROR(MATCH(DJ26,Lune!$A$1:$A$1000,0)),IF(WEEKDAY(DJ26)=5,INT((DJ26-DATE(YEAR(DJ26),1,1))/7+1),IF(AND(WEEKDAY(DJ26)=4,NOT( ISERROR(MATCH(DJ26+1,Lune!$A$1:$A$1000,0)))),INT((DJ26+1-DATE(YEAR(DJ26+1),1,1))/7+1),"")),INDEX(Lune!$B$1:$B$1000,MATCH(DJ26,Lune!$A$1:$A$1000,0),1)))</f>
        <v/>
      </c>
      <c r="DL26" s="80" t="str">
        <f t="shared" ca="1" si="21"/>
        <v/>
      </c>
      <c r="DM26" s="54" t="str">
        <f ca="1">IF(ISERROR(VLOOKUP(DJ26,anniversaire!$X$2:$Z$100,2,0)),"",VLOOKUP(DJ26,anniversaire!$X$2:$Z$100,2,0))</f>
        <v/>
      </c>
      <c r="DN26" s="54" t="str">
        <f>IF(ISERROR(VLOOKUP(DJ26,fête!$B$2:$C$367,2,0)),"",VLOOKUP(DJ26,fête!$B$2:$C$367,2,0))</f>
        <v>Adèle</v>
      </c>
      <c r="DO26" s="54" t="str">
        <f>IF(ISERROR(VLOOKUP(DJ26,évènements!$A$3:$E$200,3,0)),"",VLOOKUP(DJ26,évènements!$A$3:$E$200,3,0))</f>
        <v/>
      </c>
      <c r="DP26" s="54" t="str">
        <f>IF(ISERROR(VLOOKUP(DJ26,évènements!$B$3:$E$200,2,0)),"",VLOOKUP(DJ26,évènements!$B$3:$E$200,2,0))</f>
        <v/>
      </c>
      <c r="DQ26" s="54" t="str">
        <f ca="1">IF(ISNA(VLOOKUP(DJ26,Tableau1[[#All],[Colonne1]:[ouvrés]],3,FALSE)),"",VLOOKUP(DJ26,Tableau1[[#All],[Colonne1]:[ouvrés]],3,FALSE))</f>
        <v/>
      </c>
      <c r="DR26" s="54" t="str">
        <f t="shared" si="22"/>
        <v xml:space="preserve">  </v>
      </c>
      <c r="DS26" s="41">
        <f t="shared" si="40"/>
        <v>43124</v>
      </c>
      <c r="DT26" s="42">
        <f t="shared" si="53"/>
        <v>43124</v>
      </c>
      <c r="DU26" s="43" t="str">
        <f>IF(DT26="","",IF(ISERROR(MATCH(DT26,Lune!$A$1:$A$1000,0)),IF(WEEKDAY(DT26)=5,INT((DT26-DATE(YEAR(DT26),1,1))/7+1),IF(AND(WEEKDAY(DT26)=4,NOT( ISERROR(MATCH(DT26+1,Lune!$A$1:$A$1000,0)))),INT((DT26+1-DATE(YEAR(DT26+1),1,1))/7+1),"")),INDEX(Lune!$B$1:$B$1000,MATCH(DT26,Lune!$A$1:$A$1000,0),1)))</f>
        <v>◐</v>
      </c>
      <c r="DV26" s="89" t="str">
        <f t="shared" ca="1" si="23"/>
        <v/>
      </c>
      <c r="DW26" s="252" t="str">
        <f t="shared" ca="1" si="24"/>
        <v/>
      </c>
      <c r="DX26" s="252" t="str">
        <f t="shared" si="25"/>
        <v>François de Sales</v>
      </c>
      <c r="DY26" s="252" t="str">
        <f>IF(ISERROR(VLOOKUP(DT26,évènements!$A$3:$E$200,3,0)),"",VLOOKUP(DT26,évènements!$A$3:$E$200,3,0))</f>
        <v/>
      </c>
      <c r="DZ26" s="252" t="str">
        <f>IF(ISERROR(VLOOKUP(DT26,évènements!$B$3:$E$200,2,0)),"",VLOOKUP(DT26,évènements!$B$3:$E$200,2,0))</f>
        <v/>
      </c>
      <c r="EA26" s="252" t="str">
        <f ca="1">IF(ISNA(VLOOKUP(DT26,Tableau1[[#All],[Colonne1]:[ouvrés]],3,FALSE)),"",VLOOKUP(DT26,Tableau1[[#All],[Colonne1]:[ouvrés]],3,FALSE))</f>
        <v/>
      </c>
      <c r="EB26" s="252" t="str">
        <f t="shared" si="26"/>
        <v xml:space="preserve">  </v>
      </c>
    </row>
    <row r="27" spans="2:132" ht="15" customHeight="1" x14ac:dyDescent="0.25">
      <c r="B27" s="29"/>
      <c r="C27" s="41">
        <f t="shared" si="27"/>
        <v>42760</v>
      </c>
      <c r="D27" s="40">
        <f t="shared" si="41"/>
        <v>42760</v>
      </c>
      <c r="E27" s="131" t="str">
        <f>IF(D27="","",IF(ISERROR(MATCH(D27,Lune!$A$1:$A$1000,0)),IF(WEEKDAY(D27)=5,INT((D27-DATE(YEAR(D27),1,1))/7+1),IF(AND(WEEKDAY(D27)=4,NOT( ISERROR(MATCH(D27+1,Lune!$A$1:$A$1000,0)))),INT((D27+1-DATE(YEAR(D27+1),1,1))/7+1),"")),INDEX(Lune!$B$1:$B$1000,MATCH(D27,Lune!$A$1:$A$1000,0),1)))</f>
        <v/>
      </c>
      <c r="F27" s="89" t="str">
        <f t="shared" ca="1" si="0"/>
        <v/>
      </c>
      <c r="G27" s="125" t="str">
        <f ca="1">IF(ISERROR(VLOOKUP(D27,anniversaire!$X$2:$Z$100,2,0)),"",VLOOKUP(D27,anniversaire!$X$2:$Z$100,2,0))</f>
        <v/>
      </c>
      <c r="H27" s="54" t="str">
        <f>IF(ISERROR(VLOOKUP(D27,fête!$B$2:$C$367,2,0)),"",VLOOKUP(D27,fête!$B$2:$C$367,2,0))</f>
        <v>Conversion de Paul</v>
      </c>
      <c r="I27" s="239" t="str">
        <f>IF(ISERROR(VLOOKUP(D27,évènements!$A$3:$E$200,3,0)),"",VLOOKUP(D27,évènements!$A$3:$E$200,3,0))</f>
        <v/>
      </c>
      <c r="J27" s="239" t="str">
        <f>IF(ISERROR(VLOOKUP(D27,évènements!$B$3:$E$200,2,0)),"",VLOOKUP(D27,évènements!$B$3:$E$200,2,0))</f>
        <v/>
      </c>
      <c r="K27" s="239" t="str">
        <f ca="1">IF(ISNA(VLOOKUP(D27,Tableau1[[#All],[Colonne1]:[ouvrés]],3,FALSE)),"",VLOOKUP(D27,Tableau1[[#All],[Colonne1]:[ouvrés]],3,FALSE))</f>
        <v/>
      </c>
      <c r="L27" s="239" t="str">
        <f t="shared" si="58"/>
        <v xml:space="preserve">  </v>
      </c>
      <c r="M27" s="41">
        <f t="shared" si="28"/>
        <v>42791</v>
      </c>
      <c r="N27" s="42">
        <f t="shared" si="42"/>
        <v>42791</v>
      </c>
      <c r="O27" s="131" t="str">
        <f>IF(N27="","",IF(ISERROR(MATCH(N27,Lune!$A$1:$A$1000,0)),IF(WEEKDAY(N27)=5,INT((N27-DATE(YEAR(N27),1,1))/7+1),IF(AND(WEEKDAY(N27)=4,NOT( ISERROR(MATCH(N27+1,Lune!$A$1:$A$1000,0)))),INT((N27+1-DATE(YEAR(N27+1),1,1))/7+1),"")),INDEX(Lune!$B$1:$B$1000,MATCH(N27,Lune!$A$1:$A$1000,0),1)))</f>
        <v/>
      </c>
      <c r="P27" s="80" t="str">
        <f t="shared" ca="1" si="54"/>
        <v/>
      </c>
      <c r="Q27" s="54" t="str">
        <f ca="1">IF(ISERROR(VLOOKUP(N27,anniversaire!$X$2:$Z$100,2,0)),"",VLOOKUP(N27,anniversaire!$X$2:$Z$100,2,0))</f>
        <v/>
      </c>
      <c r="R27" s="54" t="str">
        <f>IF(ISERROR(VLOOKUP(N27,fête!$B$2:$C$367,2,0)),"",VLOOKUP(N27,fête!$B$2:$C$367,2,0))</f>
        <v>Roméo</v>
      </c>
      <c r="S27" s="54" t="str">
        <f>IF(ISERROR(VLOOKUP(N27,évènements!$A$3:$E$200,3,0)),"",VLOOKUP(N27,évènements!$A$3:$E$200,3,0))</f>
        <v/>
      </c>
      <c r="T27" s="54" t="str">
        <f>IF(ISERROR(VLOOKUP(N27,évènements!$B$3:$E$200,2,0)),"",VLOOKUP(N27,évènements!$B$3:$E$200,2,0))</f>
        <v/>
      </c>
      <c r="U27" s="54" t="str">
        <f ca="1">IF(ISNA(VLOOKUP(N27,Tableau1[[#All],[Colonne1]:[ouvrés]],3,FALSE)),"",VLOOKUP(N27,Tableau1[[#All],[Colonne1]:[ouvrés]],3,FALSE))</f>
        <v/>
      </c>
      <c r="V27" s="54" t="str">
        <f t="shared" si="3"/>
        <v xml:space="preserve">  </v>
      </c>
      <c r="W27" s="41">
        <f t="shared" si="29"/>
        <v>42819</v>
      </c>
      <c r="X27" s="42">
        <f t="shared" si="43"/>
        <v>42819</v>
      </c>
      <c r="Y27" s="132" t="str">
        <f>IF(X27="","",IF(ISERROR(MATCH(X27,Lune!$A$1:$A$1000,0)),IF(WEEKDAY(X27)=5,INT((X27-DATE(YEAR(X27),1,1))/7+1),IF(AND(WEEKDAY(X27)=4,NOT( ISERROR(MATCH(X27+1,Lune!$A$1:$A$1000,0)))),INT((X27+1-DATE(YEAR(X27+1),1,1))/7+1),"")),INDEX(Lune!$B$1:$B$1000,MATCH(X27,Lune!$A$1:$A$1000,0),1)))</f>
        <v/>
      </c>
      <c r="Z27" s="89" t="str">
        <f t="shared" ca="1" si="4"/>
        <v/>
      </c>
      <c r="AA27" s="125" t="str">
        <f ca="1">IF(ISERROR(VLOOKUP(X27,anniversaire!$X$2:$Z$100,2,0)),"",VLOOKUP(X27,anniversaire!$X$2:$Z$100,2,0))</f>
        <v/>
      </c>
      <c r="AB27" s="54" t="str">
        <f>IF(ISERROR(VLOOKUP(X27,fête!$B$2:$C$367,2,0)),"",VLOOKUP(X27,fête!$B$2:$C$367,2,0))</f>
        <v>Annonciation</v>
      </c>
      <c r="AC27" s="54" t="str">
        <f>IF(ISERROR(VLOOKUP(X27,évènements!$A$3:$E$200,3,0)),"",VLOOKUP(X27,évènements!$A$3:$E$200,3,0))</f>
        <v/>
      </c>
      <c r="AD27" s="54" t="str">
        <f>IF(ISERROR(VLOOKUP(X27,évènements!$B$3:$E$200,2,0)),"",VLOOKUP(X27,évènements!$B$3:$E$200,2,0))</f>
        <v/>
      </c>
      <c r="AE27" s="54" t="str">
        <f ca="1">IF(ISNA(VLOOKUP(X27,Tableau1[[#All],[Colonne1]:[ouvrés]],3,FALSE)),"",VLOOKUP(X27,Tableau1[[#All],[Colonne1]:[ouvrés]],3,FALSE))</f>
        <v/>
      </c>
      <c r="AF27" s="54" t="str">
        <f t="shared" si="57"/>
        <v xml:space="preserve">  </v>
      </c>
      <c r="AG27" s="41">
        <f t="shared" si="30"/>
        <v>42850</v>
      </c>
      <c r="AH27" s="42">
        <f t="shared" si="44"/>
        <v>42850</v>
      </c>
      <c r="AI27" s="137" t="str">
        <f>IF(AH27="","",IF(ISERROR(MATCH(AH27,Lune!$A$1:$A$1000,0)),IF(WEEKDAY(AH27)=5,INT((AH27-DATE(YEAR(AH27),1,1))/7+1),IF(AND(WEEKDAY(AH27)=4,NOT( ISERROR(MATCH(AH27+1,Lune!$A$1:$A$1000,0)))),INT((AH27+1-DATE(YEAR(AH27+1),1,1))/7+1),"")),INDEX(Lune!$B$1:$B$1000,MATCH(AH27,Lune!$A$1:$A$1000,0),1)))</f>
        <v/>
      </c>
      <c r="AJ27" s="80" t="str">
        <f t="shared" ca="1" si="6"/>
        <v/>
      </c>
      <c r="AK27" s="54" t="str">
        <f ca="1">IF(ISERROR(VLOOKUP(AH27,anniversaire!$X$2:$Z$100,2,0)),"",VLOOKUP(AH27,anniversaire!$X$2:$Z$100,2,0))</f>
        <v/>
      </c>
      <c r="AL27" s="54" t="str">
        <f>IF(ISERROR(VLOOKUP(AH27,fête!$B$2:$C$367,2,0)),"",VLOOKUP(AH27,fête!$B$2:$C$367,2,0))</f>
        <v>Marc</v>
      </c>
      <c r="AM27" s="54" t="str">
        <f>IF(ISERROR(VLOOKUP(AH27,évènements!$A$3:$E$200,3,0)),"",VLOOKUP(AH27,évènements!$A$3:$E$200,3,0))</f>
        <v/>
      </c>
      <c r="AN27" s="54" t="str">
        <f>IF(ISERROR(VLOOKUP(AH27,évènements!$B$3:$E$200,2,0)),"",VLOOKUP(AH27,évènements!$B$3:$E$200,2,0))</f>
        <v/>
      </c>
      <c r="AO27" s="54" t="str">
        <f ca="1">IF(ISNA(VLOOKUP(AH27,Tableau1[[#All],[Colonne1]:[ouvrés]],3,FALSE)),"",VLOOKUP(AH27,Tableau1[[#All],[Colonne1]:[ouvrés]],3,FALSE))</f>
        <v/>
      </c>
      <c r="AP27" s="238" t="str">
        <f t="shared" si="55"/>
        <v xml:space="preserve">  </v>
      </c>
      <c r="AQ27" s="41">
        <f t="shared" si="31"/>
        <v>42880</v>
      </c>
      <c r="AR27" s="42">
        <f t="shared" si="45"/>
        <v>42880</v>
      </c>
      <c r="AS27" s="43" t="str">
        <f>IF(AR27="","",IF(ISERROR(MATCH(AR27,Lune!$A$1:$A$1000,0)),IF(WEEKDAY(AR27)=5,INT((AR27-DATE(YEAR(AR27),1,1))/7+1),IF(AND(WEEKDAY(AR27)=4,NOT( ISERROR(MATCH(AR27+1,Lune!$A$1:$A$1000,0)))),INT((AR27+1-DATE(YEAR(AR27+1),1,1))/7+1),"")),INDEX(Lune!$B$1:$B$1000,MATCH(AR27,Lune!$A$1:$A$1000,0),1)))</f>
        <v>●</v>
      </c>
      <c r="AT27" s="79" t="str">
        <f t="shared" ca="1" si="8"/>
        <v/>
      </c>
      <c r="AU27" s="54" t="str">
        <f ca="1">IF(ISERROR(VLOOKUP(AR27,anniversaire!$X$2:$Z$100,2,0)),"",VLOOKUP(AR27,anniversaire!$X$2:$Z$100,2,0))</f>
        <v/>
      </c>
      <c r="AV27" s="54" t="str">
        <f>IF(ISERROR(VLOOKUP(AR27,fête!$B$2:$C$367,2,0)),"",VLOOKUP(AR27,fête!$B$2:$C$367,2,0))</f>
        <v>Sophie</v>
      </c>
      <c r="AW27" s="238" t="str">
        <f>IF(ISERROR(VLOOKUP(AR27,évènements!$A$3:$E$200,3,0)),"",VLOOKUP(AR27,évènements!$A$3:$E$200,3,0))</f>
        <v/>
      </c>
      <c r="AX27" s="238" t="str">
        <f>IF(ISERROR(VLOOKUP(AR27,évènements!$B$3:$E$200,2,0)),"",VLOOKUP(AR27,évènements!$B$3:$E$200,2,0))</f>
        <v/>
      </c>
      <c r="AY27" s="238" t="str">
        <f ca="1">IF(ISNA(VLOOKUP(AR27,Tableau1[[#All],[Colonne1]:[ouvrés]],3,FALSE)),"",VLOOKUP(AR27,Tableau1[[#All],[Colonne1]:[ouvrés]],3,FALSE))</f>
        <v/>
      </c>
      <c r="AZ27" s="238" t="str">
        <f t="shared" si="9"/>
        <v xml:space="preserve">  </v>
      </c>
      <c r="BA27" s="41">
        <f t="shared" si="32"/>
        <v>42911</v>
      </c>
      <c r="BB27" s="42">
        <f t="shared" si="46"/>
        <v>42911</v>
      </c>
      <c r="BC27" s="43" t="str">
        <f>IF(BB27="","",IF(ISERROR(MATCH(BB27,Lune!$A$1:$A$1000,0)),IF(WEEKDAY(BB27)=5,INT((BB27-DATE(YEAR(BB27),1,1))/7+1),IF(AND(WEEKDAY(BB27)=4,NOT( ISERROR(MATCH(BB27+1,Lune!$A$1:$A$1000,0)))),INT((BB27+1-DATE(YEAR(BB27+1),1,1))/7+1),"")),INDEX(Lune!$B$1:$B$1000,MATCH(BB27,Lune!$A$1:$A$1000,0),1)))</f>
        <v/>
      </c>
      <c r="BD27" s="79" t="str">
        <f t="shared" ca="1" si="10"/>
        <v/>
      </c>
      <c r="BE27" s="54" t="str">
        <f ca="1">IF(ISERROR(VLOOKUP(BB27,anniversaire!$X$2:$Z$100,2,0)),"",VLOOKUP(BB27,anniversaire!$X$2:$Z$100,2,0))</f>
        <v/>
      </c>
      <c r="BF27" s="54" t="str">
        <f>IF(ISERROR(VLOOKUP(BB27,fête!$B$2:$C$367,2,0)),"",VLOOKUP(BB27,fête!$B$2:$C$367,2,0))</f>
        <v>Prosper</v>
      </c>
      <c r="BG27" s="54" t="str">
        <f>IF(ISERROR(VLOOKUP(BB27,évènements!$A$3:$E$200,3,0)),"",VLOOKUP(BB27,évènements!$A$3:$E$200,3,0))</f>
        <v/>
      </c>
      <c r="BH27" s="54" t="str">
        <f>IF(ISERROR(VLOOKUP(BB27,évènements!$B$3:$E$200,2,0)),"",VLOOKUP(BB27,évènements!$B$3:$E$200,2,0))</f>
        <v/>
      </c>
      <c r="BI27" s="54" t="str">
        <f ca="1">IF(ISNA(VLOOKUP(BB27,Tableau1[[#All],[Colonne1]:[ouvrés]],3,FALSE)),"",VLOOKUP(BB27,Tableau1[[#All],[Colonne1]:[ouvrés]],3,FALSE))</f>
        <v/>
      </c>
      <c r="BJ27" s="54" t="str">
        <f t="shared" si="56"/>
        <v xml:space="preserve">  </v>
      </c>
      <c r="BK27" s="41">
        <f t="shared" si="33"/>
        <v>42941</v>
      </c>
      <c r="BL27" s="42">
        <f t="shared" si="47"/>
        <v>42941</v>
      </c>
      <c r="BM27" s="43" t="str">
        <f>IF(BL27="","",IF(ISERROR(MATCH(BL27,Lune!$A$1:$A$1000,0)),IF(WEEKDAY(BL27)=5,INT((BL27-DATE(YEAR(BL27),1,1))/7+1),IF(AND(WEEKDAY(BL27)=4,NOT( ISERROR(MATCH(BL27+1,Lune!$A$1:$A$1000,0)))),INT((BL27+1-DATE(YEAR(BL27+1),1,1))/7+1),"")),INDEX(Lune!$B$1:$B$1000,MATCH(BL27,Lune!$A$1:$A$1000,0),1)))</f>
        <v/>
      </c>
      <c r="BN27" s="80" t="str">
        <f t="shared" ca="1" si="12"/>
        <v/>
      </c>
      <c r="BO27" s="54" t="str">
        <f ca="1">IF(ISERROR(VLOOKUP(BL27,anniversaire!$X$2:$Z$100,2,0)),"",VLOOKUP(BL27,anniversaire!$X$2:$Z$100,2,0))</f>
        <v/>
      </c>
      <c r="BP27" s="54" t="str">
        <f>IF(ISERROR(VLOOKUP(BL27,fête!$B$2:$C$367,2,0)),"",VLOOKUP(BL27,fête!$B$2:$C$367,2,0))</f>
        <v>Jacques</v>
      </c>
      <c r="BQ27" s="54" t="str">
        <f>IF(ISERROR(VLOOKUP(BL27,évènements!$A$3:$E$200,3,0)),"",VLOOKUP(BL27,évènements!$A$3:$E$200,3,0))</f>
        <v/>
      </c>
      <c r="BR27" s="54" t="str">
        <f>IF(ISERROR(VLOOKUP(BL27,évènements!$B$3:$E$200,2,0)),"",VLOOKUP(BL27,évènements!$B$3:$E$200,2,0))</f>
        <v/>
      </c>
      <c r="BS27" s="54" t="str">
        <f ca="1">IF(ISNA(VLOOKUP(BL27,Tableau1[[#All],[Colonne1]:[ouvrés]],3,FALSE)),"",VLOOKUP(BL27,Tableau1[[#All],[Colonne1]:[ouvrés]],3,FALSE))</f>
        <v/>
      </c>
      <c r="BT27" s="54" t="str">
        <f t="shared" si="34"/>
        <v xml:space="preserve">  </v>
      </c>
      <c r="BU27" s="41">
        <f t="shared" si="35"/>
        <v>42972</v>
      </c>
      <c r="BV27" s="42">
        <f t="shared" si="48"/>
        <v>42972</v>
      </c>
      <c r="BW27" s="43" t="str">
        <f>IF(BV27="","",IF(ISERROR(MATCH(BV27,Lune!$A$1:$A$1000,0)),IF(WEEKDAY(BV27)=5,INT((BV27-DATE(YEAR(BV27),1,1))/7+1),IF(AND(WEEKDAY(BV27)=4,NOT( ISERROR(MATCH(BV27+1,Lune!$A$1:$A$1000,0)))),INT((BV27+1-DATE(YEAR(BV27+1),1,1))/7+1),"")),INDEX(Lune!$B$1:$B$1000,MATCH(BV27,Lune!$A$1:$A$1000,0),1)))</f>
        <v/>
      </c>
      <c r="BX27" s="80" t="str">
        <f t="shared" ca="1" si="13"/>
        <v/>
      </c>
      <c r="BY27" s="54" t="str">
        <f ca="1">IF(ISERROR(VLOOKUP(BV27,anniversaire!$X$2:$Z$100,2,0)),"",VLOOKUP(BV27,anniversaire!$X$2:$Z$100,2,0))</f>
        <v/>
      </c>
      <c r="BZ27" s="54" t="str">
        <f>IF(ISERROR(VLOOKUP(BV27,fête!$B$2:$C$367,2,0)),"",VLOOKUP(BV27,fête!$B$2:$C$367,2,0))</f>
        <v>Louis</v>
      </c>
      <c r="CA27" s="54" t="str">
        <f>IF(ISERROR(VLOOKUP(BV27,évènements!$A$3:$E$200,3,0)),"",VLOOKUP(BV27,évènements!$A$3:$E$200,3,0))</f>
        <v/>
      </c>
      <c r="CB27" s="54" t="str">
        <f>IF(ISERROR(VLOOKUP(BV27,évènements!$B$3:$E$200,2,0)),"",VLOOKUP(BV27,évènements!$B$3:$E$200,2,0))</f>
        <v/>
      </c>
      <c r="CC27" s="54" t="str">
        <f ca="1">IF(ISNA(VLOOKUP(BV27,Tableau1[[#All],[Colonne1]:[ouvrés]],3,FALSE)),"",VLOOKUP(BV27,Tableau1[[#All],[Colonne1]:[ouvrés]],3,FALSE))</f>
        <v/>
      </c>
      <c r="CD27" s="54" t="str">
        <f t="shared" si="14"/>
        <v xml:space="preserve">  </v>
      </c>
      <c r="CE27" s="41">
        <f t="shared" si="36"/>
        <v>43003</v>
      </c>
      <c r="CF27" s="42">
        <f t="shared" si="49"/>
        <v>43003</v>
      </c>
      <c r="CG27" s="43" t="str">
        <f>IF(CF27="","",IF(ISERROR(MATCH(CF27,Lune!$A$1:$A$1000,0)),IF(WEEKDAY(CF27)=5,INT((CF27-DATE(YEAR(CF27),1,1))/7+1),IF(AND(WEEKDAY(CF27)=4,NOT( ISERROR(MATCH(CF27+1,Lune!$A$1:$A$1000,0)))),INT((CF27+1-DATE(YEAR(CF27+1),1,1))/7+1),"")),INDEX(Lune!$B$1:$B$1000,MATCH(CF27,Lune!$A$1:$A$1000,0),1)))</f>
        <v/>
      </c>
      <c r="CH27" s="80" t="str">
        <f t="shared" ca="1" si="15"/>
        <v/>
      </c>
      <c r="CI27" s="54" t="str">
        <f ca="1">IF(ISERROR(VLOOKUP(CF27,anniversaire!$X$2:$Z$100,2,0)),"",VLOOKUP(CF27,anniversaire!$X$2:$Z$100,2,0))</f>
        <v/>
      </c>
      <c r="CJ27" s="54" t="str">
        <f>IF(ISERROR(VLOOKUP(CF27,fête!$B$2:$C$367,2,0)),"",VLOOKUP(CF27,fête!$B$2:$C$367,2,0))</f>
        <v>Hermann</v>
      </c>
      <c r="CK27" s="54" t="str">
        <f>IF(ISERROR(VLOOKUP(CF27,évènements!$A$3:$E$200,3,0)),"",VLOOKUP(CF27,évènements!$A$3:$E$200,3,0))</f>
        <v/>
      </c>
      <c r="CL27" s="54" t="str">
        <f>IF(ISERROR(VLOOKUP(CF27,évènements!$B$3:$E$200,2,0)),"",VLOOKUP(CF27,évènements!$B$3:$E$200,2,0))</f>
        <v/>
      </c>
      <c r="CM27" s="54" t="str">
        <f ca="1">IF(ISNA(VLOOKUP(CF27,Tableau1[[#All],[Colonne1]:[ouvrés]],3,FALSE)),"",VLOOKUP(CF27,Tableau1[[#All],[Colonne1]:[ouvrés]],3,FALSE))</f>
        <v/>
      </c>
      <c r="CN27" s="54" t="str">
        <f t="shared" si="16"/>
        <v xml:space="preserve">  </v>
      </c>
      <c r="CO27" s="41">
        <f t="shared" si="37"/>
        <v>43033</v>
      </c>
      <c r="CP27" s="42">
        <f t="shared" si="50"/>
        <v>43033</v>
      </c>
      <c r="CQ27" s="43" t="str">
        <f>IF(CP27="","",IF(ISERROR(MATCH(CP27,Lune!$A$1:$A$1000,0)),IF(WEEKDAY(CP27)=5,INT((CP27-DATE(YEAR(CP27),1,1))/7+1),IF(AND(WEEKDAY(CP27)=4,NOT( ISERROR(MATCH(CP27+1,Lune!$A$1:$A$1000,0)))),INT((CP27+1-DATE(YEAR(CP27+1),1,1))/7+1),"")),INDEX(Lune!$B$1:$B$1000,MATCH(CP27,Lune!$A$1:$A$1000,0),1)))</f>
        <v/>
      </c>
      <c r="CR27" s="80" t="str">
        <f t="shared" ca="1" si="17"/>
        <v/>
      </c>
      <c r="CS27" s="54" t="str">
        <f ca="1">IF(ISERROR(VLOOKUP(CP27,anniversaire!$X$2:$Z$100,2,0)),"",VLOOKUP(CP27,anniversaire!$X$2:$Z$100,2,0))</f>
        <v/>
      </c>
      <c r="CT27" s="54" t="str">
        <f>IF(ISERROR(VLOOKUP(CP27,fête!$B$2:$C$367,2,0)),"",VLOOKUP(CP27,fête!$B$2:$C$367,2,0))</f>
        <v>Crépin</v>
      </c>
      <c r="CU27" s="54" t="str">
        <f>IF(ISERROR(VLOOKUP(CP27,évènements!$A$3:$E$200,3,0)),"",VLOOKUP(CP27,évènements!$A$3:$E$200,3,0))</f>
        <v/>
      </c>
      <c r="CV27" s="54" t="str">
        <f>IF(ISERROR(VLOOKUP(CP27,évènements!$B$3:$E$200,2,0)),"",VLOOKUP(CP27,évènements!$B$3:$E$200,2,0))</f>
        <v/>
      </c>
      <c r="CW27" s="54" t="str">
        <f ca="1">IF(ISNA(VLOOKUP(CP27,Tableau1[[#All],[Colonne1]:[ouvrés]],3,FALSE)),"",VLOOKUP(CP27,Tableau1[[#All],[Colonne1]:[ouvrés]],3,FALSE))</f>
        <v/>
      </c>
      <c r="CX27" s="54" t="str">
        <f t="shared" si="18"/>
        <v xml:space="preserve">  </v>
      </c>
      <c r="CY27" s="41">
        <f t="shared" si="38"/>
        <v>43064</v>
      </c>
      <c r="CZ27" s="42">
        <f t="shared" si="51"/>
        <v>43064</v>
      </c>
      <c r="DA27" s="43" t="str">
        <f>IF(CZ27="","",IF(ISERROR(MATCH(CZ27,Lune!$A$1:$A$1000,0)),IF(WEEKDAY(CZ27)=5,INT((CZ27-DATE(YEAR(CZ27),1,1))/7+1),IF(AND(WEEKDAY(CZ27)=4,NOT( ISERROR(MATCH(CZ27+1,Lune!$A$1:$A$1000,0)))),INT((CZ27+1-DATE(YEAR(CZ27+1),1,1))/7+1),"")),INDEX(Lune!$B$1:$B$1000,MATCH(CZ27,Lune!$A$1:$A$1000,0),1)))</f>
        <v/>
      </c>
      <c r="DB27" s="80" t="str">
        <f t="shared" ca="1" si="19"/>
        <v/>
      </c>
      <c r="DC27" s="54" t="str">
        <f ca="1">IF(ISERROR(VLOOKUP(CZ27,anniversaire!$X$2:$Z$100,2,0)),"",VLOOKUP(CZ27,anniversaire!$X$2:$Z$100,2,0))</f>
        <v/>
      </c>
      <c r="DD27" s="54" t="str">
        <f>IF(ISERROR(VLOOKUP(CZ27,fête!$B$2:$C$367,2,0)),"",VLOOKUP(CZ27,fête!$B$2:$C$367,2,0))</f>
        <v>Catherine</v>
      </c>
      <c r="DE27" s="54" t="str">
        <f>IF(ISERROR(VLOOKUP(CZ27,évènements!$A$3:$E$200,3,0)),"",VLOOKUP(CZ27,évènements!$A$3:$E$200,3,0))</f>
        <v/>
      </c>
      <c r="DF27" s="54" t="str">
        <f>IF(ISERROR(VLOOKUP(CZ27,évènements!$B$3:$E$200,2,0)),"",VLOOKUP(CZ27,évènements!$B$3:$E$200,2,0))</f>
        <v/>
      </c>
      <c r="DG27" s="54"/>
      <c r="DH27" s="54" t="str">
        <f t="shared" si="20"/>
        <v xml:space="preserve">  </v>
      </c>
      <c r="DI27" s="41">
        <f t="shared" si="39"/>
        <v>43094</v>
      </c>
      <c r="DJ27" s="42">
        <f t="shared" si="52"/>
        <v>43094</v>
      </c>
      <c r="DK27" s="43" t="str">
        <f>IF(DJ27="","",IF(ISERROR(MATCH(DJ27,Lune!$A$1:$A$1000,0)),IF(WEEKDAY(DJ27)=5,INT((DJ27-DATE(YEAR(DJ27),1,1))/7+1),IF(AND(WEEKDAY(DJ27)=4,NOT( ISERROR(MATCH(DJ27+1,Lune!$A$1:$A$1000,0)))),INT((DJ27+1-DATE(YEAR(DJ27+1),1,1))/7+1),"")),INDEX(Lune!$B$1:$B$1000,MATCH(DJ27,Lune!$A$1:$A$1000,0),1)))</f>
        <v/>
      </c>
      <c r="DL27" s="80" t="str">
        <f t="shared" ca="1" si="21"/>
        <v/>
      </c>
      <c r="DM27" s="54" t="str">
        <f ca="1">IF(ISERROR(VLOOKUP(DJ27,anniversaire!$X$2:$Z$100,2,0)),"",VLOOKUP(DJ27,anniversaire!$X$2:$Z$100,2,0))</f>
        <v/>
      </c>
      <c r="DN27" s="54" t="str">
        <f>IF(ISERROR(VLOOKUP(DJ27,fête!$B$2:$C$367,2,0)),"",VLOOKUP(DJ27,fête!$B$2:$C$367,2,0))</f>
        <v>Noël</v>
      </c>
      <c r="DO27" s="54" t="str">
        <f>IF(ISERROR(VLOOKUP(DJ27,évènements!$A$3:$E$200,3,0)),"",VLOOKUP(DJ27,évènements!$A$3:$E$200,3,0))</f>
        <v/>
      </c>
      <c r="DP27" s="54" t="str">
        <f>IF(ISERROR(VLOOKUP(DJ27,évènements!$B$3:$E$200,2,0)),"",VLOOKUP(DJ27,évènements!$B$3:$E$200,2,0))</f>
        <v/>
      </c>
      <c r="DQ27" s="54" t="str">
        <f ca="1">IF(ISNA(VLOOKUP(DJ27,Tableau1[[#All],[Colonne1]:[ouvrés]],3,FALSE)),"",VLOOKUP(DJ27,Tableau1[[#All],[Colonne1]:[ouvrés]],3,FALSE))</f>
        <v/>
      </c>
      <c r="DR27" s="54" t="str">
        <f t="shared" si="22"/>
        <v xml:space="preserve">  </v>
      </c>
      <c r="DS27" s="41">
        <f t="shared" si="40"/>
        <v>43125</v>
      </c>
      <c r="DT27" s="42">
        <f t="shared" si="53"/>
        <v>43125</v>
      </c>
      <c r="DU27" s="43">
        <f>IF(DT27="","",IF(ISERROR(MATCH(DT27,Lune!$A$1:$A$1000,0)),IF(WEEKDAY(DT27)=5,INT((DT27-DATE(YEAR(DT27),1,1))/7+1),IF(AND(WEEKDAY(DT27)=4,NOT( ISERROR(MATCH(DT27+1,Lune!$A$1:$A$1000,0)))),INT((DT27+1-DATE(YEAR(DT27+1),1,1))/7+1),"")),INDEX(Lune!$B$1:$B$1000,MATCH(DT27,Lune!$A$1:$A$1000,0),1)))</f>
        <v>4</v>
      </c>
      <c r="DV27" s="89" t="str">
        <f t="shared" ca="1" si="23"/>
        <v/>
      </c>
      <c r="DW27" s="252" t="str">
        <f t="shared" ca="1" si="24"/>
        <v/>
      </c>
      <c r="DX27" s="252" t="str">
        <f t="shared" si="25"/>
        <v>Conversion de Paul</v>
      </c>
      <c r="DY27" s="252" t="str">
        <f>IF(ISERROR(VLOOKUP(DT27,évènements!$A$3:$E$200,3,0)),"",VLOOKUP(DT27,évènements!$A$3:$E$200,3,0))</f>
        <v/>
      </c>
      <c r="DZ27" s="252" t="str">
        <f>IF(ISERROR(VLOOKUP(DT27,évènements!$B$3:$E$200,2,0)),"",VLOOKUP(DT27,évènements!$B$3:$E$200,2,0))</f>
        <v/>
      </c>
      <c r="EA27" s="252" t="str">
        <f ca="1">IF(ISNA(VLOOKUP(DT27,Tableau1[[#All],[Colonne1]:[ouvrés]],3,FALSE)),"",VLOOKUP(DT27,Tableau1[[#All],[Colonne1]:[ouvrés]],3,FALSE))</f>
        <v/>
      </c>
      <c r="EB27" s="252" t="str">
        <f t="shared" si="26"/>
        <v xml:space="preserve">  </v>
      </c>
    </row>
    <row r="28" spans="2:132" ht="15" customHeight="1" x14ac:dyDescent="0.25">
      <c r="B28" s="29"/>
      <c r="C28" s="41">
        <f t="shared" si="27"/>
        <v>42761</v>
      </c>
      <c r="D28" s="40">
        <f t="shared" si="41"/>
        <v>42761</v>
      </c>
      <c r="E28" s="131">
        <f>IF(D28="","",IF(ISERROR(MATCH(D28,Lune!$A$1:$A$1000,0)),IF(WEEKDAY(D28)=5,INT((D28-DATE(YEAR(D28),1,1))/7+1),IF(AND(WEEKDAY(D28)=4,NOT( ISERROR(MATCH(D28+1,Lune!$A$1:$A$1000,0)))),INT((D28+1-DATE(YEAR(D28+1),1,1))/7+1),"")),INDEX(Lune!$B$1:$B$1000,MATCH(D28,Lune!$A$1:$A$1000,0),1)))</f>
        <v>4</v>
      </c>
      <c r="F28" s="89" t="str">
        <f t="shared" ca="1" si="0"/>
        <v/>
      </c>
      <c r="G28" s="125" t="str">
        <f ca="1">IF(ISERROR(VLOOKUP(D28,anniversaire!$X$2:$Z$100,2,0)),"",VLOOKUP(D28,anniversaire!$X$2:$Z$100,2,0))</f>
        <v/>
      </c>
      <c r="H28" s="54" t="str">
        <f>IF(ISERROR(VLOOKUP(D28,fête!$B$2:$C$367,2,0)),"",VLOOKUP(D28,fête!$B$2:$C$367,2,0))</f>
        <v>Paule</v>
      </c>
      <c r="I28" s="239" t="str">
        <f>IF(ISERROR(VLOOKUP(D28,évènements!$A$3:$E$200,3,0)),"",VLOOKUP(D28,évènements!$A$3:$E$200,3,0))</f>
        <v/>
      </c>
      <c r="J28" s="239" t="str">
        <f>IF(ISERROR(VLOOKUP(D28,évènements!$B$3:$E$200,2,0)),"",VLOOKUP(D28,évènements!$B$3:$E$200,2,0))</f>
        <v/>
      </c>
      <c r="K28" s="239" t="str">
        <f ca="1">IF(ISNA(VLOOKUP(D28,Tableau1[[#All],[Colonne1]:[ouvrés]],3,FALSE)),"",VLOOKUP(D28,Tableau1[[#All],[Colonne1]:[ouvrés]],3,FALSE))</f>
        <v/>
      </c>
      <c r="L28" s="239" t="str">
        <f t="shared" si="58"/>
        <v xml:space="preserve">  </v>
      </c>
      <c r="M28" s="41">
        <f t="shared" si="28"/>
        <v>42792</v>
      </c>
      <c r="N28" s="42">
        <f t="shared" si="42"/>
        <v>42792</v>
      </c>
      <c r="O28" s="131" t="str">
        <f>IF(N28="","",IF(ISERROR(MATCH(N28,Lune!$A$1:$A$1000,0)),IF(WEEKDAY(N28)=5,INT((N28-DATE(YEAR(N28),1,1))/7+1),IF(AND(WEEKDAY(N28)=4,NOT( ISERROR(MATCH(N28+1,Lune!$A$1:$A$1000,0)))),INT((N28+1-DATE(YEAR(N28+1),1,1))/7+1),"")),INDEX(Lune!$B$1:$B$1000,MATCH(N28,Lune!$A$1:$A$1000,0),1)))</f>
        <v>●</v>
      </c>
      <c r="P28" s="80" t="str">
        <f t="shared" ca="1" si="54"/>
        <v xml:space="preserve"> '</v>
      </c>
      <c r="Q28" s="54" t="str">
        <f ca="1">IF(ISERROR(VLOOKUP(N28,anniversaire!$X$2:$Z$100,2,0)),"",VLOOKUP(N28,anniversaire!$X$2:$Z$100,2,0))</f>
        <v>mica      35</v>
      </c>
      <c r="R28" s="54" t="str">
        <f>IF(ISERROR(VLOOKUP(N28,fête!$B$2:$C$367,2,0)),"",VLOOKUP(N28,fête!$B$2:$C$367,2,0))</f>
        <v>Nestor</v>
      </c>
      <c r="S28" s="54" t="str">
        <f>IF(ISERROR(VLOOKUP(N28,évènements!$A$3:$E$200,3,0)),"",VLOOKUP(N28,évènements!$A$3:$E$200,3,0))</f>
        <v/>
      </c>
      <c r="T28" s="54" t="str">
        <f>IF(ISERROR(VLOOKUP(N28,évènements!$B$3:$E$200,2,0)),"",VLOOKUP(N28,évènements!$B$3:$E$200,2,0))</f>
        <v/>
      </c>
      <c r="U28" s="54" t="str">
        <f ca="1">IF(ISNA(VLOOKUP(N28,Tableau1[[#All],[Colonne1]:[ouvrés]],3,FALSE)),"",VLOOKUP(N28,Tableau1[[#All],[Colonne1]:[ouvrés]],3,FALSE))</f>
        <v/>
      </c>
      <c r="V28" s="54" t="str">
        <f t="shared" si="3"/>
        <v xml:space="preserve">  </v>
      </c>
      <c r="W28" s="41">
        <f t="shared" si="29"/>
        <v>42820</v>
      </c>
      <c r="X28" s="42">
        <f t="shared" si="43"/>
        <v>42820</v>
      </c>
      <c r="Y28" s="132" t="str">
        <f>IF(X28="","",IF(ISERROR(MATCH(X28,Lune!$A$1:$A$1000,0)),IF(WEEKDAY(X28)=5,INT((X28-DATE(YEAR(X28),1,1))/7+1),IF(AND(WEEKDAY(X28)=4,NOT( ISERROR(MATCH(X28+1,Lune!$A$1:$A$1000,0)))),INT((X28+1-DATE(YEAR(X28+1),1,1))/7+1),"")),INDEX(Lune!$B$1:$B$1000,MATCH(X28,Lune!$A$1:$A$1000,0),1)))</f>
        <v/>
      </c>
      <c r="Z28" s="89" t="str">
        <f t="shared" ca="1" si="4"/>
        <v/>
      </c>
      <c r="AA28" s="125" t="str">
        <f ca="1">IF(ISERROR(VLOOKUP(X28,anniversaire!$X$2:$Z$100,2,0)),"",VLOOKUP(X28,anniversaire!$X$2:$Z$100,2,0))</f>
        <v/>
      </c>
      <c r="AB28" s="54" t="str">
        <f>IF(ISERROR(VLOOKUP(X28,fête!$B$2:$C$367,2,0)),"",VLOOKUP(X28,fête!$B$2:$C$367,2,0))</f>
        <v>Larissa</v>
      </c>
      <c r="AC28" s="54" t="str">
        <f>IF(ISERROR(VLOOKUP(X28,évènements!$A$3:$E$200,3,0)),"",VLOOKUP(X28,évènements!$A$3:$E$200,3,0))</f>
        <v/>
      </c>
      <c r="AD28" s="54" t="str">
        <f>IF(ISERROR(VLOOKUP(X28,évènements!$B$3:$E$200,2,0)),"",VLOOKUP(X28,évènements!$B$3:$E$200,2,0))</f>
        <v/>
      </c>
      <c r="AE28" s="54" t="str">
        <f ca="1">IF(ISNA(VLOOKUP(X28,Tableau1[[#All],[Colonne1]:[ouvrés]],3,FALSE)),"",VLOOKUP(X28,Tableau1[[#All],[Colonne1]:[ouvrés]],3,FALSE))</f>
        <v/>
      </c>
      <c r="AF28" s="54" t="str">
        <f t="shared" si="57"/>
        <v xml:space="preserve">  </v>
      </c>
      <c r="AG28" s="41">
        <f t="shared" si="30"/>
        <v>42851</v>
      </c>
      <c r="AH28" s="42">
        <f t="shared" si="44"/>
        <v>42851</v>
      </c>
      <c r="AI28" s="137" t="str">
        <f>IF(AH28="","",IF(ISERROR(MATCH(AH28,Lune!$A$1:$A$1000,0)),IF(WEEKDAY(AH28)=5,INT((AH28-DATE(YEAR(AH28),1,1))/7+1),IF(AND(WEEKDAY(AH28)=4,NOT( ISERROR(MATCH(AH28+1,Lune!$A$1:$A$1000,0)))),INT((AH28+1-DATE(YEAR(AH28+1),1,1))/7+1),"")),INDEX(Lune!$B$1:$B$1000,MATCH(AH28,Lune!$A$1:$A$1000,0),1)))</f>
        <v>●</v>
      </c>
      <c r="AJ28" s="80" t="str">
        <f t="shared" ca="1" si="6"/>
        <v/>
      </c>
      <c r="AK28" s="54" t="str">
        <f ca="1">IF(ISERROR(VLOOKUP(AH28,anniversaire!$X$2:$Z$100,2,0)),"",VLOOKUP(AH28,anniversaire!$X$2:$Z$100,2,0))</f>
        <v/>
      </c>
      <c r="AL28" s="54" t="str">
        <f>IF(ISERROR(VLOOKUP(AH28,fête!$B$2:$C$367,2,0)),"",VLOOKUP(AH28,fête!$B$2:$C$367,2,0))</f>
        <v>Alida</v>
      </c>
      <c r="AM28" s="54" t="str">
        <f>IF(ISERROR(VLOOKUP(AH28,évènements!$A$3:$E$200,3,0)),"",VLOOKUP(AH28,évènements!$A$3:$E$200,3,0))</f>
        <v/>
      </c>
      <c r="AN28" s="54" t="str">
        <f>IF(ISERROR(VLOOKUP(AH28,évènements!$B$3:$E$200,2,0)),"",VLOOKUP(AH28,évènements!$B$3:$E$200,2,0))</f>
        <v/>
      </c>
      <c r="AO28" s="54" t="str">
        <f ca="1">IF(ISNA(VLOOKUP(AH28,Tableau1[[#All],[Colonne1]:[ouvrés]],3,FALSE)),"",VLOOKUP(AH28,Tableau1[[#All],[Colonne1]:[ouvrés]],3,FALSE))</f>
        <v/>
      </c>
      <c r="AP28" s="238" t="str">
        <f t="shared" si="55"/>
        <v xml:space="preserve">  </v>
      </c>
      <c r="AQ28" s="41">
        <f t="shared" si="31"/>
        <v>42881</v>
      </c>
      <c r="AR28" s="42">
        <f t="shared" si="45"/>
        <v>42881</v>
      </c>
      <c r="AS28" s="43" t="str">
        <f>IF(AR28="","",IF(ISERROR(MATCH(AR28,Lune!$A$1:$A$1000,0)),IF(WEEKDAY(AR28)=5,INT((AR28-DATE(YEAR(AR28),1,1))/7+1),IF(AND(WEEKDAY(AR28)=4,NOT( ISERROR(MATCH(AR28+1,Lune!$A$1:$A$1000,0)))),INT((AR28+1-DATE(YEAR(AR28+1),1,1))/7+1),"")),INDEX(Lune!$B$1:$B$1000,MATCH(AR28,Lune!$A$1:$A$1000,0),1)))</f>
        <v/>
      </c>
      <c r="AT28" s="79" t="str">
        <f t="shared" ca="1" si="8"/>
        <v/>
      </c>
      <c r="AU28" s="54" t="str">
        <f ca="1">IF(ISERROR(VLOOKUP(AR28,anniversaire!$X$2:$Z$100,2,0)),"",VLOOKUP(AR28,anniversaire!$X$2:$Z$100,2,0))</f>
        <v/>
      </c>
      <c r="AV28" s="54" t="str">
        <f>IF(ISERROR(VLOOKUP(AR28,fête!$B$2:$C$367,2,0)),"",VLOOKUP(AR28,fête!$B$2:$C$367,2,0))</f>
        <v>Bérenger</v>
      </c>
      <c r="AW28" s="238" t="str">
        <f>IF(ISERROR(VLOOKUP(AR28,évènements!$A$3:$E$200,3,0)),"",VLOOKUP(AR28,évènements!$A$3:$E$200,3,0))</f>
        <v/>
      </c>
      <c r="AX28" s="238" t="str">
        <f>IF(ISERROR(VLOOKUP(AR28,évènements!$B$3:$E$200,2,0)),"",VLOOKUP(AR28,évènements!$B$3:$E$200,2,0))</f>
        <v/>
      </c>
      <c r="AY28" s="238" t="str">
        <f ca="1">IF(ISNA(VLOOKUP(AR28,Tableau1[[#All],[Colonne1]:[ouvrés]],3,FALSE)),"",VLOOKUP(AR28,Tableau1[[#All],[Colonne1]:[ouvrés]],3,FALSE))</f>
        <v/>
      </c>
      <c r="AZ28" s="238" t="str">
        <f t="shared" si="9"/>
        <v xml:space="preserve">  </v>
      </c>
      <c r="BA28" s="41">
        <f t="shared" si="32"/>
        <v>42912</v>
      </c>
      <c r="BB28" s="42">
        <f t="shared" si="46"/>
        <v>42912</v>
      </c>
      <c r="BC28" s="43" t="str">
        <f>IF(BB28="","",IF(ISERROR(MATCH(BB28,Lune!$A$1:$A$1000,0)),IF(WEEKDAY(BB28)=5,INT((BB28-DATE(YEAR(BB28),1,1))/7+1),IF(AND(WEEKDAY(BB28)=4,NOT( ISERROR(MATCH(BB28+1,Lune!$A$1:$A$1000,0)))),INT((BB28+1-DATE(YEAR(BB28+1),1,1))/7+1),"")),INDEX(Lune!$B$1:$B$1000,MATCH(BB28,Lune!$A$1:$A$1000,0),1)))</f>
        <v/>
      </c>
      <c r="BD28" s="79" t="str">
        <f t="shared" ca="1" si="10"/>
        <v/>
      </c>
      <c r="BE28" s="54" t="str">
        <f ca="1">IF(ISERROR(VLOOKUP(BB28,anniversaire!$X$2:$Z$100,2,0)),"",VLOOKUP(BB28,anniversaire!$X$2:$Z$100,2,0))</f>
        <v/>
      </c>
      <c r="BF28" s="54" t="str">
        <f>IF(ISERROR(VLOOKUP(BB28,fête!$B$2:$C$367,2,0)),"",VLOOKUP(BB28,fête!$B$2:$C$367,2,0))</f>
        <v>Anthelme</v>
      </c>
      <c r="BG28" s="54" t="str">
        <f>IF(ISERROR(VLOOKUP(BB28,évènements!$A$3:$E$200,3,0)),"",VLOOKUP(BB28,évènements!$A$3:$E$200,3,0))</f>
        <v/>
      </c>
      <c r="BH28" s="54" t="str">
        <f>IF(ISERROR(VLOOKUP(BB28,évènements!$B$3:$E$200,2,0)),"",VLOOKUP(BB28,évènements!$B$3:$E$200,2,0))</f>
        <v/>
      </c>
      <c r="BI28" s="54" t="str">
        <f ca="1">IF(ISNA(VLOOKUP(BB28,Tableau1[[#All],[Colonne1]:[ouvrés]],3,FALSE)),"",VLOOKUP(BB28,Tableau1[[#All],[Colonne1]:[ouvrés]],3,FALSE))</f>
        <v/>
      </c>
      <c r="BJ28" s="54" t="str">
        <f t="shared" si="56"/>
        <v xml:space="preserve">  </v>
      </c>
      <c r="BK28" s="41">
        <f t="shared" si="33"/>
        <v>42942</v>
      </c>
      <c r="BL28" s="42">
        <f t="shared" si="47"/>
        <v>42942</v>
      </c>
      <c r="BM28" s="43" t="str">
        <f>IF(BL28="","",IF(ISERROR(MATCH(BL28,Lune!$A$1:$A$1000,0)),IF(WEEKDAY(BL28)=5,INT((BL28-DATE(YEAR(BL28),1,1))/7+1),IF(AND(WEEKDAY(BL28)=4,NOT( ISERROR(MATCH(BL28+1,Lune!$A$1:$A$1000,0)))),INT((BL28+1-DATE(YEAR(BL28+1),1,1))/7+1),"")),INDEX(Lune!$B$1:$B$1000,MATCH(BL28,Lune!$A$1:$A$1000,0),1)))</f>
        <v/>
      </c>
      <c r="BN28" s="80" t="str">
        <f t="shared" ca="1" si="12"/>
        <v xml:space="preserve"> '</v>
      </c>
      <c r="BO28" s="54" t="str">
        <f ca="1">IF(ISERROR(VLOOKUP(BL28,anniversaire!$X$2:$Z$100,2,0)),"",VLOOKUP(BL28,anniversaire!$X$2:$Z$100,2,0))</f>
        <v>Taraud  daniel    66</v>
      </c>
      <c r="BP28" s="54" t="str">
        <f>IF(ISERROR(VLOOKUP(BL28,fête!$B$2:$C$367,2,0)),"",VLOOKUP(BL28,fête!$B$2:$C$367,2,0))</f>
        <v>Anne, Joachin</v>
      </c>
      <c r="BQ28" s="54" t="str">
        <f>IF(ISERROR(VLOOKUP(BL28,évènements!$A$3:$E$200,3,0)),"",VLOOKUP(BL28,évènements!$A$3:$E$200,3,0))</f>
        <v/>
      </c>
      <c r="BR28" s="54" t="str">
        <f>IF(ISERROR(VLOOKUP(BL28,évènements!$B$3:$E$200,2,0)),"",VLOOKUP(BL28,évènements!$B$3:$E$200,2,0))</f>
        <v/>
      </c>
      <c r="BS28" s="54" t="str">
        <f ca="1">IF(ISNA(VLOOKUP(BL28,Tableau1[[#All],[Colonne1]:[ouvrés]],3,FALSE)),"",VLOOKUP(BL28,Tableau1[[#All],[Colonne1]:[ouvrés]],3,FALSE))</f>
        <v/>
      </c>
      <c r="BT28" s="54" t="str">
        <f t="shared" si="34"/>
        <v xml:space="preserve">  </v>
      </c>
      <c r="BU28" s="41">
        <f t="shared" si="35"/>
        <v>42973</v>
      </c>
      <c r="BV28" s="42">
        <f t="shared" si="48"/>
        <v>42973</v>
      </c>
      <c r="BW28" s="43" t="str">
        <f>IF(BV28="","",IF(ISERROR(MATCH(BV28,Lune!$A$1:$A$1000,0)),IF(WEEKDAY(BV28)=5,INT((BV28-DATE(YEAR(BV28),1,1))/7+1),IF(AND(WEEKDAY(BV28)=4,NOT( ISERROR(MATCH(BV28+1,Lune!$A$1:$A$1000,0)))),INT((BV28+1-DATE(YEAR(BV28+1),1,1))/7+1),"")),INDEX(Lune!$B$1:$B$1000,MATCH(BV28,Lune!$A$1:$A$1000,0),1)))</f>
        <v/>
      </c>
      <c r="BX28" s="80" t="str">
        <f t="shared" ca="1" si="13"/>
        <v/>
      </c>
      <c r="BY28" s="54" t="str">
        <f ca="1">IF(ISERROR(VLOOKUP(BV28,anniversaire!$X$2:$Z$100,2,0)),"",VLOOKUP(BV28,anniversaire!$X$2:$Z$100,2,0))</f>
        <v/>
      </c>
      <c r="BZ28" s="54" t="str">
        <f>IF(ISERROR(VLOOKUP(BV28,fête!$B$2:$C$367,2,0)),"",VLOOKUP(BV28,fête!$B$2:$C$367,2,0))</f>
        <v>Natacha</v>
      </c>
      <c r="CA28" s="54" t="str">
        <f>IF(ISERROR(VLOOKUP(BV28,évènements!$A$3:$E$200,3,0)),"",VLOOKUP(BV28,évènements!$A$3:$E$200,3,0))</f>
        <v/>
      </c>
      <c r="CB28" s="54" t="str">
        <f>IF(ISERROR(VLOOKUP(BV28,évènements!$B$3:$E$200,2,0)),"",VLOOKUP(BV28,évènements!$B$3:$E$200,2,0))</f>
        <v/>
      </c>
      <c r="CC28" s="54" t="str">
        <f ca="1">IF(ISNA(VLOOKUP(BV28,Tableau1[[#All],[Colonne1]:[ouvrés]],3,FALSE)),"",VLOOKUP(BV28,Tableau1[[#All],[Colonne1]:[ouvrés]],3,FALSE))</f>
        <v/>
      </c>
      <c r="CD28" s="54" t="str">
        <f t="shared" si="14"/>
        <v xml:space="preserve">  </v>
      </c>
      <c r="CE28" s="41">
        <f t="shared" si="36"/>
        <v>43004</v>
      </c>
      <c r="CF28" s="42">
        <f t="shared" si="49"/>
        <v>43004</v>
      </c>
      <c r="CG28" s="43" t="str">
        <f>IF(CF28="","",IF(ISERROR(MATCH(CF28,Lune!$A$1:$A$1000,0)),IF(WEEKDAY(CF28)=5,INT((CF28-DATE(YEAR(CF28),1,1))/7+1),IF(AND(WEEKDAY(CF28)=4,NOT( ISERROR(MATCH(CF28+1,Lune!$A$1:$A$1000,0)))),INT((CF28+1-DATE(YEAR(CF28+1),1,1))/7+1),"")),INDEX(Lune!$B$1:$B$1000,MATCH(CF28,Lune!$A$1:$A$1000,0),1)))</f>
        <v/>
      </c>
      <c r="CH28" s="80" t="str">
        <f t="shared" ca="1" si="15"/>
        <v/>
      </c>
      <c r="CI28" s="54" t="str">
        <f ca="1">IF(ISERROR(VLOOKUP(CF28,anniversaire!$X$2:$Z$100,2,0)),"",VLOOKUP(CF28,anniversaire!$X$2:$Z$100,2,0))</f>
        <v/>
      </c>
      <c r="CJ28" s="54" t="str">
        <f>IF(ISERROR(VLOOKUP(CF28,fête!$B$2:$C$367,2,0)),"",VLOOKUP(CF28,fête!$B$2:$C$367,2,0))</f>
        <v>Côme, Damien</v>
      </c>
      <c r="CK28" s="54" t="str">
        <f>IF(ISERROR(VLOOKUP(CF28,évènements!$A$3:$E$200,3,0)),"",VLOOKUP(CF28,évènements!$A$3:$E$200,3,0))</f>
        <v/>
      </c>
      <c r="CL28" s="54" t="str">
        <f>IF(ISERROR(VLOOKUP(CF28,évènements!$B$3:$E$200,2,0)),"",VLOOKUP(CF28,évènements!$B$3:$E$200,2,0))</f>
        <v/>
      </c>
      <c r="CM28" s="54" t="str">
        <f ca="1">IF(ISNA(VLOOKUP(CF28,Tableau1[[#All],[Colonne1]:[ouvrés]],3,FALSE)),"",VLOOKUP(CF28,Tableau1[[#All],[Colonne1]:[ouvrés]],3,FALSE))</f>
        <v/>
      </c>
      <c r="CN28" s="54" t="str">
        <f t="shared" si="16"/>
        <v xml:space="preserve">  </v>
      </c>
      <c r="CO28" s="41">
        <f t="shared" si="37"/>
        <v>43034</v>
      </c>
      <c r="CP28" s="42">
        <f t="shared" si="50"/>
        <v>43034</v>
      </c>
      <c r="CQ28" s="43">
        <f>IF(CP28="","",IF(ISERROR(MATCH(CP28,Lune!$A$1:$A$1000,0)),IF(WEEKDAY(CP28)=5,INT((CP28-DATE(YEAR(CP28),1,1))/7+1),IF(AND(WEEKDAY(CP28)=4,NOT( ISERROR(MATCH(CP28+1,Lune!$A$1:$A$1000,0)))),INT((CP28+1-DATE(YEAR(CP28+1),1,1))/7+1),"")),INDEX(Lune!$B$1:$B$1000,MATCH(CP28,Lune!$A$1:$A$1000,0),1)))</f>
        <v>43</v>
      </c>
      <c r="CR28" s="80" t="str">
        <f t="shared" ca="1" si="17"/>
        <v/>
      </c>
      <c r="CS28" s="54" t="str">
        <f ca="1">IF(ISERROR(VLOOKUP(CP28,anniversaire!$X$2:$Z$100,2,0)),"",VLOOKUP(CP28,anniversaire!$X$2:$Z$100,2,0))</f>
        <v/>
      </c>
      <c r="CT28" s="54" t="str">
        <f>IF(ISERROR(VLOOKUP(CP28,fête!$B$2:$C$367,2,0)),"",VLOOKUP(CP28,fête!$B$2:$C$367,2,0))</f>
        <v>Dimitri</v>
      </c>
      <c r="CU28" s="54" t="str">
        <f>IF(ISERROR(VLOOKUP(CP28,évènements!$A$3:$E$200,3,0)),"",VLOOKUP(CP28,évènements!$A$3:$E$200,3,0))</f>
        <v/>
      </c>
      <c r="CV28" s="54" t="str">
        <f>IF(ISERROR(VLOOKUP(CP28,évènements!$B$3:$E$200,2,0)),"",VLOOKUP(CP28,évènements!$B$3:$E$200,2,0))</f>
        <v/>
      </c>
      <c r="CW28" s="54" t="str">
        <f ca="1">IF(ISNA(VLOOKUP(CP28,Tableau1[[#All],[Colonne1]:[ouvrés]],3,FALSE)),"",VLOOKUP(CP28,Tableau1[[#All],[Colonne1]:[ouvrés]],3,FALSE))</f>
        <v/>
      </c>
      <c r="CX28" s="54" t="str">
        <f t="shared" si="18"/>
        <v xml:space="preserve">  </v>
      </c>
      <c r="CY28" s="41">
        <f t="shared" si="38"/>
        <v>43065</v>
      </c>
      <c r="CZ28" s="42">
        <f t="shared" si="51"/>
        <v>43065</v>
      </c>
      <c r="DA28" s="43" t="str">
        <f>IF(CZ28="","",IF(ISERROR(MATCH(CZ28,Lune!$A$1:$A$1000,0)),IF(WEEKDAY(CZ28)=5,INT((CZ28-DATE(YEAR(CZ28),1,1))/7+1),IF(AND(WEEKDAY(CZ28)=4,NOT( ISERROR(MATCH(CZ28+1,Lune!$A$1:$A$1000,0)))),INT((CZ28+1-DATE(YEAR(CZ28+1),1,1))/7+1),"")),INDEX(Lune!$B$1:$B$1000,MATCH(CZ28,Lune!$A$1:$A$1000,0),1)))</f>
        <v>◐</v>
      </c>
      <c r="DB28" s="80" t="str">
        <f t="shared" ca="1" si="19"/>
        <v/>
      </c>
      <c r="DC28" s="54" t="str">
        <f ca="1">IF(ISERROR(VLOOKUP(CZ28,anniversaire!$X$2:$Z$100,2,0)),"",VLOOKUP(CZ28,anniversaire!$X$2:$Z$100,2,0))</f>
        <v/>
      </c>
      <c r="DD28" s="54" t="str">
        <f>IF(ISERROR(VLOOKUP(CZ28,fête!$B$2:$C$367,2,0)),"",VLOOKUP(CZ28,fête!$B$2:$C$367,2,0))</f>
        <v>Delphine</v>
      </c>
      <c r="DE28" s="54" t="str">
        <f>IF(ISERROR(VLOOKUP(CZ28,évènements!$A$3:$E$200,3,0)),"",VLOOKUP(CZ28,évènements!$A$3:$E$200,3,0))</f>
        <v/>
      </c>
      <c r="DF28" s="54" t="str">
        <f>IF(ISERROR(VLOOKUP(CZ28,évènements!$B$3:$E$200,2,0)),"",VLOOKUP(CZ28,évènements!$B$3:$E$200,2,0))</f>
        <v/>
      </c>
      <c r="DG28" s="54"/>
      <c r="DH28" s="54" t="str">
        <f t="shared" si="20"/>
        <v xml:space="preserve">  </v>
      </c>
      <c r="DI28" s="41">
        <f t="shared" si="39"/>
        <v>43095</v>
      </c>
      <c r="DJ28" s="42">
        <f t="shared" si="52"/>
        <v>43095</v>
      </c>
      <c r="DK28" s="43" t="str">
        <f>IF(DJ28="","",IF(ISERROR(MATCH(DJ28,Lune!$A$1:$A$1000,0)),IF(WEEKDAY(DJ28)=5,INT((DJ28-DATE(YEAR(DJ28),1,1))/7+1),IF(AND(WEEKDAY(DJ28)=4,NOT( ISERROR(MATCH(DJ28+1,Lune!$A$1:$A$1000,0)))),INT((DJ28+1-DATE(YEAR(DJ28+1),1,1))/7+1),"")),INDEX(Lune!$B$1:$B$1000,MATCH(DJ28,Lune!$A$1:$A$1000,0),1)))</f>
        <v>◐</v>
      </c>
      <c r="DL28" s="80" t="str">
        <f t="shared" ca="1" si="21"/>
        <v/>
      </c>
      <c r="DM28" s="54" t="str">
        <f ca="1">IF(ISERROR(VLOOKUP(DJ28,anniversaire!$X$2:$Z$100,2,0)),"",VLOOKUP(DJ28,anniversaire!$X$2:$Z$100,2,0))</f>
        <v/>
      </c>
      <c r="DN28" s="54" t="str">
        <f>IF(ISERROR(VLOOKUP(DJ28,fête!$B$2:$C$367,2,0)),"",VLOOKUP(DJ28,fête!$B$2:$C$367,2,0))</f>
        <v>Etienne</v>
      </c>
      <c r="DO28" s="54" t="str">
        <f>IF(ISERROR(VLOOKUP(DJ28,évènements!$A$3:$E$200,3,0)),"",VLOOKUP(DJ28,évènements!$A$3:$E$200,3,0))</f>
        <v/>
      </c>
      <c r="DP28" s="54" t="str">
        <f>IF(ISERROR(VLOOKUP(DJ28,évènements!$B$3:$E$200,2,0)),"",VLOOKUP(DJ28,évènements!$B$3:$E$200,2,0))</f>
        <v/>
      </c>
      <c r="DQ28" s="54" t="str">
        <f ca="1">IF(ISNA(VLOOKUP(DJ28,Tableau1[[#All],[Colonne1]:[ouvrés]],3,FALSE)),"",VLOOKUP(DJ28,Tableau1[[#All],[Colonne1]:[ouvrés]],3,FALSE))</f>
        <v/>
      </c>
      <c r="DR28" s="54" t="str">
        <f t="shared" si="22"/>
        <v xml:space="preserve">  </v>
      </c>
      <c r="DS28" s="41">
        <f t="shared" si="40"/>
        <v>43126</v>
      </c>
      <c r="DT28" s="42">
        <f t="shared" si="53"/>
        <v>43126</v>
      </c>
      <c r="DU28" s="43" t="str">
        <f>IF(DT28="","",IF(ISERROR(MATCH(DT28,Lune!$A$1:$A$1000,0)),IF(WEEKDAY(DT28)=5,INT((DT28-DATE(YEAR(DT28),1,1))/7+1),IF(AND(WEEKDAY(DT28)=4,NOT( ISERROR(MATCH(DT28+1,Lune!$A$1:$A$1000,0)))),INT((DT28+1-DATE(YEAR(DT28+1),1,1))/7+1),"")),INDEX(Lune!$B$1:$B$1000,MATCH(DT28,Lune!$A$1:$A$1000,0),1)))</f>
        <v/>
      </c>
      <c r="DV28" s="89" t="str">
        <f t="shared" ca="1" si="23"/>
        <v/>
      </c>
      <c r="DW28" s="252" t="str">
        <f t="shared" ca="1" si="24"/>
        <v/>
      </c>
      <c r="DX28" s="252" t="str">
        <f t="shared" si="25"/>
        <v>Paule</v>
      </c>
      <c r="DY28" s="252" t="str">
        <f>IF(ISERROR(VLOOKUP(DT28,évènements!$A$3:$E$200,3,0)),"",VLOOKUP(DT28,évènements!$A$3:$E$200,3,0))</f>
        <v/>
      </c>
      <c r="DZ28" s="252" t="str">
        <f>IF(ISERROR(VLOOKUP(DT28,évènements!$B$3:$E$200,2,0)),"",VLOOKUP(DT28,évènements!$B$3:$E$200,2,0))</f>
        <v/>
      </c>
      <c r="EA28" s="252" t="str">
        <f ca="1">IF(ISNA(VLOOKUP(DT28,Tableau1[[#All],[Colonne1]:[ouvrés]],3,FALSE)),"",VLOOKUP(DT28,Tableau1[[#All],[Colonne1]:[ouvrés]],3,FALSE))</f>
        <v/>
      </c>
      <c r="EB28" s="252" t="str">
        <f t="shared" si="26"/>
        <v xml:space="preserve">  </v>
      </c>
    </row>
    <row r="29" spans="2:132" ht="15" customHeight="1" x14ac:dyDescent="0.25">
      <c r="B29" s="29"/>
      <c r="C29" s="41">
        <f t="shared" si="27"/>
        <v>42762</v>
      </c>
      <c r="D29" s="40">
        <f t="shared" si="41"/>
        <v>42762</v>
      </c>
      <c r="E29" s="131" t="str">
        <f>IF(D29="","",IF(ISERROR(MATCH(D29,Lune!$A$1:$A$1000,0)),IF(WEEKDAY(D29)=5,INT((D29-DATE(YEAR(D29),1,1))/7+1),IF(AND(WEEKDAY(D29)=4,NOT( ISERROR(MATCH(D29+1,Lune!$A$1:$A$1000,0)))),INT((D29+1-DATE(YEAR(D29+1),1,1))/7+1),"")),INDEX(Lune!$B$1:$B$1000,MATCH(D29,Lune!$A$1:$A$1000,0),1)))</f>
        <v/>
      </c>
      <c r="F29" s="89" t="str">
        <f t="shared" ca="1" si="0"/>
        <v/>
      </c>
      <c r="G29" s="125" t="str">
        <f ca="1">IF(ISERROR(VLOOKUP(D29,anniversaire!$X$2:$Z$100,2,0)),"",VLOOKUP(D29,anniversaire!$X$2:$Z$100,2,0))</f>
        <v/>
      </c>
      <c r="H29" s="54" t="str">
        <f>IF(ISERROR(VLOOKUP(D29,fête!$B$2:$C$367,2,0)),"",VLOOKUP(D29,fête!$B$2:$C$367,2,0))</f>
        <v>Angèle</v>
      </c>
      <c r="I29" s="239" t="str">
        <f>IF(ISERROR(VLOOKUP(D29,évènements!$A$3:$E$200,3,0)),"",VLOOKUP(D29,évènements!$A$3:$E$200,3,0))</f>
        <v/>
      </c>
      <c r="J29" s="239" t="str">
        <f>IF(ISERROR(VLOOKUP(D29,évènements!$B$3:$E$200,2,0)),"",VLOOKUP(D29,évènements!$B$3:$E$200,2,0))</f>
        <v/>
      </c>
      <c r="K29" s="239" t="str">
        <f ca="1">IF(ISNA(VLOOKUP(D29,Tableau1[[#All],[Colonne1]:[ouvrés]],3,FALSE)),"",VLOOKUP(D29,Tableau1[[#All],[Colonne1]:[ouvrés]],3,FALSE))</f>
        <v/>
      </c>
      <c r="L29" s="239" t="str">
        <f t="shared" si="58"/>
        <v xml:space="preserve">  </v>
      </c>
      <c r="M29" s="41">
        <f t="shared" si="28"/>
        <v>42793</v>
      </c>
      <c r="N29" s="42">
        <f t="shared" si="42"/>
        <v>42793</v>
      </c>
      <c r="O29" s="131" t="str">
        <f>IF(N29="","",IF(ISERROR(MATCH(N29,Lune!$A$1:$A$1000,0)),IF(WEEKDAY(N29)=5,INT((N29-DATE(YEAR(N29),1,1))/7+1),IF(AND(WEEKDAY(N29)=4,NOT( ISERROR(MATCH(N29+1,Lune!$A$1:$A$1000,0)))),INT((N29+1-DATE(YEAR(N29+1),1,1))/7+1),"")),INDEX(Lune!$B$1:$B$1000,MATCH(N29,Lune!$A$1:$A$1000,0),1)))</f>
        <v/>
      </c>
      <c r="P29" s="80" t="str">
        <f t="shared" ca="1" si="54"/>
        <v/>
      </c>
      <c r="Q29" s="54" t="str">
        <f ca="1">IF(ISERROR(VLOOKUP(N29,anniversaire!$X$2:$Z$100,2,0)),"",VLOOKUP(N29,anniversaire!$X$2:$Z$100,2,0))</f>
        <v/>
      </c>
      <c r="R29" s="54" t="str">
        <f>IF(ISERROR(VLOOKUP(N29,fête!$B$2:$C$367,2,0)),"",VLOOKUP(N29,fête!$B$2:$C$367,2,0))</f>
        <v>Honorine</v>
      </c>
      <c r="S29" s="54" t="str">
        <f>IF(ISERROR(VLOOKUP(N29,évènements!$A$3:$E$200,3,0)),"",VLOOKUP(N29,évènements!$A$3:$E$200,3,0))</f>
        <v/>
      </c>
      <c r="T29" s="54" t="str">
        <f>IF(ISERROR(VLOOKUP(N29,évènements!$B$3:$E$200,2,0)),"",VLOOKUP(N29,évènements!$B$3:$E$200,2,0))</f>
        <v/>
      </c>
      <c r="U29" s="54" t="str">
        <f ca="1">IF(ISNA(VLOOKUP(N29,Tableau1[[#All],[Colonne1]:[ouvrés]],3,FALSE)),"",VLOOKUP(N29,Tableau1[[#All],[Colonne1]:[ouvrés]],3,FALSE))</f>
        <v/>
      </c>
      <c r="V29" s="54" t="str">
        <f t="shared" si="3"/>
        <v xml:space="preserve">  </v>
      </c>
      <c r="W29" s="41">
        <f t="shared" si="29"/>
        <v>42821</v>
      </c>
      <c r="X29" s="42">
        <f t="shared" si="43"/>
        <v>42821</v>
      </c>
      <c r="Y29" s="132" t="str">
        <f>IF(X29="","",IF(ISERROR(MATCH(X29,Lune!$A$1:$A$1000,0)),IF(WEEKDAY(X29)=5,INT((X29-DATE(YEAR(X29),1,1))/7+1),IF(AND(WEEKDAY(X29)=4,NOT( ISERROR(MATCH(X29+1,Lune!$A$1:$A$1000,0)))),INT((X29+1-DATE(YEAR(X29+1),1,1))/7+1),"")),INDEX(Lune!$B$1:$B$1000,MATCH(X29,Lune!$A$1:$A$1000,0),1)))</f>
        <v/>
      </c>
      <c r="Z29" s="89" t="str">
        <f t="shared" ca="1" si="4"/>
        <v xml:space="preserve"> '</v>
      </c>
      <c r="AA29" s="125" t="str">
        <f ca="1">IF(ISERROR(VLOOKUP(X29,anniversaire!$X$2:$Z$100,2,0)),"",VLOOKUP(X29,anniversaire!$X$2:$Z$100,2,0))</f>
        <v>Lapostalle  Alexandre    30</v>
      </c>
      <c r="AB29" s="54" t="str">
        <f>IF(ISERROR(VLOOKUP(X29,fête!$B$2:$C$367,2,0)),"",VLOOKUP(X29,fête!$B$2:$C$367,2,0))</f>
        <v>Habib</v>
      </c>
      <c r="AC29" s="54" t="str">
        <f>IF(ISERROR(VLOOKUP(X29,évènements!$A$3:$E$200,3,0)),"",VLOOKUP(X29,évènements!$A$3:$E$200,3,0))</f>
        <v/>
      </c>
      <c r="AD29" s="54" t="str">
        <f>IF(ISERROR(VLOOKUP(X29,évènements!$B$3:$E$200,2,0)),"",VLOOKUP(X29,évènements!$B$3:$E$200,2,0))</f>
        <v/>
      </c>
      <c r="AE29" s="54" t="str">
        <f ca="1">IF(ISNA(VLOOKUP(X29,Tableau1[[#All],[Colonne1]:[ouvrés]],3,FALSE)),"",VLOOKUP(X29,Tableau1[[#All],[Colonne1]:[ouvrés]],3,FALSE))</f>
        <v/>
      </c>
      <c r="AF29" s="54" t="str">
        <f t="shared" si="57"/>
        <v xml:space="preserve">  </v>
      </c>
      <c r="AG29" s="41">
        <f t="shared" si="30"/>
        <v>42852</v>
      </c>
      <c r="AH29" s="42">
        <f t="shared" si="44"/>
        <v>42852</v>
      </c>
      <c r="AI29" s="137">
        <f>IF(AH29="","",IF(ISERROR(MATCH(AH29,Lune!$A$1:$A$1000,0)),IF(WEEKDAY(AH29)=5,INT((AH29-DATE(YEAR(AH29),1,1))/7+1),IF(AND(WEEKDAY(AH29)=4,NOT( ISERROR(MATCH(AH29+1,Lune!$A$1:$A$1000,0)))),INT((AH29+1-DATE(YEAR(AH29+1),1,1))/7+1),"")),INDEX(Lune!$B$1:$B$1000,MATCH(AH29,Lune!$A$1:$A$1000,0),1)))</f>
        <v>17</v>
      </c>
      <c r="AJ29" s="80" t="str">
        <f t="shared" ca="1" si="6"/>
        <v/>
      </c>
      <c r="AK29" s="54" t="str">
        <f ca="1">IF(ISERROR(VLOOKUP(AH29,anniversaire!$X$2:$Z$100,2,0)),"",VLOOKUP(AH29,anniversaire!$X$2:$Z$100,2,0))</f>
        <v/>
      </c>
      <c r="AL29" s="54" t="str">
        <f>IF(ISERROR(VLOOKUP(AH29,fête!$B$2:$C$367,2,0)),"",VLOOKUP(AH29,fête!$B$2:$C$367,2,0))</f>
        <v>Zita</v>
      </c>
      <c r="AM29" s="54" t="str">
        <f>IF(ISERROR(VLOOKUP(AH29,évènements!$A$3:$E$200,3,0)),"",VLOOKUP(AH29,évènements!$A$3:$E$200,3,0))</f>
        <v/>
      </c>
      <c r="AN29" s="54" t="str">
        <f>IF(ISERROR(VLOOKUP(AH29,évènements!$B$3:$E$200,2,0)),"",VLOOKUP(AH29,évènements!$B$3:$E$200,2,0))</f>
        <v/>
      </c>
      <c r="AO29" s="54" t="str">
        <f ca="1">IF(ISNA(VLOOKUP(AH29,Tableau1[[#All],[Colonne1]:[ouvrés]],3,FALSE)),"",VLOOKUP(AH29,Tableau1[[#All],[Colonne1]:[ouvrés]],3,FALSE))</f>
        <v/>
      </c>
      <c r="AP29" s="238" t="str">
        <f t="shared" si="55"/>
        <v xml:space="preserve">  </v>
      </c>
      <c r="AQ29" s="41">
        <f t="shared" si="31"/>
        <v>42882</v>
      </c>
      <c r="AR29" s="42">
        <f t="shared" si="45"/>
        <v>42882</v>
      </c>
      <c r="AS29" s="43" t="str">
        <f>IF(AR29="","",IF(ISERROR(MATCH(AR29,Lune!$A$1:$A$1000,0)),IF(WEEKDAY(AR29)=5,INT((AR29-DATE(YEAR(AR29),1,1))/7+1),IF(AND(WEEKDAY(AR29)=4,NOT( ISERROR(MATCH(AR29+1,Lune!$A$1:$A$1000,0)))),INT((AR29+1-DATE(YEAR(AR29+1),1,1))/7+1),"")),INDEX(Lune!$B$1:$B$1000,MATCH(AR29,Lune!$A$1:$A$1000,0),1)))</f>
        <v/>
      </c>
      <c r="AT29" s="79" t="str">
        <f t="shared" ca="1" si="8"/>
        <v/>
      </c>
      <c r="AU29" s="54" t="str">
        <f ca="1">IF(ISERROR(VLOOKUP(AR29,anniversaire!$X$2:$Z$100,2,0)),"",VLOOKUP(AR29,anniversaire!$X$2:$Z$100,2,0))</f>
        <v/>
      </c>
      <c r="AV29" s="54" t="str">
        <f>IF(ISERROR(VLOOKUP(AR29,fête!$B$2:$C$367,2,0)),"",VLOOKUP(AR29,fête!$B$2:$C$367,2,0))</f>
        <v>Augustin</v>
      </c>
      <c r="AW29" s="238" t="str">
        <f>IF(ISERROR(VLOOKUP(AR29,évènements!$A$3:$E$200,3,0)),"",VLOOKUP(AR29,évènements!$A$3:$E$200,3,0))</f>
        <v/>
      </c>
      <c r="AX29" s="238" t="str">
        <f>IF(ISERROR(VLOOKUP(AR29,évènements!$B$3:$E$200,2,0)),"",VLOOKUP(AR29,évènements!$B$3:$E$200,2,0))</f>
        <v/>
      </c>
      <c r="AY29" s="238" t="str">
        <f ca="1">IF(ISNA(VLOOKUP(AR29,Tableau1[[#All],[Colonne1]:[ouvrés]],3,FALSE)),"",VLOOKUP(AR29,Tableau1[[#All],[Colonne1]:[ouvrés]],3,FALSE))</f>
        <v/>
      </c>
      <c r="AZ29" s="238" t="str">
        <f t="shared" si="9"/>
        <v xml:space="preserve">  </v>
      </c>
      <c r="BA29" s="41">
        <f t="shared" si="32"/>
        <v>42913</v>
      </c>
      <c r="BB29" s="42">
        <f t="shared" si="46"/>
        <v>42913</v>
      </c>
      <c r="BC29" s="43" t="str">
        <f>IF(BB29="","",IF(ISERROR(MATCH(BB29,Lune!$A$1:$A$1000,0)),IF(WEEKDAY(BB29)=5,INT((BB29-DATE(YEAR(BB29),1,1))/7+1),IF(AND(WEEKDAY(BB29)=4,NOT( ISERROR(MATCH(BB29+1,Lune!$A$1:$A$1000,0)))),INT((BB29+1-DATE(YEAR(BB29+1),1,1))/7+1),"")),INDEX(Lune!$B$1:$B$1000,MATCH(BB29,Lune!$A$1:$A$1000,0),1)))</f>
        <v/>
      </c>
      <c r="BD29" s="79" t="str">
        <f t="shared" ca="1" si="10"/>
        <v/>
      </c>
      <c r="BE29" s="54" t="str">
        <f ca="1">IF(ISERROR(VLOOKUP(BB29,anniversaire!$X$2:$Z$100,2,0)),"",VLOOKUP(BB29,anniversaire!$X$2:$Z$100,2,0))</f>
        <v/>
      </c>
      <c r="BF29" s="54" t="str">
        <f>IF(ISERROR(VLOOKUP(BB29,fête!$B$2:$C$367,2,0)),"",VLOOKUP(BB29,fête!$B$2:$C$367,2,0))</f>
        <v>Fernand</v>
      </c>
      <c r="BG29" s="54" t="str">
        <f>IF(ISERROR(VLOOKUP(BB29,évènements!$A$3:$E$200,3,0)),"",VLOOKUP(BB29,évènements!$A$3:$E$200,3,0))</f>
        <v/>
      </c>
      <c r="BH29" s="54" t="str">
        <f>IF(ISERROR(VLOOKUP(BB29,évènements!$B$3:$E$200,2,0)),"",VLOOKUP(BB29,évènements!$B$3:$E$200,2,0))</f>
        <v/>
      </c>
      <c r="BI29" s="54" t="str">
        <f ca="1">IF(ISNA(VLOOKUP(BB29,Tableau1[[#All],[Colonne1]:[ouvrés]],3,FALSE)),"",VLOOKUP(BB29,Tableau1[[#All],[Colonne1]:[ouvrés]],3,FALSE))</f>
        <v/>
      </c>
      <c r="BJ29" s="54" t="str">
        <f t="shared" si="56"/>
        <v xml:space="preserve">  </v>
      </c>
      <c r="BK29" s="41">
        <f t="shared" si="33"/>
        <v>42943</v>
      </c>
      <c r="BL29" s="42">
        <f t="shared" si="47"/>
        <v>42943</v>
      </c>
      <c r="BM29" s="43">
        <f>IF(BL29="","",IF(ISERROR(MATCH(BL29,Lune!$A$1:$A$1000,0)),IF(WEEKDAY(BL29)=5,INT((BL29-DATE(YEAR(BL29),1,1))/7+1),IF(AND(WEEKDAY(BL29)=4,NOT( ISERROR(MATCH(BL29+1,Lune!$A$1:$A$1000,0)))),INT((BL29+1-DATE(YEAR(BL29+1),1,1))/7+1),"")),INDEX(Lune!$B$1:$B$1000,MATCH(BL29,Lune!$A$1:$A$1000,0),1)))</f>
        <v>30</v>
      </c>
      <c r="BN29" s="80" t="str">
        <f t="shared" ca="1" si="12"/>
        <v/>
      </c>
      <c r="BO29" s="54" t="str">
        <f ca="1">IF(ISERROR(VLOOKUP(BL29,anniversaire!$X$2:$Z$100,2,0)),"",VLOOKUP(BL29,anniversaire!$X$2:$Z$100,2,0))</f>
        <v/>
      </c>
      <c r="BP29" s="54" t="str">
        <f>IF(ISERROR(VLOOKUP(BL29,fête!$B$2:$C$367,2,0)),"",VLOOKUP(BL29,fête!$B$2:$C$367,2,0))</f>
        <v>Nathalie</v>
      </c>
      <c r="BQ29" s="54" t="str">
        <f>IF(ISERROR(VLOOKUP(BL29,évènements!$A$3:$E$200,3,0)),"",VLOOKUP(BL29,évènements!$A$3:$E$200,3,0))</f>
        <v/>
      </c>
      <c r="BR29" s="54" t="str">
        <f>IF(ISERROR(VLOOKUP(BL29,évènements!$B$3:$E$200,2,0)),"",VLOOKUP(BL29,évènements!$B$3:$E$200,2,0))</f>
        <v/>
      </c>
      <c r="BS29" s="54" t="str">
        <f ca="1">IF(ISNA(VLOOKUP(BL29,Tableau1[[#All],[Colonne1]:[ouvrés]],3,FALSE)),"",VLOOKUP(BL29,Tableau1[[#All],[Colonne1]:[ouvrés]],3,FALSE))</f>
        <v/>
      </c>
      <c r="BT29" s="54" t="str">
        <f t="shared" si="34"/>
        <v xml:space="preserve">  </v>
      </c>
      <c r="BU29" s="41">
        <f t="shared" si="35"/>
        <v>42974</v>
      </c>
      <c r="BV29" s="42">
        <f t="shared" si="48"/>
        <v>42974</v>
      </c>
      <c r="BW29" s="43" t="str">
        <f>IF(BV29="","",IF(ISERROR(MATCH(BV29,Lune!$A$1:$A$1000,0)),IF(WEEKDAY(BV29)=5,INT((BV29-DATE(YEAR(BV29),1,1))/7+1),IF(AND(WEEKDAY(BV29)=4,NOT( ISERROR(MATCH(BV29+1,Lune!$A$1:$A$1000,0)))),INT((BV29+1-DATE(YEAR(BV29+1),1,1))/7+1),"")),INDEX(Lune!$B$1:$B$1000,MATCH(BV29,Lune!$A$1:$A$1000,0),1)))</f>
        <v/>
      </c>
      <c r="BX29" s="80" t="str">
        <f t="shared" ca="1" si="13"/>
        <v xml:space="preserve"> '</v>
      </c>
      <c r="BY29" s="54" t="str">
        <f ca="1">IF(ISERROR(VLOOKUP(BV29,anniversaire!$X$2:$Z$100,2,0)),"",VLOOKUP(BV29,anniversaire!$X$2:$Z$100,2,0))</f>
        <v>boireau  léna    2</v>
      </c>
      <c r="BZ29" s="54" t="str">
        <f>IF(ISERROR(VLOOKUP(BV29,fête!$B$2:$C$367,2,0)),"",VLOOKUP(BV29,fête!$B$2:$C$367,2,0))</f>
        <v>Monique</v>
      </c>
      <c r="CA29" s="54" t="str">
        <f>IF(ISERROR(VLOOKUP(BV29,évènements!$A$3:$E$200,3,0)),"",VLOOKUP(BV29,évènements!$A$3:$E$200,3,0))</f>
        <v/>
      </c>
      <c r="CB29" s="54" t="str">
        <f>IF(ISERROR(VLOOKUP(BV29,évènements!$B$3:$E$200,2,0)),"",VLOOKUP(BV29,évènements!$B$3:$E$200,2,0))</f>
        <v/>
      </c>
      <c r="CC29" s="54" t="str">
        <f ca="1">IF(ISNA(VLOOKUP(BV29,Tableau1[[#All],[Colonne1]:[ouvrés]],3,FALSE)),"",VLOOKUP(BV29,Tableau1[[#All],[Colonne1]:[ouvrés]],3,FALSE))</f>
        <v/>
      </c>
      <c r="CD29" s="54" t="str">
        <f t="shared" si="14"/>
        <v xml:space="preserve">  </v>
      </c>
      <c r="CE29" s="41">
        <f t="shared" si="36"/>
        <v>43005</v>
      </c>
      <c r="CF29" s="42">
        <f t="shared" si="49"/>
        <v>43005</v>
      </c>
      <c r="CG29" s="43">
        <f>IF(CF29="","",IF(ISERROR(MATCH(CF29,Lune!$A$1:$A$1000,0)),IF(WEEKDAY(CF29)=5,INT((CF29-DATE(YEAR(CF29),1,1))/7+1),IF(AND(WEEKDAY(CF29)=4,NOT( ISERROR(MATCH(CF29+1,Lune!$A$1:$A$1000,0)))),INT((CF29+1-DATE(YEAR(CF29+1),1,1))/7+1),"")),INDEX(Lune!$B$1:$B$1000,MATCH(CF29,Lune!$A$1:$A$1000,0),1)))</f>
        <v>39</v>
      </c>
      <c r="CH29" s="80" t="str">
        <f t="shared" ca="1" si="15"/>
        <v/>
      </c>
      <c r="CI29" s="54" t="str">
        <f ca="1">IF(ISERROR(VLOOKUP(CF29,anniversaire!$X$2:$Z$100,2,0)),"",VLOOKUP(CF29,anniversaire!$X$2:$Z$100,2,0))</f>
        <v/>
      </c>
      <c r="CJ29" s="54" t="str">
        <f>IF(ISERROR(VLOOKUP(CF29,fête!$B$2:$C$367,2,0)),"",VLOOKUP(CF29,fête!$B$2:$C$367,2,0))</f>
        <v>Vincent de Paul</v>
      </c>
      <c r="CK29" s="54" t="str">
        <f>IF(ISERROR(VLOOKUP(CF29,évènements!$A$3:$E$200,3,0)),"",VLOOKUP(CF29,évènements!$A$3:$E$200,3,0))</f>
        <v/>
      </c>
      <c r="CL29" s="54" t="str">
        <f>IF(ISERROR(VLOOKUP(CF29,évènements!$B$3:$E$200,2,0)),"",VLOOKUP(CF29,évènements!$B$3:$E$200,2,0))</f>
        <v/>
      </c>
      <c r="CM29" s="54" t="str">
        <f ca="1">IF(ISNA(VLOOKUP(CF29,Tableau1[[#All],[Colonne1]:[ouvrés]],3,FALSE)),"",VLOOKUP(CF29,Tableau1[[#All],[Colonne1]:[ouvrés]],3,FALSE))</f>
        <v/>
      </c>
      <c r="CN29" s="54" t="str">
        <f t="shared" si="16"/>
        <v xml:space="preserve">  </v>
      </c>
      <c r="CO29" s="41">
        <f t="shared" si="37"/>
        <v>43035</v>
      </c>
      <c r="CP29" s="42">
        <f t="shared" si="50"/>
        <v>43035</v>
      </c>
      <c r="CQ29" s="43" t="str">
        <f>IF(CP29="","",IF(ISERROR(MATCH(CP29,Lune!$A$1:$A$1000,0)),IF(WEEKDAY(CP29)=5,INT((CP29-DATE(YEAR(CP29),1,1))/7+1),IF(AND(WEEKDAY(CP29)=4,NOT( ISERROR(MATCH(CP29+1,Lune!$A$1:$A$1000,0)))),INT((CP29+1-DATE(YEAR(CP29+1),1,1))/7+1),"")),INDEX(Lune!$B$1:$B$1000,MATCH(CP29,Lune!$A$1:$A$1000,0),1)))</f>
        <v>◐</v>
      </c>
      <c r="CR29" s="80" t="str">
        <f t="shared" ca="1" si="17"/>
        <v/>
      </c>
      <c r="CS29" s="54" t="str">
        <f ca="1">IF(ISERROR(VLOOKUP(CP29,anniversaire!$X$2:$Z$100,2,0)),"",VLOOKUP(CP29,anniversaire!$X$2:$Z$100,2,0))</f>
        <v/>
      </c>
      <c r="CT29" s="54" t="str">
        <f>IF(ISERROR(VLOOKUP(CP29,fête!$B$2:$C$367,2,0)),"",VLOOKUP(CP29,fête!$B$2:$C$367,2,0))</f>
        <v>Emeline</v>
      </c>
      <c r="CU29" s="54" t="str">
        <f>IF(ISERROR(VLOOKUP(CP29,évènements!$A$3:$E$200,3,0)),"",VLOOKUP(CP29,évènements!$A$3:$E$200,3,0))</f>
        <v/>
      </c>
      <c r="CV29" s="54" t="str">
        <f>IF(ISERROR(VLOOKUP(CP29,évènements!$B$3:$E$200,2,0)),"",VLOOKUP(CP29,évènements!$B$3:$E$200,2,0))</f>
        <v/>
      </c>
      <c r="CW29" s="54" t="str">
        <f ca="1">IF(ISNA(VLOOKUP(CP29,Tableau1[[#All],[Colonne1]:[ouvrés]],3,FALSE)),"",VLOOKUP(CP29,Tableau1[[#All],[Colonne1]:[ouvrés]],3,FALSE))</f>
        <v/>
      </c>
      <c r="CX29" s="54" t="str">
        <f t="shared" si="18"/>
        <v xml:space="preserve">  </v>
      </c>
      <c r="CY29" s="41">
        <f t="shared" si="38"/>
        <v>43066</v>
      </c>
      <c r="CZ29" s="42">
        <f t="shared" si="51"/>
        <v>43066</v>
      </c>
      <c r="DA29" s="43" t="str">
        <f>IF(CZ29="","",IF(ISERROR(MATCH(CZ29,Lune!$A$1:$A$1000,0)),IF(WEEKDAY(CZ29)=5,INT((CZ29-DATE(YEAR(CZ29),1,1))/7+1),IF(AND(WEEKDAY(CZ29)=4,NOT( ISERROR(MATCH(CZ29+1,Lune!$A$1:$A$1000,0)))),INT((CZ29+1-DATE(YEAR(CZ29+1),1,1))/7+1),"")),INDEX(Lune!$B$1:$B$1000,MATCH(CZ29,Lune!$A$1:$A$1000,0),1)))</f>
        <v/>
      </c>
      <c r="DB29" s="80" t="str">
        <f t="shared" ca="1" si="19"/>
        <v/>
      </c>
      <c r="DC29" s="54" t="str">
        <f ca="1">IF(ISERROR(VLOOKUP(CZ29,anniversaire!$X$2:$Z$100,2,0)),"",VLOOKUP(CZ29,anniversaire!$X$2:$Z$100,2,0))</f>
        <v/>
      </c>
      <c r="DD29" s="54" t="str">
        <f>IF(ISERROR(VLOOKUP(CZ29,fête!$B$2:$C$367,2,0)),"",VLOOKUP(CZ29,fête!$B$2:$C$367,2,0))</f>
        <v>Sévrin</v>
      </c>
      <c r="DE29" s="54" t="str">
        <f>IF(ISERROR(VLOOKUP(CZ29,évènements!$A$3:$E$200,3,0)),"",VLOOKUP(CZ29,évènements!$A$3:$E$200,3,0))</f>
        <v/>
      </c>
      <c r="DF29" s="54" t="str">
        <f>IF(ISERROR(VLOOKUP(CZ29,évènements!$B$3:$E$200,2,0)),"",VLOOKUP(CZ29,évènements!$B$3:$E$200,2,0))</f>
        <v/>
      </c>
      <c r="DG29" s="54"/>
      <c r="DH29" s="54" t="str">
        <f t="shared" si="20"/>
        <v xml:space="preserve">  </v>
      </c>
      <c r="DI29" s="41">
        <f t="shared" si="39"/>
        <v>43096</v>
      </c>
      <c r="DJ29" s="42">
        <f t="shared" si="52"/>
        <v>43096</v>
      </c>
      <c r="DK29" s="43" t="str">
        <f>IF(DJ29="","",IF(ISERROR(MATCH(DJ29,Lune!$A$1:$A$1000,0)),IF(WEEKDAY(DJ29)=5,INT((DJ29-DATE(YEAR(DJ29),1,1))/7+1),IF(AND(WEEKDAY(DJ29)=4,NOT( ISERROR(MATCH(DJ29+1,Lune!$A$1:$A$1000,0)))),INT((DJ29+1-DATE(YEAR(DJ29+1),1,1))/7+1),"")),INDEX(Lune!$B$1:$B$1000,MATCH(DJ29,Lune!$A$1:$A$1000,0),1)))</f>
        <v/>
      </c>
      <c r="DL29" s="80" t="str">
        <f t="shared" ca="1" si="21"/>
        <v/>
      </c>
      <c r="DM29" s="54" t="str">
        <f ca="1">IF(ISERROR(VLOOKUP(DJ29,anniversaire!$X$2:$Z$100,2,0)),"",VLOOKUP(DJ29,anniversaire!$X$2:$Z$100,2,0))</f>
        <v/>
      </c>
      <c r="DN29" s="54" t="str">
        <f>IF(ISERROR(VLOOKUP(DJ29,fête!$B$2:$C$367,2,0)),"",VLOOKUP(DJ29,fête!$B$2:$C$367,2,0))</f>
        <v>Jean</v>
      </c>
      <c r="DO29" s="54" t="str">
        <f>IF(ISERROR(VLOOKUP(DJ29,évènements!$A$3:$E$200,3,0)),"",VLOOKUP(DJ29,évènements!$A$3:$E$200,3,0))</f>
        <v/>
      </c>
      <c r="DP29" s="54" t="str">
        <f>IF(ISERROR(VLOOKUP(DJ29,évènements!$B$3:$E$200,2,0)),"",VLOOKUP(DJ29,évènements!$B$3:$E$200,2,0))</f>
        <v/>
      </c>
      <c r="DQ29" s="54" t="str">
        <f ca="1">IF(ISNA(VLOOKUP(DJ29,Tableau1[[#All],[Colonne1]:[ouvrés]],3,FALSE)),"",VLOOKUP(DJ29,Tableau1[[#All],[Colonne1]:[ouvrés]],3,FALSE))</f>
        <v/>
      </c>
      <c r="DR29" s="54" t="str">
        <f t="shared" si="22"/>
        <v xml:space="preserve">  </v>
      </c>
      <c r="DS29" s="41">
        <f t="shared" si="40"/>
        <v>43127</v>
      </c>
      <c r="DT29" s="42">
        <f t="shared" si="53"/>
        <v>43127</v>
      </c>
      <c r="DU29" s="43" t="str">
        <f>IF(DT29="","",IF(ISERROR(MATCH(DT29,Lune!$A$1:$A$1000,0)),IF(WEEKDAY(DT29)=5,INT((DT29-DATE(YEAR(DT29),1,1))/7+1),IF(AND(WEEKDAY(DT29)=4,NOT( ISERROR(MATCH(DT29+1,Lune!$A$1:$A$1000,0)))),INT((DT29+1-DATE(YEAR(DT29+1),1,1))/7+1),"")),INDEX(Lune!$B$1:$B$1000,MATCH(DT29,Lune!$A$1:$A$1000,0),1)))</f>
        <v/>
      </c>
      <c r="DV29" s="89" t="str">
        <f t="shared" ca="1" si="23"/>
        <v/>
      </c>
      <c r="DW29" s="252" t="str">
        <f t="shared" ca="1" si="24"/>
        <v/>
      </c>
      <c r="DX29" s="252" t="str">
        <f t="shared" si="25"/>
        <v>Angèle</v>
      </c>
      <c r="DY29" s="252" t="str">
        <f>IF(ISERROR(VLOOKUP(DT29,évènements!$A$3:$E$200,3,0)),"",VLOOKUP(DT29,évènements!$A$3:$E$200,3,0))</f>
        <v/>
      </c>
      <c r="DZ29" s="252" t="str">
        <f>IF(ISERROR(VLOOKUP(DT29,évènements!$B$3:$E$200,2,0)),"",VLOOKUP(DT29,évènements!$B$3:$E$200,2,0))</f>
        <v/>
      </c>
      <c r="EA29" s="252" t="str">
        <f ca="1">IF(ISNA(VLOOKUP(DT29,Tableau1[[#All],[Colonne1]:[ouvrés]],3,FALSE)),"",VLOOKUP(DT29,Tableau1[[#All],[Colonne1]:[ouvrés]],3,FALSE))</f>
        <v/>
      </c>
      <c r="EB29" s="252" t="str">
        <f t="shared" si="26"/>
        <v xml:space="preserve">  </v>
      </c>
    </row>
    <row r="30" spans="2:132" ht="15" customHeight="1" x14ac:dyDescent="0.25">
      <c r="B30" s="29"/>
      <c r="C30" s="41">
        <f t="shared" si="27"/>
        <v>42763</v>
      </c>
      <c r="D30" s="40">
        <f t="shared" si="41"/>
        <v>42763</v>
      </c>
      <c r="E30" s="131" t="str">
        <f>IF(D30="","",IF(ISERROR(MATCH(D30,Lune!$A$1:$A$1000,0)),IF(WEEKDAY(D30)=5,INT((D30-DATE(YEAR(D30),1,1))/7+1),IF(AND(WEEKDAY(D30)=4,NOT( ISERROR(MATCH(D30+1,Lune!$A$1:$A$1000,0)))),INT((D30+1-DATE(YEAR(D30+1),1,1))/7+1),"")),INDEX(Lune!$B$1:$B$1000,MATCH(D30,Lune!$A$1:$A$1000,0),1)))</f>
        <v>●</v>
      </c>
      <c r="F30" s="89" t="str">
        <f t="shared" ca="1" si="0"/>
        <v/>
      </c>
      <c r="G30" s="125" t="str">
        <f ca="1">IF(ISERROR(VLOOKUP(D30,anniversaire!$X$2:$Z$100,2,0)),"",VLOOKUP(D30,anniversaire!$X$2:$Z$100,2,0))</f>
        <v/>
      </c>
      <c r="H30" s="54" t="str">
        <f>IF(ISERROR(VLOOKUP(D30,fête!$B$2:$C$367,2,0)),"",VLOOKUP(D30,fête!$B$2:$C$367,2,0))</f>
        <v>Thomas d'Aquin</v>
      </c>
      <c r="I30" s="239" t="str">
        <f>IF(ISERROR(VLOOKUP(D30,évènements!$A$3:$E$200,3,0)),"",VLOOKUP(D30,évènements!$A$3:$E$200,3,0))</f>
        <v/>
      </c>
      <c r="J30" s="239" t="str">
        <f>IF(ISERROR(VLOOKUP(D30,évènements!$B$3:$E$200,2,0)),"",VLOOKUP(D30,évènements!$B$3:$E$200,2,0))</f>
        <v/>
      </c>
      <c r="K30" s="239" t="str">
        <f ca="1">IF(ISNA(VLOOKUP(D30,Tableau1[[#All],[Colonne1]:[ouvrés]],3,FALSE)),"",VLOOKUP(D30,Tableau1[[#All],[Colonne1]:[ouvrés]],3,FALSE))</f>
        <v/>
      </c>
      <c r="L30" s="239" t="str">
        <f t="shared" si="58"/>
        <v xml:space="preserve">  </v>
      </c>
      <c r="M30" s="41">
        <f t="shared" si="28"/>
        <v>42794</v>
      </c>
      <c r="N30" s="42">
        <f t="shared" si="42"/>
        <v>42794</v>
      </c>
      <c r="O30" s="131" t="str">
        <f>IF(N30="","",IF(ISERROR(MATCH(N30,Lune!$A$1:$A$1000,0)),IF(WEEKDAY(N30)=5,INT((N30-DATE(YEAR(N30),1,1))/7+1),IF(AND(WEEKDAY(N30)=4,NOT( ISERROR(MATCH(N30+1,Lune!$A$1:$A$1000,0)))),INT((N30+1-DATE(YEAR(N30+1),1,1))/7+1),"")),INDEX(Lune!$B$1:$B$1000,MATCH(N30,Lune!$A$1:$A$1000,0),1)))</f>
        <v/>
      </c>
      <c r="P30" s="80" t="str">
        <f t="shared" ca="1" si="54"/>
        <v/>
      </c>
      <c r="Q30" s="54" t="str">
        <f ca="1">IF(ISERROR(VLOOKUP(N30,anniversaire!$X$2:$Z$100,2,0)),"",VLOOKUP(N30,anniversaire!$X$2:$Z$100,2,0))</f>
        <v/>
      </c>
      <c r="R30" s="54" t="str">
        <f>IF(ISERROR(VLOOKUP(N30,fête!$B$2:$C$367,2,0)),"",VLOOKUP(N30,fête!$B$2:$C$367,2,0))</f>
        <v>Romain</v>
      </c>
      <c r="S30" s="54" t="str">
        <f>IF(ISERROR(VLOOKUP(N30,évènements!$A$3:$E$200,3,0)),"",VLOOKUP(N30,évènements!$A$3:$E$200,3,0))</f>
        <v/>
      </c>
      <c r="T30" s="54" t="str">
        <f>IF(ISERROR(VLOOKUP(N30,évènements!$B$3:$E$200,2,0)),"",VLOOKUP(N30,évènements!$B$3:$E$200,2,0))</f>
        <v/>
      </c>
      <c r="U30" s="54" t="str">
        <f ca="1">IF(ISNA(VLOOKUP(N30,Tableau1[[#All],[Colonne1]:[ouvrés]],3,FALSE)),"",VLOOKUP(N30,Tableau1[[#All],[Colonne1]:[ouvrés]],3,FALSE))</f>
        <v/>
      </c>
      <c r="V30" s="54" t="str">
        <f t="shared" si="3"/>
        <v xml:space="preserve">  </v>
      </c>
      <c r="W30" s="41">
        <f t="shared" si="29"/>
        <v>42822</v>
      </c>
      <c r="X30" s="42">
        <f t="shared" si="43"/>
        <v>42822</v>
      </c>
      <c r="Y30" s="132" t="str">
        <f>IF(X30="","",IF(ISERROR(MATCH(X30,Lune!$A$1:$A$1000,0)),IF(WEEKDAY(X30)=5,INT((X30-DATE(YEAR(X30),1,1))/7+1),IF(AND(WEEKDAY(X30)=4,NOT( ISERROR(MATCH(X30+1,Lune!$A$1:$A$1000,0)))),INT((X30+1-DATE(YEAR(X30+1),1,1))/7+1),"")),INDEX(Lune!$B$1:$B$1000,MATCH(X30,Lune!$A$1:$A$1000,0),1)))</f>
        <v>●</v>
      </c>
      <c r="Z30" s="89" t="str">
        <f t="shared" ca="1" si="4"/>
        <v/>
      </c>
      <c r="AA30" s="125" t="str">
        <f ca="1">IF(ISERROR(VLOOKUP(X30,anniversaire!$X$2:$Z$100,2,0)),"",VLOOKUP(X30,anniversaire!$X$2:$Z$100,2,0))</f>
        <v/>
      </c>
      <c r="AB30" s="54" t="str">
        <f>IF(ISERROR(VLOOKUP(X30,fête!$B$2:$C$367,2,0)),"",VLOOKUP(X30,fête!$B$2:$C$367,2,0))</f>
        <v>Gontran</v>
      </c>
      <c r="AC30" s="54" t="str">
        <f>IF(ISERROR(VLOOKUP(X30,évènements!$A$3:$E$200,3,0)),"",VLOOKUP(X30,évènements!$A$3:$E$200,3,0))</f>
        <v/>
      </c>
      <c r="AD30" s="54" t="str">
        <f>IF(ISERROR(VLOOKUP(X30,évènements!$B$3:$E$200,2,0)),"",VLOOKUP(X30,évènements!$B$3:$E$200,2,0))</f>
        <v/>
      </c>
      <c r="AE30" s="54" t="str">
        <f ca="1">IF(ISNA(VLOOKUP(X30,Tableau1[[#All],[Colonne1]:[ouvrés]],3,FALSE)),"",VLOOKUP(X30,Tableau1[[#All],[Colonne1]:[ouvrés]],3,FALSE))</f>
        <v/>
      </c>
      <c r="AF30" s="54" t="str">
        <f t="shared" si="57"/>
        <v xml:space="preserve">  </v>
      </c>
      <c r="AG30" s="41">
        <f t="shared" si="30"/>
        <v>42853</v>
      </c>
      <c r="AH30" s="42">
        <f t="shared" si="44"/>
        <v>42853</v>
      </c>
      <c r="AI30" s="137" t="str">
        <f>IF(AH30="","",IF(ISERROR(MATCH(AH30,Lune!$A$1:$A$1000,0)),IF(WEEKDAY(AH30)=5,INT((AH30-DATE(YEAR(AH30),1,1))/7+1),IF(AND(WEEKDAY(AH30)=4,NOT( ISERROR(MATCH(AH30+1,Lune!$A$1:$A$1000,0)))),INT((AH30+1-DATE(YEAR(AH30+1),1,1))/7+1),"")),INDEX(Lune!$B$1:$B$1000,MATCH(AH30,Lune!$A$1:$A$1000,0),1)))</f>
        <v/>
      </c>
      <c r="AJ30" s="80" t="str">
        <f t="shared" ca="1" si="6"/>
        <v xml:space="preserve"> '</v>
      </c>
      <c r="AK30" s="54" t="str">
        <f ca="1">IF(ISERROR(VLOOKUP(AH30,anniversaire!$X$2:$Z$100,2,0)),"",VLOOKUP(AH30,anniversaire!$X$2:$Z$100,2,0))</f>
        <v>Boireau  eric    32</v>
      </c>
      <c r="AL30" s="54" t="str">
        <f>IF(ISERROR(VLOOKUP(AH30,fête!$B$2:$C$367,2,0)),"",VLOOKUP(AH30,fête!$B$2:$C$367,2,0))</f>
        <v>Valérie</v>
      </c>
      <c r="AM30" s="54" t="str">
        <f>IF(ISERROR(VLOOKUP(AH30,évènements!$A$3:$E$200,3,0)),"",VLOOKUP(AH30,évènements!$A$3:$E$200,3,0))</f>
        <v/>
      </c>
      <c r="AN30" s="54" t="str">
        <f>IF(ISERROR(VLOOKUP(AH30,évènements!$B$3:$E$200,2,0)),"",VLOOKUP(AH30,évènements!$B$3:$E$200,2,0))</f>
        <v/>
      </c>
      <c r="AO30" s="54" t="str">
        <f ca="1">IF(ISNA(VLOOKUP(AH30,Tableau1[[#All],[Colonne1]:[ouvrés]],3,FALSE)),"",VLOOKUP(AH30,Tableau1[[#All],[Colonne1]:[ouvrés]],3,FALSE))</f>
        <v/>
      </c>
      <c r="AP30" s="238" t="str">
        <f t="shared" si="55"/>
        <v xml:space="preserve">  </v>
      </c>
      <c r="AQ30" s="41">
        <f t="shared" si="31"/>
        <v>42883</v>
      </c>
      <c r="AR30" s="42">
        <f t="shared" si="45"/>
        <v>42883</v>
      </c>
      <c r="AS30" s="43" t="str">
        <f>IF(AR30="","",IF(ISERROR(MATCH(AR30,Lune!$A$1:$A$1000,0)),IF(WEEKDAY(AR30)=5,INT((AR30-DATE(YEAR(AR30),1,1))/7+1),IF(AND(WEEKDAY(AR30)=4,NOT( ISERROR(MATCH(AR30+1,Lune!$A$1:$A$1000,0)))),INT((AR30+1-DATE(YEAR(AR30+1),1,1))/7+1),"")),INDEX(Lune!$B$1:$B$1000,MATCH(AR30,Lune!$A$1:$A$1000,0),1)))</f>
        <v/>
      </c>
      <c r="AT30" s="79" t="str">
        <f t="shared" ca="1" si="8"/>
        <v/>
      </c>
      <c r="AU30" s="54" t="str">
        <f ca="1">IF(ISERROR(VLOOKUP(AR30,anniversaire!$X$2:$Z$100,2,0)),"",VLOOKUP(AR30,anniversaire!$X$2:$Z$100,2,0))</f>
        <v/>
      </c>
      <c r="AV30" s="54" t="str">
        <f>IF(ISERROR(VLOOKUP(AR30,fête!$B$2:$C$367,2,0)),"",VLOOKUP(AR30,fête!$B$2:$C$367,2,0))</f>
        <v>Germain</v>
      </c>
      <c r="AW30" s="238" t="str">
        <f>IF(ISERROR(VLOOKUP(AR30,évènements!$A$3:$E$200,3,0)),"",VLOOKUP(AR30,évènements!$A$3:$E$200,3,0))</f>
        <v/>
      </c>
      <c r="AX30" s="238" t="str">
        <f>IF(ISERROR(VLOOKUP(AR30,évènements!$B$3:$E$200,2,0)),"",VLOOKUP(AR30,évènements!$B$3:$E$200,2,0))</f>
        <v/>
      </c>
      <c r="AY30" s="238" t="str">
        <f ca="1">IF(ISNA(VLOOKUP(AR30,Tableau1[[#All],[Colonne1]:[ouvrés]],3,FALSE)),"",VLOOKUP(AR30,Tableau1[[#All],[Colonne1]:[ouvrés]],3,FALSE))</f>
        <v/>
      </c>
      <c r="AZ30" s="238" t="str">
        <f t="shared" si="9"/>
        <v xml:space="preserve">  </v>
      </c>
      <c r="BA30" s="41">
        <f t="shared" si="32"/>
        <v>42914</v>
      </c>
      <c r="BB30" s="42">
        <f t="shared" si="46"/>
        <v>42914</v>
      </c>
      <c r="BC30" s="43" t="str">
        <f>IF(BB30="","",IF(ISERROR(MATCH(BB30,Lune!$A$1:$A$1000,0)),IF(WEEKDAY(BB30)=5,INT((BB30-DATE(YEAR(BB30),1,1))/7+1),IF(AND(WEEKDAY(BB30)=4,NOT( ISERROR(MATCH(BB30+1,Lune!$A$1:$A$1000,0)))),INT((BB30+1-DATE(YEAR(BB30+1),1,1))/7+1),"")),INDEX(Lune!$B$1:$B$1000,MATCH(BB30,Lune!$A$1:$A$1000,0),1)))</f>
        <v/>
      </c>
      <c r="BD30" s="79" t="str">
        <f t="shared" ca="1" si="10"/>
        <v/>
      </c>
      <c r="BE30" s="54" t="str">
        <f ca="1">IF(ISERROR(VLOOKUP(BB30,anniversaire!$X$2:$Z$100,2,0)),"",VLOOKUP(BB30,anniversaire!$X$2:$Z$100,2,0))</f>
        <v/>
      </c>
      <c r="BF30" s="54" t="str">
        <f>IF(ISERROR(VLOOKUP(BB30,fête!$B$2:$C$367,2,0)),"",VLOOKUP(BB30,fête!$B$2:$C$367,2,0))</f>
        <v>Irénée</v>
      </c>
      <c r="BG30" s="54" t="str">
        <f>IF(ISERROR(VLOOKUP(BB30,évènements!$A$3:$E$200,3,0)),"",VLOOKUP(BB30,évènements!$A$3:$E$200,3,0))</f>
        <v/>
      </c>
      <c r="BH30" s="54" t="str">
        <f>IF(ISERROR(VLOOKUP(BB30,évènements!$B$3:$E$200,2,0)),"",VLOOKUP(BB30,évènements!$B$3:$E$200,2,0))</f>
        <v/>
      </c>
      <c r="BI30" s="54" t="str">
        <f ca="1">IF(ISNA(VLOOKUP(BB30,Tableau1[[#All],[Colonne1]:[ouvrés]],3,FALSE)),"",VLOOKUP(BB30,Tableau1[[#All],[Colonne1]:[ouvrés]],3,FALSE))</f>
        <v/>
      </c>
      <c r="BJ30" s="54" t="str">
        <f t="shared" si="56"/>
        <v xml:space="preserve">  </v>
      </c>
      <c r="BK30" s="41">
        <f t="shared" si="33"/>
        <v>42944</v>
      </c>
      <c r="BL30" s="42">
        <f t="shared" si="47"/>
        <v>42944</v>
      </c>
      <c r="BM30" s="43" t="str">
        <f>IF(BL30="","",IF(ISERROR(MATCH(BL30,Lune!$A$1:$A$1000,0)),IF(WEEKDAY(BL30)=5,INT((BL30-DATE(YEAR(BL30),1,1))/7+1),IF(AND(WEEKDAY(BL30)=4,NOT( ISERROR(MATCH(BL30+1,Lune!$A$1:$A$1000,0)))),INT((BL30+1-DATE(YEAR(BL30+1),1,1))/7+1),"")),INDEX(Lune!$B$1:$B$1000,MATCH(BL30,Lune!$A$1:$A$1000,0),1)))</f>
        <v/>
      </c>
      <c r="BN30" s="80" t="str">
        <f t="shared" ca="1" si="12"/>
        <v/>
      </c>
      <c r="BO30" s="54" t="str">
        <f ca="1">IF(ISERROR(VLOOKUP(BL30,anniversaire!$X$2:$Z$100,2,0)),"",VLOOKUP(BL30,anniversaire!$X$2:$Z$100,2,0))</f>
        <v/>
      </c>
      <c r="BP30" s="54" t="str">
        <f>IF(ISERROR(VLOOKUP(BL30,fête!$B$2:$C$367,2,0)),"",VLOOKUP(BL30,fête!$B$2:$C$367,2,0))</f>
        <v>Samson</v>
      </c>
      <c r="BQ30" s="54" t="str">
        <f>IF(ISERROR(VLOOKUP(BL30,évènements!$A$3:$E$200,3,0)),"",VLOOKUP(BL30,évènements!$A$3:$E$200,3,0))</f>
        <v/>
      </c>
      <c r="BR30" s="54" t="str">
        <f>IF(ISERROR(VLOOKUP(BL30,évènements!$B$3:$E$200,2,0)),"",VLOOKUP(BL30,évènements!$B$3:$E$200,2,0))</f>
        <v/>
      </c>
      <c r="BS30" s="54" t="str">
        <f ca="1">IF(ISNA(VLOOKUP(BL30,Tableau1[[#All],[Colonne1]:[ouvrés]],3,FALSE)),"",VLOOKUP(BL30,Tableau1[[#All],[Colonne1]:[ouvrés]],3,FALSE))</f>
        <v/>
      </c>
      <c r="BT30" s="54" t="str">
        <f t="shared" si="34"/>
        <v xml:space="preserve">  </v>
      </c>
      <c r="BU30" s="41">
        <f t="shared" si="35"/>
        <v>42975</v>
      </c>
      <c r="BV30" s="42">
        <f t="shared" si="48"/>
        <v>42975</v>
      </c>
      <c r="BW30" s="43" t="str">
        <f>IF(BV30="","",IF(ISERROR(MATCH(BV30,Lune!$A$1:$A$1000,0)),IF(WEEKDAY(BV30)=5,INT((BV30-DATE(YEAR(BV30),1,1))/7+1),IF(AND(WEEKDAY(BV30)=4,NOT( ISERROR(MATCH(BV30+1,Lune!$A$1:$A$1000,0)))),INT((BV30+1-DATE(YEAR(BV30+1),1,1))/7+1),"")),INDEX(Lune!$B$1:$B$1000,MATCH(BV30,Lune!$A$1:$A$1000,0),1)))</f>
        <v/>
      </c>
      <c r="BX30" s="80" t="str">
        <f t="shared" ca="1" si="13"/>
        <v/>
      </c>
      <c r="BY30" s="54" t="str">
        <f ca="1">IF(ISERROR(VLOOKUP(BV30,anniversaire!$X$2:$Z$100,2,0)),"",VLOOKUP(BV30,anniversaire!$X$2:$Z$100,2,0))</f>
        <v/>
      </c>
      <c r="BZ30" s="54" t="str">
        <f>IF(ISERROR(VLOOKUP(BV30,fête!$B$2:$C$367,2,0)),"",VLOOKUP(BV30,fête!$B$2:$C$367,2,0))</f>
        <v>Augustin</v>
      </c>
      <c r="CA30" s="54" t="str">
        <f>IF(ISERROR(VLOOKUP(BV30,évènements!$A$3:$E$200,3,0)),"",VLOOKUP(BV30,évènements!$A$3:$E$200,3,0))</f>
        <v/>
      </c>
      <c r="CB30" s="54" t="str">
        <f>IF(ISERROR(VLOOKUP(BV30,évènements!$B$3:$E$200,2,0)),"",VLOOKUP(BV30,évènements!$B$3:$E$200,2,0))</f>
        <v/>
      </c>
      <c r="CC30" s="54" t="str">
        <f ca="1">IF(ISNA(VLOOKUP(BV30,Tableau1[[#All],[Colonne1]:[ouvrés]],3,FALSE)),"",VLOOKUP(BV30,Tableau1[[#All],[Colonne1]:[ouvrés]],3,FALSE))</f>
        <v/>
      </c>
      <c r="CD30" s="54" t="str">
        <f t="shared" si="14"/>
        <v xml:space="preserve">  </v>
      </c>
      <c r="CE30" s="41">
        <f t="shared" si="36"/>
        <v>43006</v>
      </c>
      <c r="CF30" s="42">
        <f t="shared" si="49"/>
        <v>43006</v>
      </c>
      <c r="CG30" s="43" t="str">
        <f>IF(CF30="","",IF(ISERROR(MATCH(CF30,Lune!$A$1:$A$1000,0)),IF(WEEKDAY(CF30)=5,INT((CF30-DATE(YEAR(CF30),1,1))/7+1),IF(AND(WEEKDAY(CF30)=4,NOT( ISERROR(MATCH(CF30+1,Lune!$A$1:$A$1000,0)))),INT((CF30+1-DATE(YEAR(CF30+1),1,1))/7+1),"")),INDEX(Lune!$B$1:$B$1000,MATCH(CF30,Lune!$A$1:$A$1000,0),1)))</f>
        <v>◐</v>
      </c>
      <c r="CH30" s="80" t="str">
        <f t="shared" ca="1" si="15"/>
        <v/>
      </c>
      <c r="CI30" s="54" t="str">
        <f ca="1">IF(ISERROR(VLOOKUP(CF30,anniversaire!$X$2:$Z$100,2,0)),"",VLOOKUP(CF30,anniversaire!$X$2:$Z$100,2,0))</f>
        <v/>
      </c>
      <c r="CJ30" s="54" t="str">
        <f>IF(ISERROR(VLOOKUP(CF30,fête!$B$2:$C$367,2,0)),"",VLOOKUP(CF30,fête!$B$2:$C$367,2,0))</f>
        <v>Venceslas</v>
      </c>
      <c r="CK30" s="54" t="str">
        <f>IF(ISERROR(VLOOKUP(CF30,évènements!$A$3:$E$200,3,0)),"",VLOOKUP(CF30,évènements!$A$3:$E$200,3,0))</f>
        <v/>
      </c>
      <c r="CL30" s="54" t="str">
        <f>IF(ISERROR(VLOOKUP(CF30,évènements!$B$3:$E$200,2,0)),"",VLOOKUP(CF30,évènements!$B$3:$E$200,2,0))</f>
        <v/>
      </c>
      <c r="CM30" s="54" t="str">
        <f ca="1">IF(ISNA(VLOOKUP(CF30,Tableau1[[#All],[Colonne1]:[ouvrés]],3,FALSE)),"",VLOOKUP(CF30,Tableau1[[#All],[Colonne1]:[ouvrés]],3,FALSE))</f>
        <v/>
      </c>
      <c r="CN30" s="54" t="str">
        <f t="shared" si="16"/>
        <v xml:space="preserve">  </v>
      </c>
      <c r="CO30" s="41">
        <f t="shared" si="37"/>
        <v>43036</v>
      </c>
      <c r="CP30" s="42">
        <f t="shared" si="50"/>
        <v>43036</v>
      </c>
      <c r="CQ30" s="43" t="str">
        <f>IF(CP30="","",IF(ISERROR(MATCH(CP30,Lune!$A$1:$A$1000,0)),IF(WEEKDAY(CP30)=5,INT((CP30-DATE(YEAR(CP30),1,1))/7+1),IF(AND(WEEKDAY(CP30)=4,NOT( ISERROR(MATCH(CP30+1,Lune!$A$1:$A$1000,0)))),INT((CP30+1-DATE(YEAR(CP30+1),1,1))/7+1),"")),INDEX(Lune!$B$1:$B$1000,MATCH(CP30,Lune!$A$1:$A$1000,0),1)))</f>
        <v/>
      </c>
      <c r="CR30" s="80" t="str">
        <f t="shared" ca="1" si="17"/>
        <v/>
      </c>
      <c r="CS30" s="54" t="str">
        <f ca="1">IF(ISERROR(VLOOKUP(CP30,anniversaire!$X$2:$Z$100,2,0)),"",VLOOKUP(CP30,anniversaire!$X$2:$Z$100,2,0))</f>
        <v/>
      </c>
      <c r="CT30" s="54" t="str">
        <f>IF(ISERROR(VLOOKUP(CP30,fête!$B$2:$C$367,2,0)),"",VLOOKUP(CP30,fête!$B$2:$C$367,2,0))</f>
        <v>Jude</v>
      </c>
      <c r="CU30" s="54" t="str">
        <f>IF(ISERROR(VLOOKUP(CP30,évènements!$A$3:$E$200,3,0)),"",VLOOKUP(CP30,évènements!$A$3:$E$200,3,0))</f>
        <v/>
      </c>
      <c r="CV30" s="54" t="str">
        <f>IF(ISERROR(VLOOKUP(CP30,évènements!$B$3:$E$200,2,0)),"",VLOOKUP(CP30,évènements!$B$3:$E$200,2,0))</f>
        <v/>
      </c>
      <c r="CW30" s="54" t="str">
        <f ca="1">IF(ISNA(VLOOKUP(CP30,Tableau1[[#All],[Colonne1]:[ouvrés]],3,FALSE)),"",VLOOKUP(CP30,Tableau1[[#All],[Colonne1]:[ouvrés]],3,FALSE))</f>
        <v/>
      </c>
      <c r="CX30" s="54" t="str">
        <f t="shared" si="18"/>
        <v xml:space="preserve">  </v>
      </c>
      <c r="CY30" s="41">
        <f t="shared" si="38"/>
        <v>43067</v>
      </c>
      <c r="CZ30" s="42">
        <f t="shared" si="51"/>
        <v>43067</v>
      </c>
      <c r="DA30" s="43" t="str">
        <f>IF(CZ30="","",IF(ISERROR(MATCH(CZ30,Lune!$A$1:$A$1000,0)),IF(WEEKDAY(CZ30)=5,INT((CZ30-DATE(YEAR(CZ30),1,1))/7+1),IF(AND(WEEKDAY(CZ30)=4,NOT( ISERROR(MATCH(CZ30+1,Lune!$A$1:$A$1000,0)))),INT((CZ30+1-DATE(YEAR(CZ30+1),1,1))/7+1),"")),INDEX(Lune!$B$1:$B$1000,MATCH(CZ30,Lune!$A$1:$A$1000,0),1)))</f>
        <v/>
      </c>
      <c r="DB30" s="80" t="str">
        <f t="shared" ca="1" si="19"/>
        <v/>
      </c>
      <c r="DC30" s="54" t="str">
        <f ca="1">IF(ISERROR(VLOOKUP(CZ30,anniversaire!$X$2:$Z$100,2,0)),"",VLOOKUP(CZ30,anniversaire!$X$2:$Z$100,2,0))</f>
        <v/>
      </c>
      <c r="DD30" s="54" t="str">
        <f>IF(ISERROR(VLOOKUP(CZ30,fête!$B$2:$C$367,2,0)),"",VLOOKUP(CZ30,fête!$B$2:$C$367,2,0))</f>
        <v>Jacques de la Marche</v>
      </c>
      <c r="DE30" s="54" t="str">
        <f>IF(ISERROR(VLOOKUP(CZ30,évènements!$A$3:$E$200,3,0)),"",VLOOKUP(CZ30,évènements!$A$3:$E$200,3,0))</f>
        <v/>
      </c>
      <c r="DF30" s="54" t="str">
        <f>IF(ISERROR(VLOOKUP(CZ30,évènements!$B$3:$E$200,2,0)),"",VLOOKUP(CZ30,évènements!$B$3:$E$200,2,0))</f>
        <v/>
      </c>
      <c r="DG30" s="54"/>
      <c r="DH30" s="54" t="str">
        <f t="shared" si="20"/>
        <v xml:space="preserve">  </v>
      </c>
      <c r="DI30" s="41">
        <f t="shared" si="39"/>
        <v>43097</v>
      </c>
      <c r="DJ30" s="42">
        <f t="shared" si="52"/>
        <v>43097</v>
      </c>
      <c r="DK30" s="43">
        <f>IF(DJ30="","",IF(ISERROR(MATCH(DJ30,Lune!$A$1:$A$1000,0)),IF(WEEKDAY(DJ30)=5,INT((DJ30-DATE(YEAR(DJ30),1,1))/7+1),IF(AND(WEEKDAY(DJ30)=4,NOT( ISERROR(MATCH(DJ30+1,Lune!$A$1:$A$1000,0)))),INT((DJ30+1-DATE(YEAR(DJ30+1),1,1))/7+1),"")),INDEX(Lune!$B$1:$B$1000,MATCH(DJ30,Lune!$A$1:$A$1000,0),1)))</f>
        <v>52</v>
      </c>
      <c r="DL30" s="80" t="str">
        <f t="shared" ca="1" si="21"/>
        <v/>
      </c>
      <c r="DM30" s="54" t="str">
        <f ca="1">IF(ISERROR(VLOOKUP(DJ30,anniversaire!$X$2:$Z$100,2,0)),"",VLOOKUP(DJ30,anniversaire!$X$2:$Z$100,2,0))</f>
        <v/>
      </c>
      <c r="DN30" s="54" t="str">
        <f>IF(ISERROR(VLOOKUP(DJ30,fête!$B$2:$C$367,2,0)),"",VLOOKUP(DJ30,fête!$B$2:$C$367,2,0))</f>
        <v>Innocents</v>
      </c>
      <c r="DO30" s="54" t="str">
        <f>IF(ISERROR(VLOOKUP(DJ30,évènements!$A$3:$E$200,3,0)),"",VLOOKUP(DJ30,évènements!$A$3:$E$200,3,0))</f>
        <v/>
      </c>
      <c r="DP30" s="54" t="str">
        <f>IF(ISERROR(VLOOKUP(DJ30,évènements!$B$3:$E$200,2,0)),"",VLOOKUP(DJ30,évènements!$B$3:$E$200,2,0))</f>
        <v/>
      </c>
      <c r="DQ30" s="54" t="str">
        <f ca="1">IF(ISNA(VLOOKUP(DJ30,Tableau1[[#All],[Colonne1]:[ouvrés]],3,FALSE)),"",VLOOKUP(DJ30,Tableau1[[#All],[Colonne1]:[ouvrés]],3,FALSE))</f>
        <v/>
      </c>
      <c r="DR30" s="54" t="str">
        <f t="shared" si="22"/>
        <v xml:space="preserve">  </v>
      </c>
      <c r="DS30" s="41">
        <f t="shared" si="40"/>
        <v>43128</v>
      </c>
      <c r="DT30" s="42">
        <f t="shared" si="53"/>
        <v>43128</v>
      </c>
      <c r="DU30" s="43" t="str">
        <f>IF(DT30="","",IF(ISERROR(MATCH(DT30,Lune!$A$1:$A$1000,0)),IF(WEEKDAY(DT30)=5,INT((DT30-DATE(YEAR(DT30),1,1))/7+1),IF(AND(WEEKDAY(DT30)=4,NOT( ISERROR(MATCH(DT30+1,Lune!$A$1:$A$1000,0)))),INT((DT30+1-DATE(YEAR(DT30+1),1,1))/7+1),"")),INDEX(Lune!$B$1:$B$1000,MATCH(DT30,Lune!$A$1:$A$1000,0),1)))</f>
        <v/>
      </c>
      <c r="DV30" s="89" t="str">
        <f t="shared" ca="1" si="23"/>
        <v/>
      </c>
      <c r="DW30" s="252" t="str">
        <f t="shared" ca="1" si="24"/>
        <v/>
      </c>
      <c r="DX30" s="252" t="str">
        <f t="shared" si="25"/>
        <v>Thomas d'Aquin</v>
      </c>
      <c r="DY30" s="252" t="str">
        <f>IF(ISERROR(VLOOKUP(DT30,évènements!$A$3:$E$200,3,0)),"",VLOOKUP(DT30,évènements!$A$3:$E$200,3,0))</f>
        <v/>
      </c>
      <c r="DZ30" s="252" t="str">
        <f>IF(ISERROR(VLOOKUP(DT30,évènements!$B$3:$E$200,2,0)),"",VLOOKUP(DT30,évènements!$B$3:$E$200,2,0))</f>
        <v/>
      </c>
      <c r="EA30" s="252" t="str">
        <f ca="1">IF(ISNA(VLOOKUP(DT30,Tableau1[[#All],[Colonne1]:[ouvrés]],3,FALSE)),"",VLOOKUP(DT30,Tableau1[[#All],[Colonne1]:[ouvrés]],3,FALSE))</f>
        <v/>
      </c>
      <c r="EB30" s="252" t="str">
        <f t="shared" si="26"/>
        <v xml:space="preserve">  </v>
      </c>
    </row>
    <row r="31" spans="2:132" ht="15" customHeight="1" x14ac:dyDescent="0.25">
      <c r="B31" s="29"/>
      <c r="C31" s="41">
        <f t="shared" si="27"/>
        <v>42764</v>
      </c>
      <c r="D31" s="40">
        <f>IFERROR(IF(OR(D30="",MONTH(D30+1)&gt;MONTH(D30)),"",D30+1),"")</f>
        <v>42764</v>
      </c>
      <c r="E31" s="131" t="str">
        <f>IF(D31="","",IF(ISERROR(MATCH(D31,Lune!$A$1:$A$1000,0)),IF(WEEKDAY(D31)=5,INT((D31-DATE(YEAR(D31),1,1))/7+1),IF(AND(WEEKDAY(D31)=4,NOT( ISERROR(MATCH(D31+1,Lune!$A$1:$A$1000,0)))),INT((D31+1-DATE(YEAR(D31+1),1,1))/7+1),"")),INDEX(Lune!$B$1:$B$1000,MATCH(D31,Lune!$A$1:$A$1000,0),1)))</f>
        <v/>
      </c>
      <c r="F31" s="89" t="str">
        <f t="shared" ca="1" si="0"/>
        <v/>
      </c>
      <c r="G31" s="125" t="str">
        <f ca="1">IF(ISERROR(VLOOKUP(D31,anniversaire!$X$2:$Z$100,2,0)),"",VLOOKUP(D31,anniversaire!$X$2:$Z$100,2,0))</f>
        <v/>
      </c>
      <c r="H31" s="54" t="str">
        <f>IF(ISERROR(VLOOKUP(D31,fête!$B$2:$C$367,2,0)),"",VLOOKUP(D31,fête!$B$2:$C$367,2,0))</f>
        <v>Gildas</v>
      </c>
      <c r="I31" s="239" t="str">
        <f>IF(ISERROR(VLOOKUP(D31,évènements!$A$3:$E$200,3,0)),"",VLOOKUP(D31,évènements!$A$3:$E$200,3,0))</f>
        <v/>
      </c>
      <c r="J31" s="239" t="str">
        <f>IF(ISERROR(VLOOKUP(D31,évènements!$B$3:$E$200,2,0)),"",VLOOKUP(D31,évènements!$B$3:$E$200,2,0))</f>
        <v/>
      </c>
      <c r="K31" s="239" t="str">
        <f ca="1">IF(ISNA(VLOOKUP(D31,Tableau1[[#All],[Colonne1]:[ouvrés]],3,FALSE)),"",VLOOKUP(D31,Tableau1[[#All],[Colonne1]:[ouvrés]],3,FALSE))</f>
        <v/>
      </c>
      <c r="L31" s="239" t="str">
        <f t="shared" si="58"/>
        <v xml:space="preserve">  </v>
      </c>
      <c r="M31" s="41" t="str">
        <f t="shared" si="28"/>
        <v/>
      </c>
      <c r="N31" s="40" t="str">
        <f>IFERROR(IF(OR(N30="",MONTH(N30+1)&gt;MONTH(N30)),"",N30+1),"")</f>
        <v/>
      </c>
      <c r="O31" s="131" t="str">
        <f>IF(N31="","",IF(ISERROR(MATCH(N31,Lune!$A$1:$A$1000,0)),IF(WEEKDAY(N31)=5,INT((N31-DATE(YEAR(N31),1,1))/7+1),IF(AND(WEEKDAY(N31)=4,NOT( ISERROR(MATCH(N31+1,Lune!$A$1:$A$1000,0)))),INT((N31+1-DATE(YEAR(N31+1),1,1))/7+1),"")),INDEX(Lune!$B$1:$B$1000,MATCH(N31,Lune!$A$1:$A$1000,0),1)))</f>
        <v/>
      </c>
      <c r="P31" s="80" t="str">
        <f t="shared" ca="1" si="54"/>
        <v/>
      </c>
      <c r="Q31" s="54" t="str">
        <f ca="1">IF(ISERROR(VLOOKUP(N31,anniversaire!$X$2:$Z$100,2,0)),"",VLOOKUP(N31,anniversaire!$X$2:$Z$100,2,0))</f>
        <v/>
      </c>
      <c r="R31" s="54" t="str">
        <f>IF(ISERROR(VLOOKUP(N31,fête!$B$2:$C$367,2,0)),"",VLOOKUP(N31,fête!$B$2:$C$367,2,0))</f>
        <v/>
      </c>
      <c r="S31" s="54" t="str">
        <f>IF(ISERROR(VLOOKUP(N31,évènements!$A$3:$E$200,3,0)),"",VLOOKUP(N31,évènements!$A$3:$E$200,3,0))</f>
        <v/>
      </c>
      <c r="T31" s="54" t="str">
        <f>IF(ISERROR(VLOOKUP(N31,évènements!$B$3:$E$200,2,0)),"",VLOOKUP(N31,évènements!$B$3:$E$200,2,0))</f>
        <v/>
      </c>
      <c r="U31" s="54"/>
      <c r="V31" s="54" t="str">
        <f t="shared" si="3"/>
        <v xml:space="preserve">  </v>
      </c>
      <c r="W31" s="41">
        <f t="shared" si="29"/>
        <v>42823</v>
      </c>
      <c r="X31" s="42">
        <f>IFERROR(IF(OR(X30="",MONTH(X30+1)&gt;MONTH(X30)),"",X30+1),"")</f>
        <v>42823</v>
      </c>
      <c r="Y31" s="132" t="str">
        <f>IF(X31="","",IF(ISERROR(MATCH(X31,Lune!$A$1:$A$1000,0)),IF(WEEKDAY(X31)=5,INT((X31-DATE(YEAR(X31),1,1))/7+1),IF(AND(WEEKDAY(X31)=4,NOT( ISERROR(MATCH(X31+1,Lune!$A$1:$A$1000,0)))),INT((X31+1-DATE(YEAR(X31+1),1,1))/7+1),"")),INDEX(Lune!$B$1:$B$1000,MATCH(X31,Lune!$A$1:$A$1000,0),1)))</f>
        <v/>
      </c>
      <c r="Z31" s="89" t="str">
        <f t="shared" ca="1" si="4"/>
        <v xml:space="preserve"> '</v>
      </c>
      <c r="AA31" s="125" t="str">
        <f ca="1">IF(ISERROR(VLOOKUP(X31,anniversaire!$X$2:$Z$100,2,0)),"",VLOOKUP(X31,anniversaire!$X$2:$Z$100,2,0))</f>
        <v>taraud  albane    8</v>
      </c>
      <c r="AB31" s="54" t="str">
        <f>IF(ISERROR(VLOOKUP(X31,fête!$B$2:$C$367,2,0)),"",VLOOKUP(X31,fête!$B$2:$C$367,2,0))</f>
        <v>Gwladys</v>
      </c>
      <c r="AC31" s="54" t="str">
        <f>IF(ISERROR(VLOOKUP(X31,évènements!$A$3:$E$200,3,0)),"",VLOOKUP(X31,évènements!$A$3:$E$200,3,0))</f>
        <v/>
      </c>
      <c r="AD31" s="54" t="str">
        <f>IF(ISERROR(VLOOKUP(X31,évènements!$B$3:$E$200,2,0)),"",VLOOKUP(X31,évènements!$B$3:$E$200,2,0))</f>
        <v/>
      </c>
      <c r="AE31" s="54" t="str">
        <f ca="1">IF(ISNA(VLOOKUP(X31,Tableau1[[#All],[Colonne1]:[ouvrés]],3,FALSE)),"",VLOOKUP(X31,Tableau1[[#All],[Colonne1]:[ouvrés]],3,FALSE))</f>
        <v/>
      </c>
      <c r="AF31" s="54" t="str">
        <f t="shared" si="57"/>
        <v xml:space="preserve">  </v>
      </c>
      <c r="AG31" s="41">
        <f t="shared" si="30"/>
        <v>42854</v>
      </c>
      <c r="AH31" s="42">
        <f>IFERROR(IF(OR(AH30="",MONTH(AH30+1)&gt;MONTH(AH30)),"",AH30+1),"")</f>
        <v>42854</v>
      </c>
      <c r="AI31" s="137" t="str">
        <f>IF(AH31="","",IF(ISERROR(MATCH(AH31,Lune!$A$1:$A$1000,0)),IF(WEEKDAY(AH31)=5,INT((AH31-DATE(YEAR(AH31),1,1))/7+1),IF(AND(WEEKDAY(AH31)=4,NOT( ISERROR(MATCH(AH31+1,Lune!$A$1:$A$1000,0)))),INT((AH31+1-DATE(YEAR(AH31+1),1,1))/7+1),"")),INDEX(Lune!$B$1:$B$1000,MATCH(AH31,Lune!$A$1:$A$1000,0),1)))</f>
        <v/>
      </c>
      <c r="AJ31" s="80" t="str">
        <f t="shared" ca="1" si="6"/>
        <v/>
      </c>
      <c r="AK31" s="54" t="str">
        <f ca="1">IF(ISERROR(VLOOKUP(AH31,anniversaire!$X$2:$Z$100,2,0)),"",VLOOKUP(AH31,anniversaire!$X$2:$Z$100,2,0))</f>
        <v/>
      </c>
      <c r="AL31" s="54" t="str">
        <f>IF(ISERROR(VLOOKUP(AH31,fête!$B$2:$C$367,2,0)),"",VLOOKUP(AH31,fête!$B$2:$C$367,2,0))</f>
        <v>Catherine de Sienne</v>
      </c>
      <c r="AM31" s="54" t="str">
        <f>IF(ISERROR(VLOOKUP(AH31,évènements!$A$3:$E$200,3,0)),"",VLOOKUP(AH31,évènements!$A$3:$E$200,3,0))</f>
        <v/>
      </c>
      <c r="AN31" s="54" t="str">
        <f>IF(ISERROR(VLOOKUP(AH31,évènements!$B$3:$E$200,2,0)),"",VLOOKUP(AH31,évènements!$B$3:$E$200,2,0))</f>
        <v/>
      </c>
      <c r="AO31" s="54" t="str">
        <f ca="1">IF(ISNA(VLOOKUP(AH31,Tableau1[[#All],[Colonne1]:[ouvrés]],3,FALSE)),"",VLOOKUP(AH31,Tableau1[[#All],[Colonne1]:[ouvrés]],3,FALSE))</f>
        <v/>
      </c>
      <c r="AP31" s="238" t="str">
        <f t="shared" si="55"/>
        <v xml:space="preserve">  </v>
      </c>
      <c r="AQ31" s="41">
        <f t="shared" si="31"/>
        <v>42884</v>
      </c>
      <c r="AR31" s="42">
        <f>IFERROR(IF(OR(AR30="",MONTH(AR30+1)&gt;MONTH(AR30)),"",AR30+1),"")</f>
        <v>42884</v>
      </c>
      <c r="AS31" s="43" t="str">
        <f>IF(AR31="","",IF(ISERROR(MATCH(AR31,Lune!$A$1:$A$1000,0)),IF(WEEKDAY(AR31)=5,INT((AR31-DATE(YEAR(AR31),1,1))/7+1),IF(AND(WEEKDAY(AR31)=4,NOT( ISERROR(MATCH(AR31+1,Lune!$A$1:$A$1000,0)))),INT((AR31+1-DATE(YEAR(AR31+1),1,1))/7+1),"")),INDEX(Lune!$B$1:$B$1000,MATCH(AR31,Lune!$A$1:$A$1000,0),1)))</f>
        <v/>
      </c>
      <c r="AT31" s="79" t="str">
        <f t="shared" ca="1" si="8"/>
        <v/>
      </c>
      <c r="AU31" s="54" t="str">
        <f ca="1">IF(ISERROR(VLOOKUP(AR31,anniversaire!$X$2:$Z$100,2,0)),"",VLOOKUP(AR31,anniversaire!$X$2:$Z$100,2,0))</f>
        <v/>
      </c>
      <c r="AV31" s="54" t="str">
        <f>IF(ISERROR(VLOOKUP(AR31,fête!$B$2:$C$367,2,0)),"",VLOOKUP(AR31,fête!$B$2:$C$367,2,0))</f>
        <v>Aymar</v>
      </c>
      <c r="AW31" s="238" t="str">
        <f>IF(ISERROR(VLOOKUP(AR31,évènements!$A$3:$E$200,3,0)),"",VLOOKUP(AR31,évènements!$A$3:$E$200,3,0))</f>
        <v/>
      </c>
      <c r="AX31" s="238" t="str">
        <f>IF(ISERROR(VLOOKUP(AR31,évènements!$B$3:$E$200,2,0)),"",VLOOKUP(AR31,évènements!$B$3:$E$200,2,0))</f>
        <v/>
      </c>
      <c r="AY31" s="238" t="str">
        <f ca="1">IF(ISNA(VLOOKUP(AR31,Tableau1[[#All],[Colonne1]:[ouvrés]],3,FALSE)),"",VLOOKUP(AR31,Tableau1[[#All],[Colonne1]:[ouvrés]],3,FALSE))</f>
        <v/>
      </c>
      <c r="AZ31" s="238" t="str">
        <f t="shared" si="9"/>
        <v xml:space="preserve">  </v>
      </c>
      <c r="BA31" s="41">
        <f t="shared" si="32"/>
        <v>42915</v>
      </c>
      <c r="BB31" s="42">
        <f>IFERROR(IF(OR(BB30="",MONTH(BB30+1)&gt;MONTH(BB30)),"",BB30+1),"")</f>
        <v>42915</v>
      </c>
      <c r="BC31" s="43">
        <f>IF(BB31="","",IF(ISERROR(MATCH(BB31,Lune!$A$1:$A$1000,0)),IF(WEEKDAY(BB31)=5,INT((BB31-DATE(YEAR(BB31),1,1))/7+1),IF(AND(WEEKDAY(BB31)=4,NOT( ISERROR(MATCH(BB31+1,Lune!$A$1:$A$1000,0)))),INT((BB31+1-DATE(YEAR(BB31+1),1,1))/7+1),"")),INDEX(Lune!$B$1:$B$1000,MATCH(BB31,Lune!$A$1:$A$1000,0),1)))</f>
        <v>26</v>
      </c>
      <c r="BD31" s="79" t="str">
        <f t="shared" ca="1" si="10"/>
        <v/>
      </c>
      <c r="BE31" s="54" t="str">
        <f ca="1">IF(ISERROR(VLOOKUP(BB31,anniversaire!$X$2:$Z$100,2,0)),"",VLOOKUP(BB31,anniversaire!$X$2:$Z$100,2,0))</f>
        <v/>
      </c>
      <c r="BF31" s="54" t="str">
        <f>IF(ISERROR(VLOOKUP(BB31,fête!$B$2:$C$367,2,0)),"",VLOOKUP(BB31,fête!$B$2:$C$367,2,0))</f>
        <v>Pierre, Paul</v>
      </c>
      <c r="BG31" s="54" t="str">
        <f>IF(ISERROR(VLOOKUP(BB31,évènements!$A$3:$E$200,3,0)),"",VLOOKUP(BB31,évènements!$A$3:$E$200,3,0))</f>
        <v/>
      </c>
      <c r="BH31" s="54" t="str">
        <f>IF(ISERROR(VLOOKUP(BB31,évènements!$B$3:$E$200,2,0)),"",VLOOKUP(BB31,évènements!$B$3:$E$200,2,0))</f>
        <v/>
      </c>
      <c r="BI31" s="54" t="str">
        <f ca="1">IF(ISNA(VLOOKUP(BB31,Tableau1[[#All],[Colonne1]:[ouvrés]],3,FALSE)),"",VLOOKUP(BB31,Tableau1[[#All],[Colonne1]:[ouvrés]],3,FALSE))</f>
        <v/>
      </c>
      <c r="BJ31" s="54" t="str">
        <f t="shared" si="56"/>
        <v xml:space="preserve">  </v>
      </c>
      <c r="BK31" s="41">
        <f t="shared" si="33"/>
        <v>42945</v>
      </c>
      <c r="BL31" s="42">
        <f>IFERROR(IF(OR(BL30="",MONTH(BL30+1)&gt;MONTH(BL30)),"",BL30+1),"")</f>
        <v>42945</v>
      </c>
      <c r="BM31" s="43" t="str">
        <f>IF(BL31="","",IF(ISERROR(MATCH(BL31,Lune!$A$1:$A$1000,0)),IF(WEEKDAY(BL31)=5,INT((BL31-DATE(YEAR(BL31),1,1))/7+1),IF(AND(WEEKDAY(BL31)=4,NOT( ISERROR(MATCH(BL31+1,Lune!$A$1:$A$1000,0)))),INT((BL31+1-DATE(YEAR(BL31+1),1,1))/7+1),"")),INDEX(Lune!$B$1:$B$1000,MATCH(BL31,Lune!$A$1:$A$1000,0),1)))</f>
        <v/>
      </c>
      <c r="BN31" s="80" t="str">
        <f t="shared" ca="1" si="12"/>
        <v/>
      </c>
      <c r="BO31" s="54" t="str">
        <f ca="1">IF(ISERROR(VLOOKUP(BL31,anniversaire!$X$2:$Z$100,2,0)),"",VLOOKUP(BL31,anniversaire!$X$2:$Z$100,2,0))</f>
        <v/>
      </c>
      <c r="BP31" s="54" t="str">
        <f>IF(ISERROR(VLOOKUP(BL31,fête!$B$2:$C$367,2,0)),"",VLOOKUP(BL31,fête!$B$2:$C$367,2,0))</f>
        <v>Marthe</v>
      </c>
      <c r="BQ31" s="54" t="str">
        <f>IF(ISERROR(VLOOKUP(BL31,évènements!$A$3:$E$200,3,0)),"",VLOOKUP(BL31,évènements!$A$3:$E$200,3,0))</f>
        <v/>
      </c>
      <c r="BR31" s="54" t="str">
        <f>IF(ISERROR(VLOOKUP(BL31,évènements!$B$3:$E$200,2,0)),"",VLOOKUP(BL31,évènements!$B$3:$E$200,2,0))</f>
        <v/>
      </c>
      <c r="BS31" s="54" t="str">
        <f ca="1">IF(ISNA(VLOOKUP(BL31,Tableau1[[#All],[Colonne1]:[ouvrés]],3,FALSE)),"",VLOOKUP(BL31,Tableau1[[#All],[Colonne1]:[ouvrés]],3,FALSE))</f>
        <v/>
      </c>
      <c r="BT31" s="54" t="str">
        <f t="shared" si="34"/>
        <v xml:space="preserve">  </v>
      </c>
      <c r="BU31" s="41">
        <f t="shared" si="35"/>
        <v>42976</v>
      </c>
      <c r="BV31" s="42">
        <f>IFERROR(IF(OR(BV30="",MONTH(BV30+1)&gt;MONTH(BV30)),"",BV30+1),"")</f>
        <v>42976</v>
      </c>
      <c r="BW31" s="43" t="str">
        <f>IF(BV31="","",IF(ISERROR(MATCH(BV31,Lune!$A$1:$A$1000,0)),IF(WEEKDAY(BV31)=5,INT((BV31-DATE(YEAR(BV31),1,1))/7+1),IF(AND(WEEKDAY(BV31)=4,NOT( ISERROR(MATCH(BV31+1,Lune!$A$1:$A$1000,0)))),INT((BV31+1-DATE(YEAR(BV31+1),1,1))/7+1),"")),INDEX(Lune!$B$1:$B$1000,MATCH(BV31,Lune!$A$1:$A$1000,0),1)))</f>
        <v>◐</v>
      </c>
      <c r="BX31" s="80" t="str">
        <f t="shared" ca="1" si="13"/>
        <v/>
      </c>
      <c r="BY31" s="54" t="str">
        <f ca="1">IF(ISERROR(VLOOKUP(BV31,anniversaire!$X$2:$Z$100,2,0)),"",VLOOKUP(BV31,anniversaire!$X$2:$Z$100,2,0))</f>
        <v/>
      </c>
      <c r="BZ31" s="54" t="str">
        <f>IF(ISERROR(VLOOKUP(BV31,fête!$B$2:$C$367,2,0)),"",VLOOKUP(BV31,fête!$B$2:$C$367,2,0))</f>
        <v>Sabine</v>
      </c>
      <c r="CA31" s="54" t="str">
        <f>IF(ISERROR(VLOOKUP(BV31,évènements!$A$3:$E$200,3,0)),"",VLOOKUP(BV31,évènements!$A$3:$E$200,3,0))</f>
        <v/>
      </c>
      <c r="CB31" s="54" t="str">
        <f>IF(ISERROR(VLOOKUP(BV31,évènements!$B$3:$E$200,2,0)),"",VLOOKUP(BV31,évènements!$B$3:$E$200,2,0))</f>
        <v/>
      </c>
      <c r="CC31" s="54" t="str">
        <f ca="1">IF(ISNA(VLOOKUP(BV31,Tableau1[[#All],[Colonne1]:[ouvrés]],3,FALSE)),"",VLOOKUP(BV31,Tableau1[[#All],[Colonne1]:[ouvrés]],3,FALSE))</f>
        <v/>
      </c>
      <c r="CD31" s="54" t="str">
        <f t="shared" si="14"/>
        <v xml:space="preserve">  </v>
      </c>
      <c r="CE31" s="41">
        <f t="shared" si="36"/>
        <v>43007</v>
      </c>
      <c r="CF31" s="42">
        <f>IFERROR(IF(OR(CF30="",MONTH(CF30+1)&gt;MONTH(CF30)),"",CF30+1),"")</f>
        <v>43007</v>
      </c>
      <c r="CG31" s="43" t="str">
        <f>IF(CF31="","",IF(ISERROR(MATCH(CF31,Lune!$A$1:$A$1000,0)),IF(WEEKDAY(CF31)=5,INT((CF31-DATE(YEAR(CF31),1,1))/7+1),IF(AND(WEEKDAY(CF31)=4,NOT( ISERROR(MATCH(CF31+1,Lune!$A$1:$A$1000,0)))),INT((CF31+1-DATE(YEAR(CF31+1),1,1))/7+1),"")),INDEX(Lune!$B$1:$B$1000,MATCH(CF31,Lune!$A$1:$A$1000,0),1)))</f>
        <v/>
      </c>
      <c r="CH31" s="80" t="str">
        <f t="shared" ca="1" si="15"/>
        <v/>
      </c>
      <c r="CI31" s="54" t="str">
        <f ca="1">IF(ISERROR(VLOOKUP(CF31,anniversaire!$X$2:$Z$100,2,0)),"",VLOOKUP(CF31,anniversaire!$X$2:$Z$100,2,0))</f>
        <v/>
      </c>
      <c r="CJ31" s="54" t="str">
        <f>IF(ISERROR(VLOOKUP(CF31,fête!$B$2:$C$367,2,0)),"",VLOOKUP(CF31,fête!$B$2:$C$367,2,0))</f>
        <v>Michel, Gabriel, Raphaël</v>
      </c>
      <c r="CK31" s="54" t="str">
        <f>IF(ISERROR(VLOOKUP(CF31,évènements!$A$3:$E$200,3,0)),"",VLOOKUP(CF31,évènements!$A$3:$E$200,3,0))</f>
        <v/>
      </c>
      <c r="CL31" s="54" t="str">
        <f>IF(ISERROR(VLOOKUP(CF31,évènements!$B$3:$E$200,2,0)),"",VLOOKUP(CF31,évènements!$B$3:$E$200,2,0))</f>
        <v/>
      </c>
      <c r="CM31" s="54" t="str">
        <f ca="1">IF(ISNA(VLOOKUP(CF31,Tableau1[[#All],[Colonne1]:[ouvrés]],3,FALSE)),"",VLOOKUP(CF31,Tableau1[[#All],[Colonne1]:[ouvrés]],3,FALSE))</f>
        <v/>
      </c>
      <c r="CN31" s="54" t="str">
        <f t="shared" si="16"/>
        <v xml:space="preserve">  </v>
      </c>
      <c r="CO31" s="41">
        <f t="shared" si="37"/>
        <v>43037</v>
      </c>
      <c r="CP31" s="42">
        <f>IFERROR(IF(OR(CP30="",MONTH(CP30+1)&gt;MONTH(CP30)),"",CP30+1),"")</f>
        <v>43037</v>
      </c>
      <c r="CQ31" s="43" t="str">
        <f>IF(CP31="","",IF(ISERROR(MATCH(CP31,Lune!$A$1:$A$1000,0)),IF(WEEKDAY(CP31)=5,INT((CP31-DATE(YEAR(CP31),1,1))/7+1),IF(AND(WEEKDAY(CP31)=4,NOT( ISERROR(MATCH(CP31+1,Lune!$A$1:$A$1000,0)))),INT((CP31+1-DATE(YEAR(CP31+1),1,1))/7+1),"")),INDEX(Lune!$B$1:$B$1000,MATCH(CP31,Lune!$A$1:$A$1000,0),1)))</f>
        <v/>
      </c>
      <c r="CR31" s="80" t="str">
        <f t="shared" ca="1" si="17"/>
        <v/>
      </c>
      <c r="CS31" s="54" t="str">
        <f ca="1">IF(ISERROR(VLOOKUP(CP31,anniversaire!$X$2:$Z$100,2,0)),"",VLOOKUP(CP31,anniversaire!$X$2:$Z$100,2,0))</f>
        <v/>
      </c>
      <c r="CT31" s="54" t="str">
        <f>IF(ISERROR(VLOOKUP(CP31,fête!$B$2:$C$367,2,0)),"",VLOOKUP(CP31,fête!$B$2:$C$367,2,0))</f>
        <v>Narcisse</v>
      </c>
      <c r="CU31" s="54" t="str">
        <f>IF(ISERROR(VLOOKUP(CP31,évènements!$A$3:$E$200,3,0)),"",VLOOKUP(CP31,évènements!$A$3:$E$200,3,0))</f>
        <v/>
      </c>
      <c r="CV31" s="54" t="str">
        <f>IF(ISERROR(VLOOKUP(CP31,évènements!$B$3:$E$200,2,0)),"",VLOOKUP(CP31,évènements!$B$3:$E$200,2,0))</f>
        <v/>
      </c>
      <c r="CW31" s="54" t="str">
        <f ca="1">IF(ISNA(VLOOKUP(CP31,Tableau1[[#All],[Colonne1]:[ouvrés]],3,FALSE)),"",VLOOKUP(CP31,Tableau1[[#All],[Colonne1]:[ouvrés]],3,FALSE))</f>
        <v/>
      </c>
      <c r="CX31" s="54" t="str">
        <f t="shared" si="18"/>
        <v xml:space="preserve">  </v>
      </c>
      <c r="CY31" s="41">
        <f t="shared" si="38"/>
        <v>43068</v>
      </c>
      <c r="CZ31" s="42">
        <f>IFERROR(IF(OR(CZ30="",MONTH(CZ30+1)&gt;MONTH(CZ30)),"",CZ30+1),"")</f>
        <v>43068</v>
      </c>
      <c r="DA31" s="43" t="str">
        <f>IF(CZ31="","",IF(ISERROR(MATCH(CZ31,Lune!$A$1:$A$1000,0)),IF(WEEKDAY(CZ31)=5,INT((CZ31-DATE(YEAR(CZ31),1,1))/7+1),IF(AND(WEEKDAY(CZ31)=4,NOT( ISERROR(MATCH(CZ31+1,Lune!$A$1:$A$1000,0)))),INT((CZ31+1-DATE(YEAR(CZ31+1),1,1))/7+1),"")),INDEX(Lune!$B$1:$B$1000,MATCH(CZ31,Lune!$A$1:$A$1000,0),1)))</f>
        <v/>
      </c>
      <c r="DB31" s="80" t="str">
        <f t="shared" ca="1" si="19"/>
        <v/>
      </c>
      <c r="DC31" s="54" t="str">
        <f ca="1">IF(ISERROR(VLOOKUP(CZ31,anniversaire!$X$2:$Z$100,2,0)),"",VLOOKUP(CZ31,anniversaire!$X$2:$Z$100,2,0))</f>
        <v/>
      </c>
      <c r="DD31" s="54" t="str">
        <f>IF(ISERROR(VLOOKUP(CZ31,fête!$B$2:$C$367,2,0)),"",VLOOKUP(CZ31,fête!$B$2:$C$367,2,0))</f>
        <v>Saturnin</v>
      </c>
      <c r="DE31" s="54" t="str">
        <f>IF(ISERROR(VLOOKUP(CZ31,évènements!$A$3:$E$200,3,0)),"",VLOOKUP(CZ31,évènements!$A$3:$E$200,3,0))</f>
        <v/>
      </c>
      <c r="DF31" s="54" t="str">
        <f>IF(ISERROR(VLOOKUP(CZ31,évènements!$B$3:$E$200,2,0)),"",VLOOKUP(CZ31,évènements!$B$3:$E$200,2,0))</f>
        <v/>
      </c>
      <c r="DG31" s="54"/>
      <c r="DH31" s="54" t="str">
        <f t="shared" si="20"/>
        <v xml:space="preserve">  </v>
      </c>
      <c r="DI31" s="41">
        <f t="shared" si="39"/>
        <v>43098</v>
      </c>
      <c r="DJ31" s="42">
        <f>IFERROR(IF(OR(DJ30="",MONTH(DJ30+1)&gt;MONTH(DJ30)),"",DJ30+1),"")</f>
        <v>43098</v>
      </c>
      <c r="DK31" s="43" t="str">
        <f>IF(DJ31="","",IF(ISERROR(MATCH(DJ31,Lune!$A$1:$A$1000,0)),IF(WEEKDAY(DJ31)=5,INT((DJ31-DATE(YEAR(DJ31),1,1))/7+1),IF(AND(WEEKDAY(DJ31)=4,NOT( ISERROR(MATCH(DJ31+1,Lune!$A$1:$A$1000,0)))),INT((DJ31+1-DATE(YEAR(DJ31+1),1,1))/7+1),"")),INDEX(Lune!$B$1:$B$1000,MATCH(DJ31,Lune!$A$1:$A$1000,0),1)))</f>
        <v/>
      </c>
      <c r="DL31" s="80" t="str">
        <f t="shared" ca="1" si="21"/>
        <v/>
      </c>
      <c r="DM31" s="54" t="str">
        <f ca="1">IF(ISERROR(VLOOKUP(DJ31,anniversaire!$X$2:$Z$100,2,0)),"",VLOOKUP(DJ31,anniversaire!$X$2:$Z$100,2,0))</f>
        <v/>
      </c>
      <c r="DN31" s="54" t="str">
        <f>IF(ISERROR(VLOOKUP(DJ31,fête!$B$2:$C$367,2,0)),"",VLOOKUP(DJ31,fête!$B$2:$C$367,2,0))</f>
        <v>David</v>
      </c>
      <c r="DO31" s="54" t="str">
        <f>IF(ISERROR(VLOOKUP(DJ31,évènements!$A$3:$E$200,3,0)),"",VLOOKUP(DJ31,évènements!$A$3:$E$200,3,0))</f>
        <v/>
      </c>
      <c r="DP31" s="54" t="str">
        <f>IF(ISERROR(VLOOKUP(DJ31,évènements!$B$3:$E$200,2,0)),"",VLOOKUP(DJ31,évènements!$B$3:$E$200,2,0))</f>
        <v/>
      </c>
      <c r="DQ31" s="54" t="str">
        <f ca="1">IF(ISNA(VLOOKUP(DJ31,Tableau1[[#All],[Colonne1]:[ouvrés]],3,FALSE)),"",VLOOKUP(DJ31,Tableau1[[#All],[Colonne1]:[ouvrés]],3,FALSE))</f>
        <v/>
      </c>
      <c r="DR31" s="54" t="str">
        <f t="shared" si="22"/>
        <v xml:space="preserve">  </v>
      </c>
      <c r="DS31" s="41">
        <f t="shared" si="40"/>
        <v>43129</v>
      </c>
      <c r="DT31" s="42">
        <f>IFERROR(IF(OR(DT30="",MONTH(DT30+1)&gt;MONTH(DT30)),"",DT30+1),"")</f>
        <v>43129</v>
      </c>
      <c r="DU31" s="43" t="str">
        <f>IF(DT31="","",IF(ISERROR(MATCH(DT31,Lune!$A$1:$A$1000,0)),IF(WEEKDAY(DT31)=5,INT((DT31-DATE(YEAR(DT31),1,1))/7+1),IF(AND(WEEKDAY(DT31)=4,NOT( ISERROR(MATCH(DT31+1,Lune!$A$1:$A$1000,0)))),INT((DT31+1-DATE(YEAR(DT31+1),1,1))/7+1),"")),INDEX(Lune!$B$1:$B$1000,MATCH(DT31,Lune!$A$1:$A$1000,0),1)))</f>
        <v/>
      </c>
      <c r="DV31" s="89" t="str">
        <f t="shared" ca="1" si="23"/>
        <v/>
      </c>
      <c r="DW31" s="252" t="str">
        <f t="shared" ca="1" si="24"/>
        <v/>
      </c>
      <c r="DX31" s="252" t="str">
        <f t="shared" si="25"/>
        <v>Gildas</v>
      </c>
      <c r="DY31" s="252" t="str">
        <f>IF(ISERROR(VLOOKUP(DT31,évènements!$A$3:$E$200,3,0)),"",VLOOKUP(DT31,évènements!$A$3:$E$200,3,0))</f>
        <v/>
      </c>
      <c r="DZ31" s="252" t="str">
        <f>IF(ISERROR(VLOOKUP(DT31,évènements!$B$3:$E$200,2,0)),"",VLOOKUP(DT31,évènements!$B$3:$E$200,2,0))</f>
        <v/>
      </c>
      <c r="EA31" s="252" t="str">
        <f ca="1">IF(ISNA(VLOOKUP(DT31,Tableau1[[#All],[Colonne1]:[ouvrés]],3,FALSE)),"",VLOOKUP(DT31,Tableau1[[#All],[Colonne1]:[ouvrés]],3,FALSE))</f>
        <v/>
      </c>
      <c r="EB31" s="252" t="str">
        <f t="shared" si="26"/>
        <v xml:space="preserve">  </v>
      </c>
    </row>
    <row r="32" spans="2:132" ht="15" customHeight="1" x14ac:dyDescent="0.25">
      <c r="B32" s="29"/>
      <c r="C32" s="41">
        <f t="shared" si="27"/>
        <v>42765</v>
      </c>
      <c r="D32" s="40">
        <f>IFERROR(IF(OR(D31="",MONTH(D31+1)&gt;MONTH(D31)),"",D31+1),"")</f>
        <v>42765</v>
      </c>
      <c r="E32" s="131" t="str">
        <f>IF(D32="","",IF(ISERROR(MATCH(D32,Lune!$A$1:$A$1000,0)),IF(WEEKDAY(D32)=5,INT((D32-DATE(YEAR(D32),1,1))/7+1),IF(AND(WEEKDAY(D32)=4,NOT( ISERROR(MATCH(D32+1,Lune!$A$1:$A$1000,0)))),INT((D32+1-DATE(YEAR(D32+1),1,1))/7+1),"")),INDEX(Lune!$B$1:$B$1000,MATCH(D32,Lune!$A$1:$A$1000,0),1)))</f>
        <v/>
      </c>
      <c r="F32" s="89" t="str">
        <f t="shared" ca="1" si="0"/>
        <v/>
      </c>
      <c r="G32" s="125" t="str">
        <f ca="1">IF(ISERROR(VLOOKUP(D32,anniversaire!$X$2:$Z$100,2,0)),"",VLOOKUP(D32,anniversaire!$X$2:$Z$100,2,0))</f>
        <v/>
      </c>
      <c r="H32" s="54" t="str">
        <f>IF(ISERROR(VLOOKUP(D32,fête!$B$2:$C$367,2,0)),"",VLOOKUP(D32,fête!$B$2:$C$367,2,0))</f>
        <v>Martine</v>
      </c>
      <c r="I32" s="239" t="str">
        <f>IF(ISERROR(VLOOKUP(D32,évènements!$A$3:$E$200,3,0)),"",VLOOKUP(D32,évènements!$A$3:$E$200,3,0))</f>
        <v/>
      </c>
      <c r="J32" s="239" t="str">
        <f>IF(ISERROR(VLOOKUP(D32,évènements!$B$3:$E$200,2,0)),"",VLOOKUP(D32,évènements!$B$3:$E$200,2,0))</f>
        <v/>
      </c>
      <c r="K32" s="239" t="str">
        <f ca="1">IF(ISNA(VLOOKUP(D32,Tableau1[[#All],[Colonne1]:[ouvrés]],3,FALSE)),"",VLOOKUP(D32,Tableau1[[#All],[Colonne1]:[ouvrés]],3,FALSE))</f>
        <v/>
      </c>
      <c r="L32" s="239" t="str">
        <f t="shared" si="58"/>
        <v xml:space="preserve">  </v>
      </c>
      <c r="M32" s="41" t="str">
        <f t="shared" si="28"/>
        <v/>
      </c>
      <c r="N32" s="42" t="str">
        <f>IFERROR(IF(OR(N31="",MONTH(N31+1)&gt;MONTH(N31)),"",N31+1),"")</f>
        <v/>
      </c>
      <c r="O32" s="42"/>
      <c r="P32" s="43"/>
      <c r="Q32" s="41" t="s">
        <v>595</v>
      </c>
      <c r="R32" s="42"/>
      <c r="S32" s="40"/>
      <c r="T32" s="40"/>
      <c r="U32" s="40"/>
      <c r="V32" s="240"/>
      <c r="W32" s="41">
        <f t="shared" si="29"/>
        <v>42824</v>
      </c>
      <c r="X32" s="42">
        <f>IFERROR(IF(OR(X31="",MONTH(X31+1)&gt;MONTH(X31)),"",X31+1),"")</f>
        <v>42824</v>
      </c>
      <c r="Y32" s="132">
        <f>IF(X32="","",IF(ISERROR(MATCH(X32,Lune!$A$1:$A$1000,0)),IF(WEEKDAY(X32)=5,INT((X32-DATE(YEAR(X32),1,1))/7+1),IF(AND(WEEKDAY(X32)=4,NOT( ISERROR(MATCH(X32+1,Lune!$A$1:$A$1000,0)))),INT((X32+1-DATE(YEAR(X32+1),1,1))/7+1),"")),INDEX(Lune!$B$1:$B$1000,MATCH(X32,Lune!$A$1:$A$1000,0),1)))</f>
        <v>13</v>
      </c>
      <c r="Z32" s="132" t="str">
        <f ca="1">IF(AA32="",""," '")</f>
        <v xml:space="preserve"> '</v>
      </c>
      <c r="AA32" s="125" t="str">
        <f ca="1">IF(ISERROR(VLOOKUP(X32,anniversaire!$X$2:$Z$100,2,0)),"",VLOOKUP(X32,anniversaire!$X$2:$Z$100,2,0))</f>
        <v>decelle  daniel    38</v>
      </c>
      <c r="AB32" s="54" t="str">
        <f>IF(ISERROR(VLOOKUP(X32,fête!$B$2:$C$367,2,0)),"",VLOOKUP(X32,fête!$B$2:$C$367,2,0))</f>
        <v>Amédée</v>
      </c>
      <c r="AC32" s="54" t="str">
        <f>IF(ISERROR(VLOOKUP(X32,évènements!$A$3:$E$200,3,0)),"",VLOOKUP(X32,évènements!$A$3:$E$200,3,0))</f>
        <v/>
      </c>
      <c r="AD32" s="54" t="str">
        <f>IF(ISERROR(VLOOKUP(X32,évènements!$B$3:$E$200,2,0)),"",VLOOKUP(X32,évènements!$B$3:$E$200,2,0))</f>
        <v/>
      </c>
      <c r="AE32" s="54" t="str">
        <f ca="1">IF(ISNA(VLOOKUP(X32,Tableau1[[#All],[Colonne1]:[ouvrés]],3,FALSE)),"",VLOOKUP(X32,Tableau1[[#All],[Colonne1]:[ouvrés]],3,FALSE))</f>
        <v/>
      </c>
      <c r="AF32" s="54" t="str">
        <f t="shared" si="57"/>
        <v xml:space="preserve">  </v>
      </c>
      <c r="AG32" s="41">
        <f t="shared" si="30"/>
        <v>42855</v>
      </c>
      <c r="AH32" s="42">
        <f>IFERROR(IF(OR(AH31="",MONTH(AH31+1)&gt;MONTH(AH31)),"",AH31+1),"")</f>
        <v>42855</v>
      </c>
      <c r="AI32" s="137" t="str">
        <f>IF(AH32="","",IF(ISERROR(MATCH(AH32,Lune!$A$1:$A$1000,0)),IF(WEEKDAY(AH32)=5,INT((AH32-DATE(YEAR(AH32),1,1))/7+1),IF(AND(WEEKDAY(AH32)=4,NOT( ISERROR(MATCH(AH32+1,Lune!$A$1:$A$1000,0)))),INT((AH32+1-DATE(YEAR(AH32+1),1,1))/7+1),"")),INDEX(Lune!$B$1:$B$1000,MATCH(AH32,Lune!$A$1:$A$1000,0),1)))</f>
        <v/>
      </c>
      <c r="AJ32" s="80" t="str">
        <f t="shared" ca="1" si="6"/>
        <v/>
      </c>
      <c r="AK32" s="54" t="str">
        <f ca="1">IF(ISERROR(VLOOKUP(AH32,anniversaire!$X$2:$Z$100,2,0)),"",VLOOKUP(AH32,anniversaire!$X$2:$Z$100,2,0))</f>
        <v/>
      </c>
      <c r="AL32" s="54" t="str">
        <f>IF(ISERROR(VLOOKUP(AH32,fête!$B$2:$C$367,2,0)),"",VLOOKUP(AH32,fête!$B$2:$C$367,2,0))</f>
        <v>Robert</v>
      </c>
      <c r="AM32" s="54" t="str">
        <f>IF(ISERROR(VLOOKUP(AH32,évènements!$A$3:$E$200,3,0)),"",VLOOKUP(AH32,évènements!$A$3:$E$200,3,0))</f>
        <v/>
      </c>
      <c r="AN32" s="54" t="str">
        <f>IF(ISERROR(VLOOKUP(AH32,évènements!$B$3:$E$200,2,0)),"",VLOOKUP(AH32,évènements!$B$3:$E$200,2,0))</f>
        <v/>
      </c>
      <c r="AO32" s="54" t="str">
        <f ca="1">IF(ISNA(VLOOKUP(AH32,Tableau1[[#All],[Colonne1]:[ouvrés]],3,FALSE)),"",VLOOKUP(AH32,Tableau1[[#All],[Colonne1]:[ouvrés]],3,FALSE))</f>
        <v/>
      </c>
      <c r="AP32" s="238" t="str">
        <f t="shared" si="55"/>
        <v xml:space="preserve">  </v>
      </c>
      <c r="AQ32" s="41">
        <f t="shared" si="31"/>
        <v>42885</v>
      </c>
      <c r="AR32" s="42">
        <f>IFERROR(IF(OR(AR31="",MONTH(AR31+1)&gt;MONTH(AR31)),"",AR31+1),"")</f>
        <v>42885</v>
      </c>
      <c r="AS32" s="43" t="str">
        <f>IF(AR32="","",IF(ISERROR(MATCH(AR32,Lune!$A$1:$A$1000,0)),IF(WEEKDAY(AR32)=5,INT((AR32-DATE(YEAR(AR32),1,1))/7+1),IF(AND(WEEKDAY(AR32)=4,NOT( ISERROR(MATCH(AR32+1,Lune!$A$1:$A$1000,0)))),INT((AR32+1-DATE(YEAR(AR32+1),1,1))/7+1),"")),INDEX(Lune!$B$1:$B$1000,MATCH(AR32,Lune!$A$1:$A$1000,0),1)))</f>
        <v/>
      </c>
      <c r="AT32" s="79" t="str">
        <f t="shared" ca="1" si="8"/>
        <v/>
      </c>
      <c r="AU32" s="54" t="str">
        <f ca="1">IF(ISERROR(VLOOKUP(AR32,anniversaire!$X$2:$Z$100,2,0)),"",VLOOKUP(AR32,anniversaire!$X$2:$Z$100,2,0))</f>
        <v/>
      </c>
      <c r="AV32" s="54" t="str">
        <f>IF(ISERROR(VLOOKUP(AR32,fête!$B$2:$C$367,2,0)),"",VLOOKUP(AR32,fête!$B$2:$C$367,2,0))</f>
        <v>Ferdinand</v>
      </c>
      <c r="AW32" s="238" t="str">
        <f>IF(ISERROR(VLOOKUP(AR32,évènements!$A$3:$E$200,3,0)),"",VLOOKUP(AR32,évènements!$A$3:$E$200,3,0))</f>
        <v/>
      </c>
      <c r="AX32" s="238" t="str">
        <f>IF(ISERROR(VLOOKUP(AR32,évènements!$B$3:$E$200,2,0)),"",VLOOKUP(AR32,évènements!$B$3:$E$200,2,0))</f>
        <v/>
      </c>
      <c r="AY32" s="238" t="str">
        <f ca="1">IF(ISNA(VLOOKUP(AR32,Tableau1[[#All],[Colonne1]:[ouvrés]],3,FALSE)),"",VLOOKUP(AR32,Tableau1[[#All],[Colonne1]:[ouvrés]],3,FALSE))</f>
        <v/>
      </c>
      <c r="AZ32" s="238" t="str">
        <f t="shared" si="9"/>
        <v xml:space="preserve">  </v>
      </c>
      <c r="BA32" s="41">
        <f t="shared" si="32"/>
        <v>42916</v>
      </c>
      <c r="BB32" s="42">
        <f>IFERROR(IF(OR(BB31="",MONTH(BB31+1)&gt;MONTH(BB31)),"",BB31+1),"")</f>
        <v>42916</v>
      </c>
      <c r="BC32" s="43" t="str">
        <f>IF(BB32="","",IF(ISERROR(MATCH(BB32,Lune!$A$1:$A$1000,0)),IF(WEEKDAY(BB32)=5,INT((BB32-DATE(YEAR(BB32),1,1))/7+1),IF(AND(WEEKDAY(BB32)=4,NOT( ISERROR(MATCH(BB32+1,Lune!$A$1:$A$1000,0)))),INT((BB32+1-DATE(YEAR(BB32+1),1,1))/7+1),"")),INDEX(Lune!$B$1:$B$1000,MATCH(BB32,Lune!$A$1:$A$1000,0),1)))</f>
        <v/>
      </c>
      <c r="BD32" s="79" t="str">
        <f t="shared" ca="1" si="10"/>
        <v/>
      </c>
      <c r="BE32" s="54" t="str">
        <f ca="1">IF(ISERROR(VLOOKUP(BB32,anniversaire!$X$2:$Z$100,2,0)),"",VLOOKUP(BB32,anniversaire!$X$2:$Z$100,2,0))</f>
        <v/>
      </c>
      <c r="BF32" s="54" t="str">
        <f>IF(ISERROR(VLOOKUP(BB32,fête!$B$2:$C$367,2,0)),"",VLOOKUP(BB32,fête!$B$2:$C$367,2,0))</f>
        <v>Martial</v>
      </c>
      <c r="BG32" s="54" t="str">
        <f>IF(ISERROR(VLOOKUP(BB32,évènements!$A$3:$E$200,3,0)),"",VLOOKUP(BB32,évènements!$A$3:$E$200,3,0))</f>
        <v/>
      </c>
      <c r="BH32" s="54" t="str">
        <f>IF(ISERROR(VLOOKUP(BB32,évènements!$B$3:$E$200,2,0)),"",VLOOKUP(BB32,évènements!$B$3:$E$200,2,0))</f>
        <v/>
      </c>
      <c r="BI32" s="54" t="str">
        <f ca="1">IF(ISNA(VLOOKUP(BB32,Tableau1[[#All],[Colonne1]:[ouvrés]],3,FALSE)),"",VLOOKUP(BB32,Tableau1[[#All],[Colonne1]:[ouvrés]],3,FALSE))</f>
        <v/>
      </c>
      <c r="BJ32" s="54" t="str">
        <f t="shared" si="56"/>
        <v xml:space="preserve">  </v>
      </c>
      <c r="BK32" s="41">
        <f t="shared" si="33"/>
        <v>42946</v>
      </c>
      <c r="BL32" s="42">
        <f>IFERROR(IF(OR(BL31="",MONTH(BL31+1)&gt;MONTH(BL31)),"",BL31+1),"")</f>
        <v>42946</v>
      </c>
      <c r="BM32" s="43" t="str">
        <f>IF(BL32="","",IF(ISERROR(MATCH(BL32,Lune!$A$1:$A$1000,0)),IF(WEEKDAY(BL32)=5,INT((BL32-DATE(YEAR(BL32),1,1))/7+1),IF(AND(WEEKDAY(BL32)=4,NOT( ISERROR(MATCH(BL32+1,Lune!$A$1:$A$1000,0)))),INT((BL32+1-DATE(YEAR(BL32+1),1,1))/7+1),"")),INDEX(Lune!$B$1:$B$1000,MATCH(BL32,Lune!$A$1:$A$1000,0),1)))</f>
        <v>◐</v>
      </c>
      <c r="BN32" s="80" t="str">
        <f t="shared" ca="1" si="12"/>
        <v/>
      </c>
      <c r="BO32" s="54" t="str">
        <f ca="1">IF(ISERROR(VLOOKUP(BL32,anniversaire!$X$2:$Z$100,2,0)),"",VLOOKUP(BL32,anniversaire!$X$2:$Z$100,2,0))</f>
        <v/>
      </c>
      <c r="BP32" s="54" t="str">
        <f>IF(ISERROR(VLOOKUP(BL32,fête!$B$2:$C$367,2,0)),"",VLOOKUP(BL32,fête!$B$2:$C$367,2,0))</f>
        <v>Juliette</v>
      </c>
      <c r="BQ32" s="54" t="str">
        <f>IF(ISERROR(VLOOKUP(BL32,évènements!$A$3:$E$200,3,0)),"",VLOOKUP(BL32,évènements!$A$3:$E$200,3,0))</f>
        <v/>
      </c>
      <c r="BR32" s="54" t="str">
        <f>IF(ISERROR(VLOOKUP(BL32,évènements!$B$3:$E$200,2,0)),"",VLOOKUP(BL32,évènements!$B$3:$E$200,2,0))</f>
        <v/>
      </c>
      <c r="BS32" s="54" t="str">
        <f ca="1">IF(ISNA(VLOOKUP(BL32,Tableau1[[#All],[Colonne1]:[ouvrés]],3,FALSE)),"",VLOOKUP(BL32,Tableau1[[#All],[Colonne1]:[ouvrés]],3,FALSE))</f>
        <v/>
      </c>
      <c r="BT32" s="54" t="str">
        <f t="shared" si="34"/>
        <v xml:space="preserve">  </v>
      </c>
      <c r="BU32" s="41">
        <f t="shared" si="35"/>
        <v>42977</v>
      </c>
      <c r="BV32" s="42">
        <f>IFERROR(IF(OR(BV31="",MONTH(BV31+1)&gt;MONTH(BV31)),"",BV31+1),"")</f>
        <v>42977</v>
      </c>
      <c r="BW32" s="43" t="str">
        <f>IF(BV32="","",IF(ISERROR(MATCH(BV32,Lune!$A$1:$A$1000,0)),IF(WEEKDAY(BV32)=5,INT((BV32-DATE(YEAR(BV32),1,1))/7+1),IF(AND(WEEKDAY(BV32)=4,NOT( ISERROR(MATCH(BV32+1,Lune!$A$1:$A$1000,0)))),INT((BV32+1-DATE(YEAR(BV32+1),1,1))/7+1),"")),INDEX(Lune!$B$1:$B$1000,MATCH(BV32,Lune!$A$1:$A$1000,0),1)))</f>
        <v/>
      </c>
      <c r="BX32" s="80" t="str">
        <f t="shared" ca="1" si="13"/>
        <v/>
      </c>
      <c r="BY32" s="54" t="str">
        <f ca="1">IF(ISERROR(VLOOKUP(BV32,anniversaire!$X$2:$Z$100,2,0)),"",VLOOKUP(BV32,anniversaire!$X$2:$Z$100,2,0))</f>
        <v/>
      </c>
      <c r="BZ32" s="54" t="str">
        <f>IF(ISERROR(VLOOKUP(BV32,fête!$B$2:$C$367,2,0)),"",VLOOKUP(BV32,fête!$B$2:$C$367,2,0))</f>
        <v>Fiacre</v>
      </c>
      <c r="CA32" s="54" t="str">
        <f>IF(ISERROR(VLOOKUP(BV32,évènements!$A$3:$E$200,3,0)),"",VLOOKUP(BV32,évènements!$A$3:$E$200,3,0))</f>
        <v/>
      </c>
      <c r="CB32" s="54" t="str">
        <f>IF(ISERROR(VLOOKUP(BV32,évènements!$B$3:$E$200,2,0)),"",VLOOKUP(BV32,évènements!$B$3:$E$200,2,0))</f>
        <v/>
      </c>
      <c r="CC32" s="54" t="str">
        <f ca="1">IF(ISNA(VLOOKUP(BV32,Tableau1[[#All],[Colonne1]:[ouvrés]],3,FALSE)),"",VLOOKUP(BV32,Tableau1[[#All],[Colonne1]:[ouvrés]],3,FALSE))</f>
        <v/>
      </c>
      <c r="CD32" s="54" t="str">
        <f t="shared" si="14"/>
        <v xml:space="preserve">  </v>
      </c>
      <c r="CE32" s="41">
        <f t="shared" si="36"/>
        <v>43008</v>
      </c>
      <c r="CF32" s="42">
        <f>IFERROR(IF(OR(CF31="",MONTH(CF31+1)&gt;MONTH(CF31)),"",CF31+1),"")</f>
        <v>43008</v>
      </c>
      <c r="CG32" s="43" t="str">
        <f>IF(CF32="","",IF(ISERROR(MATCH(CF32,Lune!$A$1:$A$1000,0)),IF(WEEKDAY(CF32)=5,INT((CF32-DATE(YEAR(CF32),1,1))/7+1),IF(AND(WEEKDAY(CF32)=4,NOT( ISERROR(MATCH(CF32+1,Lune!$A$1:$A$1000,0)))),INT((CF32+1-DATE(YEAR(CF32+1),1,1))/7+1),"")),INDEX(Lune!$B$1:$B$1000,MATCH(CF32,Lune!$A$1:$A$1000,0),1)))</f>
        <v/>
      </c>
      <c r="CH32" s="80" t="str">
        <f t="shared" ca="1" si="15"/>
        <v/>
      </c>
      <c r="CI32" s="54" t="str">
        <f ca="1">IF(ISERROR(VLOOKUP(CF32,anniversaire!$X$2:$Z$100,2,0)),"",VLOOKUP(CF32,anniversaire!$X$2:$Z$100,2,0))</f>
        <v/>
      </c>
      <c r="CJ32" s="54" t="str">
        <f>IF(ISERROR(VLOOKUP(CF32,fête!$B$2:$C$367,2,0)),"",VLOOKUP(CF32,fête!$B$2:$C$367,2,0))</f>
        <v>Jérôme</v>
      </c>
      <c r="CK32" s="54" t="str">
        <f>IF(ISERROR(VLOOKUP(CF32,évènements!$A$3:$E$200,3,0)),"",VLOOKUP(CF32,évènements!$A$3:$E$200,3,0))</f>
        <v/>
      </c>
      <c r="CL32" s="54" t="str">
        <f>IF(ISERROR(VLOOKUP(CF32,évènements!$B$3:$E$200,2,0)),"",VLOOKUP(CF32,évènements!$B$3:$E$200,2,0))</f>
        <v/>
      </c>
      <c r="CM32" s="54" t="str">
        <f ca="1">IF(ISNA(VLOOKUP(CF32,Tableau1[[#All],[Colonne1]:[ouvrés]],3,FALSE)),"",VLOOKUP(CF32,Tableau1[[#All],[Colonne1]:[ouvrés]],3,FALSE))</f>
        <v/>
      </c>
      <c r="CN32" s="54" t="str">
        <f t="shared" si="16"/>
        <v xml:space="preserve">  </v>
      </c>
      <c r="CO32" s="41">
        <f t="shared" si="37"/>
        <v>43038</v>
      </c>
      <c r="CP32" s="42">
        <f>IFERROR(IF(OR(CP31="",MONTH(CP31+1)&gt;MONTH(CP31)),"",CP31+1),"")</f>
        <v>43038</v>
      </c>
      <c r="CQ32" s="43" t="str">
        <f>IF(CP32="","",IF(ISERROR(MATCH(CP32,Lune!$A$1:$A$1000,0)),IF(WEEKDAY(CP32)=5,INT((CP32-DATE(YEAR(CP32),1,1))/7+1),IF(AND(WEEKDAY(CP32)=4,NOT( ISERROR(MATCH(CP32+1,Lune!$A$1:$A$1000,0)))),INT((CP32+1-DATE(YEAR(CP32+1),1,1))/7+1),"")),INDEX(Lune!$B$1:$B$1000,MATCH(CP32,Lune!$A$1:$A$1000,0),1)))</f>
        <v/>
      </c>
      <c r="CR32" s="80" t="str">
        <f t="shared" ca="1" si="17"/>
        <v/>
      </c>
      <c r="CS32" s="54" t="str">
        <f ca="1">IF(ISERROR(VLOOKUP(CP32,anniversaire!$X$2:$Z$100,2,0)),"",VLOOKUP(CP32,anniversaire!$X$2:$Z$100,2,0))</f>
        <v/>
      </c>
      <c r="CT32" s="54" t="str">
        <f>IF(ISERROR(VLOOKUP(CP32,fête!$B$2:$C$367,2,0)),"",VLOOKUP(CP32,fête!$B$2:$C$367,2,0))</f>
        <v>Bienvenu</v>
      </c>
      <c r="CU32" s="54" t="str">
        <f>IF(ISERROR(VLOOKUP(CP32,évènements!$A$3:$E$200,3,0)),"",VLOOKUP(CP32,évènements!$A$3:$E$200,3,0))</f>
        <v/>
      </c>
      <c r="CV32" s="54" t="str">
        <f>IF(ISERROR(VLOOKUP(CP32,évènements!$B$3:$E$200,2,0)),"",VLOOKUP(CP32,évènements!$B$3:$E$200,2,0))</f>
        <v/>
      </c>
      <c r="CW32" s="54" t="str">
        <f ca="1">IF(ISNA(VLOOKUP(CP32,Tableau1[[#All],[Colonne1]:[ouvrés]],3,FALSE)),"",VLOOKUP(CP32,Tableau1[[#All],[Colonne1]:[ouvrés]],3,FALSE))</f>
        <v/>
      </c>
      <c r="CX32" s="54" t="str">
        <f t="shared" si="18"/>
        <v xml:space="preserve">  </v>
      </c>
      <c r="CY32" s="41">
        <f t="shared" si="38"/>
        <v>43069</v>
      </c>
      <c r="CZ32" s="42">
        <f>IFERROR(IF(OR(CZ31="",MONTH(CZ31+1)&gt;MONTH(CZ31)),"",CZ31+1),"")</f>
        <v>43069</v>
      </c>
      <c r="DA32" s="43">
        <f>IF(CZ32="","",IF(ISERROR(MATCH(CZ32,Lune!$A$1:$A$1000,0)),IF(WEEKDAY(CZ32)=5,INT((CZ32-DATE(YEAR(CZ32),1,1))/7+1),IF(AND(WEEKDAY(CZ32)=4,NOT( ISERROR(MATCH(CZ32+1,Lune!$A$1:$A$1000,0)))),INT((CZ32+1-DATE(YEAR(CZ32+1),1,1))/7+1),"")),INDEX(Lune!$B$1:$B$1000,MATCH(CZ32,Lune!$A$1:$A$1000,0),1)))</f>
        <v>48</v>
      </c>
      <c r="DB32" s="80" t="str">
        <f t="shared" ca="1" si="19"/>
        <v xml:space="preserve"> '</v>
      </c>
      <c r="DC32" s="54" t="str">
        <f ca="1">IF(ISERROR(VLOOKUP(CZ32,anniversaire!$X$2:$Z$100,2,0)),"",VLOOKUP(CZ32,anniversaire!$X$2:$Z$100,2,0))</f>
        <v>boireau  élodie    33</v>
      </c>
      <c r="DD32" s="54" t="str">
        <f>IF(ISERROR(VLOOKUP(CZ32,fête!$B$2:$C$367,2,0)),"",VLOOKUP(CZ32,fête!$B$2:$C$367,2,0))</f>
        <v>André</v>
      </c>
      <c r="DE32" s="54" t="str">
        <f>IF(ISERROR(VLOOKUP(CZ32,évènements!$A$3:$E$200,3,0)),"",VLOOKUP(CZ32,évènements!$A$3:$E$200,3,0))</f>
        <v/>
      </c>
      <c r="DF32" s="54" t="str">
        <f>IF(ISERROR(VLOOKUP(CZ32,évènements!$B$3:$E$200,2,0)),"",VLOOKUP(CZ32,évènements!$B$3:$E$200,2,0))</f>
        <v/>
      </c>
      <c r="DG32" s="54"/>
      <c r="DH32" s="54" t="str">
        <f t="shared" si="20"/>
        <v xml:space="preserve">  </v>
      </c>
      <c r="DI32" s="41">
        <f t="shared" si="39"/>
        <v>43099</v>
      </c>
      <c r="DJ32" s="42">
        <f>IFERROR(IF(OR(DJ31="",MONTH(DJ31+1)&gt;MONTH(DJ31)),"",DJ31+1),"")</f>
        <v>43099</v>
      </c>
      <c r="DK32" s="43" t="str">
        <f>IF(DJ32="","",IF(ISERROR(MATCH(DJ32,Lune!$A$1:$A$1000,0)),IF(WEEKDAY(DJ32)=5,INT((DJ32-DATE(YEAR(DJ32),1,1))/7+1),IF(AND(WEEKDAY(DJ32)=4,NOT( ISERROR(MATCH(DJ32+1,Lune!$A$1:$A$1000,0)))),INT((DJ32+1-DATE(YEAR(DJ32+1),1,1))/7+1),"")),INDEX(Lune!$B$1:$B$1000,MATCH(DJ32,Lune!$A$1:$A$1000,0),1)))</f>
        <v/>
      </c>
      <c r="DL32" s="80" t="str">
        <f t="shared" ca="1" si="21"/>
        <v/>
      </c>
      <c r="DM32" s="54" t="str">
        <f ca="1">IF(ISERROR(VLOOKUP(DJ32,anniversaire!$X$2:$Z$100,2,0)),"",VLOOKUP(DJ32,anniversaire!$X$2:$Z$100,2,0))</f>
        <v/>
      </c>
      <c r="DN32" s="54" t="str">
        <f>IF(ISERROR(VLOOKUP(DJ32,fête!$B$2:$C$367,2,0)),"",VLOOKUP(DJ32,fête!$B$2:$C$367,2,0))</f>
        <v>Roger</v>
      </c>
      <c r="DO32" s="54" t="str">
        <f>IF(ISERROR(VLOOKUP(DJ32,évènements!$A$3:$E$200,3,0)),"",VLOOKUP(DJ32,évènements!$A$3:$E$200,3,0))</f>
        <v/>
      </c>
      <c r="DP32" s="54" t="str">
        <f>IF(ISERROR(VLOOKUP(DJ32,évènements!$B$3:$E$200,2,0)),"",VLOOKUP(DJ32,évènements!$B$3:$E$200,2,0))</f>
        <v/>
      </c>
      <c r="DQ32" s="54" t="str">
        <f ca="1">IF(ISNA(VLOOKUP(DJ32,Tableau1[[#All],[Colonne1]:[ouvrés]],3,FALSE)),"",VLOOKUP(DJ32,Tableau1[[#All],[Colonne1]:[ouvrés]],3,FALSE))</f>
        <v/>
      </c>
      <c r="DR32" s="54" t="str">
        <f t="shared" si="22"/>
        <v xml:space="preserve">  </v>
      </c>
      <c r="DS32" s="41">
        <f t="shared" si="40"/>
        <v>43130</v>
      </c>
      <c r="DT32" s="42">
        <f>IFERROR(IF(OR(DT31="",MONTH(DT31+1)&gt;MONTH(DT31)),"",DT31+1),"")</f>
        <v>43130</v>
      </c>
      <c r="DU32" s="43" t="str">
        <f>IF(DT32="","",IF(ISERROR(MATCH(DT32,Lune!$A$1:$A$1000,0)),IF(WEEKDAY(DT32)=5,INT((DT32-DATE(YEAR(DT32),1,1))/7+1),IF(AND(WEEKDAY(DT32)=4,NOT( ISERROR(MATCH(DT32+1,Lune!$A$1:$A$1000,0)))),INT((DT32+1-DATE(YEAR(DT32+1),1,1))/7+1),"")),INDEX(Lune!$B$1:$B$1000,MATCH(DT32,Lune!$A$1:$A$1000,0),1)))</f>
        <v/>
      </c>
      <c r="DV32" s="89" t="str">
        <f t="shared" ca="1" si="23"/>
        <v/>
      </c>
      <c r="DW32" s="252" t="str">
        <f t="shared" ca="1" si="24"/>
        <v/>
      </c>
      <c r="DX32" s="252" t="str">
        <f t="shared" si="25"/>
        <v>Martine</v>
      </c>
      <c r="DY32" s="252" t="str">
        <f>IF(ISERROR(VLOOKUP(DT32,évènements!$A$3:$E$200,3,0)),"",VLOOKUP(DT32,évènements!$A$3:$E$200,3,0))</f>
        <v/>
      </c>
      <c r="DZ32" s="252" t="str">
        <f>IF(ISERROR(VLOOKUP(DT32,évènements!$B$3:$E$200,2,0)),"",VLOOKUP(DT32,évènements!$B$3:$E$200,2,0))</f>
        <v/>
      </c>
      <c r="EA32" s="252" t="str">
        <f ca="1">IF(ISNA(VLOOKUP(DT32,Tableau1[[#All],[Colonne1]:[ouvrés]],3,FALSE)),"",VLOOKUP(DT32,Tableau1[[#All],[Colonne1]:[ouvrés]],3,FALSE))</f>
        <v/>
      </c>
      <c r="EB32" s="252" t="str">
        <f t="shared" si="26"/>
        <v xml:space="preserve">  </v>
      </c>
    </row>
    <row r="33" spans="2:132" ht="15" customHeight="1" x14ac:dyDescent="0.25">
      <c r="B33" s="29"/>
      <c r="C33" s="41">
        <f t="shared" si="27"/>
        <v>42766</v>
      </c>
      <c r="D33" s="40">
        <f>IFERROR(IF(OR(D31="",D32="",MONTH(D32+1)&gt;MONTH(D32)),"",D32+1),"")</f>
        <v>42766</v>
      </c>
      <c r="E33" s="131" t="str">
        <f>IF(D33="","",IF(ISERROR(MATCH(D33,Lune!$A$1:$A$1000,0)),IF(WEEKDAY(D33)=5,INT((D33-DATE(YEAR(D33),1,1))/7+1),IF(AND(WEEKDAY(D33)=4,NOT( ISERROR(MATCH(D33+1,Lune!$A$1:$A$1000,0)))),INT((D33+1-DATE(YEAR(D33+1),1,1))/7+1),"")),INDEX(Lune!$B$1:$B$1000,MATCH(D33,Lune!$A$1:$A$1000,0),1)))</f>
        <v/>
      </c>
      <c r="F33" s="89" t="str">
        <f t="shared" ca="1" si="0"/>
        <v/>
      </c>
      <c r="G33" s="125" t="str">
        <f ca="1">IF(ISERROR(VLOOKUP(D33,anniversaire!$X$2:$Z$100,2,0)),"",VLOOKUP(D33,anniversaire!$X$2:$Z$100,2,0))</f>
        <v/>
      </c>
      <c r="H33" s="54" t="str">
        <f>IF(ISERROR(VLOOKUP(D33,fête!$B$2:$C$367,2,0)),"",VLOOKUP(D33,fête!$B$2:$C$367,2,0))</f>
        <v>Marcelle</v>
      </c>
      <c r="I33" s="239" t="str">
        <f>IF(ISERROR(VLOOKUP(D33,évènements!$A$3:$E$200,3,0)),"",VLOOKUP(D33,évènements!$A$3:$E$200,3,0))</f>
        <v/>
      </c>
      <c r="J33" s="239" t="str">
        <f>IF(ISERROR(VLOOKUP(D33,évènements!$B$3:$E$200,2,0)),"",VLOOKUP(D33,évènements!$B$3:$E$200,2,0))</f>
        <v/>
      </c>
      <c r="K33" s="239" t="str">
        <f ca="1">IF(ISNA(VLOOKUP(D33,Tableau1[[#All],[Colonne1]:[ouvrés]],3,FALSE)),"",VLOOKUP(D33,Tableau1[[#All],[Colonne1]:[ouvrés]],3,FALSE))</f>
        <v/>
      </c>
      <c r="L33" s="239" t="str">
        <f t="shared" si="58"/>
        <v xml:space="preserve">  </v>
      </c>
      <c r="M33" s="41" t="str">
        <f t="shared" si="28"/>
        <v/>
      </c>
      <c r="N33" s="42" t="str">
        <f>IFERROR(IF(OR(N32="",MONTH(N32+1)&gt;MONTH(N32)),"",N32+1),"")</f>
        <v/>
      </c>
      <c r="O33" s="42"/>
      <c r="P33" s="42"/>
      <c r="Q33" s="237" t="s">
        <v>595</v>
      </c>
      <c r="R33" s="42"/>
      <c r="S33" s="42"/>
      <c r="T33" s="42"/>
      <c r="U33" s="42"/>
      <c r="V33" s="241"/>
      <c r="W33" s="41">
        <f t="shared" si="29"/>
        <v>42825</v>
      </c>
      <c r="X33" s="42">
        <f>IFERROR(IF(OR(X32="",MONTH(X32+1)&gt;MONTH(X32)),"",X32+1),"")</f>
        <v>42825</v>
      </c>
      <c r="Y33" s="132" t="str">
        <f>IF(X33="","",IF(ISERROR(MATCH(X33,Lune!$A$1:$A$1000,0)),IF(WEEKDAY(X33)=5,INT((X33-DATE(YEAR(X33),1,1))/7+1),IF(AND(WEEKDAY(X33)=4,NOT( ISERROR(MATCH(X33+1,Lune!$A$1:$A$1000,0)))),INT((X33+1-DATE(YEAR(X33+1),1,1))/7+1),"")),INDEX(Lune!$B$1:$B$1000,MATCH(X33,Lune!$A$1:$A$1000,0),1)))</f>
        <v/>
      </c>
      <c r="Z33" s="132" t="str">
        <f ca="1">IF(AA33="",""," '")</f>
        <v/>
      </c>
      <c r="AA33" s="132" t="str">
        <f ca="1">IF(ISERROR(VLOOKUP(X33,anniversaire!$X$2:$Z$100,2,0)),"",VLOOKUP(X33,anniversaire!$X$2:$Z$100,2,0))</f>
        <v/>
      </c>
      <c r="AB33" s="54" t="str">
        <f>IF(ISERROR(VLOOKUP(X33,fête!$B$2:$C$367,2,0)),"",VLOOKUP(X33,fête!$B$2:$C$367,2,0))</f>
        <v>Benjamin</v>
      </c>
      <c r="AC33" s="54" t="str">
        <f ca="1">IF(ISERROR(VLOOKUP(X33,évènements!$A$3:$E$200,3,0)),"",VLOOKUP(X33,évènements!$A$3:$E$200,3,0))</f>
        <v/>
      </c>
      <c r="AD33" s="54" t="str">
        <f>IF(ISERROR(VLOOKUP(X33,évènements!$B$3:$E$200,2,0)),"",VLOOKUP(X33,évènements!$B$3:$E$200,2,0))</f>
        <v/>
      </c>
      <c r="AE33" s="54" t="str">
        <f ca="1">IF(ISNA(VLOOKUP(X33,Tableau1[[#All],[Colonne1]:[ouvrés]],3,FALSE)),"",VLOOKUP(X33,Tableau1[[#All],[Colonne1]:[ouvrés]],3,FALSE))</f>
        <v/>
      </c>
      <c r="AF33" s="54" t="str">
        <f t="shared" ca="1" si="57"/>
        <v xml:space="preserve">  </v>
      </c>
      <c r="AG33" s="41" t="str">
        <f t="shared" si="30"/>
        <v/>
      </c>
      <c r="AH33" s="42" t="str">
        <f>IFERROR(IF(OR(AH32="",MONTH(AH32+1)&gt;MONTH(AH32)),"",AH32+1),"")</f>
        <v/>
      </c>
      <c r="AI33" s="40"/>
      <c r="AJ33" s="40"/>
      <c r="AK33" s="124"/>
      <c r="AL33" s="40"/>
      <c r="AM33" s="42"/>
      <c r="AN33" s="42"/>
      <c r="AO33" s="40"/>
      <c r="AP33" s="247"/>
      <c r="AQ33" s="41">
        <f t="shared" si="31"/>
        <v>42886</v>
      </c>
      <c r="AR33" s="42">
        <f>IFERROR(IF(OR(AR32="",MONTH(AR32+1)&gt;MONTH(AR32)),"",AR32+1),"")</f>
        <v>42886</v>
      </c>
      <c r="AS33" s="43">
        <f>IF(AR33="","",IF(ISERROR(MATCH(AR33,Lune!$A$1:$A$1000,0)),IF(WEEKDAY(AR33)=5,INT((AR33-DATE(YEAR(AR33),1,1))/7+1),IF(AND(WEEKDAY(AR33)=4,NOT( ISERROR(MATCH(AR33+1,Lune!$A$1:$A$1000,0)))),INT((AR33+1-DATE(YEAR(AR33+1),1,1))/7+1),"")),INDEX(Lune!$B$1:$B$1000,MATCH(AR33,Lune!$A$1:$A$1000,0),1)))</f>
        <v>22</v>
      </c>
      <c r="AT33" s="79" t="str">
        <f t="shared" ca="1" si="8"/>
        <v/>
      </c>
      <c r="AU33" s="54" t="str">
        <f ca="1">IF(ISERROR(VLOOKUP(AR33,anniversaire!$X$2:$Z$100,2,0)),"",VLOOKUP(AR33,anniversaire!$X$2:$Z$100,2,0))</f>
        <v/>
      </c>
      <c r="AV33" s="54" t="str">
        <f>IF(ISERROR(VLOOKUP(AR33,fête!$B$2:$C$367,2,0)),"",VLOOKUP(AR33,fête!$B$2:$C$367,2,0))</f>
        <v>Visitation de la Sainte Vierge</v>
      </c>
      <c r="AW33" s="238" t="str">
        <f>IF(ISERROR(VLOOKUP(AR33,évènements!$A$3:$E$200,3,0)),"",VLOOKUP(AR33,évènements!$A$3:$E$200,3,0))</f>
        <v/>
      </c>
      <c r="AX33" s="238" t="str">
        <f>IF(ISERROR(VLOOKUP(AR33,évènements!$B$3:$E$200,2,0)),"",VLOOKUP(AR33,évènements!$B$3:$E$200,2,0))</f>
        <v/>
      </c>
      <c r="AY33" s="238" t="str">
        <f ca="1">IF(ISNA(VLOOKUP(AR33,Tableau1[[#All],[Colonne1]:[ouvrés]],3,FALSE)),"",VLOOKUP(AR33,Tableau1[[#All],[Colonne1]:[ouvrés]],3,FALSE))</f>
        <v/>
      </c>
      <c r="AZ33" s="238" t="str">
        <f t="shared" si="9"/>
        <v xml:space="preserve">  </v>
      </c>
      <c r="BA33" s="41" t="str">
        <f t="shared" si="32"/>
        <v/>
      </c>
      <c r="BB33" s="42" t="str">
        <f>IFERROR(IF(OR(BB32="",MONTH(BB32+1)&gt;MONTH(BB32)),"",BB32+1),"")</f>
        <v/>
      </c>
      <c r="BC33" s="40"/>
      <c r="BD33" s="84"/>
      <c r="BE33" s="125"/>
      <c r="BF33" s="125"/>
      <c r="BG33" s="125" t="str">
        <f>IF(ISERROR(VLOOKUP(BB33,évènements!$A$3:$E$200,3,0)),"",VLOOKUP(BB33,évènements!$A$3:$E$200,3,0))</f>
        <v/>
      </c>
      <c r="BH33" s="125" t="str">
        <f>IF(ISERROR(VLOOKUP(BB33,évènements!$B$3:$E$200,2,0)),"",VLOOKUP(BB33,évènements!$B$3:$E$200,2,0))</f>
        <v/>
      </c>
      <c r="BI33" s="125"/>
      <c r="BJ33" s="125" t="str">
        <f t="shared" si="56"/>
        <v xml:space="preserve">  </v>
      </c>
      <c r="BK33" s="41">
        <f t="shared" si="33"/>
        <v>42947</v>
      </c>
      <c r="BL33" s="42">
        <f>IFERROR(IF(OR(BL32="",MONTH(BL32+1)&gt;MONTH(BL32)),"",BL32+1),"")</f>
        <v>42947</v>
      </c>
      <c r="BM33" s="43" t="str">
        <f>IF(BL33="","",IF(ISERROR(MATCH(BL33,Lune!$A$1:$A$1000,0)),IF(WEEKDAY(BL33)=5,INT((BL33-DATE(YEAR(BL33),1,1))/7+1),IF(AND(WEEKDAY(BL33)=4,NOT( ISERROR(MATCH(BL33+1,Lune!$A$1:$A$1000,0)))),INT((BL33+1-DATE(YEAR(BL33+1),1,1))/7+1),"")),INDEX(Lune!$B$1:$B$1000,MATCH(BL33,Lune!$A$1:$A$1000,0),1)))</f>
        <v/>
      </c>
      <c r="BN33" s="80" t="str">
        <f t="shared" ca="1" si="12"/>
        <v/>
      </c>
      <c r="BO33" s="54" t="str">
        <f ca="1">IF(ISERROR(VLOOKUP(BL33,anniversaire!$X$2:$Z$100,2,0)),"",VLOOKUP(BL33,anniversaire!$X$2:$Z$100,2,0))</f>
        <v/>
      </c>
      <c r="BP33" s="54" t="str">
        <f>IF(ISERROR(VLOOKUP(BL33,fête!$B$2:$C$367,2,0)),"",VLOOKUP(BL33,fête!$B$2:$C$367,2,0))</f>
        <v>Ignace de Loyola</v>
      </c>
      <c r="BQ33" s="54" t="str">
        <f>IF(ISERROR(VLOOKUP(BL33,évènements!$A$3:$E$200,3,0)),"",VLOOKUP(BL33,évènements!$A$3:$E$200,3,0))</f>
        <v/>
      </c>
      <c r="BR33" s="54" t="str">
        <f>IF(ISERROR(VLOOKUP(BL33,évènements!$B$3:$E$200,2,0)),"",VLOOKUP(BL33,évènements!$B$3:$E$200,2,0))</f>
        <v/>
      </c>
      <c r="BS33" s="54" t="str">
        <f ca="1">IF(ISNA(VLOOKUP(BL33,Tableau1[[#All],[Colonne1]:[ouvrés]],3,FALSE)),"",VLOOKUP(BL33,Tableau1[[#All],[Colonne1]:[ouvrés]],3,FALSE))</f>
        <v/>
      </c>
      <c r="BT33" s="54" t="str">
        <f t="shared" si="34"/>
        <v xml:space="preserve">  </v>
      </c>
      <c r="BU33" s="41">
        <f t="shared" si="35"/>
        <v>42978</v>
      </c>
      <c r="BV33" s="42">
        <f>IFERROR(IF(OR(BV32="",MONTH(BV32+1)&gt;MONTH(BV32)),"",BV32+1),"")</f>
        <v>42978</v>
      </c>
      <c r="BW33" s="43">
        <f>IF(BV33="","",IF(ISERROR(MATCH(BV33,Lune!$A$1:$A$1000,0)),IF(WEEKDAY(BV33)=5,INT((BV33-DATE(YEAR(BV33),1,1))/7+1),IF(AND(WEEKDAY(BV33)=4,NOT( ISERROR(MATCH(BV33+1,Lune!$A$1:$A$1000,0)))),INT((BV33+1-DATE(YEAR(BV33+1),1,1))/7+1),"")),INDEX(Lune!$B$1:$B$1000,MATCH(BV33,Lune!$A$1:$A$1000,0),1)))</f>
        <v>35</v>
      </c>
      <c r="BX33" s="80" t="str">
        <f t="shared" ca="1" si="13"/>
        <v/>
      </c>
      <c r="BY33" s="54" t="str">
        <f ca="1">IF(ISERROR(VLOOKUP(BV33,anniversaire!$X$2:$Z$100,2,0)),"",VLOOKUP(BV33,anniversaire!$X$2:$Z$100,2,0))</f>
        <v/>
      </c>
      <c r="BZ33" s="54" t="str">
        <f>IF(ISERROR(VLOOKUP(BV33,fête!$B$2:$C$367,2,0)),"",VLOOKUP(BV33,fête!$B$2:$C$367,2,0))</f>
        <v>Aristide</v>
      </c>
      <c r="CA33" s="54" t="str">
        <f>IF(ISERROR(VLOOKUP(BV33,évènements!$A$3:$E$200,3,0)),"",VLOOKUP(BV33,évènements!$A$3:$E$200,3,0))</f>
        <v/>
      </c>
      <c r="CB33" s="54" t="str">
        <f>IF(ISERROR(VLOOKUP(BV33,évènements!$B$3:$E$200,2,0)),"",VLOOKUP(BV33,évènements!$B$3:$E$200,2,0))</f>
        <v/>
      </c>
      <c r="CC33" s="54" t="str">
        <f ca="1">IF(ISNA(VLOOKUP(BV33,Tableau1[[#All],[Colonne1]:[ouvrés]],3,FALSE)),"",VLOOKUP(BV33,Tableau1[[#All],[Colonne1]:[ouvrés]],3,FALSE))</f>
        <v/>
      </c>
      <c r="CD33" s="54" t="str">
        <f t="shared" si="14"/>
        <v xml:space="preserve">  </v>
      </c>
      <c r="CE33" s="41" t="str">
        <f t="shared" si="36"/>
        <v/>
      </c>
      <c r="CF33" s="42" t="str">
        <f>IFERROR(IF(OR(CF32="",MONTH(CF32+1)&gt;MONTH(CF32)),"",CF32+1),"")</f>
        <v/>
      </c>
      <c r="CG33" s="40"/>
      <c r="CH33" s="89"/>
      <c r="CI33" s="124"/>
      <c r="CJ33" s="124"/>
      <c r="CK33" s="124" t="str">
        <f>IF(ISERROR(VLOOKUP(CF33,évènements!$A$3:$E$200,3,0)),"",VLOOKUP(CF33,évènements!$A$3:$E$200,3,0))</f>
        <v/>
      </c>
      <c r="CL33" s="124" t="str">
        <f>IF(ISERROR(VLOOKUP(CF33,évènements!$B$3:$E$200,2,0)),"",VLOOKUP(CF33,évènements!$B$3:$E$200,2,0))</f>
        <v/>
      </c>
      <c r="CM33" s="124"/>
      <c r="CN33" s="124" t="str">
        <f t="shared" si="16"/>
        <v xml:space="preserve">  </v>
      </c>
      <c r="CO33" s="41">
        <f t="shared" si="37"/>
        <v>43039</v>
      </c>
      <c r="CP33" s="42">
        <f>IFERROR(IF(OR(CP32="",MONTH(CP32+1)&gt;MONTH(CP32)),"",CP32+1),"")</f>
        <v>43039</v>
      </c>
      <c r="CQ33" s="43" t="str">
        <f>IF(CP33="","",IF(ISERROR(MATCH(CP33,Lune!$A$1:$A$1000,0)),IF(WEEKDAY(CP33)=5,INT((CP33-DATE(YEAR(CP33),1,1))/7+1),IF(AND(WEEKDAY(CP33)=4,NOT( ISERROR(MATCH(CP33+1,Lune!$A$1:$A$1000,0)))),INT((CP33+1-DATE(YEAR(CP33+1),1,1))/7+1),"")),INDEX(Lune!$B$1:$B$1000,MATCH(CP33,Lune!$A$1:$A$1000,0),1)))</f>
        <v/>
      </c>
      <c r="CR33" s="80" t="str">
        <f t="shared" ca="1" si="17"/>
        <v/>
      </c>
      <c r="CS33" s="54" t="str">
        <f ca="1">IF(ISERROR(VLOOKUP(CP33,anniversaire!$X$2:$Z$100,2,0)),"",VLOOKUP(CP33,anniversaire!$X$2:$Z$100,2,0))</f>
        <v/>
      </c>
      <c r="CT33" s="54" t="str">
        <f>IF(ISERROR(VLOOKUP(CP33,fête!$B$2:$C$367,2,0)),"",VLOOKUP(CP33,fête!$B$2:$C$367,2,0))</f>
        <v>Quentin</v>
      </c>
      <c r="CU33" s="54" t="str">
        <f>IF(ISERROR(VLOOKUP(CP33,évènements!$A$3:$E$200,3,0)),"",VLOOKUP(CP33,évènements!$A$3:$E$200,3,0))</f>
        <v/>
      </c>
      <c r="CV33" s="54" t="str">
        <f>IF(ISERROR(VLOOKUP(CP33,évènements!$B$3:$E$200,2,0)),"",VLOOKUP(CP33,évènements!$B$3:$E$200,2,0))</f>
        <v/>
      </c>
      <c r="CW33" s="54" t="str">
        <f ca="1">IF(ISNA(VLOOKUP(CP33,Tableau1[[#All],[Colonne1]:[ouvrés]],3,FALSE)),"",VLOOKUP(CP33,Tableau1[[#All],[Colonne1]:[ouvrés]],3,FALSE))</f>
        <v/>
      </c>
      <c r="CX33" s="54" t="str">
        <f t="shared" si="18"/>
        <v xml:space="preserve">  </v>
      </c>
      <c r="CY33" s="41" t="str">
        <f t="shared" si="38"/>
        <v/>
      </c>
      <c r="CZ33" s="42" t="str">
        <f>IFERROR(IF(OR(CZ32="",MONTH(CZ32+1)&gt;MONTH(CZ32)),"",CZ32+1),"")</f>
        <v/>
      </c>
      <c r="DA33" s="40"/>
      <c r="DB33" s="89"/>
      <c r="DC33" s="124"/>
      <c r="DD33" s="124"/>
      <c r="DE33" s="124" t="str">
        <f>IF(ISERROR(VLOOKUP(CZ33,évènements!$A$3:$E$200,3,0)),"",VLOOKUP(CZ33,évènements!$A$3:$E$200,3,0))</f>
        <v/>
      </c>
      <c r="DF33" s="124" t="str">
        <f>IF(ISERROR(VLOOKUP(CZ33,évènements!$B$3:$E$200,2,0)),"",VLOOKUP(CZ33,évènements!$B$3:$E$200,2,0))</f>
        <v/>
      </c>
      <c r="DG33" s="124"/>
      <c r="DH33" s="124" t="str">
        <f t="shared" si="20"/>
        <v xml:space="preserve">  </v>
      </c>
      <c r="DI33" s="41">
        <f t="shared" si="39"/>
        <v>43100</v>
      </c>
      <c r="DJ33" s="42">
        <f>IFERROR(IF(OR(DJ32="",MONTH(DJ32+1)&gt;MONTH(DJ32)),"",DJ32+1),"")</f>
        <v>43100</v>
      </c>
      <c r="DK33" s="43" t="str">
        <f>IF(DJ33="","",IF(ISERROR(MATCH(DJ33,Lune!$A$1:$A$1000,0)),IF(WEEKDAY(DJ33)=5,INT((DJ33-DATE(YEAR(DJ33),1,1))/7+1),IF(AND(WEEKDAY(DJ33)=4,NOT( ISERROR(MATCH(DJ33+1,Lune!$A$1:$A$1000,0)))),INT((DJ33+1-DATE(YEAR(DJ33+1),1,1))/7+1),"")),INDEX(Lune!$B$1:$B$1000,MATCH(DJ33,Lune!$A$1:$A$1000,0),1)))</f>
        <v/>
      </c>
      <c r="DL33" s="80" t="str">
        <f t="shared" ca="1" si="21"/>
        <v/>
      </c>
      <c r="DM33" s="54" t="str">
        <f ca="1">IF(ISERROR(VLOOKUP(DJ33,anniversaire!$X$2:$Z$100,2,0)),"",VLOOKUP(DJ33,anniversaire!$X$2:$Z$100,2,0))</f>
        <v/>
      </c>
      <c r="DN33" s="54" t="str">
        <f>IF(ISERROR(VLOOKUP(DJ33,fête!$B$2:$C$367,2,0)),"",VLOOKUP(DJ33,fête!$B$2:$C$367,2,0))</f>
        <v>Sylvestre</v>
      </c>
      <c r="DO33" s="54" t="str">
        <f>IF(ISERROR(VLOOKUP(DJ33,évènements!$A$3:$E$200,3,0)),"",VLOOKUP(DJ33,évènements!$A$3:$E$200,3,0))</f>
        <v/>
      </c>
      <c r="DP33" s="54" t="str">
        <f>IF(ISERROR(VLOOKUP(DJ33,évènements!$B$3:$E$200,2,0)),"",VLOOKUP(DJ33,évènements!$B$3:$E$200,2,0))</f>
        <v/>
      </c>
      <c r="DQ33" s="54" t="str">
        <f ca="1">IF(ISNA(VLOOKUP(DJ33,Tableau1[[#All],[Colonne1]:[ouvrés]],3,FALSE)),"",VLOOKUP(DJ33,Tableau1[[#All],[Colonne1]:[ouvrés]],3,FALSE))</f>
        <v/>
      </c>
      <c r="DR33" s="54" t="str">
        <f t="shared" si="22"/>
        <v xml:space="preserve">  </v>
      </c>
      <c r="DS33" s="41">
        <f t="shared" si="40"/>
        <v>43131</v>
      </c>
      <c r="DT33" s="42">
        <f>IFERROR(IF(OR(DT32="",MONTH(DT32+1)&gt;MONTH(DT32)),"",DT32+1),"")</f>
        <v>43131</v>
      </c>
      <c r="DU33" s="43" t="str">
        <f>IF(DT33="","",IF(ISERROR(MATCH(DT33,Lune!$A$1:$A$1000,0)),IF(WEEKDAY(DT33)=5,INT((DT33-DATE(YEAR(DT33),1,1))/7+1),IF(AND(WEEKDAY(DT33)=4,NOT( ISERROR(MATCH(DT33+1,Lune!$A$1:$A$1000,0)))),INT((DT33+1-DATE(YEAR(DT33+1),1,1))/7+1),"")),INDEX(Lune!$B$1:$B$1000,MATCH(DT33,Lune!$A$1:$A$1000,0),1)))</f>
        <v>○</v>
      </c>
      <c r="DV33" s="89" t="str">
        <f t="shared" ca="1" si="23"/>
        <v/>
      </c>
      <c r="DW33" s="252" t="str">
        <f t="shared" ca="1" si="24"/>
        <v/>
      </c>
      <c r="DX33" s="252" t="str">
        <f t="shared" si="25"/>
        <v>Marcelle</v>
      </c>
      <c r="DY33" s="252" t="str">
        <f>IF(ISERROR(VLOOKUP(DT33,évènements!$A$3:$E$200,3,0)),"",VLOOKUP(DT33,évènements!$A$3:$E$200,3,0))</f>
        <v/>
      </c>
      <c r="DZ33" s="252" t="str">
        <f>IF(ISERROR(VLOOKUP(DT33,évènements!$B$3:$E$200,2,0)),"",VLOOKUP(DT33,évènements!$B$3:$E$200,2,0))</f>
        <v/>
      </c>
      <c r="EA33" s="252" t="str">
        <f ca="1">IF(ISNA(VLOOKUP(DT33,Tableau1[[#All],[Colonne1]:[ouvrés]],3,FALSE)),"",VLOOKUP(DT33,Tableau1[[#All],[Colonne1]:[ouvrés]],3,FALSE))</f>
        <v/>
      </c>
      <c r="EB33" s="252" t="str">
        <f t="shared" si="26"/>
        <v xml:space="preserve">  </v>
      </c>
    </row>
    <row r="34" spans="2:132" ht="14.25" customHeight="1" x14ac:dyDescent="0.25">
      <c r="B34" s="29"/>
      <c r="C34" s="41"/>
      <c r="D34" s="47"/>
      <c r="E34" s="47"/>
      <c r="F34" s="85"/>
      <c r="G34" s="118"/>
      <c r="H34" s="118"/>
      <c r="I34" s="42"/>
      <c r="J34" s="42"/>
      <c r="K34" s="42"/>
      <c r="L34" s="241"/>
      <c r="M34" s="41"/>
      <c r="N34" s="42"/>
      <c r="O34" s="42"/>
      <c r="P34" s="42"/>
      <c r="Q34" s="237"/>
      <c r="R34" s="42"/>
      <c r="S34" s="42"/>
      <c r="T34" s="42"/>
      <c r="U34" s="42"/>
      <c r="V34" s="241"/>
      <c r="W34" s="41"/>
      <c r="X34" s="47"/>
      <c r="Y34" s="133"/>
      <c r="Z34" s="85"/>
      <c r="AA34" s="118"/>
      <c r="AB34" s="127"/>
      <c r="AC34" s="42"/>
      <c r="AD34" s="42"/>
      <c r="AE34" s="47"/>
      <c r="AF34" s="244"/>
      <c r="AG34" s="41"/>
      <c r="AH34" s="53"/>
      <c r="AI34" s="130"/>
      <c r="AJ34" s="88"/>
      <c r="AK34" s="118"/>
      <c r="AL34" s="118"/>
      <c r="AM34" s="42"/>
      <c r="AN34" s="42"/>
      <c r="AO34" s="47"/>
      <c r="AP34" s="244"/>
      <c r="AQ34" s="29"/>
      <c r="AR34" s="47"/>
      <c r="AS34" s="47"/>
      <c r="AT34" s="82"/>
      <c r="AU34" s="118"/>
      <c r="AV34" s="118"/>
      <c r="AW34" s="42"/>
      <c r="AX34" s="42"/>
      <c r="AY34" s="47"/>
      <c r="AZ34" s="244"/>
      <c r="BA34" s="41"/>
      <c r="BB34" s="47"/>
      <c r="BC34" s="47"/>
      <c r="BD34" s="82"/>
      <c r="BE34" s="118"/>
      <c r="BF34" s="118"/>
      <c r="BG34" s="42"/>
      <c r="BH34" s="42"/>
      <c r="BI34" s="47"/>
      <c r="BJ34" s="244"/>
      <c r="BK34" s="29"/>
      <c r="BL34" s="47"/>
      <c r="BM34" s="47"/>
      <c r="BN34" s="85"/>
      <c r="BO34" s="118"/>
      <c r="BP34" s="118"/>
      <c r="BQ34" s="42"/>
      <c r="BR34" s="42"/>
      <c r="BS34" s="47"/>
      <c r="BT34" s="244"/>
      <c r="BU34" s="41"/>
      <c r="BV34" s="47"/>
      <c r="BW34" s="47"/>
      <c r="BX34" s="92"/>
      <c r="BY34" s="118"/>
      <c r="BZ34" s="118"/>
      <c r="CA34" s="42"/>
      <c r="CB34" s="42"/>
      <c r="CC34" s="47"/>
      <c r="CD34" s="244"/>
      <c r="CE34" s="41"/>
      <c r="CF34" s="47"/>
      <c r="CG34" s="47"/>
      <c r="CH34" s="85"/>
      <c r="CI34" s="118"/>
      <c r="CJ34" s="118"/>
      <c r="CK34" s="42"/>
      <c r="CL34" s="42"/>
      <c r="CM34" s="47"/>
      <c r="CN34" s="244"/>
      <c r="CO34" s="41"/>
      <c r="CP34" s="47"/>
      <c r="CQ34" s="47"/>
      <c r="CR34" s="85"/>
      <c r="CS34" s="118"/>
      <c r="CT34" s="118"/>
      <c r="CU34" s="42"/>
      <c r="CV34" s="42"/>
      <c r="CW34" s="47"/>
      <c r="CX34" s="244"/>
      <c r="CY34" s="41"/>
      <c r="CZ34" s="47"/>
      <c r="DA34" s="47"/>
      <c r="DB34" s="85"/>
      <c r="DC34" s="118"/>
      <c r="DD34" s="118"/>
      <c r="DE34" s="42"/>
      <c r="DF34" s="42"/>
      <c r="DG34" s="47"/>
      <c r="DH34" s="244"/>
      <c r="DI34" s="41"/>
      <c r="DJ34" s="47"/>
      <c r="DK34" s="47"/>
      <c r="DL34" s="85"/>
      <c r="DM34" s="118"/>
      <c r="DN34" s="118"/>
      <c r="DO34" s="42"/>
      <c r="DP34" s="42"/>
      <c r="DQ34" s="47"/>
      <c r="DR34" s="244"/>
      <c r="DS34" s="30"/>
      <c r="DT34" s="47"/>
      <c r="DU34" s="47"/>
      <c r="DV34" s="85"/>
      <c r="DW34" s="118"/>
      <c r="DX34" s="121"/>
      <c r="DY34" s="42"/>
      <c r="DZ34" s="42"/>
      <c r="EA34" s="47"/>
      <c r="EB34" s="244"/>
    </row>
    <row r="35" spans="2:132" ht="15" hidden="1" customHeight="1" x14ac:dyDescent="0.25">
      <c r="B35" s="29"/>
      <c r="C35" s="29"/>
      <c r="AF35" s="244"/>
      <c r="AG35" s="41"/>
      <c r="AH35" s="47"/>
      <c r="AI35" s="47"/>
      <c r="AJ35" s="85"/>
      <c r="AP35" s="244"/>
      <c r="AQ35" s="29"/>
      <c r="AR35" s="47"/>
      <c r="AS35" s="47"/>
      <c r="AT35" s="82"/>
      <c r="AU35" s="118"/>
      <c r="AV35" s="118"/>
      <c r="AZ35" s="244"/>
      <c r="BA35" s="41"/>
      <c r="BB35" s="47"/>
      <c r="BC35" s="47"/>
      <c r="BD35" s="82"/>
      <c r="BE35" s="118"/>
      <c r="BF35" s="118"/>
      <c r="BJ35" s="244"/>
      <c r="BK35" s="29"/>
      <c r="BL35" s="47"/>
      <c r="BM35" s="47"/>
      <c r="BN35" s="85"/>
      <c r="BO35" s="118"/>
      <c r="BP35" s="118"/>
      <c r="BT35" s="244"/>
      <c r="BU35" s="41"/>
      <c r="BV35" s="47"/>
      <c r="BW35" s="47"/>
      <c r="BX35" s="92"/>
      <c r="BY35" s="118"/>
      <c r="BZ35" s="118"/>
      <c r="CD35" s="244"/>
      <c r="CE35" s="41"/>
      <c r="CF35" s="47"/>
      <c r="CG35" s="47"/>
      <c r="CH35" s="85"/>
      <c r="CI35" s="118"/>
      <c r="CJ35" s="118"/>
      <c r="CN35" s="244"/>
      <c r="CO35" s="41"/>
      <c r="CP35" s="47"/>
      <c r="CQ35" s="47"/>
      <c r="CR35" s="85"/>
      <c r="CS35" s="118"/>
      <c r="CT35" s="118"/>
      <c r="CX35" s="244"/>
      <c r="CY35" s="41"/>
      <c r="CZ35" s="47"/>
      <c r="DA35" s="47"/>
      <c r="DB35" s="85"/>
      <c r="DC35" s="118"/>
      <c r="DD35" s="118"/>
      <c r="DH35" s="244"/>
      <c r="DI35" s="41"/>
      <c r="DJ35" s="47"/>
      <c r="DK35" s="47"/>
      <c r="DL35" s="85"/>
      <c r="DM35" s="118"/>
      <c r="DN35" s="118"/>
      <c r="DR35" s="244"/>
      <c r="DS35" s="30"/>
      <c r="DT35" s="47"/>
      <c r="DU35" s="47"/>
      <c r="DV35" s="85"/>
      <c r="DW35" s="118"/>
      <c r="DX35" s="121"/>
      <c r="EB35" s="244"/>
    </row>
    <row r="36" spans="2:132" ht="15" hidden="1" customHeight="1" x14ac:dyDescent="0.25">
      <c r="B36" s="29"/>
      <c r="C36" s="29"/>
      <c r="AF36" s="244"/>
      <c r="AG36" s="41"/>
      <c r="AH36" s="47"/>
      <c r="AI36" s="47"/>
      <c r="AJ36" s="85"/>
      <c r="AP36" s="244"/>
      <c r="AQ36" s="29"/>
      <c r="AR36" s="47"/>
      <c r="AS36" s="47"/>
      <c r="AT36" s="82"/>
      <c r="AU36" s="118"/>
      <c r="AV36" s="118"/>
      <c r="AZ36" s="244"/>
      <c r="BA36" s="41"/>
      <c r="BB36" s="47"/>
      <c r="BC36" s="47"/>
      <c r="BD36" s="82"/>
      <c r="BE36" s="118"/>
      <c r="BF36" s="118"/>
      <c r="BJ36" s="244"/>
      <c r="BK36" s="29"/>
      <c r="BL36" s="47"/>
      <c r="BM36" s="47"/>
      <c r="BN36" s="85"/>
      <c r="BO36" s="118"/>
      <c r="BP36" s="118"/>
      <c r="BT36" s="244"/>
      <c r="BU36" s="41"/>
      <c r="BV36" s="47"/>
      <c r="BW36" s="47"/>
      <c r="BX36" s="92"/>
      <c r="BY36" s="118"/>
      <c r="BZ36" s="118"/>
      <c r="CD36" s="244"/>
      <c r="CE36" s="41"/>
      <c r="CF36" s="47"/>
      <c r="CG36" s="47"/>
      <c r="CH36" s="85"/>
      <c r="CI36" s="118"/>
      <c r="CJ36" s="118"/>
      <c r="CN36" s="244"/>
      <c r="CO36" s="41"/>
      <c r="CP36" s="47"/>
      <c r="CQ36" s="47"/>
      <c r="CR36" s="85"/>
      <c r="CS36" s="118"/>
      <c r="CT36" s="118"/>
      <c r="CX36" s="244"/>
      <c r="CY36" s="41"/>
      <c r="CZ36" s="47"/>
      <c r="DA36" s="47"/>
      <c r="DB36" s="85"/>
      <c r="DC36" s="118"/>
      <c r="DD36" s="118"/>
      <c r="DH36" s="244"/>
      <c r="DI36" s="41"/>
      <c r="DJ36" s="47"/>
      <c r="DK36" s="47"/>
      <c r="DL36" s="85"/>
      <c r="DM36" s="118"/>
      <c r="DN36" s="118"/>
      <c r="DR36" s="244"/>
      <c r="DS36" s="30"/>
      <c r="DT36" s="47"/>
      <c r="DU36" s="47"/>
      <c r="DV36" s="85"/>
      <c r="DW36" s="118"/>
      <c r="DX36" s="121"/>
      <c r="EB36" s="244"/>
    </row>
    <row r="37" spans="2:132" ht="15" hidden="1" customHeight="1" x14ac:dyDescent="0.25">
      <c r="B37" s="29"/>
      <c r="C37" s="29"/>
      <c r="AF37" s="244"/>
      <c r="AG37" s="41"/>
      <c r="AH37" s="47"/>
      <c r="AI37" s="47"/>
      <c r="AJ37" s="85"/>
      <c r="AP37" s="244"/>
      <c r="AQ37" s="29"/>
      <c r="AR37" s="47"/>
      <c r="AS37" s="47"/>
      <c r="AT37" s="82"/>
      <c r="AU37" s="118"/>
      <c r="AV37" s="118"/>
      <c r="AZ37" s="244"/>
      <c r="BA37" s="41"/>
      <c r="BB37" s="47"/>
      <c r="BC37" s="47"/>
      <c r="BD37" s="82"/>
      <c r="BE37" s="118"/>
      <c r="BF37" s="118"/>
      <c r="BJ37" s="244"/>
      <c r="BK37" s="29"/>
      <c r="BL37" s="47"/>
      <c r="BM37" s="47"/>
      <c r="BN37" s="85"/>
      <c r="BO37" s="118"/>
      <c r="BP37" s="118"/>
      <c r="BT37" s="244"/>
      <c r="BU37" s="41"/>
      <c r="BV37" s="47"/>
      <c r="BW37" s="47"/>
      <c r="BX37" s="92"/>
      <c r="BY37" s="118"/>
      <c r="BZ37" s="118"/>
      <c r="CD37" s="244"/>
      <c r="CE37" s="41"/>
      <c r="CF37" s="47"/>
      <c r="CG37" s="47"/>
      <c r="CH37" s="85"/>
      <c r="CI37" s="118"/>
      <c r="CJ37" s="118"/>
      <c r="CN37" s="244"/>
      <c r="CO37" s="41"/>
      <c r="CP37" s="47"/>
      <c r="CQ37" s="47"/>
      <c r="CR37" s="85"/>
      <c r="CS37" s="118"/>
      <c r="CT37" s="118"/>
      <c r="CX37" s="244"/>
      <c r="CY37" s="41"/>
      <c r="CZ37" s="47"/>
      <c r="DA37" s="47"/>
      <c r="DB37" s="85"/>
      <c r="DC37" s="118"/>
      <c r="DD37" s="118"/>
      <c r="DH37" s="244"/>
      <c r="DI37" s="41"/>
      <c r="DJ37" s="47"/>
      <c r="DK37" s="47"/>
      <c r="DL37" s="85"/>
      <c r="DM37" s="118"/>
      <c r="DN37" s="118"/>
      <c r="DR37" s="244"/>
      <c r="DS37" s="30"/>
      <c r="DT37" s="47"/>
      <c r="DU37" s="47"/>
      <c r="DV37" s="85"/>
      <c r="DW37" s="118"/>
      <c r="DX37" s="121"/>
      <c r="EB37" s="244"/>
    </row>
    <row r="38" spans="2:132" ht="15" hidden="1" customHeight="1" x14ac:dyDescent="0.25">
      <c r="B38" s="29"/>
      <c r="C38" s="29"/>
      <c r="AF38" s="244"/>
      <c r="AG38" s="41"/>
      <c r="AH38" s="47"/>
      <c r="AI38" s="47"/>
      <c r="AJ38" s="85"/>
      <c r="AP38" s="244"/>
      <c r="AQ38" s="29"/>
      <c r="AR38" s="47"/>
      <c r="AS38" s="47"/>
      <c r="AT38" s="82"/>
      <c r="AU38" s="118"/>
      <c r="AV38" s="118"/>
      <c r="AZ38" s="244"/>
      <c r="BA38" s="41"/>
      <c r="BB38" s="47"/>
      <c r="BC38" s="47"/>
      <c r="BD38" s="82"/>
      <c r="BE38" s="118"/>
      <c r="BF38" s="118"/>
      <c r="BJ38" s="244"/>
      <c r="BK38" s="41"/>
      <c r="BL38" s="47"/>
      <c r="BM38" s="47"/>
      <c r="BN38" s="85"/>
      <c r="BO38" s="118"/>
      <c r="BP38" s="118"/>
      <c r="BT38" s="244"/>
      <c r="BU38" s="41"/>
      <c r="BV38" s="47"/>
      <c r="BW38" s="47"/>
      <c r="BX38" s="92"/>
      <c r="BY38" s="118"/>
      <c r="BZ38" s="118"/>
      <c r="CD38" s="244"/>
      <c r="CE38" s="41"/>
      <c r="CF38" s="47"/>
      <c r="CG38" s="47"/>
      <c r="CH38" s="85"/>
      <c r="CI38" s="118"/>
      <c r="CJ38" s="118"/>
      <c r="CN38" s="244"/>
      <c r="CO38" s="41"/>
      <c r="CP38" s="47"/>
      <c r="CQ38" s="47"/>
      <c r="CR38" s="85"/>
      <c r="CS38" s="118"/>
      <c r="CT38" s="118"/>
      <c r="CX38" s="244"/>
      <c r="CY38" s="41"/>
      <c r="CZ38" s="47"/>
      <c r="DA38" s="47"/>
      <c r="DB38" s="85"/>
      <c r="DC38" s="118"/>
      <c r="DD38" s="118"/>
      <c r="DH38" s="244"/>
      <c r="DI38" s="41"/>
      <c r="DJ38" s="47"/>
      <c r="DK38" s="47"/>
      <c r="DL38" s="85"/>
      <c r="DM38" s="118"/>
      <c r="DN38" s="118"/>
      <c r="DR38" s="244"/>
      <c r="DS38" s="30"/>
      <c r="DT38" s="47"/>
      <c r="DU38" s="47"/>
      <c r="DV38" s="85"/>
      <c r="DW38" s="118"/>
      <c r="DX38" s="121"/>
      <c r="EB38" s="244"/>
    </row>
    <row r="39" spans="2:132" ht="15" hidden="1" customHeight="1" x14ac:dyDescent="0.25">
      <c r="B39" s="29"/>
      <c r="C39" s="29"/>
      <c r="AF39" s="244"/>
      <c r="AG39" s="41"/>
      <c r="AH39" s="47"/>
      <c r="AI39" s="47"/>
      <c r="AJ39" s="85"/>
      <c r="AP39" s="244"/>
      <c r="AQ39" s="29"/>
      <c r="AR39" s="47"/>
      <c r="AS39" s="47"/>
      <c r="AT39" s="82"/>
      <c r="AU39" s="118"/>
      <c r="AV39" s="118"/>
      <c r="AZ39" s="244"/>
      <c r="BA39" s="41"/>
      <c r="BB39" s="47"/>
      <c r="BC39" s="47"/>
      <c r="BD39" s="82"/>
      <c r="BE39" s="118"/>
      <c r="BF39" s="118"/>
      <c r="BJ39" s="244"/>
      <c r="BK39" s="41"/>
      <c r="BL39" s="47"/>
      <c r="BM39" s="47"/>
      <c r="BN39" s="85"/>
      <c r="BO39" s="118"/>
      <c r="BP39" s="118"/>
      <c r="BT39" s="244"/>
      <c r="BU39" s="41"/>
      <c r="BV39" s="47"/>
      <c r="BW39" s="47"/>
      <c r="BX39" s="92"/>
      <c r="BY39" s="118"/>
      <c r="BZ39" s="118"/>
      <c r="CD39" s="244"/>
      <c r="CE39" s="41"/>
      <c r="CF39" s="47"/>
      <c r="CG39" s="47"/>
      <c r="CH39" s="85"/>
      <c r="CI39" s="118"/>
      <c r="CJ39" s="118"/>
      <c r="CN39" s="244"/>
      <c r="CO39" s="41"/>
      <c r="CP39" s="47"/>
      <c r="CQ39" s="47"/>
      <c r="CR39" s="85"/>
      <c r="CS39" s="118"/>
      <c r="CT39" s="118"/>
      <c r="CX39" s="244"/>
      <c r="CY39" s="41"/>
      <c r="CZ39" s="47"/>
      <c r="DA39" s="47"/>
      <c r="DB39" s="85"/>
      <c r="DC39" s="118"/>
      <c r="DD39" s="118"/>
      <c r="DH39" s="244"/>
      <c r="DI39" s="41"/>
      <c r="DJ39" s="47"/>
      <c r="DK39" s="47"/>
      <c r="DL39" s="85"/>
      <c r="DM39" s="118"/>
      <c r="DN39" s="118"/>
      <c r="DR39" s="244"/>
      <c r="DS39" s="30"/>
      <c r="DT39" s="47"/>
      <c r="DU39" s="47"/>
      <c r="DV39" s="85"/>
      <c r="DW39" s="118"/>
      <c r="DX39" s="121"/>
      <c r="EB39" s="244"/>
    </row>
    <row r="40" spans="2:132" ht="15" hidden="1" x14ac:dyDescent="0.25">
      <c r="B40" s="29"/>
      <c r="C40" s="29"/>
      <c r="D40" s="39"/>
      <c r="E40" s="39"/>
      <c r="F40" s="90"/>
      <c r="G40" s="128"/>
      <c r="H40" s="128"/>
      <c r="I40" s="126"/>
      <c r="J40" s="126"/>
      <c r="K40" s="126"/>
      <c r="L40" s="243"/>
      <c r="M40" s="36"/>
      <c r="N40" s="37"/>
      <c r="O40" s="135"/>
      <c r="P40" s="90"/>
      <c r="Q40" s="126"/>
      <c r="R40" s="126"/>
      <c r="S40" s="126"/>
      <c r="T40" s="126"/>
      <c r="U40" s="126"/>
      <c r="V40" s="243"/>
      <c r="W40" s="29"/>
      <c r="X40" s="31"/>
      <c r="Y40" s="136"/>
      <c r="Z40" s="86"/>
      <c r="AA40" s="126"/>
      <c r="AB40" s="126"/>
      <c r="AC40" s="126"/>
      <c r="AD40" s="126"/>
      <c r="AE40" s="126"/>
      <c r="AF40" s="246"/>
      <c r="AG40" s="29"/>
      <c r="AH40" s="31"/>
      <c r="AI40" s="31"/>
      <c r="AJ40" s="86"/>
      <c r="AK40" s="126"/>
      <c r="AL40" s="126"/>
      <c r="AM40" s="126"/>
      <c r="AN40" s="126"/>
      <c r="AO40" s="126"/>
      <c r="AP40" s="246"/>
      <c r="AQ40" s="29"/>
      <c r="AR40" s="31"/>
      <c r="AS40" s="31"/>
      <c r="AT40" s="81"/>
      <c r="AU40" s="119"/>
      <c r="AV40" s="119"/>
      <c r="AW40" s="126"/>
      <c r="AX40" s="126"/>
      <c r="AY40" s="126"/>
      <c r="AZ40" s="246"/>
      <c r="BA40" s="29"/>
      <c r="BB40" s="31"/>
      <c r="BC40" s="31"/>
      <c r="BD40" s="81"/>
      <c r="BE40" s="119"/>
      <c r="BF40" s="119"/>
      <c r="BG40" s="126"/>
      <c r="BH40" s="126"/>
      <c r="BI40" s="126"/>
      <c r="BJ40" s="246"/>
      <c r="BK40" s="29"/>
      <c r="BL40" s="31"/>
      <c r="BM40" s="31"/>
      <c r="BN40" s="86"/>
      <c r="BO40" s="119"/>
      <c r="BP40" s="119"/>
      <c r="BQ40" s="126"/>
      <c r="BR40" s="126"/>
      <c r="BS40" s="126"/>
      <c r="BT40" s="246"/>
      <c r="BU40" s="29"/>
      <c r="BV40" s="31"/>
      <c r="BW40" s="31"/>
      <c r="BX40" s="93"/>
      <c r="BY40" s="119"/>
      <c r="BZ40" s="119"/>
      <c r="CA40" s="126"/>
      <c r="CB40" s="126"/>
      <c r="CC40" s="126"/>
      <c r="CD40" s="246"/>
      <c r="CE40" s="29"/>
      <c r="CF40" s="31"/>
      <c r="CG40" s="31"/>
      <c r="CH40" s="86"/>
      <c r="CI40" s="119"/>
      <c r="CJ40" s="119"/>
      <c r="CK40" s="126"/>
      <c r="CL40" s="126"/>
      <c r="CM40" s="126"/>
      <c r="CN40" s="246"/>
      <c r="CO40" s="29"/>
      <c r="CP40" s="31"/>
      <c r="CQ40" s="31"/>
      <c r="CR40" s="86"/>
      <c r="CS40" s="119"/>
      <c r="CT40" s="119"/>
      <c r="CU40" s="126"/>
      <c r="CV40" s="126"/>
      <c r="CW40" s="126"/>
      <c r="CX40" s="246"/>
      <c r="CY40" s="29"/>
      <c r="CZ40" s="31"/>
      <c r="DA40" s="31"/>
      <c r="DB40" s="86"/>
      <c r="DC40" s="119"/>
      <c r="DD40" s="119"/>
      <c r="DE40" s="126"/>
      <c r="DF40" s="126"/>
      <c r="DG40" s="126"/>
      <c r="DH40" s="246"/>
      <c r="DI40" s="29"/>
      <c r="DJ40" s="31"/>
      <c r="DK40" s="31"/>
      <c r="DL40" s="86"/>
      <c r="DM40" s="119"/>
      <c r="DN40" s="119"/>
      <c r="DO40" s="126"/>
      <c r="DP40" s="126"/>
      <c r="DQ40" s="126"/>
      <c r="DR40" s="246"/>
      <c r="DS40" s="30"/>
      <c r="DT40" s="30"/>
      <c r="DU40" s="30"/>
      <c r="DV40" s="95"/>
      <c r="DW40" s="235"/>
      <c r="DX40" s="122"/>
      <c r="DY40" s="126"/>
      <c r="DZ40" s="126"/>
      <c r="EA40" s="126"/>
      <c r="EB40" s="246"/>
    </row>
    <row r="41" spans="2:132" ht="15" hidden="1" x14ac:dyDescent="0.25"/>
  </sheetData>
  <mergeCells count="26">
    <mergeCell ref="DT2:EB2"/>
    <mergeCell ref="DI1:DR1"/>
    <mergeCell ref="DS1:EB1"/>
    <mergeCell ref="CY1:DH1"/>
    <mergeCell ref="BB2:BJ2"/>
    <mergeCell ref="BL2:BT2"/>
    <mergeCell ref="BV2:CD2"/>
    <mergeCell ref="BA1:BJ1"/>
    <mergeCell ref="BK1:BT1"/>
    <mergeCell ref="BU1:CD1"/>
    <mergeCell ref="CE1:CN1"/>
    <mergeCell ref="CO1:CX1"/>
    <mergeCell ref="CF2:CN2"/>
    <mergeCell ref="CP2:CX2"/>
    <mergeCell ref="CZ2:DH2"/>
    <mergeCell ref="DJ2:DR2"/>
    <mergeCell ref="C1:L1"/>
    <mergeCell ref="M1:V1"/>
    <mergeCell ref="W1:AF1"/>
    <mergeCell ref="AG1:AP1"/>
    <mergeCell ref="AQ1:AZ1"/>
    <mergeCell ref="D2:L2"/>
    <mergeCell ref="N2:V2"/>
    <mergeCell ref="X2:AF2"/>
    <mergeCell ref="AH2:AP2"/>
    <mergeCell ref="AR2:AZ2"/>
  </mergeCells>
  <conditionalFormatting sqref="C3:C34 BA34:BA39 BK38:BK39 CE34:CE39 CY34:CY39 BU34:BU39 CO34:CO39 DI34:DI39">
    <cfRule type="expression" dxfId="1225" priority="1141">
      <formula>SUMPRODUCT((D3&gt;=DVac)*(D3&lt;=FVac))&gt;0</formula>
    </cfRule>
    <cfRule type="expression" dxfId="1224" priority="1142" stopIfTrue="1">
      <formula>SUMPRODUCT((D3&gt;=DVac)*(D3&lt;=FVac))&lt;2</formula>
    </cfRule>
  </conditionalFormatting>
  <conditionalFormatting sqref="BB34:BF39 BV34:BZ39 CF34:CJ39 CP34:CT39 CZ34:DD39 DJ34:DN39 DT34:DX39 BL34:BP39 AR34:AV39 AH34:AJ39 AH33:AI33 AR4:AR33 AH4:AH32 N3:O30 N33:V34">
    <cfRule type="cellIs" dxfId="1223" priority="1122" operator="equal">
      <formula>TODAY()</formula>
    </cfRule>
  </conditionalFormatting>
  <conditionalFormatting sqref="X34:Z34">
    <cfRule type="cellIs" dxfId="1222" priority="1137" operator="equal">
      <formula>TODAY()</formula>
    </cfRule>
  </conditionalFormatting>
  <conditionalFormatting sqref="BB33:BF33 BB4:BB32">
    <cfRule type="cellIs" dxfId="1221" priority="1121" operator="equal">
      <formula>TODAY()</formula>
    </cfRule>
  </conditionalFormatting>
  <conditionalFormatting sqref="D3:E34 G3:H34">
    <cfRule type="cellIs" dxfId="1220" priority="1133" operator="equal">
      <formula>TODAY()</formula>
    </cfRule>
  </conditionalFormatting>
  <conditionalFormatting sqref="M3:M30 M33:M34">
    <cfRule type="expression" dxfId="1219" priority="1131" stopIfTrue="1">
      <formula>SUMPRODUCT((N3&gt;=DVac)*(N3&lt;=FVac))&gt;0</formula>
    </cfRule>
    <cfRule type="expression" dxfId="1218" priority="1132" stopIfTrue="1">
      <formula>SUMPRODUCT((N3&gt;=DVac)*(N3&lt;=FVac))&lt;2</formula>
    </cfRule>
  </conditionalFormatting>
  <conditionalFormatting sqref="W3:W34">
    <cfRule type="expression" dxfId="1217" priority="1129">
      <formula>SUMPRODUCT((X3&gt;=DVac)*(X3&lt;=FVac))&gt;0</formula>
    </cfRule>
    <cfRule type="expression" dxfId="1216" priority="1130" stopIfTrue="1">
      <formula>SUMPRODUCT((X3&gt;=DVac)*(X3&lt;=FVac))&lt;2</formula>
    </cfRule>
  </conditionalFormatting>
  <conditionalFormatting sqref="AG3:AG39">
    <cfRule type="expression" dxfId="1215" priority="1127">
      <formula>SUMPRODUCT((AH3&gt;=DVac)*(AH3&lt;=FVac))&gt;0</formula>
    </cfRule>
    <cfRule type="expression" dxfId="1214" priority="1128">
      <formula>SUMPRODUCT((AH3&gt;=DVac)*(AH3&lt;=FVac))&lt;2</formula>
    </cfRule>
  </conditionalFormatting>
  <conditionalFormatting sqref="AQ3:AQ32">
    <cfRule type="expression" dxfId="1213" priority="1125">
      <formula>SUMPRODUCT((AR3&gt;=DVac)*(AR3&lt;=FVac))&gt;0</formula>
    </cfRule>
    <cfRule type="expression" dxfId="1212" priority="1126" stopIfTrue="1">
      <formula>SUMPRODUCT((AR3&gt;=DVac)*(AR3&lt;=FVac))&lt;2</formula>
    </cfRule>
  </conditionalFormatting>
  <conditionalFormatting sqref="BA3:BA32">
    <cfRule type="expression" dxfId="1211" priority="1123">
      <formula>SUMPRODUCT((BB3&gt;=DVac)*(BB3&lt;=FVac))&gt;0</formula>
    </cfRule>
    <cfRule type="expression" dxfId="1210" priority="1124" stopIfTrue="1">
      <formula>SUMPRODUCT((BB3&gt;=DVac)*(BB3&lt;=FVac))&lt;2</formula>
    </cfRule>
  </conditionalFormatting>
  <conditionalFormatting sqref="D3:E34 G3:H34">
    <cfRule type="expression" dxfId="1209" priority="1118">
      <formula>WEEKDAY($D3,2)=7</formula>
    </cfRule>
    <cfRule type="expression" dxfId="1208" priority="1120">
      <formula>WEEKDAY($D3,2)&gt;5</formula>
    </cfRule>
    <cfRule type="expression" dxfId="1207" priority="1143">
      <formula>COUNTIF(Fériés,$D3)=1</formula>
    </cfRule>
  </conditionalFormatting>
  <conditionalFormatting sqref="D31:E34 H3:H30 G31:H34">
    <cfRule type="expression" dxfId="1206" priority="1001">
      <formula>$D3=""</formula>
    </cfRule>
  </conditionalFormatting>
  <conditionalFormatting sqref="C31:C34">
    <cfRule type="expression" dxfId="1205" priority="1119">
      <formula>$D31=""</formula>
    </cfRule>
  </conditionalFormatting>
  <conditionalFormatting sqref="X34:Z34 X33:AA33">
    <cfRule type="expression" dxfId="1204" priority="1113">
      <formula>$X33=""</formula>
    </cfRule>
  </conditionalFormatting>
  <conditionalFormatting sqref="M33:M34">
    <cfRule type="expression" dxfId="1203" priority="1112">
      <formula>$N33=""</formula>
    </cfRule>
  </conditionalFormatting>
  <conditionalFormatting sqref="W31:W34">
    <cfRule type="expression" dxfId="1202" priority="1111">
      <formula>$X31=""</formula>
    </cfRule>
  </conditionalFormatting>
  <conditionalFormatting sqref="AH34:AJ39 AH33:AI33 AH31:AH32 N33:V34 AP33:AP39">
    <cfRule type="expression" dxfId="1201" priority="1108">
      <formula>$AH31=""</formula>
    </cfRule>
  </conditionalFormatting>
  <conditionalFormatting sqref="AG31:AG39">
    <cfRule type="expression" dxfId="1200" priority="1107">
      <formula>$AH31=""</formula>
    </cfRule>
  </conditionalFormatting>
  <conditionalFormatting sqref="AR34:AV39 AR31:AR33">
    <cfRule type="expression" dxfId="1199" priority="1099">
      <formula>$AR31=""</formula>
    </cfRule>
  </conditionalFormatting>
  <conditionalFormatting sqref="BB33:BF39 BB31:BB32">
    <cfRule type="expression" dxfId="1198" priority="1100">
      <formula>$BB31=""</formula>
    </cfRule>
  </conditionalFormatting>
  <conditionalFormatting sqref="BB33:BF39 BB4:BB32">
    <cfRule type="expression" dxfId="1197" priority="1101">
      <formula>WEEKDAY($BB4,2)=6</formula>
    </cfRule>
    <cfRule type="expression" dxfId="1196" priority="1102">
      <formula>WEEKDAY($BB4,2)=7</formula>
    </cfRule>
    <cfRule type="expression" dxfId="1195" priority="1105">
      <formula>COUNTIF(Fériés,$BB4)=1</formula>
    </cfRule>
  </conditionalFormatting>
  <conditionalFormatting sqref="N3:O30 X33">
    <cfRule type="expression" dxfId="1194" priority="742">
      <formula>WEEKDAY($N3,2)=6</formula>
    </cfRule>
    <cfRule type="expression" dxfId="1193" priority="1117">
      <formula>WEEKDAY($N3,2)=7</formula>
    </cfRule>
    <cfRule type="expression" dxfId="1192" priority="1139">
      <formula>COUNTIF(Fériés,$N3)=1</formula>
    </cfRule>
  </conditionalFormatting>
  <conditionalFormatting sqref="X34:Z34 X33:AA33">
    <cfRule type="expression" dxfId="1191" priority="1115">
      <formula>WEEKDAY($X33,2)=6</formula>
    </cfRule>
    <cfRule type="expression" dxfId="1190" priority="1116">
      <formula>WEEKDAY($X33,2)=7</formula>
    </cfRule>
    <cfRule type="expression" dxfId="1189" priority="1138">
      <formula>COUNTIF(Fériés,$X33)=1</formula>
    </cfRule>
  </conditionalFormatting>
  <conditionalFormatting sqref="AH34:AJ39 AH33:AI33 AH4:AH32 N33:V34 AP3:AP39">
    <cfRule type="expression" dxfId="1188" priority="1109">
      <formula>WEEKDAY($AH3,2)=6</formula>
    </cfRule>
    <cfRule type="expression" dxfId="1187" priority="1110">
      <formula>WEEKDAY($AH3,2)=7</formula>
    </cfRule>
    <cfRule type="expression" dxfId="1186" priority="1136">
      <formula>COUNTIF(Fériés,$AH3)=1</formula>
    </cfRule>
  </conditionalFormatting>
  <conditionalFormatting sqref="AR34:AV39 AR4:AR33 AW3:AZ33">
    <cfRule type="expression" dxfId="1185" priority="1103">
      <formula>WEEKDAY($AR3,2)=7</formula>
    </cfRule>
    <cfRule type="expression" dxfId="1184" priority="1104">
      <formula>WEEKDAY($AR3,2)=6</formula>
    </cfRule>
    <cfRule type="expression" dxfId="1183" priority="1134">
      <formula>COUNTIF(Fériés,$AR3)=1</formula>
    </cfRule>
  </conditionalFormatting>
  <conditionalFormatting sqref="BL4:BL33">
    <cfRule type="cellIs" dxfId="1182" priority="1093" operator="equal">
      <formula>TODAY()</formula>
    </cfRule>
  </conditionalFormatting>
  <conditionalFormatting sqref="BK3:BK30">
    <cfRule type="expression" dxfId="1181" priority="1094">
      <formula>SUMPRODUCT((BL3&gt;=DVac)*(BL3&lt;=FVac))&gt;0</formula>
    </cfRule>
    <cfRule type="expression" dxfId="1180" priority="1095" stopIfTrue="1">
      <formula>SUMPRODUCT((BL3&gt;=DVac)*(BL3&lt;=FVac))&lt;2</formula>
    </cfRule>
  </conditionalFormatting>
  <conditionalFormatting sqref="BL34:BP39 BL31:BL33">
    <cfRule type="expression" dxfId="1179" priority="1089">
      <formula>$BL31=""</formula>
    </cfRule>
  </conditionalFormatting>
  <conditionalFormatting sqref="BL34:BP39 BL4:BL33">
    <cfRule type="expression" dxfId="1178" priority="1090">
      <formula>COUNTIF(Fériés,$BL4)=1</formula>
    </cfRule>
    <cfRule type="expression" dxfId="1177" priority="1091">
      <formula>WEEKDAY($BL4,2)=6</formula>
    </cfRule>
    <cfRule type="expression" dxfId="1176" priority="1092">
      <formula>WEEKDAY($BL4,2)=7</formula>
    </cfRule>
  </conditionalFormatting>
  <conditionalFormatting sqref="BV4:BV33">
    <cfRule type="cellIs" dxfId="1175" priority="1083" operator="equal">
      <formula>TODAY()</formula>
    </cfRule>
  </conditionalFormatting>
  <conditionalFormatting sqref="BU3:BU31">
    <cfRule type="expression" dxfId="1174" priority="1087">
      <formula>SUMPRODUCT((BV3&gt;=DVac)*(BV3&lt;=FVac))&gt;0</formula>
    </cfRule>
    <cfRule type="expression" dxfId="1173" priority="1088" stopIfTrue="1">
      <formula>SUMPRODUCT((BV3&gt;=DVac)*(BV3&lt;=FVac))&lt;2</formula>
    </cfRule>
  </conditionalFormatting>
  <conditionalFormatting sqref="BV34:BZ39 BV31:BV33">
    <cfRule type="expression" dxfId="1172" priority="1082">
      <formula>$BV31=""</formula>
    </cfRule>
  </conditionalFormatting>
  <conditionalFormatting sqref="BV34:BZ39 BV4:BV33">
    <cfRule type="expression" dxfId="1171" priority="1084">
      <formula>COUNTIF(Fériés,$BV4)=1</formula>
    </cfRule>
    <cfRule type="expression" dxfId="1170" priority="1085">
      <formula>WEEKDAY($BV4,2)=6</formula>
    </cfRule>
    <cfRule type="expression" dxfId="1169" priority="1086">
      <formula>WEEKDAY($BV4,2)=7</formula>
    </cfRule>
  </conditionalFormatting>
  <conditionalFormatting sqref="CF33:CJ33 CF4:CF32">
    <cfRule type="cellIs" dxfId="1168" priority="1076" operator="equal">
      <formula>TODAY()</formula>
    </cfRule>
  </conditionalFormatting>
  <conditionalFormatting sqref="CE3:CE32">
    <cfRule type="expression" dxfId="1167" priority="1080">
      <formula>SUMPRODUCT((CF3&gt;=DVac)*(CF3&lt;=FVac))&gt;0</formula>
    </cfRule>
    <cfRule type="expression" dxfId="1166" priority="1081" stopIfTrue="1">
      <formula>SUMPRODUCT((CF3&gt;=DVac)*(CF3&lt;=FVac))&lt;2</formula>
    </cfRule>
  </conditionalFormatting>
  <conditionalFormatting sqref="CF33:CJ39 CF31:CF32">
    <cfRule type="expression" dxfId="1165" priority="1075">
      <formula>$CF31=""</formula>
    </cfRule>
  </conditionalFormatting>
  <conditionalFormatting sqref="CF33:CJ39 CF4:CF32">
    <cfRule type="expression" dxfId="1164" priority="1077">
      <formula>COUNTIF(Fériés,$CF4)=1</formula>
    </cfRule>
    <cfRule type="expression" dxfId="1163" priority="1078">
      <formula>WEEKDAY($CF4,2)=6</formula>
    </cfRule>
    <cfRule type="expression" dxfId="1162" priority="1079">
      <formula>WEEKDAY($CF4,2)=7</formula>
    </cfRule>
  </conditionalFormatting>
  <conditionalFormatting sqref="CP4:CP33">
    <cfRule type="cellIs" dxfId="1161" priority="1069" operator="equal">
      <formula>TODAY()</formula>
    </cfRule>
  </conditionalFormatting>
  <conditionalFormatting sqref="CO3:CO30">
    <cfRule type="expression" dxfId="1160" priority="1073">
      <formula>SUMPRODUCT((CP3&gt;=DVac)*(CP3&lt;=FVac))&gt;0</formula>
    </cfRule>
    <cfRule type="expression" dxfId="1159" priority="1074" stopIfTrue="1">
      <formula>SUMPRODUCT((CP3&gt;=DVac)*(CP3&lt;=FVac))&lt;2</formula>
    </cfRule>
  </conditionalFormatting>
  <conditionalFormatting sqref="CP34:CT39 CP31:CP33">
    <cfRule type="expression" dxfId="1158" priority="1068">
      <formula>$CP31=""</formula>
    </cfRule>
  </conditionalFormatting>
  <conditionalFormatting sqref="CP34:CT39 CP4:CP33">
    <cfRule type="expression" dxfId="1157" priority="1070">
      <formula>COUNTIF(Fériés,$CP4)=1</formula>
    </cfRule>
    <cfRule type="expression" dxfId="1156" priority="1071">
      <formula>WEEKDAY($CP4,2)=6</formula>
    </cfRule>
    <cfRule type="expression" dxfId="1155" priority="1072">
      <formula>WEEKDAY($CP4,2)=7</formula>
    </cfRule>
  </conditionalFormatting>
  <conditionalFormatting sqref="CZ33:DD33 CZ4:CZ32">
    <cfRule type="cellIs" dxfId="1154" priority="1065" operator="equal">
      <formula>TODAY()</formula>
    </cfRule>
  </conditionalFormatting>
  <conditionalFormatting sqref="CY3:CY32">
    <cfRule type="expression" dxfId="1153" priority="1066">
      <formula>SUMPRODUCT((CZ3&gt;=DVac)*(CZ3&lt;=FVac))&gt;0</formula>
    </cfRule>
    <cfRule type="expression" dxfId="1152" priority="1067" stopIfTrue="1">
      <formula>SUMPRODUCT((CZ3&gt;=DVac)*(CZ3&lt;=FVac))&lt;2</formula>
    </cfRule>
  </conditionalFormatting>
  <conditionalFormatting sqref="CZ33:DD39 CZ31:CZ32">
    <cfRule type="expression" dxfId="1151" priority="1061">
      <formula>$CZ31=""</formula>
    </cfRule>
  </conditionalFormatting>
  <conditionalFormatting sqref="CZ33:DD39 CZ4:CZ32">
    <cfRule type="expression" dxfId="1150" priority="1062">
      <formula>WEEKDAY($CZ4,2)=6</formula>
    </cfRule>
    <cfRule type="expression" dxfId="1149" priority="1063">
      <formula>WEEKDAY($CZ4,2)=7</formula>
    </cfRule>
    <cfRule type="expression" dxfId="1148" priority="1064">
      <formula>COUNTIF(Fériés,$CZ4)=1</formula>
    </cfRule>
  </conditionalFormatting>
  <conditionalFormatting sqref="DJ4:DJ33">
    <cfRule type="cellIs" dxfId="1147" priority="1058" operator="equal">
      <formula>TODAY()</formula>
    </cfRule>
  </conditionalFormatting>
  <conditionalFormatting sqref="DI3:DI32">
    <cfRule type="expression" dxfId="1146" priority="1059">
      <formula>SUMPRODUCT((DJ3&gt;=DVac)*(DJ3&lt;=FVac))&gt;0</formula>
    </cfRule>
    <cfRule type="expression" dxfId="1145" priority="1060" stopIfTrue="1">
      <formula>SUMPRODUCT((DJ3&gt;=DVac)*(DJ3&lt;=FVac))&lt;2</formula>
    </cfRule>
  </conditionalFormatting>
  <conditionalFormatting sqref="DJ34:DN39 DJ31:DJ33">
    <cfRule type="expression" dxfId="1144" priority="1054">
      <formula>$DJ31=""</formula>
    </cfRule>
  </conditionalFormatting>
  <conditionalFormatting sqref="DJ34:DN39 DJ4:DJ33">
    <cfRule type="expression" dxfId="1143" priority="1055">
      <formula>WEEKDAY($DJ4,2)=6</formula>
    </cfRule>
    <cfRule type="expression" dxfId="1142" priority="1056">
      <formula>WEEKDAY($DJ4,2)=7</formula>
    </cfRule>
    <cfRule type="expression" dxfId="1141" priority="1057">
      <formula>COUNTIF(Fériés,$DJ4)=1</formula>
    </cfRule>
  </conditionalFormatting>
  <conditionalFormatting sqref="DT4:DT33">
    <cfRule type="cellIs" dxfId="1140" priority="1051" operator="equal">
      <formula>TODAY()</formula>
    </cfRule>
  </conditionalFormatting>
  <conditionalFormatting sqref="DS3:DS33">
    <cfRule type="expression" dxfId="1139" priority="1052">
      <formula>SUMPRODUCT((DT3&gt;=DVac)*(DT3&lt;=FVac))&gt;0</formula>
    </cfRule>
    <cfRule type="expression" dxfId="1138" priority="1053" stopIfTrue="1">
      <formula>SUMPRODUCT((DT3&gt;=DVac)*(DT3&lt;=FVac))&lt;2</formula>
    </cfRule>
  </conditionalFormatting>
  <conditionalFormatting sqref="DT34:DX39 DT31:DT33">
    <cfRule type="expression" dxfId="1137" priority="1047">
      <formula>$DT31=""</formula>
    </cfRule>
  </conditionalFormatting>
  <conditionalFormatting sqref="BK33">
    <cfRule type="expression" dxfId="1136" priority="1045">
      <formula>SUMPRODUCT((BL33&gt;=DVac)*(BL33&lt;=FVac))&gt;0</formula>
    </cfRule>
    <cfRule type="expression" dxfId="1135" priority="1046" stopIfTrue="1">
      <formula>SUMPRODUCT((BL33&gt;=DVac)*(BL33&lt;=FVac))&lt;2</formula>
    </cfRule>
  </conditionalFormatting>
  <conditionalFormatting sqref="BK33 BK38:BK39">
    <cfRule type="expression" dxfId="1134" priority="1044">
      <formula>$BL33=""</formula>
    </cfRule>
  </conditionalFormatting>
  <conditionalFormatting sqref="CE33">
    <cfRule type="expression" dxfId="1133" priority="1042">
      <formula>SUMPRODUCT((CF33&gt;=DVac)*(CF33&lt;=FVac))&gt;0</formula>
    </cfRule>
    <cfRule type="expression" dxfId="1132" priority="1043" stopIfTrue="1">
      <formula>SUMPRODUCT((CF33&gt;=DVac)*(CF33&lt;=FVac))&lt;2</formula>
    </cfRule>
  </conditionalFormatting>
  <conditionalFormatting sqref="CE33:CE39">
    <cfRule type="expression" dxfId="1131" priority="1041">
      <formula>$CF33=""</formula>
    </cfRule>
  </conditionalFormatting>
  <conditionalFormatting sqref="CY33">
    <cfRule type="expression" dxfId="1130" priority="1039">
      <formula>SUMPRODUCT((CZ33&gt;=DVac)*(CZ33&lt;=FVac))&gt;0</formula>
    </cfRule>
    <cfRule type="expression" dxfId="1129" priority="1040" stopIfTrue="1">
      <formula>SUMPRODUCT((CZ33&gt;=DVac)*(CZ33&lt;=FVac))&lt;2</formula>
    </cfRule>
  </conditionalFormatting>
  <conditionalFormatting sqref="CY33:CY39">
    <cfRule type="expression" dxfId="1128" priority="1038">
      <formula>$CZ33=""</formula>
    </cfRule>
  </conditionalFormatting>
  <conditionalFormatting sqref="BK31:BK32">
    <cfRule type="expression" dxfId="1127" priority="1036">
      <formula>SUMPRODUCT((BL31&gt;=DVac)*(BL31&lt;=FVac))&gt;0</formula>
    </cfRule>
    <cfRule type="expression" dxfId="1126" priority="1037" stopIfTrue="1">
      <formula>SUMPRODUCT((BL31&gt;=DVac)*(BL31&lt;=FVac))&lt;2</formula>
    </cfRule>
  </conditionalFormatting>
  <conditionalFormatting sqref="BK31:BK32">
    <cfRule type="expression" dxfId="1125" priority="1035">
      <formula>$BL31=""</formula>
    </cfRule>
  </conditionalFormatting>
  <conditionalFormatting sqref="BU32:BU33">
    <cfRule type="expression" dxfId="1124" priority="1033">
      <formula>SUMPRODUCT((BV32&gt;=DVac)*(BV32&lt;=FVac))&gt;0</formula>
    </cfRule>
    <cfRule type="expression" dxfId="1123" priority="1034" stopIfTrue="1">
      <formula>SUMPRODUCT((BV32&gt;=DVac)*(BV32&lt;=FVac))&lt;2</formula>
    </cfRule>
  </conditionalFormatting>
  <conditionalFormatting sqref="BU31:BU39">
    <cfRule type="expression" dxfId="1122" priority="1032">
      <formula>$BV31=""</formula>
    </cfRule>
  </conditionalFormatting>
  <conditionalFormatting sqref="CO31:CO33">
    <cfRule type="expression" dxfId="1121" priority="1030">
      <formula>SUMPRODUCT((CP31&gt;=DVac)*(CP31&lt;=FVac))&gt;0</formula>
    </cfRule>
    <cfRule type="expression" dxfId="1120" priority="1031" stopIfTrue="1">
      <formula>SUMPRODUCT((CP31&gt;=DVac)*(CP31&lt;=FVac))&lt;2</formula>
    </cfRule>
  </conditionalFormatting>
  <conditionalFormatting sqref="CO31:CO39">
    <cfRule type="expression" dxfId="1119" priority="1029">
      <formula>$CP31=""</formula>
    </cfRule>
  </conditionalFormatting>
  <conditionalFormatting sqref="DI33">
    <cfRule type="expression" dxfId="1118" priority="1027">
      <formula>SUMPRODUCT((DJ33&gt;=DVac)*(DJ33&lt;=FVac))&gt;0</formula>
    </cfRule>
    <cfRule type="expression" dxfId="1117" priority="1028" stopIfTrue="1">
      <formula>SUMPRODUCT((DJ33&gt;=DVac)*(DJ33&lt;=FVac))&lt;2</formula>
    </cfRule>
  </conditionalFormatting>
  <conditionalFormatting sqref="DI33:DI39">
    <cfRule type="expression" dxfId="1116" priority="1026">
      <formula>$DJ33=""</formula>
    </cfRule>
  </conditionalFormatting>
  <conditionalFormatting sqref="BA33">
    <cfRule type="expression" dxfId="1115" priority="1024">
      <formula>SUMPRODUCT((BB33&gt;=DVac)*(BB33&lt;=FVac))&gt;0</formula>
    </cfRule>
    <cfRule type="expression" dxfId="1114" priority="1025" stopIfTrue="1">
      <formula>SUMPRODUCT((BB33&gt;=DVac)*(BB33&lt;=FVac))&lt;2</formula>
    </cfRule>
  </conditionalFormatting>
  <conditionalFormatting sqref="BA31:BA39">
    <cfRule type="expression" dxfId="1113" priority="1023">
      <formula>$BB31=""</formula>
    </cfRule>
  </conditionalFormatting>
  <conditionalFormatting sqref="DT34:DX39 DT4:DT33">
    <cfRule type="expression" dxfId="1112" priority="1048">
      <formula>WEEKDAY($DT4,2)=6</formula>
    </cfRule>
    <cfRule type="expression" dxfId="1111" priority="1049">
      <formula>WEEKDAY($DT4,2)=7</formula>
    </cfRule>
    <cfRule type="expression" dxfId="1110" priority="1050">
      <formula>COUNTIF(Fériés,$DT4)=1</formula>
    </cfRule>
  </conditionalFormatting>
  <conditionalFormatting sqref="B3">
    <cfRule type="expression" dxfId="1109" priority="1148">
      <formula>#REF!=""</formula>
    </cfRule>
  </conditionalFormatting>
  <conditionalFormatting sqref="AQ33">
    <cfRule type="expression" dxfId="1108" priority="1021">
      <formula>SUMPRODUCT((AR33&gt;=DVac)*(AR33&lt;=FVac))&gt;0</formula>
    </cfRule>
    <cfRule type="expression" dxfId="1107" priority="1022" stopIfTrue="1">
      <formula>SUMPRODUCT((AR33&gt;=DVac)*(AR33&lt;=FVac))&lt;2</formula>
    </cfRule>
  </conditionalFormatting>
  <conditionalFormatting sqref="AQ33">
    <cfRule type="expression" dxfId="1106" priority="1020">
      <formula>$BL33=""</formula>
    </cfRule>
  </conditionalFormatting>
  <conditionalFormatting sqref="F34">
    <cfRule type="cellIs" dxfId="1105" priority="1015" operator="equal">
      <formula>TODAY()</formula>
    </cfRule>
  </conditionalFormatting>
  <conditionalFormatting sqref="F34">
    <cfRule type="expression" dxfId="1104" priority="1012">
      <formula>$N34=""</formula>
    </cfRule>
  </conditionalFormatting>
  <conditionalFormatting sqref="F34">
    <cfRule type="expression" dxfId="1103" priority="1013">
      <formula>WEEKDAY($N34,2)=6</formula>
    </cfRule>
    <cfRule type="expression" dxfId="1102" priority="1014">
      <formula>WEEKDAY($N34,2)=7</formula>
    </cfRule>
    <cfRule type="expression" dxfId="1101" priority="1016">
      <formula>COUNTIF(Fériés,$N34)=1</formula>
    </cfRule>
  </conditionalFormatting>
  <conditionalFormatting sqref="AA34">
    <cfRule type="cellIs" dxfId="1100" priority="1010" operator="equal">
      <formula>TODAY()</formula>
    </cfRule>
  </conditionalFormatting>
  <conditionalFormatting sqref="AA34">
    <cfRule type="expression" dxfId="1099" priority="1007">
      <formula>$N34=""</formula>
    </cfRule>
  </conditionalFormatting>
  <conditionalFormatting sqref="AA34">
    <cfRule type="expression" dxfId="1098" priority="1008">
      <formula>WEEKDAY($N34,2)=6</formula>
    </cfRule>
    <cfRule type="expression" dxfId="1097" priority="1009">
      <formula>WEEKDAY($N34,2)=7</formula>
    </cfRule>
    <cfRule type="expression" dxfId="1096" priority="1011">
      <formula>COUNTIF(Fériés,$N34)=1</formula>
    </cfRule>
  </conditionalFormatting>
  <conditionalFormatting sqref="AK34:AL34">
    <cfRule type="cellIs" dxfId="1095" priority="1005" operator="equal">
      <formula>TODAY()</formula>
    </cfRule>
  </conditionalFormatting>
  <conditionalFormatting sqref="AK34:AL34">
    <cfRule type="expression" dxfId="1094" priority="1002">
      <formula>$N34=""</formula>
    </cfRule>
  </conditionalFormatting>
  <conditionalFormatting sqref="AK34:AL34">
    <cfRule type="expression" dxfId="1093" priority="1003">
      <formula>WEEKDAY($N34,2)=6</formula>
    </cfRule>
    <cfRule type="expression" dxfId="1092" priority="1004">
      <formula>WEEKDAY($N34,2)=7</formula>
    </cfRule>
    <cfRule type="expression" dxfId="1091" priority="1006">
      <formula>COUNTIF(Fériés,$N34)=1</formula>
    </cfRule>
  </conditionalFormatting>
  <conditionalFormatting sqref="F3:F14 F16:F33">
    <cfRule type="cellIs" dxfId="1090" priority="999" operator="equal">
      <formula>TODAY()</formula>
    </cfRule>
  </conditionalFormatting>
  <conditionalFormatting sqref="F3:F14 F16:F33">
    <cfRule type="expression" dxfId="1089" priority="451">
      <formula>WEEKDAY($D3,2)=7</formula>
    </cfRule>
    <cfRule type="expression" dxfId="1088" priority="998">
      <formula>WEEKDAY($D3,2)&gt;5</formula>
    </cfRule>
    <cfRule type="expression" dxfId="1087" priority="1000">
      <formula>COUNTIF(Fériés,$D3)=1</formula>
    </cfRule>
  </conditionalFormatting>
  <conditionalFormatting sqref="AA3:AA31">
    <cfRule type="cellIs" dxfId="1086" priority="996" operator="equal">
      <formula>TODAY()</formula>
    </cfRule>
  </conditionalFormatting>
  <conditionalFormatting sqref="AA3:AA31">
    <cfRule type="expression" dxfId="1085" priority="994">
      <formula>WEEKDAY($N3,2)=6</formula>
    </cfRule>
    <cfRule type="expression" dxfId="1084" priority="995">
      <formula>WEEKDAY($N3,2)=7</formula>
    </cfRule>
    <cfRule type="expression" dxfId="1083" priority="997">
      <formula>COUNTIF(Fériés,$N3)=1</formula>
    </cfRule>
  </conditionalFormatting>
  <conditionalFormatting sqref="AK3:AK32">
    <cfRule type="expression" dxfId="1082" priority="986">
      <formula>WEEKDAY($AH3,2)=6</formula>
    </cfRule>
    <cfRule type="expression" dxfId="1081" priority="987">
      <formula>WEEKDAY($AH3,2)=7</formula>
    </cfRule>
    <cfRule type="expression" dxfId="1080" priority="988">
      <formula>COUNTIF(Fériés,$AH3)=1</formula>
    </cfRule>
  </conditionalFormatting>
  <conditionalFormatting sqref="AU3:AU33">
    <cfRule type="expression" dxfId="1079" priority="983">
      <formula>WEEKDAY($AR3,2)=7</formula>
    </cfRule>
    <cfRule type="expression" dxfId="1078" priority="984">
      <formula>WEEKDAY($AR3,2)=6</formula>
    </cfRule>
    <cfRule type="expression" dxfId="1077" priority="985">
      <formula>COUNTIF(Fériés,$AR3)=1</formula>
    </cfRule>
  </conditionalFormatting>
  <conditionalFormatting sqref="BE3:BE32">
    <cfRule type="expression" dxfId="1076" priority="980">
      <formula>WEEKDAY($BB3,2)=6</formula>
    </cfRule>
    <cfRule type="expression" dxfId="1075" priority="981">
      <formula>WEEKDAY($BB3,2)=7</formula>
    </cfRule>
    <cfRule type="expression" dxfId="1074" priority="982">
      <formula>COUNTIF(Fériés,$BB3)=1</formula>
    </cfRule>
  </conditionalFormatting>
  <conditionalFormatting sqref="BO3:BO33">
    <cfRule type="expression" dxfId="1073" priority="977">
      <formula>COUNTIF(Fériés,$BL3)=1</formula>
    </cfRule>
    <cfRule type="expression" dxfId="1072" priority="978">
      <formula>WEEKDAY($BL3,2)=6</formula>
    </cfRule>
    <cfRule type="expression" dxfId="1071" priority="979">
      <formula>WEEKDAY($BL3,2)=7</formula>
    </cfRule>
  </conditionalFormatting>
  <conditionalFormatting sqref="BY3:BY33">
    <cfRule type="expression" dxfId="1070" priority="974">
      <formula>COUNTIF(Fériés,$BV3)=1</formula>
    </cfRule>
    <cfRule type="expression" dxfId="1069" priority="975">
      <formula>WEEKDAY($BV3,2)=6</formula>
    </cfRule>
    <cfRule type="expression" dxfId="1068" priority="976">
      <formula>WEEKDAY($BV3,2)=7</formula>
    </cfRule>
  </conditionalFormatting>
  <conditionalFormatting sqref="CI3:CI32">
    <cfRule type="expression" dxfId="1067" priority="971">
      <formula>COUNTIF(Fériés,$CF3)=1</formula>
    </cfRule>
    <cfRule type="expression" dxfId="1066" priority="972">
      <formula>WEEKDAY($CF3,2)=6</formula>
    </cfRule>
    <cfRule type="expression" dxfId="1065" priority="973">
      <formula>WEEKDAY($CF3,2)=7</formula>
    </cfRule>
  </conditionalFormatting>
  <conditionalFormatting sqref="CS3:CS33">
    <cfRule type="expression" dxfId="1064" priority="968">
      <formula>COUNTIF(Fériés,$CP3)=1</formula>
    </cfRule>
    <cfRule type="expression" dxfId="1063" priority="969">
      <formula>WEEKDAY($CP3,2)=6</formula>
    </cfRule>
    <cfRule type="expression" dxfId="1062" priority="970">
      <formula>WEEKDAY($CP3,2)=7</formula>
    </cfRule>
  </conditionalFormatting>
  <conditionalFormatting sqref="DC3:DC32">
    <cfRule type="expression" dxfId="1061" priority="965">
      <formula>WEEKDAY($CZ3,2)=6</formula>
    </cfRule>
    <cfRule type="expression" dxfId="1060" priority="966">
      <formula>WEEKDAY($CZ3,2)=7</formula>
    </cfRule>
    <cfRule type="expression" dxfId="1059" priority="967">
      <formula>COUNTIF(Fériés,$CZ3)=1</formula>
    </cfRule>
  </conditionalFormatting>
  <conditionalFormatting sqref="DM3:DM33">
    <cfRule type="expression" dxfId="1058" priority="962">
      <formula>WEEKDAY($DJ3,2)=6</formula>
    </cfRule>
    <cfRule type="expression" dxfId="1057" priority="963">
      <formula>WEEKDAY($DJ3,2)=7</formula>
    </cfRule>
    <cfRule type="expression" dxfId="1056" priority="964">
      <formula>COUNTIF(Fériés,$DJ3)=1</formula>
    </cfRule>
  </conditionalFormatting>
  <conditionalFormatting sqref="Q3:Q30">
    <cfRule type="expression" dxfId="1055" priority="959">
      <formula>WEEKDAY($N3,2)=6</formula>
    </cfRule>
    <cfRule type="expression" dxfId="1054" priority="960">
      <formula>WEEKDAY($N3,2)=7</formula>
    </cfRule>
    <cfRule type="expression" dxfId="1053" priority="961">
      <formula>COUNTIF(Fériés,$N3)=1</formula>
    </cfRule>
  </conditionalFormatting>
  <conditionalFormatting sqref="Q3:Q30 AA3:AA31 AK3:AK32 AU3:AU33 BE3:BE32 BO3:BO33 BY3:BY33 CI3:CI32 CS3:CS33 DC3:DC32 DM3:DM33">
    <cfRule type="notContainsBlanks" dxfId="1052" priority="1149">
      <formula>LEN(TRIM(Q3))&gt;0</formula>
    </cfRule>
  </conditionalFormatting>
  <conditionalFormatting sqref="BD3:BD32">
    <cfRule type="notContainsBlanks" dxfId="1051" priority="935">
      <formula>LEN(TRIM(BD3))&gt;0</formula>
    </cfRule>
  </conditionalFormatting>
  <conditionalFormatting sqref="P3:P30">
    <cfRule type="expression" dxfId="1050" priority="955">
      <formula>WEEKDAY($N3,2)=6</formula>
    </cfRule>
    <cfRule type="expression" dxfId="1049" priority="956">
      <formula>WEEKDAY($N3,2)=7</formula>
    </cfRule>
    <cfRule type="expression" dxfId="1048" priority="957">
      <formula>COUNTIF(Fériés,$N3)=1</formula>
    </cfRule>
  </conditionalFormatting>
  <conditionalFormatting sqref="P3:P30">
    <cfRule type="notContainsBlanks" dxfId="1047" priority="958">
      <formula>LEN(TRIM(P3))&gt;0</formula>
    </cfRule>
  </conditionalFormatting>
  <conditionalFormatting sqref="Z3:Z31">
    <cfRule type="cellIs" dxfId="1046" priority="952" operator="equal">
      <formula>TODAY()</formula>
    </cfRule>
  </conditionalFormatting>
  <conditionalFormatting sqref="Z3:Z31">
    <cfRule type="expression" dxfId="1045" priority="950">
      <formula>WEEKDAY($N3,2)=6</formula>
    </cfRule>
    <cfRule type="expression" dxfId="1044" priority="951">
      <formula>WEEKDAY($N3,2)=7</formula>
    </cfRule>
    <cfRule type="expression" dxfId="1043" priority="953">
      <formula>COUNTIF(Fériés,$N3)=1</formula>
    </cfRule>
  </conditionalFormatting>
  <conditionalFormatting sqref="Z3:Z31">
    <cfRule type="notContainsBlanks" dxfId="1042" priority="954">
      <formula>LEN(TRIM(Z3))&gt;0</formula>
    </cfRule>
  </conditionalFormatting>
  <conditionalFormatting sqref="AJ3:AJ32">
    <cfRule type="expression" dxfId="1041" priority="946">
      <formula>WEEKDAY($AH3,2)=6</formula>
    </cfRule>
    <cfRule type="expression" dxfId="1040" priority="947">
      <formula>WEEKDAY($AH3,2)=7</formula>
    </cfRule>
    <cfRule type="expression" dxfId="1039" priority="948">
      <formula>COUNTIF(Fériés,$AH3)=1</formula>
    </cfRule>
  </conditionalFormatting>
  <conditionalFormatting sqref="AJ3:AJ32">
    <cfRule type="notContainsBlanks" dxfId="1038" priority="949">
      <formula>LEN(TRIM(AJ3))&gt;0</formula>
    </cfRule>
  </conditionalFormatting>
  <conditionalFormatting sqref="AT3:AT33">
    <cfRule type="expression" dxfId="1037" priority="936">
      <formula>WEEKDAY($AR3,2)=7</formula>
    </cfRule>
    <cfRule type="expression" dxfId="1036" priority="937">
      <formula>WEEKDAY($AR3,2)=6</formula>
    </cfRule>
    <cfRule type="expression" dxfId="1035" priority="938">
      <formula>COUNTIF(Fériés,$AR3)=1</formula>
    </cfRule>
  </conditionalFormatting>
  <conditionalFormatting sqref="AT3:AT33">
    <cfRule type="notContainsBlanks" dxfId="1034" priority="939">
      <formula>LEN(TRIM(AT3))&gt;0</formula>
    </cfRule>
  </conditionalFormatting>
  <conditionalFormatting sqref="BD3:BD32">
    <cfRule type="expression" dxfId="1033" priority="932">
      <formula>WEEKDAY($BB3,2)=6</formula>
    </cfRule>
    <cfRule type="expression" dxfId="1032" priority="933">
      <formula>WEEKDAY($BB3,2)=7</formula>
    </cfRule>
    <cfRule type="expression" dxfId="1031" priority="934">
      <formula>COUNTIF(Fériés,$BB3)=1</formula>
    </cfRule>
  </conditionalFormatting>
  <conditionalFormatting sqref="BN3:BN33">
    <cfRule type="expression" dxfId="1030" priority="928">
      <formula>COUNTIF(Fériés,$BL3)=1</formula>
    </cfRule>
    <cfRule type="expression" dxfId="1029" priority="929">
      <formula>WEEKDAY($BL3,2)=6</formula>
    </cfRule>
    <cfRule type="expression" dxfId="1028" priority="930">
      <formula>WEEKDAY($BL3,2)=7</formula>
    </cfRule>
  </conditionalFormatting>
  <conditionalFormatting sqref="BN3:BN33">
    <cfRule type="notContainsBlanks" dxfId="1027" priority="931">
      <formula>LEN(TRIM(BN3))&gt;0</formula>
    </cfRule>
  </conditionalFormatting>
  <conditionalFormatting sqref="BX3:BX33">
    <cfRule type="expression" dxfId="1026" priority="924">
      <formula>COUNTIF(Fériés,$BV3)=1</formula>
    </cfRule>
    <cfRule type="expression" dxfId="1025" priority="925">
      <formula>WEEKDAY($BV3,2)=6</formula>
    </cfRule>
    <cfRule type="expression" dxfId="1024" priority="926">
      <formula>WEEKDAY($BV3,2)=7</formula>
    </cfRule>
  </conditionalFormatting>
  <conditionalFormatting sqref="BX3:BX33">
    <cfRule type="notContainsBlanks" dxfId="1023" priority="927">
      <formula>LEN(TRIM(BX3))&gt;0</formula>
    </cfRule>
  </conditionalFormatting>
  <conditionalFormatting sqref="CH3:CH32">
    <cfRule type="expression" dxfId="1022" priority="920">
      <formula>COUNTIF(Fériés,$CF3)=1</formula>
    </cfRule>
    <cfRule type="expression" dxfId="1021" priority="921">
      <formula>WEEKDAY($CF3,2)=6</formula>
    </cfRule>
    <cfRule type="expression" dxfId="1020" priority="922">
      <formula>WEEKDAY($CF3,2)=7</formula>
    </cfRule>
  </conditionalFormatting>
  <conditionalFormatting sqref="CH3:CH32">
    <cfRule type="notContainsBlanks" dxfId="1019" priority="923">
      <formula>LEN(TRIM(CH3))&gt;0</formula>
    </cfRule>
  </conditionalFormatting>
  <conditionalFormatting sqref="CR3:CR33">
    <cfRule type="expression" dxfId="1018" priority="916">
      <formula>COUNTIF(Fériés,$CP3)=1</formula>
    </cfRule>
    <cfRule type="expression" dxfId="1017" priority="917">
      <formula>WEEKDAY($CP3,2)=6</formula>
    </cfRule>
    <cfRule type="expression" dxfId="1016" priority="918">
      <formula>WEEKDAY($CP3,2)=7</formula>
    </cfRule>
  </conditionalFormatting>
  <conditionalFormatting sqref="CR3:CR33">
    <cfRule type="notContainsBlanks" dxfId="1015" priority="919">
      <formula>LEN(TRIM(CR3))&gt;0</formula>
    </cfRule>
  </conditionalFormatting>
  <conditionalFormatting sqref="DB3:DB32">
    <cfRule type="expression" dxfId="1014" priority="912">
      <formula>WEEKDAY($CZ3,2)=6</formula>
    </cfRule>
    <cfRule type="expression" dxfId="1013" priority="913">
      <formula>WEEKDAY($CZ3,2)=7</formula>
    </cfRule>
    <cfRule type="expression" dxfId="1012" priority="914">
      <formula>COUNTIF(Fériés,$CZ3)=1</formula>
    </cfRule>
  </conditionalFormatting>
  <conditionalFormatting sqref="DB3:DB32">
    <cfRule type="notContainsBlanks" dxfId="1011" priority="915">
      <formula>LEN(TRIM(DB3))&gt;0</formula>
    </cfRule>
  </conditionalFormatting>
  <conditionalFormatting sqref="DL3:DL33">
    <cfRule type="expression" dxfId="1010" priority="908">
      <formula>WEEKDAY($DJ3,2)=6</formula>
    </cfRule>
    <cfRule type="expression" dxfId="1009" priority="909">
      <formula>WEEKDAY($DJ3,2)=7</formula>
    </cfRule>
    <cfRule type="expression" dxfId="1008" priority="910">
      <formula>COUNTIF(Fériés,$DJ3)=1</formula>
    </cfRule>
  </conditionalFormatting>
  <conditionalFormatting sqref="DL3:DL33">
    <cfRule type="notContainsBlanks" dxfId="1007" priority="911">
      <formula>LEN(TRIM(DL3))&gt;0</formula>
    </cfRule>
  </conditionalFormatting>
  <conditionalFormatting sqref="DV3:DV33">
    <cfRule type="expression" dxfId="1006" priority="904">
      <formula>WEEKDAY($DT3,2)=6</formula>
    </cfRule>
    <cfRule type="expression" dxfId="1005" priority="905">
      <formula>WEEKDAY($DT3,2)=7</formula>
    </cfRule>
    <cfRule type="expression" dxfId="1004" priority="906">
      <formula>COUNTIF(Fériés,$DT3)=1</formula>
    </cfRule>
  </conditionalFormatting>
  <conditionalFormatting sqref="DV3:DV33">
    <cfRule type="notContainsBlanks" dxfId="1003" priority="907">
      <formula>LEN(TRIM(DV3))&gt;0</formula>
    </cfRule>
  </conditionalFormatting>
  <conditionalFormatting sqref="F4:F33">
    <cfRule type="cellIs" dxfId="1002" priority="902" operator="equal">
      <formula>TODAY()</formula>
    </cfRule>
  </conditionalFormatting>
  <conditionalFormatting sqref="F4:F33">
    <cfRule type="expression" dxfId="1001" priority="900">
      <formula>WEEKDAY($D4,2)=7</formula>
    </cfRule>
    <cfRule type="expression" dxfId="1000" priority="901">
      <formula>WEEKDAY($D4,2)&gt;5</formula>
    </cfRule>
    <cfRule type="expression" dxfId="999" priority="903">
      <formula>COUNTIF(Fériés,$D4)=1</formula>
    </cfRule>
  </conditionalFormatting>
  <conditionalFormatting sqref="F4:F33">
    <cfRule type="notContainsBlanks" dxfId="998" priority="899">
      <formula>LEN(TRIM(F4))&gt;0</formula>
    </cfRule>
  </conditionalFormatting>
  <conditionalFormatting sqref="DW3:DX33">
    <cfRule type="expression" dxfId="997" priority="392">
      <formula>WEEKDAY($DT3,2)=6</formula>
    </cfRule>
    <cfRule type="expression" dxfId="996" priority="887">
      <formula>WEEKDAY($DT3,2)=7</formula>
    </cfRule>
    <cfRule type="expression" dxfId="995" priority="888">
      <formula>COUNTIF(Fériés,$DT3)=1</formula>
    </cfRule>
  </conditionalFormatting>
  <conditionalFormatting sqref="AB34">
    <cfRule type="expression" dxfId="994" priority="844">
      <formula>$X34=""</formula>
    </cfRule>
  </conditionalFormatting>
  <conditionalFormatting sqref="AB34">
    <cfRule type="expression" dxfId="993" priority="845">
      <formula>WEEKDAY($X34,2)=6</formula>
    </cfRule>
    <cfRule type="expression" dxfId="992" priority="846">
      <formula>WEEKDAY($X34,2)=7</formula>
    </cfRule>
    <cfRule type="expression" dxfId="991" priority="847">
      <formula>COUNTIF(Fériés,$X34)=1</formula>
    </cfRule>
  </conditionalFormatting>
  <conditionalFormatting sqref="Y3:Y31 X33:AA33">
    <cfRule type="cellIs" dxfId="990" priority="814" operator="equal">
      <formula>TODAY()</formula>
    </cfRule>
  </conditionalFormatting>
  <conditionalFormatting sqref="Y3:Y31">
    <cfRule type="expression" dxfId="989" priority="811">
      <formula>$X3=""</formula>
    </cfRule>
  </conditionalFormatting>
  <conditionalFormatting sqref="Y3:Y31">
    <cfRule type="expression" dxfId="988" priority="812">
      <formula>WEEKDAY($X3,2)=6</formula>
    </cfRule>
    <cfRule type="expression" dxfId="987" priority="813">
      <formula>WEEKDAY($X3,2)=7</formula>
    </cfRule>
    <cfRule type="expression" dxfId="986" priority="815">
      <formula>COUNTIF(Fériés,$X3)=1</formula>
    </cfRule>
  </conditionalFormatting>
  <conditionalFormatting sqref="AI3:AI32">
    <cfRule type="expression" dxfId="985" priority="802">
      <formula>WEEKDAY($AH3,2)=6</formula>
    </cfRule>
    <cfRule type="expression" dxfId="984" priority="803">
      <formula>WEEKDAY($AH3,2)=7</formula>
    </cfRule>
    <cfRule type="expression" dxfId="983" priority="804">
      <formula>COUNTIF(Fériés,$AH3)=1</formula>
    </cfRule>
  </conditionalFormatting>
  <conditionalFormatting sqref="AS3:AS33">
    <cfRule type="expression" dxfId="982" priority="799">
      <formula>WEEKDAY($AR3,2)=7</formula>
    </cfRule>
    <cfRule type="expression" dxfId="981" priority="800">
      <formula>WEEKDAY($AR3,2)=6</formula>
    </cfRule>
    <cfRule type="expression" dxfId="980" priority="801">
      <formula>COUNTIF(Fériés,$AR3)=1</formula>
    </cfRule>
  </conditionalFormatting>
  <conditionalFormatting sqref="BC3:BC32">
    <cfRule type="expression" dxfId="979" priority="796">
      <formula>WEEKDAY($BB3,2)=6</formula>
    </cfRule>
    <cfRule type="expression" dxfId="978" priority="797">
      <formula>WEEKDAY($BB3,2)=7</formula>
    </cfRule>
    <cfRule type="expression" dxfId="977" priority="798">
      <formula>COUNTIF(Fériés,$BB3)=1</formula>
    </cfRule>
  </conditionalFormatting>
  <conditionalFormatting sqref="BM3:BM33">
    <cfRule type="expression" dxfId="976" priority="793">
      <formula>COUNTIF(Fériés,$BL3)=1</formula>
    </cfRule>
    <cfRule type="expression" dxfId="975" priority="794">
      <formula>WEEKDAY($BL3,2)=6</formula>
    </cfRule>
    <cfRule type="expression" dxfId="974" priority="795">
      <formula>WEEKDAY($BL3,2)=7</formula>
    </cfRule>
  </conditionalFormatting>
  <conditionalFormatting sqref="BW3:BW33">
    <cfRule type="expression" dxfId="973" priority="790">
      <formula>COUNTIF(Fériés,$BV3)=1</formula>
    </cfRule>
    <cfRule type="expression" dxfId="972" priority="791">
      <formula>WEEKDAY($BV3,2)=6</formula>
    </cfRule>
    <cfRule type="expression" dxfId="971" priority="792">
      <formula>WEEKDAY($BV3,2)=7</formula>
    </cfRule>
  </conditionalFormatting>
  <conditionalFormatting sqref="CG3:CG32">
    <cfRule type="expression" dxfId="970" priority="787">
      <formula>COUNTIF(Fériés,$CF3)=1</formula>
    </cfRule>
    <cfRule type="expression" dxfId="969" priority="788">
      <formula>WEEKDAY($CF3,2)=6</formula>
    </cfRule>
    <cfRule type="expression" dxfId="968" priority="789">
      <formula>WEEKDAY($CF3,2)=7</formula>
    </cfRule>
  </conditionalFormatting>
  <conditionalFormatting sqref="CQ3:CQ33">
    <cfRule type="expression" dxfId="967" priority="784">
      <formula>COUNTIF(Fériés,$CP3)=1</formula>
    </cfRule>
    <cfRule type="expression" dxfId="966" priority="785">
      <formula>WEEKDAY($CP3,2)=6</formula>
    </cfRule>
    <cfRule type="expression" dxfId="965" priority="786">
      <formula>WEEKDAY($CP3,2)=7</formula>
    </cfRule>
  </conditionalFormatting>
  <conditionalFormatting sqref="DA3:DA32">
    <cfRule type="expression" dxfId="964" priority="781">
      <formula>WEEKDAY($CZ3,2)=6</formula>
    </cfRule>
    <cfRule type="expression" dxfId="963" priority="782">
      <formula>WEEKDAY($CZ3,2)=7</formula>
    </cfRule>
    <cfRule type="expression" dxfId="962" priority="783">
      <formula>COUNTIF(Fériés,$CZ3)=1</formula>
    </cfRule>
  </conditionalFormatting>
  <conditionalFormatting sqref="DK3:DK33">
    <cfRule type="expression" dxfId="961" priority="778">
      <formula>WEEKDAY($DJ3,2)=6</formula>
    </cfRule>
    <cfRule type="expression" dxfId="960" priority="779">
      <formula>WEEKDAY($DJ3,2)=7</formula>
    </cfRule>
    <cfRule type="expression" dxfId="959" priority="780">
      <formula>COUNTIF(Fériés,$DJ3)=1</formula>
    </cfRule>
  </conditionalFormatting>
  <conditionalFormatting sqref="DU3:DU33">
    <cfRule type="expression" dxfId="958" priority="775">
      <formula>WEEKDAY($DT3,2)=6</formula>
    </cfRule>
    <cfRule type="expression" dxfId="957" priority="776">
      <formula>WEEKDAY($DT3,2)=7</formula>
    </cfRule>
    <cfRule type="expression" dxfId="956" priority="777">
      <formula>COUNTIF(Fériés,$DT3)=1</formula>
    </cfRule>
  </conditionalFormatting>
  <conditionalFormatting sqref="G4:G33">
    <cfRule type="notContainsBlanks" dxfId="955" priority="773">
      <formula>LEN(TRIM(G4))&gt;0</formula>
    </cfRule>
  </conditionalFormatting>
  <conditionalFormatting sqref="AJ33:AL33 AP33">
    <cfRule type="cellIs" dxfId="954" priority="740" operator="equal">
      <formula>TODAY()</formula>
    </cfRule>
  </conditionalFormatting>
  <conditionalFormatting sqref="AJ33:AL33">
    <cfRule type="expression" dxfId="953" priority="737">
      <formula>$AH33=""</formula>
    </cfRule>
  </conditionalFormatting>
  <conditionalFormatting sqref="AJ33:AL33">
    <cfRule type="expression" dxfId="952" priority="738">
      <formula>WEEKDAY($AH33,2)=6</formula>
    </cfRule>
    <cfRule type="expression" dxfId="951" priority="739">
      <formula>WEEKDAY($AH33,2)=7</formula>
    </cfRule>
    <cfRule type="expression" dxfId="950" priority="741">
      <formula>COUNTIF(Fériés,$AH33)=1</formula>
    </cfRule>
  </conditionalFormatting>
  <conditionalFormatting sqref="X3">
    <cfRule type="cellIs" dxfId="949" priority="696" operator="equal">
      <formula>TODAY()</formula>
    </cfRule>
  </conditionalFormatting>
  <conditionalFormatting sqref="X3">
    <cfRule type="expression" dxfId="948" priority="694">
      <formula>WEEKDAY($N3,2)=6</formula>
    </cfRule>
    <cfRule type="expression" dxfId="947" priority="695">
      <formula>WEEKDAY($N3,2)=7</formula>
    </cfRule>
    <cfRule type="expression" dxfId="946" priority="697">
      <formula>COUNTIF(Fériés,$N3)=1</formula>
    </cfRule>
  </conditionalFormatting>
  <conditionalFormatting sqref="X4:X31 X33">
    <cfRule type="cellIs" dxfId="945" priority="641" operator="equal">
      <formula>TODAY()</formula>
    </cfRule>
  </conditionalFormatting>
  <conditionalFormatting sqref="X4:X31">
    <cfRule type="expression" dxfId="944" priority="639">
      <formula>WEEKDAY($N4,2)=6</formula>
    </cfRule>
    <cfRule type="expression" dxfId="943" priority="640">
      <formula>WEEKDAY($N4,2)=7</formula>
    </cfRule>
    <cfRule type="expression" dxfId="942" priority="642">
      <formula>COUNTIF(Fériés,$N4)=1</formula>
    </cfRule>
  </conditionalFormatting>
  <conditionalFormatting sqref="AH3">
    <cfRule type="cellIs" dxfId="941" priority="637" operator="equal">
      <formula>TODAY()</formula>
    </cfRule>
  </conditionalFormatting>
  <conditionalFormatting sqref="AH3">
    <cfRule type="expression" dxfId="940" priority="635">
      <formula>WEEKDAY($AH3,2)=6</formula>
    </cfRule>
    <cfRule type="expression" dxfId="939" priority="636">
      <formula>WEEKDAY($AH3,2)=7</formula>
    </cfRule>
    <cfRule type="expression" dxfId="938" priority="638">
      <formula>COUNTIF(Fériés,$AH3)=1</formula>
    </cfRule>
  </conditionalFormatting>
  <conditionalFormatting sqref="AR3">
    <cfRule type="cellIs" dxfId="937" priority="633" operator="equal">
      <formula>TODAY()</formula>
    </cfRule>
  </conditionalFormatting>
  <conditionalFormatting sqref="AR3">
    <cfRule type="expression" dxfId="936" priority="631">
      <formula>WEEKDAY($AR3,2)=7</formula>
    </cfRule>
    <cfRule type="expression" dxfId="935" priority="632">
      <formula>WEEKDAY($AR3,2)=6</formula>
    </cfRule>
    <cfRule type="expression" dxfId="934" priority="634">
      <formula>COUNTIF(Fériés,$AR3)=1</formula>
    </cfRule>
  </conditionalFormatting>
  <conditionalFormatting sqref="BB3">
    <cfRule type="cellIs" dxfId="933" priority="630" operator="equal">
      <formula>TODAY()</formula>
    </cfRule>
  </conditionalFormatting>
  <conditionalFormatting sqref="BB3">
    <cfRule type="expression" dxfId="932" priority="627">
      <formula>WEEKDAY($BB3,2)=6</formula>
    </cfRule>
    <cfRule type="expression" dxfId="931" priority="628">
      <formula>WEEKDAY($BB3,2)=7</formula>
    </cfRule>
    <cfRule type="expression" dxfId="930" priority="629">
      <formula>COUNTIF(Fériés,$BB3)=1</formula>
    </cfRule>
  </conditionalFormatting>
  <conditionalFormatting sqref="BL3">
    <cfRule type="cellIs" dxfId="929" priority="626" operator="equal">
      <formula>TODAY()</formula>
    </cfRule>
  </conditionalFormatting>
  <conditionalFormatting sqref="BL3">
    <cfRule type="expression" dxfId="928" priority="623">
      <formula>COUNTIF(Fériés,$BL3)=1</formula>
    </cfRule>
    <cfRule type="expression" dxfId="927" priority="624">
      <formula>WEEKDAY($BL3,2)=6</formula>
    </cfRule>
    <cfRule type="expression" dxfId="926" priority="625">
      <formula>WEEKDAY($BL3,2)=7</formula>
    </cfRule>
  </conditionalFormatting>
  <conditionalFormatting sqref="BV3">
    <cfRule type="cellIs" dxfId="925" priority="619" operator="equal">
      <formula>TODAY()</formula>
    </cfRule>
  </conditionalFormatting>
  <conditionalFormatting sqref="BV3">
    <cfRule type="expression" dxfId="924" priority="620">
      <formula>COUNTIF(Fériés,$BV3)=1</formula>
    </cfRule>
    <cfRule type="expression" dxfId="923" priority="621">
      <formula>WEEKDAY($BV3,2)=6</formula>
    </cfRule>
    <cfRule type="expression" dxfId="922" priority="622">
      <formula>WEEKDAY($BV3,2)=7</formula>
    </cfRule>
  </conditionalFormatting>
  <conditionalFormatting sqref="CF3">
    <cfRule type="cellIs" dxfId="921" priority="615" operator="equal">
      <formula>TODAY()</formula>
    </cfRule>
  </conditionalFormatting>
  <conditionalFormatting sqref="CF3">
    <cfRule type="expression" dxfId="920" priority="616">
      <formula>COUNTIF(Fériés,$CF3)=1</formula>
    </cfRule>
    <cfRule type="expression" dxfId="919" priority="617">
      <formula>WEEKDAY($CF3,2)=6</formula>
    </cfRule>
    <cfRule type="expression" dxfId="918" priority="618">
      <formula>WEEKDAY($CF3,2)=7</formula>
    </cfRule>
  </conditionalFormatting>
  <conditionalFormatting sqref="CP3">
    <cfRule type="cellIs" dxfId="917" priority="611" operator="equal">
      <formula>TODAY()</formula>
    </cfRule>
  </conditionalFormatting>
  <conditionalFormatting sqref="CP3">
    <cfRule type="expression" dxfId="916" priority="612">
      <formula>COUNTIF(Fériés,$CP3)=1</formula>
    </cfRule>
    <cfRule type="expression" dxfId="915" priority="613">
      <formula>WEEKDAY($CP3,2)=6</formula>
    </cfRule>
    <cfRule type="expression" dxfId="914" priority="614">
      <formula>WEEKDAY($CP3,2)=7</formula>
    </cfRule>
  </conditionalFormatting>
  <conditionalFormatting sqref="CZ3">
    <cfRule type="cellIs" dxfId="913" priority="610" operator="equal">
      <formula>TODAY()</formula>
    </cfRule>
  </conditionalFormatting>
  <conditionalFormatting sqref="CZ3">
    <cfRule type="expression" dxfId="912" priority="607">
      <formula>WEEKDAY($CZ3,2)=6</formula>
    </cfRule>
    <cfRule type="expression" dxfId="911" priority="608">
      <formula>WEEKDAY($CZ3,2)=7</formula>
    </cfRule>
    <cfRule type="expression" dxfId="910" priority="609">
      <formula>COUNTIF(Fériés,$CZ3)=1</formula>
    </cfRule>
  </conditionalFormatting>
  <conditionalFormatting sqref="DJ3">
    <cfRule type="cellIs" dxfId="909" priority="606" operator="equal">
      <formula>TODAY()</formula>
    </cfRule>
  </conditionalFormatting>
  <conditionalFormatting sqref="DJ3">
    <cfRule type="expression" dxfId="908" priority="603">
      <formula>WEEKDAY($DJ3,2)=6</formula>
    </cfRule>
    <cfRule type="expression" dxfId="907" priority="604">
      <formula>WEEKDAY($DJ3,2)=7</formula>
    </cfRule>
    <cfRule type="expression" dxfId="906" priority="605">
      <formula>COUNTIF(Fériés,$DJ3)=1</formula>
    </cfRule>
  </conditionalFormatting>
  <conditionalFormatting sqref="DT3">
    <cfRule type="cellIs" dxfId="905" priority="602" operator="equal">
      <formula>TODAY()</formula>
    </cfRule>
  </conditionalFormatting>
  <conditionalFormatting sqref="DT3">
    <cfRule type="expression" dxfId="904" priority="599">
      <formula>WEEKDAY($DT3,2)=6</formula>
    </cfRule>
    <cfRule type="expression" dxfId="903" priority="600">
      <formula>WEEKDAY($DT3,2)=7</formula>
    </cfRule>
    <cfRule type="expression" dxfId="902" priority="601">
      <formula>COUNTIF(Fériés,$DT3)=1</formula>
    </cfRule>
  </conditionalFormatting>
  <conditionalFormatting sqref="DN3:DN33">
    <cfRule type="expression" dxfId="901" priority="529">
      <formula>WEEKDAY($DJ3,2)=6</formula>
    </cfRule>
    <cfRule type="expression" dxfId="900" priority="530">
      <formula>WEEKDAY($DJ3,2)=7</formula>
    </cfRule>
    <cfRule type="expression" dxfId="899" priority="531">
      <formula>COUNTIF(Fériés,$DJ3)=1</formula>
    </cfRule>
  </conditionalFormatting>
  <conditionalFormatting sqref="DD3:DD32">
    <cfRule type="expression" dxfId="898" priority="526">
      <formula>WEEKDAY($CZ3,2)=6</formula>
    </cfRule>
    <cfRule type="expression" dxfId="897" priority="527">
      <formula>WEEKDAY($CZ3,2)=7</formula>
    </cfRule>
    <cfRule type="expression" dxfId="896" priority="528">
      <formula>COUNTIF(Fériés,$CZ3)=1</formula>
    </cfRule>
  </conditionalFormatting>
  <conditionalFormatting sqref="CT3:CT33">
    <cfRule type="expression" dxfId="895" priority="523">
      <formula>COUNTIF(Fériés,$CP3)=1</formula>
    </cfRule>
    <cfRule type="expression" dxfId="894" priority="524">
      <formula>WEEKDAY($CP3,2)=6</formula>
    </cfRule>
    <cfRule type="expression" dxfId="893" priority="525">
      <formula>WEEKDAY($CP3,2)=7</formula>
    </cfRule>
  </conditionalFormatting>
  <conditionalFormatting sqref="CJ3:CJ32">
    <cfRule type="expression" dxfId="892" priority="520">
      <formula>COUNTIF(Fériés,$CF3)=1</formula>
    </cfRule>
    <cfRule type="expression" dxfId="891" priority="521">
      <formula>WEEKDAY($CF3,2)=6</formula>
    </cfRule>
    <cfRule type="expression" dxfId="890" priority="522">
      <formula>WEEKDAY($CF3,2)=7</formula>
    </cfRule>
  </conditionalFormatting>
  <conditionalFormatting sqref="BZ3:BZ33">
    <cfRule type="expression" dxfId="889" priority="517">
      <formula>COUNTIF(Fériés,$BV3)=1</formula>
    </cfRule>
    <cfRule type="expression" dxfId="888" priority="518">
      <formula>WEEKDAY($BV3,2)=6</formula>
    </cfRule>
    <cfRule type="expression" dxfId="887" priority="519">
      <formula>WEEKDAY($BV3,2)=7</formula>
    </cfRule>
  </conditionalFormatting>
  <conditionalFormatting sqref="BP3:BP33">
    <cfRule type="expression" dxfId="886" priority="514">
      <formula>COUNTIF(Fériés,$BL3)=1</formula>
    </cfRule>
    <cfRule type="expression" dxfId="885" priority="515">
      <formula>WEEKDAY($BL3,2)=6</formula>
    </cfRule>
    <cfRule type="expression" dxfId="884" priority="516">
      <formula>WEEKDAY($BL3,2)=7</formula>
    </cfRule>
  </conditionalFormatting>
  <conditionalFormatting sqref="BF3:BF32">
    <cfRule type="expression" dxfId="883" priority="511">
      <formula>WEEKDAY($BB3,2)=6</formula>
    </cfRule>
    <cfRule type="expression" dxfId="882" priority="512">
      <formula>WEEKDAY($BB3,2)=7</formula>
    </cfRule>
    <cfRule type="expression" dxfId="881" priority="513">
      <formula>COUNTIF(Fériés,$BB3)=1</formula>
    </cfRule>
  </conditionalFormatting>
  <conditionalFormatting sqref="AV3:AV33">
    <cfRule type="expression" dxfId="880" priority="508">
      <formula>WEEKDAY($AR3,2)=7</formula>
    </cfRule>
    <cfRule type="expression" dxfId="879" priority="509">
      <formula>WEEKDAY($AR3,2)=6</formula>
    </cfRule>
    <cfRule type="expression" dxfId="878" priority="510">
      <formula>COUNTIF(Fériés,$AR3)=1</formula>
    </cfRule>
  </conditionalFormatting>
  <conditionalFormatting sqref="AL3:AL32">
    <cfRule type="expression" dxfId="877" priority="505">
      <formula>WEEKDAY($AH3,2)=6</formula>
    </cfRule>
    <cfRule type="expression" dxfId="876" priority="506">
      <formula>WEEKDAY($AH3,2)=7</formula>
    </cfRule>
    <cfRule type="expression" dxfId="875" priority="507">
      <formula>COUNTIF(Fériés,$AH3)=1</formula>
    </cfRule>
  </conditionalFormatting>
  <conditionalFormatting sqref="AB3:AB33">
    <cfRule type="expression" dxfId="874" priority="502">
      <formula>WEEKDAY($X3,2)=6</formula>
    </cfRule>
    <cfRule type="expression" dxfId="873" priority="503">
      <formula>WEEKDAY($X3,2)=7</formula>
    </cfRule>
    <cfRule type="expression" dxfId="872" priority="504">
      <formula>COUNTIF(Fériés,$X3)=1</formula>
    </cfRule>
  </conditionalFormatting>
  <conditionalFormatting sqref="R3:R30">
    <cfRule type="expression" dxfId="871" priority="499">
      <formula>WEEKDAY($N3,2)=6</formula>
    </cfRule>
    <cfRule type="expression" dxfId="870" priority="500">
      <formula>WEEKDAY($N3,2)=7</formula>
    </cfRule>
    <cfRule type="expression" dxfId="869" priority="501">
      <formula>COUNTIF(Fériés,$N3)=1</formula>
    </cfRule>
  </conditionalFormatting>
  <conditionalFormatting sqref="O32 R32:U32">
    <cfRule type="cellIs" dxfId="868" priority="494" operator="equal">
      <formula>TODAY()</formula>
    </cfRule>
  </conditionalFormatting>
  <conditionalFormatting sqref="Q32">
    <cfRule type="expression" dxfId="867" priority="492">
      <formula>SUMPRODUCT((R32&gt;=DVac)*(R32&lt;=FVac))&gt;0</formula>
    </cfRule>
    <cfRule type="expression" dxfId="866" priority="493" stopIfTrue="1">
      <formula>SUMPRODUCT((R32&gt;=DVac)*(R32&lt;=FVac))&lt;2</formula>
    </cfRule>
  </conditionalFormatting>
  <conditionalFormatting sqref="O32 R32:U32">
    <cfRule type="expression" dxfId="865" priority="489">
      <formula>$G32=""</formula>
    </cfRule>
  </conditionalFormatting>
  <conditionalFormatting sqref="Q32">
    <cfRule type="expression" dxfId="864" priority="488">
      <formula>$G32=""</formula>
    </cfRule>
  </conditionalFormatting>
  <conditionalFormatting sqref="O32 R32:U32">
    <cfRule type="expression" dxfId="863" priority="490">
      <formula>WEEKDAY($G32,2)=6</formula>
    </cfRule>
    <cfRule type="expression" dxfId="862" priority="491">
      <formula>WEEKDAY($G32,2)=7</formula>
    </cfRule>
    <cfRule type="expression" dxfId="861" priority="495">
      <formula>COUNTIF(Fériés,$G32)=1</formula>
    </cfRule>
  </conditionalFormatting>
  <conditionalFormatting sqref="P32 V32">
    <cfRule type="expression" dxfId="860" priority="481">
      <formula>$G32=""</formula>
    </cfRule>
  </conditionalFormatting>
  <conditionalFormatting sqref="P32 V32">
    <cfRule type="expression" dxfId="859" priority="482">
      <formula>WEEKDAY($G32,2)=6</formula>
    </cfRule>
    <cfRule type="expression" dxfId="858" priority="483">
      <formula>WEEKDAY($G32,2)=7</formula>
    </cfRule>
    <cfRule type="expression" dxfId="857" priority="484">
      <formula>COUNTIF(Fériés,$G32)=1</formula>
    </cfRule>
  </conditionalFormatting>
  <conditionalFormatting sqref="P32 V32">
    <cfRule type="expression" dxfId="856" priority="485">
      <formula>WEEKDAY($G32,2)=6</formula>
    </cfRule>
    <cfRule type="expression" dxfId="855" priority="486">
      <formula>WEEKDAY($G32,2)=7</formula>
    </cfRule>
    <cfRule type="expression" dxfId="854" priority="487">
      <formula>COUNTIF(Fériés,$G32)=1</formula>
    </cfRule>
  </conditionalFormatting>
  <conditionalFormatting sqref="N32">
    <cfRule type="cellIs" dxfId="853" priority="476" operator="equal">
      <formula>TODAY()</formula>
    </cfRule>
  </conditionalFormatting>
  <conditionalFormatting sqref="M32">
    <cfRule type="expression" dxfId="852" priority="474">
      <formula>SUMPRODUCT((N32&gt;=DVac)*(N32&lt;=FVac))&gt;0</formula>
    </cfRule>
    <cfRule type="expression" dxfId="851" priority="475" stopIfTrue="1">
      <formula>SUMPRODUCT((N32&gt;=DVac)*(N32&lt;=FVac))&lt;2</formula>
    </cfRule>
  </conditionalFormatting>
  <conditionalFormatting sqref="N32">
    <cfRule type="expression" dxfId="850" priority="471">
      <formula>$G32=""</formula>
    </cfRule>
  </conditionalFormatting>
  <conditionalFormatting sqref="M32">
    <cfRule type="expression" dxfId="849" priority="470">
      <formula>$G32=""</formula>
    </cfRule>
  </conditionalFormatting>
  <conditionalFormatting sqref="N32">
    <cfRule type="expression" dxfId="848" priority="472">
      <formula>WEEKDAY($G32,2)=6</formula>
    </cfRule>
    <cfRule type="expression" dxfId="847" priority="473">
      <formula>WEEKDAY($G32,2)=7</formula>
    </cfRule>
    <cfRule type="expression" dxfId="846" priority="477">
      <formula>COUNTIF(Fériés,$G32)=1</formula>
    </cfRule>
  </conditionalFormatting>
  <conditionalFormatting sqref="AP3:AP32 L3:L33 V3:V30 BJ3:BJ32 BT3:BT33 CN3:CN32 DH3:DH32 CD3:CD33 CX3:CX33 DR3:DR33 EB3:EB33 AF3:AF33 AW3:AZ33">
    <cfRule type="notContainsBlanks" dxfId="845" priority="1144" stopIfTrue="1">
      <formula>LEN(TRIM(L3))&gt;0</formula>
    </cfRule>
  </conditionalFormatting>
  <conditionalFormatting sqref="DW3:DW33">
    <cfRule type="notContainsBlanks" dxfId="844" priority="889">
      <formula>LEN(TRIM(DW3))&gt;0</formula>
    </cfRule>
  </conditionalFormatting>
  <conditionalFormatting sqref="AM33:AO34">
    <cfRule type="cellIs" dxfId="843" priority="369" operator="equal">
      <formula>TODAY()</formula>
    </cfRule>
  </conditionalFormatting>
  <conditionalFormatting sqref="AM33:AO34">
    <cfRule type="expression" dxfId="842" priority="366">
      <formula>$AH33=""</formula>
    </cfRule>
  </conditionalFormatting>
  <conditionalFormatting sqref="AM33:AO34">
    <cfRule type="expression" dxfId="841" priority="367">
      <formula>WEEKDAY($AH33,2)=6</formula>
    </cfRule>
    <cfRule type="expression" dxfId="840" priority="368">
      <formula>WEEKDAY($AH33,2)=7</formula>
    </cfRule>
    <cfRule type="expression" dxfId="839" priority="370">
      <formula>COUNTIF(Fériés,$AH33)=1</formula>
    </cfRule>
  </conditionalFormatting>
  <conditionalFormatting sqref="AM3:AO32">
    <cfRule type="expression" dxfId="838" priority="355">
      <formula>WEEKDAY($AH3,2)=6</formula>
    </cfRule>
    <cfRule type="expression" dxfId="837" priority="356">
      <formula>WEEKDAY($AH3,2)=7</formula>
    </cfRule>
    <cfRule type="expression" dxfId="836" priority="357">
      <formula>COUNTIF(Fériés,$AH3)=1</formula>
    </cfRule>
  </conditionalFormatting>
  <conditionalFormatting sqref="I34:L34">
    <cfRule type="cellIs" dxfId="835" priority="349" operator="equal">
      <formula>TODAY()</formula>
    </cfRule>
  </conditionalFormatting>
  <conditionalFormatting sqref="I34:L34">
    <cfRule type="expression" dxfId="834" priority="346">
      <formula>$AH34=""</formula>
    </cfRule>
  </conditionalFormatting>
  <conditionalFormatting sqref="I34:L34">
    <cfRule type="expression" dxfId="833" priority="347">
      <formula>WEEKDAY($AH34,2)=6</formula>
    </cfRule>
    <cfRule type="expression" dxfId="832" priority="348">
      <formula>WEEKDAY($AH34,2)=7</formula>
    </cfRule>
    <cfRule type="expression" dxfId="831" priority="350">
      <formula>COUNTIF(Fériés,$AH34)=1</formula>
    </cfRule>
  </conditionalFormatting>
  <conditionalFormatting sqref="I3:L33">
    <cfRule type="expression" dxfId="830" priority="314">
      <formula>WEEKDAY($D3,2)=7</formula>
    </cfRule>
    <cfRule type="expression" dxfId="829" priority="315">
      <formula>WEEKDAY($D3,2)&gt;5</formula>
    </cfRule>
    <cfRule type="expression" dxfId="828" priority="316">
      <formula>COUNTIF(Fériés,$D3)=1</formula>
    </cfRule>
  </conditionalFormatting>
  <conditionalFormatting sqref="I3:L33">
    <cfRule type="notContainsBlanks" dxfId="827" priority="317" stopIfTrue="1">
      <formula>LEN(TRIM(I3))&gt;0</formula>
    </cfRule>
  </conditionalFormatting>
  <conditionalFormatting sqref="S3:V30">
    <cfRule type="expression" dxfId="826" priority="311">
      <formula>WEEKDAY($N3,2)=6</formula>
    </cfRule>
    <cfRule type="expression" dxfId="825" priority="312">
      <formula>WEEKDAY($N3,2)=7</formula>
    </cfRule>
    <cfRule type="expression" dxfId="824" priority="313">
      <formula>COUNTIF(Fériés,$N3)=1</formula>
    </cfRule>
  </conditionalFormatting>
  <conditionalFormatting sqref="AF34:AF39">
    <cfRule type="expression" dxfId="823" priority="301">
      <formula>$AH34=""</formula>
    </cfRule>
  </conditionalFormatting>
  <conditionalFormatting sqref="AF34:AF39">
    <cfRule type="expression" dxfId="822" priority="302">
      <formula>WEEKDAY($AH34,2)=6</formula>
    </cfRule>
    <cfRule type="expression" dxfId="821" priority="303">
      <formula>WEEKDAY($AH34,2)=7</formula>
    </cfRule>
    <cfRule type="expression" dxfId="820" priority="304">
      <formula>COUNTIF(Fériés,$AH34)=1</formula>
    </cfRule>
  </conditionalFormatting>
  <conditionalFormatting sqref="AC34:AE34">
    <cfRule type="cellIs" dxfId="819" priority="298" operator="equal">
      <formula>TODAY()</formula>
    </cfRule>
  </conditionalFormatting>
  <conditionalFormatting sqref="AC34:AE34">
    <cfRule type="expression" dxfId="818" priority="295">
      <formula>$AH34=""</formula>
    </cfRule>
  </conditionalFormatting>
  <conditionalFormatting sqref="AC34:AE34">
    <cfRule type="expression" dxfId="817" priority="296">
      <formula>WEEKDAY($AH34,2)=6</formula>
    </cfRule>
    <cfRule type="expression" dxfId="816" priority="297">
      <formula>WEEKDAY($AH34,2)=7</formula>
    </cfRule>
    <cfRule type="expression" dxfId="815" priority="299">
      <formula>COUNTIF(Fériés,$AH34)=1</formula>
    </cfRule>
  </conditionalFormatting>
  <conditionalFormatting sqref="AC3:AD33 AF3:AF33">
    <cfRule type="expression" dxfId="814" priority="289">
      <formula>WEEKDAY($X3,2)=6</formula>
    </cfRule>
    <cfRule type="expression" dxfId="813" priority="290">
      <formula>WEEKDAY($X3,2)=7</formula>
    </cfRule>
    <cfRule type="expression" dxfId="812" priority="291">
      <formula>COUNTIF(Fériés,$X3)=1</formula>
    </cfRule>
  </conditionalFormatting>
  <conditionalFormatting sqref="AZ34:AZ39">
    <cfRule type="expression" dxfId="811" priority="284">
      <formula>$AH34=""</formula>
    </cfRule>
  </conditionalFormatting>
  <conditionalFormatting sqref="AZ34:AZ39">
    <cfRule type="expression" dxfId="810" priority="285">
      <formula>WEEKDAY($AH34,2)=6</formula>
    </cfRule>
    <cfRule type="expression" dxfId="809" priority="286">
      <formula>WEEKDAY($AH34,2)=7</formula>
    </cfRule>
    <cfRule type="expression" dxfId="808" priority="287">
      <formula>COUNTIF(Fériés,$AH34)=1</formula>
    </cfRule>
  </conditionalFormatting>
  <conditionalFormatting sqref="AW34:AY34">
    <cfRule type="cellIs" dxfId="807" priority="281" operator="equal">
      <formula>TODAY()</formula>
    </cfRule>
  </conditionalFormatting>
  <conditionalFormatting sqref="AW34:AY34">
    <cfRule type="expression" dxfId="806" priority="278">
      <formula>$AH34=""</formula>
    </cfRule>
  </conditionalFormatting>
  <conditionalFormatting sqref="AW34:AY34">
    <cfRule type="expression" dxfId="805" priority="279">
      <formula>WEEKDAY($AH34,2)=6</formula>
    </cfRule>
    <cfRule type="expression" dxfId="804" priority="280">
      <formula>WEEKDAY($AH34,2)=7</formula>
    </cfRule>
    <cfRule type="expression" dxfId="803" priority="282">
      <formula>COUNTIF(Fériés,$AH34)=1</formula>
    </cfRule>
  </conditionalFormatting>
  <conditionalFormatting sqref="BT34:BT39">
    <cfRule type="expression" dxfId="802" priority="254">
      <formula>$AH34=""</formula>
    </cfRule>
  </conditionalFormatting>
  <conditionalFormatting sqref="BT34:BT39">
    <cfRule type="expression" dxfId="801" priority="255">
      <formula>WEEKDAY($AH34,2)=6</formula>
    </cfRule>
    <cfRule type="expression" dxfId="800" priority="256">
      <formula>WEEKDAY($AH34,2)=7</formula>
    </cfRule>
    <cfRule type="expression" dxfId="799" priority="257">
      <formula>COUNTIF(Fériés,$AH34)=1</formula>
    </cfRule>
  </conditionalFormatting>
  <conditionalFormatting sqref="BQ34:BS34">
    <cfRule type="cellIs" dxfId="798" priority="252" operator="equal">
      <formula>TODAY()</formula>
    </cfRule>
  </conditionalFormatting>
  <conditionalFormatting sqref="BQ34:BS34">
    <cfRule type="expression" dxfId="797" priority="249">
      <formula>$AH34=""</formula>
    </cfRule>
  </conditionalFormatting>
  <conditionalFormatting sqref="BQ34:BS34">
    <cfRule type="expression" dxfId="796" priority="250">
      <formula>WEEKDAY($AH34,2)=6</formula>
    </cfRule>
    <cfRule type="expression" dxfId="795" priority="251">
      <formula>WEEKDAY($AH34,2)=7</formula>
    </cfRule>
    <cfRule type="expression" dxfId="794" priority="253">
      <formula>COUNTIF(Fériés,$AH34)=1</formula>
    </cfRule>
  </conditionalFormatting>
  <conditionalFormatting sqref="CD34:CD39">
    <cfRule type="expression" dxfId="793" priority="241">
      <formula>$AH34=""</formula>
    </cfRule>
  </conditionalFormatting>
  <conditionalFormatting sqref="CD34:CD39">
    <cfRule type="expression" dxfId="792" priority="242">
      <formula>WEEKDAY($AH34,2)=6</formula>
    </cfRule>
    <cfRule type="expression" dxfId="791" priority="243">
      <formula>WEEKDAY($AH34,2)=7</formula>
    </cfRule>
    <cfRule type="expression" dxfId="790" priority="244">
      <formula>COUNTIF(Fériés,$AH34)=1</formula>
    </cfRule>
  </conditionalFormatting>
  <conditionalFormatting sqref="CA34:CC34">
    <cfRule type="cellIs" dxfId="789" priority="239" operator="equal">
      <formula>TODAY()</formula>
    </cfRule>
  </conditionalFormatting>
  <conditionalFormatting sqref="CA34:CC34">
    <cfRule type="expression" dxfId="788" priority="236">
      <formula>$AH34=""</formula>
    </cfRule>
  </conditionalFormatting>
  <conditionalFormatting sqref="CA34:CC34">
    <cfRule type="expression" dxfId="787" priority="237">
      <formula>WEEKDAY($AH34,2)=6</formula>
    </cfRule>
    <cfRule type="expression" dxfId="786" priority="238">
      <formula>WEEKDAY($AH34,2)=7</formula>
    </cfRule>
    <cfRule type="expression" dxfId="785" priority="240">
      <formula>COUNTIF(Fériés,$AH34)=1</formula>
    </cfRule>
  </conditionalFormatting>
  <conditionalFormatting sqref="BJ34:BJ39">
    <cfRule type="expression" dxfId="784" priority="219">
      <formula>$AH34=""</formula>
    </cfRule>
  </conditionalFormatting>
  <conditionalFormatting sqref="BJ34:BJ39">
    <cfRule type="expression" dxfId="783" priority="220">
      <formula>WEEKDAY($AH34,2)=6</formula>
    </cfRule>
    <cfRule type="expression" dxfId="782" priority="221">
      <formula>WEEKDAY($AH34,2)=7</formula>
    </cfRule>
    <cfRule type="expression" dxfId="781" priority="222">
      <formula>COUNTIF(Fériés,$AH34)=1</formula>
    </cfRule>
  </conditionalFormatting>
  <conditionalFormatting sqref="BG34:BI34">
    <cfRule type="cellIs" dxfId="780" priority="217" operator="equal">
      <formula>TODAY()</formula>
    </cfRule>
  </conditionalFormatting>
  <conditionalFormatting sqref="BG34:BI34">
    <cfRule type="expression" dxfId="779" priority="214">
      <formula>$AH34=""</formula>
    </cfRule>
  </conditionalFormatting>
  <conditionalFormatting sqref="BG34:BI34">
    <cfRule type="expression" dxfId="778" priority="215">
      <formula>WEEKDAY($AH34,2)=6</formula>
    </cfRule>
    <cfRule type="expression" dxfId="777" priority="216">
      <formula>WEEKDAY($AH34,2)=7</formula>
    </cfRule>
    <cfRule type="expression" dxfId="776" priority="218">
      <formula>COUNTIF(Fériés,$AH34)=1</formula>
    </cfRule>
  </conditionalFormatting>
  <conditionalFormatting sqref="BG3:BJ32">
    <cfRule type="expression" dxfId="775" priority="207">
      <formula>WEEKDAY($BB3,2)=6</formula>
    </cfRule>
    <cfRule type="expression" dxfId="774" priority="208">
      <formula>WEEKDAY($BB3,2)=7</formula>
    </cfRule>
    <cfRule type="expression" dxfId="773" priority="209">
      <formula>COUNTIF(Fériés,$BB3)=1</formula>
    </cfRule>
  </conditionalFormatting>
  <conditionalFormatting sqref="BG33:BJ33">
    <cfRule type="cellIs" dxfId="772" priority="206" operator="equal">
      <formula>TODAY()</formula>
    </cfRule>
  </conditionalFormatting>
  <conditionalFormatting sqref="BG33:BJ33">
    <cfRule type="expression" dxfId="771" priority="202">
      <formula>$BB33=""</formula>
    </cfRule>
  </conditionalFormatting>
  <conditionalFormatting sqref="BG33:BJ33">
    <cfRule type="expression" dxfId="770" priority="203">
      <formula>WEEKDAY($BB33,2)=6</formula>
    </cfRule>
    <cfRule type="expression" dxfId="769" priority="204">
      <formula>WEEKDAY($BB33,2)=7</formula>
    </cfRule>
    <cfRule type="expression" dxfId="768" priority="205">
      <formula>COUNTIF(Fériés,$BB33)=1</formula>
    </cfRule>
  </conditionalFormatting>
  <conditionalFormatting sqref="BQ3:BT33">
    <cfRule type="expression" dxfId="767" priority="191">
      <formula>COUNTIF(Fériés,$BL3)=1</formula>
    </cfRule>
    <cfRule type="expression" dxfId="766" priority="192">
      <formula>WEEKDAY($BL3,2)=6</formula>
    </cfRule>
    <cfRule type="expression" dxfId="765" priority="193">
      <formula>WEEKDAY($BL3,2)=7</formula>
    </cfRule>
  </conditionalFormatting>
  <conditionalFormatting sqref="BQ3:BT33">
    <cfRule type="notContainsBlanks" dxfId="764" priority="194" stopIfTrue="1">
      <formula>LEN(TRIM(BQ3))&gt;0</formula>
    </cfRule>
  </conditionalFormatting>
  <conditionalFormatting sqref="CA3:CD33">
    <cfRule type="notContainsBlanks" dxfId="763" priority="186" stopIfTrue="1">
      <formula>LEN(TRIM(CA3))&gt;0</formula>
    </cfRule>
  </conditionalFormatting>
  <conditionalFormatting sqref="CA3:CD33">
    <cfRule type="expression" dxfId="762" priority="183">
      <formula>COUNTIF(Fériés,$BV3)=1</formula>
    </cfRule>
    <cfRule type="expression" dxfId="761" priority="184">
      <formula>WEEKDAY($BV3,2)=6</formula>
    </cfRule>
    <cfRule type="expression" dxfId="760" priority="185">
      <formula>WEEKDAY($BV3,2)=7</formula>
    </cfRule>
  </conditionalFormatting>
  <conditionalFormatting sqref="CK34:CM34">
    <cfRule type="cellIs" dxfId="759" priority="181" operator="equal">
      <formula>TODAY()</formula>
    </cfRule>
  </conditionalFormatting>
  <conditionalFormatting sqref="CK34:CM34">
    <cfRule type="expression" dxfId="758" priority="178">
      <formula>$AH34=""</formula>
    </cfRule>
  </conditionalFormatting>
  <conditionalFormatting sqref="CK34:CM34">
    <cfRule type="expression" dxfId="757" priority="179">
      <formula>WEEKDAY($AH34,2)=6</formula>
    </cfRule>
    <cfRule type="expression" dxfId="756" priority="180">
      <formula>WEEKDAY($AH34,2)=7</formula>
    </cfRule>
    <cfRule type="expression" dxfId="755" priority="182">
      <formula>COUNTIF(Fériés,$AH34)=1</formula>
    </cfRule>
  </conditionalFormatting>
  <conditionalFormatting sqref="CN34:CN39">
    <cfRule type="expression" dxfId="754" priority="170">
      <formula>$AH34=""</formula>
    </cfRule>
  </conditionalFormatting>
  <conditionalFormatting sqref="CN34:CN39">
    <cfRule type="expression" dxfId="753" priority="171">
      <formula>WEEKDAY($AH34,2)=6</formula>
    </cfRule>
    <cfRule type="expression" dxfId="752" priority="172">
      <formula>WEEKDAY($AH34,2)=7</formula>
    </cfRule>
    <cfRule type="expression" dxfId="751" priority="173">
      <formula>COUNTIF(Fériés,$AH34)=1</formula>
    </cfRule>
  </conditionalFormatting>
  <conditionalFormatting sqref="CK4:CN32 CK3:CL3 CN3">
    <cfRule type="expression" dxfId="750" priority="163">
      <formula>COUNTIF(Fériés,$CF3)=1</formula>
    </cfRule>
    <cfRule type="expression" dxfId="749" priority="164">
      <formula>WEEKDAY($CF3,2)=6</formula>
    </cfRule>
    <cfRule type="expression" dxfId="748" priority="165">
      <formula>WEEKDAY($CF3,2)=7</formula>
    </cfRule>
  </conditionalFormatting>
  <conditionalFormatting sqref="CK33:CN33">
    <cfRule type="cellIs" dxfId="747" priority="159" operator="equal">
      <formula>TODAY()</formula>
    </cfRule>
  </conditionalFormatting>
  <conditionalFormatting sqref="CK33:CN33">
    <cfRule type="expression" dxfId="746" priority="158">
      <formula>$CF33=""</formula>
    </cfRule>
  </conditionalFormatting>
  <conditionalFormatting sqref="CK33:CN33">
    <cfRule type="expression" dxfId="745" priority="160">
      <formula>COUNTIF(Fériés,$CF33)=1</formula>
    </cfRule>
    <cfRule type="expression" dxfId="744" priority="161">
      <formula>WEEKDAY($CF33,2)=6</formula>
    </cfRule>
    <cfRule type="expression" dxfId="743" priority="162">
      <formula>WEEKDAY($CF33,2)=7</formula>
    </cfRule>
  </conditionalFormatting>
  <conditionalFormatting sqref="CX34:CX39">
    <cfRule type="expression" dxfId="742" priority="154">
      <formula>$AH34=""</formula>
    </cfRule>
  </conditionalFormatting>
  <conditionalFormatting sqref="CX34:CX39">
    <cfRule type="expression" dxfId="741" priority="155">
      <formula>WEEKDAY($AH34,2)=6</formula>
    </cfRule>
    <cfRule type="expression" dxfId="740" priority="156">
      <formula>WEEKDAY($AH34,2)=7</formula>
    </cfRule>
    <cfRule type="expression" dxfId="739" priority="157">
      <formula>COUNTIF(Fériés,$AH34)=1</formula>
    </cfRule>
  </conditionalFormatting>
  <conditionalFormatting sqref="CU34:CW34">
    <cfRule type="cellIs" dxfId="738" priority="152" operator="equal">
      <formula>TODAY()</formula>
    </cfRule>
  </conditionalFormatting>
  <conditionalFormatting sqref="CU34:CW34">
    <cfRule type="expression" dxfId="737" priority="149">
      <formula>$AH34=""</formula>
    </cfRule>
  </conditionalFormatting>
  <conditionalFormatting sqref="CU34:CW34">
    <cfRule type="expression" dxfId="736" priority="150">
      <formula>WEEKDAY($AH34,2)=6</formula>
    </cfRule>
    <cfRule type="expression" dxfId="735" priority="151">
      <formula>WEEKDAY($AH34,2)=7</formula>
    </cfRule>
    <cfRule type="expression" dxfId="734" priority="153">
      <formula>COUNTIF(Fériés,$AH34)=1</formula>
    </cfRule>
  </conditionalFormatting>
  <conditionalFormatting sqref="CU4:CX33 CU3:CV3 CX3">
    <cfRule type="notContainsBlanks" dxfId="733" priority="144" stopIfTrue="1">
      <formula>LEN(TRIM(CU3))&gt;0</formula>
    </cfRule>
  </conditionalFormatting>
  <conditionalFormatting sqref="CU4:CX33 CU3:CV3 CX3">
    <cfRule type="expression" dxfId="732" priority="141">
      <formula>COUNTIF(Fériés,$CP3)=1</formula>
    </cfRule>
    <cfRule type="expression" dxfId="731" priority="142">
      <formula>WEEKDAY($CP3,2)=6</formula>
    </cfRule>
    <cfRule type="expression" dxfId="730" priority="143">
      <formula>WEEKDAY($CP3,2)=7</formula>
    </cfRule>
  </conditionalFormatting>
  <conditionalFormatting sqref="DE34:DG34">
    <cfRule type="cellIs" dxfId="729" priority="139" operator="equal">
      <formula>TODAY()</formula>
    </cfRule>
  </conditionalFormatting>
  <conditionalFormatting sqref="DE34:DG34">
    <cfRule type="expression" dxfId="728" priority="136">
      <formula>$AH34=""</formula>
    </cfRule>
  </conditionalFormatting>
  <conditionalFormatting sqref="DE34:DG34">
    <cfRule type="expression" dxfId="727" priority="137">
      <formula>WEEKDAY($AH34,2)=6</formula>
    </cfRule>
    <cfRule type="expression" dxfId="726" priority="138">
      <formula>WEEKDAY($AH34,2)=7</formula>
    </cfRule>
    <cfRule type="expression" dxfId="725" priority="140">
      <formula>COUNTIF(Fériés,$AH34)=1</formula>
    </cfRule>
  </conditionalFormatting>
  <conditionalFormatting sqref="DH34:DH39">
    <cfRule type="expression" dxfId="724" priority="132">
      <formula>$AH34=""</formula>
    </cfRule>
  </conditionalFormatting>
  <conditionalFormatting sqref="DH34:DH39">
    <cfRule type="expression" dxfId="723" priority="133">
      <formula>WEEKDAY($AH34,2)=6</formula>
    </cfRule>
    <cfRule type="expression" dxfId="722" priority="134">
      <formula>WEEKDAY($AH34,2)=7</formula>
    </cfRule>
    <cfRule type="expression" dxfId="721" priority="135">
      <formula>COUNTIF(Fériés,$AH34)=1</formula>
    </cfRule>
  </conditionalFormatting>
  <conditionalFormatting sqref="DE33:DH33">
    <cfRule type="cellIs" dxfId="720" priority="125" operator="equal">
      <formula>TODAY()</formula>
    </cfRule>
  </conditionalFormatting>
  <conditionalFormatting sqref="DE33:DH33">
    <cfRule type="expression" dxfId="719" priority="124">
      <formula>$CF33=""</formula>
    </cfRule>
  </conditionalFormatting>
  <conditionalFormatting sqref="DE33:DH33">
    <cfRule type="expression" dxfId="718" priority="126">
      <formula>COUNTIF(Fériés,$CF33)=1</formula>
    </cfRule>
    <cfRule type="expression" dxfId="717" priority="127">
      <formula>WEEKDAY($CF33,2)=6</formula>
    </cfRule>
    <cfRule type="expression" dxfId="716" priority="128">
      <formula>WEEKDAY($CF33,2)=7</formula>
    </cfRule>
  </conditionalFormatting>
  <conditionalFormatting sqref="DE4:DH32 DE3:DF3 DH3">
    <cfRule type="expression" dxfId="715" priority="120">
      <formula>WEEKDAY($CZ3,2)=6</formula>
    </cfRule>
    <cfRule type="expression" dxfId="714" priority="121">
      <formula>WEEKDAY($CZ3,2)=7</formula>
    </cfRule>
    <cfRule type="expression" dxfId="713" priority="122">
      <formula>COUNTIF(Fériés,$CZ3)=1</formula>
    </cfRule>
  </conditionalFormatting>
  <conditionalFormatting sqref="DE4:DH32 DE3:DF3 DH3">
    <cfRule type="notContainsBlanks" dxfId="712" priority="123" stopIfTrue="1">
      <formula>LEN(TRIM(DE3))&gt;0</formula>
    </cfRule>
  </conditionalFormatting>
  <conditionalFormatting sqref="DR34:DR39">
    <cfRule type="expression" dxfId="711" priority="116">
      <formula>$AH34=""</formula>
    </cfRule>
  </conditionalFormatting>
  <conditionalFormatting sqref="DR34:DR39">
    <cfRule type="expression" dxfId="710" priority="117">
      <formula>WEEKDAY($AH34,2)=6</formula>
    </cfRule>
    <cfRule type="expression" dxfId="709" priority="118">
      <formula>WEEKDAY($AH34,2)=7</formula>
    </cfRule>
    <cfRule type="expression" dxfId="708" priority="119">
      <formula>COUNTIF(Fériés,$AH34)=1</formula>
    </cfRule>
  </conditionalFormatting>
  <conditionalFormatting sqref="DO34:DQ34">
    <cfRule type="cellIs" dxfId="707" priority="114" operator="equal">
      <formula>TODAY()</formula>
    </cfRule>
  </conditionalFormatting>
  <conditionalFormatting sqref="DO34:DQ34">
    <cfRule type="expression" dxfId="706" priority="111">
      <formula>$AH34=""</formula>
    </cfRule>
  </conditionalFormatting>
  <conditionalFormatting sqref="DO34:DQ34">
    <cfRule type="expression" dxfId="705" priority="112">
      <formula>WEEKDAY($AH34,2)=6</formula>
    </cfRule>
    <cfRule type="expression" dxfId="704" priority="113">
      <formula>WEEKDAY($AH34,2)=7</formula>
    </cfRule>
    <cfRule type="expression" dxfId="703" priority="115">
      <formula>COUNTIF(Fériés,$AH34)=1</formula>
    </cfRule>
  </conditionalFormatting>
  <conditionalFormatting sqref="DO4:DR33 DO3:DP3 DR3">
    <cfRule type="notContainsBlanks" dxfId="702" priority="106" stopIfTrue="1">
      <formula>LEN(TRIM(DO3))&gt;0</formula>
    </cfRule>
  </conditionalFormatting>
  <conditionalFormatting sqref="DO4:DR33 DO3:DP3 DR3">
    <cfRule type="expression" dxfId="701" priority="103">
      <formula>WEEKDAY($DJ3,2)=6</formula>
    </cfRule>
    <cfRule type="expression" dxfId="700" priority="104">
      <formula>WEEKDAY($DJ3,2)=7</formula>
    </cfRule>
    <cfRule type="expression" dxfId="699" priority="105">
      <formula>COUNTIF(Fériés,$DJ3)=1</formula>
    </cfRule>
  </conditionalFormatting>
  <conditionalFormatting sqref="EB34:EB39">
    <cfRule type="expression" dxfId="698" priority="99">
      <formula>$AH34=""</formula>
    </cfRule>
  </conditionalFormatting>
  <conditionalFormatting sqref="EB34:EB39">
    <cfRule type="expression" dxfId="697" priority="100">
      <formula>WEEKDAY($AH34,2)=6</formula>
    </cfRule>
    <cfRule type="expression" dxfId="696" priority="101">
      <formula>WEEKDAY($AH34,2)=7</formula>
    </cfRule>
    <cfRule type="expression" dxfId="695" priority="102">
      <formula>COUNTIF(Fériés,$AH34)=1</formula>
    </cfRule>
  </conditionalFormatting>
  <conditionalFormatting sqref="DY34:EA34">
    <cfRule type="cellIs" dxfId="694" priority="97" operator="equal">
      <formula>TODAY()</formula>
    </cfRule>
  </conditionalFormatting>
  <conditionalFormatting sqref="DY34:EA34">
    <cfRule type="expression" dxfId="693" priority="94">
      <formula>$AH34=""</formula>
    </cfRule>
  </conditionalFormatting>
  <conditionalFormatting sqref="DY34:EA34">
    <cfRule type="expression" dxfId="692" priority="95">
      <formula>WEEKDAY($AH34,2)=6</formula>
    </cfRule>
    <cfRule type="expression" dxfId="691" priority="96">
      <formula>WEEKDAY($AH34,2)=7</formula>
    </cfRule>
    <cfRule type="expression" dxfId="690" priority="98">
      <formula>COUNTIF(Fériés,$AH34)=1</formula>
    </cfRule>
  </conditionalFormatting>
  <conditionalFormatting sqref="DY4:EB33 DY3:DZ3 EB3">
    <cfRule type="notContainsBlanks" dxfId="689" priority="89" stopIfTrue="1">
      <formula>LEN(TRIM(DY3))&gt;0</formula>
    </cfRule>
  </conditionalFormatting>
  <conditionalFormatting sqref="DY4:EB33 DY3:DZ3 EB3">
    <cfRule type="expression" dxfId="688" priority="86">
      <formula>WEEKDAY($DT3,2)=6</formula>
    </cfRule>
    <cfRule type="expression" dxfId="687" priority="87">
      <formula>WEEKDAY($DT3,2)=7</formula>
    </cfRule>
    <cfRule type="expression" dxfId="686" priority="88">
      <formula>COUNTIF(Fériés,$DT3)=1</formula>
    </cfRule>
  </conditionalFormatting>
  <conditionalFormatting sqref="Z33:AA33">
    <cfRule type="cellIs" dxfId="685" priority="83" operator="equal">
      <formula>TODAY()</formula>
    </cfRule>
  </conditionalFormatting>
  <conditionalFormatting sqref="Z33:AA33">
    <cfRule type="expression" dxfId="684" priority="81">
      <formula>WEEKDAY($N33,2)=6</formula>
    </cfRule>
    <cfRule type="expression" dxfId="683" priority="82">
      <formula>WEEKDAY($N33,2)=7</formula>
    </cfRule>
    <cfRule type="expression" dxfId="682" priority="84">
      <formula>COUNTIF(Fériés,$N33)=1</formula>
    </cfRule>
  </conditionalFormatting>
  <conditionalFormatting sqref="Z33:AA33">
    <cfRule type="notContainsBlanks" dxfId="681" priority="85">
      <formula>LEN(TRIM(Z33))&gt;0</formula>
    </cfRule>
  </conditionalFormatting>
  <conditionalFormatting sqref="X32:Z32">
    <cfRule type="cellIs" dxfId="680" priority="79" operator="equal">
      <formula>TODAY()</formula>
    </cfRule>
  </conditionalFormatting>
  <conditionalFormatting sqref="X32:Z32">
    <cfRule type="expression" dxfId="679" priority="76">
      <formula>$X32=""</formula>
    </cfRule>
  </conditionalFormatting>
  <conditionalFormatting sqref="X32:Z32">
    <cfRule type="expression" dxfId="678" priority="77">
      <formula>WEEKDAY($X32,2)=6</formula>
    </cfRule>
    <cfRule type="expression" dxfId="677" priority="78">
      <formula>WEEKDAY($X32,2)=7</formula>
    </cfRule>
    <cfRule type="expression" dxfId="676" priority="80">
      <formula>COUNTIF(Fériés,$X32)=1</formula>
    </cfRule>
  </conditionalFormatting>
  <conditionalFormatting sqref="X32">
    <cfRule type="cellIs" dxfId="675" priority="74" operator="equal">
      <formula>TODAY()</formula>
    </cfRule>
  </conditionalFormatting>
  <conditionalFormatting sqref="X32">
    <cfRule type="expression" dxfId="674" priority="72">
      <formula>WEEKDAY($N32,2)=6</formula>
    </cfRule>
    <cfRule type="expression" dxfId="673" priority="73">
      <formula>WEEKDAY($N32,2)=7</formula>
    </cfRule>
    <cfRule type="expression" dxfId="672" priority="75">
      <formula>COUNTIF(Fériés,$N32)=1</formula>
    </cfRule>
  </conditionalFormatting>
  <conditionalFormatting sqref="Z32">
    <cfRule type="cellIs" dxfId="671" priority="69" operator="equal">
      <formula>TODAY()</formula>
    </cfRule>
  </conditionalFormatting>
  <conditionalFormatting sqref="Z32">
    <cfRule type="expression" dxfId="670" priority="67">
      <formula>WEEKDAY($N32,2)=6</formula>
    </cfRule>
    <cfRule type="expression" dxfId="669" priority="68">
      <formula>WEEKDAY($N32,2)=7</formula>
    </cfRule>
    <cfRule type="expression" dxfId="668" priority="70">
      <formula>COUNTIF(Fériés,$N32)=1</formula>
    </cfRule>
  </conditionalFormatting>
  <conditionalFormatting sqref="Z32">
    <cfRule type="notContainsBlanks" dxfId="667" priority="71">
      <formula>LEN(TRIM(Z32))&gt;0</formula>
    </cfRule>
  </conditionalFormatting>
  <conditionalFormatting sqref="O31">
    <cfRule type="cellIs" dxfId="666" priority="63" operator="equal">
      <formula>TODAY()</formula>
    </cfRule>
  </conditionalFormatting>
  <conditionalFormatting sqref="O31">
    <cfRule type="expression" dxfId="665" priority="54">
      <formula>WEEKDAY($N31,2)=6</formula>
    </cfRule>
    <cfRule type="expression" dxfId="664" priority="62">
      <formula>WEEKDAY($N31,2)=7</formula>
    </cfRule>
    <cfRule type="expression" dxfId="663" priority="64">
      <formula>COUNTIF(Fériés,$N31)=1</formula>
    </cfRule>
  </conditionalFormatting>
  <conditionalFormatting sqref="Q31">
    <cfRule type="expression" dxfId="662" priority="59">
      <formula>WEEKDAY($N31,2)=6</formula>
    </cfRule>
    <cfRule type="expression" dxfId="661" priority="60">
      <formula>WEEKDAY($N31,2)=7</formula>
    </cfRule>
    <cfRule type="expression" dxfId="660" priority="61">
      <formula>COUNTIF(Fériés,$N31)=1</formula>
    </cfRule>
  </conditionalFormatting>
  <conditionalFormatting sqref="Q31">
    <cfRule type="notContainsBlanks" dxfId="659" priority="66">
      <formula>LEN(TRIM(Q31))&gt;0</formula>
    </cfRule>
  </conditionalFormatting>
  <conditionalFormatting sqref="P31">
    <cfRule type="expression" dxfId="658" priority="55">
      <formula>WEEKDAY($N31,2)=6</formula>
    </cfRule>
    <cfRule type="expression" dxfId="657" priority="56">
      <formula>WEEKDAY($N31,2)=7</formula>
    </cfRule>
    <cfRule type="expression" dxfId="656" priority="57">
      <formula>COUNTIF(Fériés,$N31)=1</formula>
    </cfRule>
  </conditionalFormatting>
  <conditionalFormatting sqref="P31">
    <cfRule type="notContainsBlanks" dxfId="655" priority="58">
      <formula>LEN(TRIM(P31))&gt;0</formula>
    </cfRule>
  </conditionalFormatting>
  <conditionalFormatting sqref="R31">
    <cfRule type="expression" dxfId="654" priority="51">
      <formula>WEEKDAY($N31,2)=6</formula>
    </cfRule>
    <cfRule type="expression" dxfId="653" priority="52">
      <formula>WEEKDAY($N31,2)=7</formula>
    </cfRule>
    <cfRule type="expression" dxfId="652" priority="53">
      <formula>COUNTIF(Fériés,$N31)=1</formula>
    </cfRule>
  </conditionalFormatting>
  <conditionalFormatting sqref="V31">
    <cfRule type="notContainsBlanks" dxfId="651" priority="65" stopIfTrue="1">
      <formula>LEN(TRIM(V31))&gt;0</formula>
    </cfRule>
  </conditionalFormatting>
  <conditionalFormatting sqref="S31:V31">
    <cfRule type="expression" dxfId="650" priority="48">
      <formula>WEEKDAY($N31,2)=6</formula>
    </cfRule>
    <cfRule type="expression" dxfId="649" priority="49">
      <formula>WEEKDAY($N31,2)=7</formula>
    </cfRule>
    <cfRule type="expression" dxfId="648" priority="50">
      <formula>COUNTIF(Fériés,$N31)=1</formula>
    </cfRule>
  </conditionalFormatting>
  <conditionalFormatting sqref="M31">
    <cfRule type="expression" dxfId="647" priority="44">
      <formula>SUMPRODUCT((N31&gt;=DVac)*(N31&lt;=FVac))&gt;0</formula>
    </cfRule>
    <cfRule type="expression" dxfId="646" priority="45" stopIfTrue="1">
      <formula>SUMPRODUCT((N31&gt;=DVac)*(N31&lt;=FVac))&lt;2</formula>
    </cfRule>
  </conditionalFormatting>
  <conditionalFormatting sqref="O31:V31">
    <cfRule type="expression" dxfId="645" priority="41">
      <formula>$N$31=""</formula>
    </cfRule>
  </conditionalFormatting>
  <conditionalFormatting sqref="M31">
    <cfRule type="expression" dxfId="644" priority="40">
      <formula>$N$311=""</formula>
    </cfRule>
  </conditionalFormatting>
  <conditionalFormatting sqref="N31">
    <cfRule type="cellIs" dxfId="643" priority="34" operator="equal">
      <formula>TODAY()</formula>
    </cfRule>
  </conditionalFormatting>
  <conditionalFormatting sqref="N31">
    <cfRule type="expression" dxfId="642" priority="32">
      <formula>WEEKDAY($N31,2)=6</formula>
    </cfRule>
    <cfRule type="expression" dxfId="641" priority="33">
      <formula>WEEKDAY($N31,2)=7</formula>
    </cfRule>
    <cfRule type="expression" dxfId="640" priority="35">
      <formula>COUNTIF(Fériés,$N31)=1</formula>
    </cfRule>
  </conditionalFormatting>
  <conditionalFormatting sqref="N31">
    <cfRule type="expression" dxfId="639" priority="31">
      <formula>$N$31=""</formula>
    </cfRule>
  </conditionalFormatting>
  <conditionalFormatting sqref="AA32">
    <cfRule type="cellIs" dxfId="638" priority="24" operator="equal">
      <formula>TODAY()</formula>
    </cfRule>
  </conditionalFormatting>
  <conditionalFormatting sqref="AA32">
    <cfRule type="expression" dxfId="637" priority="22">
      <formula>WEEKDAY($N32,2)=6</formula>
    </cfRule>
    <cfRule type="expression" dxfId="636" priority="23">
      <formula>WEEKDAY($N32,2)=7</formula>
    </cfRule>
    <cfRule type="expression" dxfId="635" priority="25">
      <formula>COUNTIF(Fériés,$N32)=1</formula>
    </cfRule>
  </conditionalFormatting>
  <conditionalFormatting sqref="AA32">
    <cfRule type="notContainsBlanks" dxfId="634" priority="26">
      <formula>LEN(TRIM(AA32))&gt;0</formula>
    </cfRule>
  </conditionalFormatting>
  <conditionalFormatting sqref="AE3:AE33">
    <cfRule type="expression" dxfId="633" priority="19">
      <formula>WEEKDAY($N3,2)=6</formula>
    </cfRule>
    <cfRule type="expression" dxfId="632" priority="20">
      <formula>WEEKDAY($N3,2)=7</formula>
    </cfRule>
    <cfRule type="expression" dxfId="631" priority="21">
      <formula>COUNTIF(Fériés,$N3)=1</formula>
    </cfRule>
  </conditionalFormatting>
  <conditionalFormatting sqref="CM3">
    <cfRule type="notContainsBlanks" dxfId="630" priority="18" stopIfTrue="1">
      <formula>LEN(TRIM(CM3))&gt;0</formula>
    </cfRule>
  </conditionalFormatting>
  <conditionalFormatting sqref="CM3">
    <cfRule type="expression" dxfId="629" priority="15">
      <formula>COUNTIF(Fériés,$BV3)=1</formula>
    </cfRule>
    <cfRule type="expression" dxfId="628" priority="16">
      <formula>WEEKDAY($BV3,2)=6</formula>
    </cfRule>
    <cfRule type="expression" dxfId="627" priority="17">
      <formula>WEEKDAY($BV3,2)=7</formula>
    </cfRule>
  </conditionalFormatting>
  <conditionalFormatting sqref="CW3">
    <cfRule type="expression" dxfId="626" priority="12">
      <formula>COUNTIF(Fériés,$CP3)=1</formula>
    </cfRule>
    <cfRule type="expression" dxfId="625" priority="13">
      <formula>WEEKDAY($CP3,2)=6</formula>
    </cfRule>
    <cfRule type="expression" dxfId="624" priority="14">
      <formula>WEEKDAY($CP3,2)=7</formula>
    </cfRule>
  </conditionalFormatting>
  <conditionalFormatting sqref="DG3">
    <cfRule type="expression" dxfId="623" priority="9">
      <formula>WEEKDAY($CZ3,2)=6</formula>
    </cfRule>
    <cfRule type="expression" dxfId="622" priority="10">
      <formula>WEEKDAY($CZ3,2)=7</formula>
    </cfRule>
    <cfRule type="expression" dxfId="621" priority="11">
      <formula>COUNTIF(Fériés,$CZ3)=1</formula>
    </cfRule>
  </conditionalFormatting>
  <conditionalFormatting sqref="DQ3">
    <cfRule type="expression" dxfId="620" priority="6">
      <formula>WEEKDAY($DJ3,2)=6</formula>
    </cfRule>
    <cfRule type="expression" dxfId="619" priority="7">
      <formula>WEEKDAY($DJ3,2)=7</formula>
    </cfRule>
    <cfRule type="expression" dxfId="618" priority="8">
      <formula>COUNTIF(Fériés,$DJ3)=1</formula>
    </cfRule>
  </conditionalFormatting>
  <conditionalFormatting sqref="EA3">
    <cfRule type="expression" dxfId="617" priority="3">
      <formula>WEEKDAY($DT3,2)=6</formula>
    </cfRule>
    <cfRule type="expression" dxfId="616" priority="4">
      <formula>WEEKDAY($DT3,2)=7</formula>
    </cfRule>
    <cfRule type="expression" dxfId="615" priority="5">
      <formula>COUNTIF(Fériés,$DT3)=1</formula>
    </cfRule>
  </conditionalFormatting>
  <conditionalFormatting sqref="D2:EB33">
    <cfRule type="cellIs" dxfId="614" priority="2" operator="equal">
      <formula>"travail"</formula>
    </cfRule>
    <cfRule type="cellIs" dxfId="613" priority="1" operator="equal">
      <formula>"essai-médical"</formula>
    </cfRule>
  </conditionalFormatting>
  <dataValidations disablePrompts="1" count="2">
    <dataValidation type="list" allowBlank="1" showInputMessage="1" showErrorMessage="1" sqref="B4">
      <formula1>"1,2,3,4,5,6,7,8,9,10,11,12,13,14,15,16,17,18"</formula1>
    </dataValidation>
    <dataValidation type="list" allowBlank="1" showInputMessage="1" showErrorMessage="1" sqref="D2:H2">
      <formula1>onglets</formula1>
    </dataValidation>
  </dataValidations>
  <printOptions horizontalCentered="1" verticalCentered="1"/>
  <pageMargins left="3.937007874015748E-2" right="3.937007874015748E-2" top="0.74803149606299213" bottom="0.74803149606299213" header="0.11811023622047245" footer="0.31496062992125984"/>
  <pageSetup paperSize="8" scale="93" orientation="landscape" horizontalDpi="4294967293" verticalDpi="4294967293" r:id="rId1"/>
  <headerFooter>
    <oddFooter>&amp;Rédité le 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1</xdr:col>
                    <xdr:colOff>47625</xdr:colOff>
                    <xdr:row>0</xdr:row>
                    <xdr:rowOff>95250</xdr:rowOff>
                  </from>
                  <to>
                    <xdr:col>1</xdr:col>
                    <xdr:colOff>409575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29"/>
  <sheetViews>
    <sheetView view="pageBreakPreview" topLeftCell="A10" zoomScaleNormal="100" zoomScaleSheetLayoutView="100" workbookViewId="0">
      <selection activeCell="B2" sqref="B2"/>
    </sheetView>
  </sheetViews>
  <sheetFormatPr baseColWidth="10" defaultRowHeight="15" x14ac:dyDescent="0.25"/>
  <cols>
    <col min="2" max="8" width="22.140625" customWidth="1"/>
    <col min="9" max="9" width="5.85546875" customWidth="1"/>
    <col min="10" max="10" width="4.42578125" customWidth="1"/>
    <col min="11" max="17" width="19.42578125" customWidth="1"/>
  </cols>
  <sheetData>
    <row r="1" spans="1:20" x14ac:dyDescent="0.25">
      <c r="B1" s="138"/>
      <c r="C1" s="139"/>
    </row>
    <row r="2" spans="1:20" x14ac:dyDescent="0.25">
      <c r="A2" s="140" t="s">
        <v>466</v>
      </c>
      <c r="B2" s="138">
        <v>5</v>
      </c>
      <c r="C2" s="139" t="s">
        <v>595</v>
      </c>
    </row>
    <row r="3" spans="1:20" x14ac:dyDescent="0.25">
      <c r="J3" s="140"/>
    </row>
    <row r="4" spans="1:20" ht="30" x14ac:dyDescent="0.4">
      <c r="B4" s="329">
        <f>DATE(H4,B2,1)</f>
        <v>42856</v>
      </c>
      <c r="C4" s="329"/>
      <c r="D4" s="233"/>
      <c r="E4" s="233"/>
      <c r="F4" s="141"/>
      <c r="G4" s="141"/>
      <c r="H4" s="142">
        <f>calendriers!An</f>
        <v>2017</v>
      </c>
      <c r="T4" s="138"/>
    </row>
    <row r="5" spans="1:20" ht="18" x14ac:dyDescent="0.25">
      <c r="B5" s="143" t="s">
        <v>467</v>
      </c>
      <c r="C5" s="143" t="s">
        <v>468</v>
      </c>
      <c r="D5" s="143" t="s">
        <v>469</v>
      </c>
      <c r="E5" s="143" t="s">
        <v>470</v>
      </c>
      <c r="F5" s="143" t="s">
        <v>471</v>
      </c>
      <c r="G5" s="143" t="s">
        <v>472</v>
      </c>
      <c r="H5" s="143" t="s">
        <v>473</v>
      </c>
      <c r="T5" s="138"/>
    </row>
    <row r="6" spans="1:20" ht="20.25" x14ac:dyDescent="0.3">
      <c r="B6" s="144">
        <f t="shared" ref="B6:G6" si="0">IF(C6="","",IF(MONTH(C6-1)&lt;&gt;MONTH(C6),"",C6-1))</f>
        <v>42856</v>
      </c>
      <c r="C6" s="144">
        <f t="shared" si="0"/>
        <v>42857</v>
      </c>
      <c r="D6" s="144">
        <f t="shared" si="0"/>
        <v>42858</v>
      </c>
      <c r="E6" s="144">
        <f t="shared" si="0"/>
        <v>42859</v>
      </c>
      <c r="F6" s="144">
        <f t="shared" si="0"/>
        <v>42860</v>
      </c>
      <c r="G6" s="144">
        <f t="shared" si="0"/>
        <v>42861</v>
      </c>
      <c r="H6" s="144">
        <f>B4+7-WEEKDAY(B4-1)</f>
        <v>42862</v>
      </c>
      <c r="T6" s="138"/>
    </row>
    <row r="7" spans="1:20" ht="26.25" customHeight="1" x14ac:dyDescent="0.25">
      <c r="B7" s="232" t="str">
        <f t="array" ref="B7:H7">IF(B6:H6="","",IFERROR(VLOOKUP(B6:H6,fête!$B$2:$C$367,2,0),""))</f>
        <v>Fête du travail</v>
      </c>
      <c r="C7" s="232" t="str">
        <v>Boris</v>
      </c>
      <c r="D7" s="232" t="str">
        <v>Philippe, Jacques</v>
      </c>
      <c r="E7" s="232" t="str">
        <v>Sylvain</v>
      </c>
      <c r="F7" s="232" t="str">
        <v>Judith</v>
      </c>
      <c r="G7" s="232" t="str">
        <v>Prudence</v>
      </c>
      <c r="H7" s="232" t="str">
        <v>Gisèle</v>
      </c>
      <c r="T7" s="138"/>
    </row>
    <row r="8" spans="1:20" ht="39.950000000000003" customHeight="1" x14ac:dyDescent="0.25">
      <c r="B8" s="145" t="str">
        <f t="array" aca="1" ref="B8:H8" ca="1">IF(B6:H6="","",IFERROR(VLOOKUP(B6:H6,anniversaire!$X$1:$Y$100,2,0),""))</f>
        <v/>
      </c>
      <c r="C8" s="145" t="str">
        <f ca="1"/>
        <v/>
      </c>
      <c r="D8" s="145" t="str">
        <f ca="1"/>
        <v/>
      </c>
      <c r="E8" s="145" t="str">
        <f ca="1"/>
        <v/>
      </c>
      <c r="F8" s="145" t="str">
        <f ca="1"/>
        <v/>
      </c>
      <c r="G8" s="145" t="str">
        <f ca="1"/>
        <v/>
      </c>
      <c r="H8" s="145" t="str">
        <f ca="1"/>
        <v>chedeville  phillipe    33</v>
      </c>
      <c r="T8" s="138"/>
    </row>
    <row r="9" spans="1:20" ht="39.950000000000003" customHeight="1" x14ac:dyDescent="0.25">
      <c r="B9" s="145" t="str">
        <f>IF($B$6:$H$6="","",IFERROR(VLOOKUP($B$6:$H$6,évènements!$A$3:$D$190,3,0),""))</f>
        <v/>
      </c>
      <c r="C9" s="145" t="str">
        <f>IF($B$6:$H$6="","",IFERROR(VLOOKUP($B$6:$H$6,évènements!$A$3:$D$190,3,0),""))</f>
        <v/>
      </c>
      <c r="D9" s="145" t="str">
        <f>IF($B$6:$H$6="","",IFERROR(VLOOKUP($B$6:$H$6,évènements!$A$3:$D$190,3,0),""))</f>
        <v/>
      </c>
      <c r="E9" s="145" t="str">
        <f>IF($B$6:$H$6="","",IFERROR(VLOOKUP($B$6:$H$6,évènements!$A$3:$D$190,3,0),""))</f>
        <v/>
      </c>
      <c r="F9" s="145">
        <f ca="1">IF($B$6:$H$6="","",IFERROR(VLOOKUP($B$6:$H$6,évènements!$A$3:$D$190,3,0),""))</f>
        <v>42895</v>
      </c>
      <c r="G9" s="145" t="str">
        <f>IF($B$6:$H$6="","",IFERROR(VLOOKUP($B$6:$H$6,évènements!$A$3:$D$190,3,0),""))</f>
        <v/>
      </c>
      <c r="H9" s="145" t="str">
        <f>IF($B$6:$H$6="","",IFERROR(VLOOKUP($B$6:$H$6,évènements!$A$3:$D$190,3,0),""))</f>
        <v/>
      </c>
    </row>
    <row r="10" spans="1:20" ht="20.25" x14ac:dyDescent="0.3">
      <c r="B10" s="144">
        <f>H6+1</f>
        <v>42863</v>
      </c>
      <c r="C10" s="144">
        <f t="shared" ref="C10:H10" si="1">B10+1</f>
        <v>42864</v>
      </c>
      <c r="D10" s="144">
        <f t="shared" si="1"/>
        <v>42865</v>
      </c>
      <c r="E10" s="144">
        <f t="shared" si="1"/>
        <v>42866</v>
      </c>
      <c r="F10" s="144">
        <f t="shared" si="1"/>
        <v>42867</v>
      </c>
      <c r="G10" s="144">
        <f t="shared" si="1"/>
        <v>42868</v>
      </c>
      <c r="H10" s="144">
        <f t="shared" si="1"/>
        <v>42869</v>
      </c>
    </row>
    <row r="11" spans="1:20" ht="26.25" customHeight="1" x14ac:dyDescent="0.25">
      <c r="B11" s="232" t="str">
        <f t="array" ref="B11:H11">IF(B10:H10="","",IFERROR(VLOOKUP(B10:H10,fête!$B$2:$C$367,2,0),""))</f>
        <v>Armistice 1945</v>
      </c>
      <c r="C11" s="232" t="str">
        <v>Pacôme</v>
      </c>
      <c r="D11" s="232" t="str">
        <v>Solange</v>
      </c>
      <c r="E11" s="232" t="str">
        <v>Estelle</v>
      </c>
      <c r="F11" s="232" t="str">
        <v>Achille</v>
      </c>
      <c r="G11" s="232" t="str">
        <v>Rolande</v>
      </c>
      <c r="H11" s="232" t="str">
        <v>Matthias</v>
      </c>
    </row>
    <row r="12" spans="1:20" ht="39.950000000000003" customHeight="1" x14ac:dyDescent="0.25">
      <c r="B12" s="145" t="str">
        <f t="array" aca="1" ref="B12:H12" ca="1">IF(B10:H10="","",IFERROR(VLOOKUP(B10:H10,anniversaire!X1:Y100,2,0),""))</f>
        <v/>
      </c>
      <c r="C12" s="145" t="str">
        <f ca="1"/>
        <v xml:space="preserve">Virely  élodie  3  </v>
      </c>
      <c r="D12" s="145" t="str">
        <f ca="1"/>
        <v/>
      </c>
      <c r="E12" s="145" t="str">
        <f ca="1"/>
        <v/>
      </c>
      <c r="F12" s="145" t="str">
        <f ca="1"/>
        <v>Taraud  sebastien    39</v>
      </c>
      <c r="G12" s="145" t="str">
        <f ca="1"/>
        <v/>
      </c>
      <c r="H12" s="145" t="str">
        <f ca="1"/>
        <v/>
      </c>
    </row>
    <row r="13" spans="1:20" ht="39.950000000000003" customHeight="1" x14ac:dyDescent="0.25">
      <c r="B13" s="145" t="str">
        <f>IF($B$10:$H$10="","",IFERROR(VLOOKUP($B$10:$H$10,évènements!$A$3:$D$190,3,0),""))</f>
        <v/>
      </c>
      <c r="C13" s="145" t="str">
        <f>IF($B$10:$H$10="","",IFERROR(VLOOKUP($B$10:$H$10,évènements!$A$3:$D$190,3,0),""))</f>
        <v/>
      </c>
      <c r="D13" s="145" t="str">
        <f>IF($B$10:$H$10="","",IFERROR(VLOOKUP($B$10:$H$10,évènements!$A$3:$D$190,3,0),""))</f>
        <v/>
      </c>
      <c r="E13" s="145" t="str">
        <f>IF($B$10:$H$10="","",IFERROR(VLOOKUP($B$10:$H$10,évènements!$A$3:$D$190,3,0),""))</f>
        <v/>
      </c>
      <c r="F13" s="145" t="str">
        <f>IF($B$10:$H$10="","",IFERROR(VLOOKUP($B$10:$H$10,évènements!$A$3:$D$190,3,0),""))</f>
        <v/>
      </c>
      <c r="G13" s="145" t="str">
        <f>IF($B$10:$H$10="","",IFERROR(VLOOKUP($B$10:$H$10,évènements!$A$3:$D$190,3,0),""))</f>
        <v/>
      </c>
      <c r="H13" s="145" t="str">
        <f ca="1">IF($B$10:$H$10="","",IFERROR(VLOOKUP($B$10:$H$10,évènements!$A$3:$D$190,3,0),""))</f>
        <v/>
      </c>
    </row>
    <row r="14" spans="1:20" ht="20.25" x14ac:dyDescent="0.3">
      <c r="B14" s="144">
        <f>H10+1</f>
        <v>42870</v>
      </c>
      <c r="C14" s="144">
        <f t="shared" ref="C14:H14" si="2">B14+1</f>
        <v>42871</v>
      </c>
      <c r="D14" s="144">
        <f t="shared" si="2"/>
        <v>42872</v>
      </c>
      <c r="E14" s="144">
        <f t="shared" si="2"/>
        <v>42873</v>
      </c>
      <c r="F14" s="144">
        <f t="shared" si="2"/>
        <v>42874</v>
      </c>
      <c r="G14" s="144">
        <f t="shared" si="2"/>
        <v>42875</v>
      </c>
      <c r="H14" s="144">
        <f t="shared" si="2"/>
        <v>42876</v>
      </c>
    </row>
    <row r="15" spans="1:20" ht="26.25" customHeight="1" x14ac:dyDescent="0.25">
      <c r="B15" s="232" t="str">
        <f t="array" ref="B15:H15">IF(B14:H14="","",IFERROR(VLOOKUP(B14:H14,fête!$B$2:$C$367,2,0),""))</f>
        <v>Denise</v>
      </c>
      <c r="C15" s="232" t="str">
        <v>Honoré</v>
      </c>
      <c r="D15" s="232" t="str">
        <v>Pascal</v>
      </c>
      <c r="E15" s="232" t="str">
        <v>Eric</v>
      </c>
      <c r="F15" s="232" t="str">
        <v>Yves</v>
      </c>
      <c r="G15" s="232" t="str">
        <v>Bernardin</v>
      </c>
      <c r="H15" s="232" t="str">
        <v>Constantin</v>
      </c>
    </row>
    <row r="16" spans="1:20" ht="39.950000000000003" customHeight="1" x14ac:dyDescent="0.25">
      <c r="B16" s="145" t="str">
        <f t="array" aca="1" ref="B16:H16" ca="1">IF(B14:H14="","",IFERROR(VLOOKUP(B14:H14,anniversaire!X1:Y100,2,0),""))</f>
        <v>chapellas  fabien    35</v>
      </c>
      <c r="C16" s="145" t="str">
        <f ca="1"/>
        <v/>
      </c>
      <c r="D16" s="145" t="str">
        <f ca="1"/>
        <v/>
      </c>
      <c r="E16" s="145" t="str">
        <f ca="1"/>
        <v/>
      </c>
      <c r="F16" s="145" t="str">
        <f ca="1"/>
        <v/>
      </c>
      <c r="G16" s="145" t="str">
        <f ca="1"/>
        <v/>
      </c>
      <c r="H16" s="145" t="str">
        <f ca="1"/>
        <v/>
      </c>
    </row>
    <row r="17" spans="2:8" ht="39.950000000000003" customHeight="1" x14ac:dyDescent="0.25">
      <c r="B17" s="145" t="str">
        <f>IF($B$14:$H$14="","",IFERROR(VLOOKUP($B$14:$H$14,évènements!$A$3:$D$190,3,0),""))</f>
        <v/>
      </c>
      <c r="C17" s="145" t="str">
        <f ca="1">IF($B$14:$H$14="","",IFERROR(VLOOKUP($B$14:$H$14,évènements!$A$3:$D$190,3,0),""))</f>
        <v/>
      </c>
      <c r="D17" s="145" t="str">
        <f>IF($B$14:$H$14="","",IFERROR(VLOOKUP($B$14:$H$14,évènements!$A$3:$D$190,3,0),""))</f>
        <v/>
      </c>
      <c r="E17" s="145" t="str">
        <f>IF($B$14:$H$14="","",IFERROR(VLOOKUP($B$14:$H$14,évènements!$A$3:$D$190,3,0),""))</f>
        <v/>
      </c>
      <c r="F17" s="145" t="str">
        <f>IF($B$14:$H$14="","",IFERROR(VLOOKUP($B$14:$H$14,évènements!$A$3:$D$190,3,0),""))</f>
        <v/>
      </c>
      <c r="G17" s="145" t="str">
        <f ca="1">IF($B$14:$H$14="","",IFERROR(VLOOKUP($B$14:$H$14,évènements!$A$3:$D$190,3,0),""))</f>
        <v/>
      </c>
      <c r="H17" s="145" t="str">
        <f>IF($B$14:$H$14="","",IFERROR(VLOOKUP($B$14:$H$14,évènements!$A$3:$D$190,3,0),""))</f>
        <v/>
      </c>
    </row>
    <row r="18" spans="2:8" ht="20.25" x14ac:dyDescent="0.3">
      <c r="B18" s="144">
        <f>H14+1</f>
        <v>42877</v>
      </c>
      <c r="C18" s="144">
        <f t="shared" ref="C18:H18" si="3">B18+1</f>
        <v>42878</v>
      </c>
      <c r="D18" s="144">
        <f t="shared" si="3"/>
        <v>42879</v>
      </c>
      <c r="E18" s="144">
        <f t="shared" si="3"/>
        <v>42880</v>
      </c>
      <c r="F18" s="144">
        <f t="shared" si="3"/>
        <v>42881</v>
      </c>
      <c r="G18" s="144">
        <f t="shared" si="3"/>
        <v>42882</v>
      </c>
      <c r="H18" s="144">
        <f t="shared" si="3"/>
        <v>42883</v>
      </c>
    </row>
    <row r="19" spans="2:8" ht="26.25" customHeight="1" x14ac:dyDescent="0.25">
      <c r="B19" s="232" t="str">
        <f t="array" ref="B19:H19">IF(B18:H18="","",IFERROR(VLOOKUP(B18:H18,fête!$B$2:$C$367,2,0),""))</f>
        <v>Emile</v>
      </c>
      <c r="C19" s="232" t="str">
        <v>Didier</v>
      </c>
      <c r="D19" s="232" t="str">
        <v>Donatien</v>
      </c>
      <c r="E19" s="232" t="str">
        <v>Sophie</v>
      </c>
      <c r="F19" s="232" t="str">
        <v>Bérenger</v>
      </c>
      <c r="G19" s="232" t="str">
        <v>Augustin</v>
      </c>
      <c r="H19" s="232" t="str">
        <v>Germain</v>
      </c>
    </row>
    <row r="20" spans="2:8" ht="39.950000000000003" customHeight="1" x14ac:dyDescent="0.25">
      <c r="B20" s="145" t="str">
        <f t="array" aca="1" ref="B20:H20" ca="1">IF(B18:H18="","",IFERROR(VLOOKUP(B18:H18,anniversaire!X1:Y100,2,0),""))</f>
        <v/>
      </c>
      <c r="C20" s="145" t="str">
        <f ca="1"/>
        <v/>
      </c>
      <c r="D20" s="145" t="str">
        <f ca="1"/>
        <v/>
      </c>
      <c r="E20" s="145" t="str">
        <f ca="1"/>
        <v/>
      </c>
      <c r="F20" s="145" t="str">
        <f ca="1"/>
        <v/>
      </c>
      <c r="G20" s="145" t="str">
        <f ca="1"/>
        <v/>
      </c>
      <c r="H20" s="145" t="str">
        <f ca="1"/>
        <v/>
      </c>
    </row>
    <row r="21" spans="2:8" ht="39.950000000000003" customHeight="1" x14ac:dyDescent="0.25">
      <c r="B21" s="145" t="str">
        <f>IF($B$18:$H$18="","",IFERROR(VLOOKUP($B$18:$H$18,évènements!$A$3:$D$190,3,0),""))</f>
        <v/>
      </c>
      <c r="C21" s="145" t="str">
        <f>IF($B$18:$H$18="","",IFERROR(VLOOKUP($B$18:$H$18,évènements!$A$3:$D$190,3,0),""))</f>
        <v/>
      </c>
      <c r="D21" s="145" t="str">
        <f>IF($B$18:$H$18="","",IFERROR(VLOOKUP($B$18:$H$18,évènements!$A$3:$D$190,3,0),""))</f>
        <v/>
      </c>
      <c r="E21" s="145" t="str">
        <f>IF($B$18:$H$18="","",IFERROR(VLOOKUP($B$18:$H$18,évènements!$A$3:$D$190,3,0),""))</f>
        <v/>
      </c>
      <c r="F21" s="145" t="str">
        <f>IF($B$18:$H$18="","",IFERROR(VLOOKUP($B$18:$H$18,évènements!$A$3:$D$190,3,0),""))</f>
        <v/>
      </c>
      <c r="G21" s="145" t="str">
        <f>IF($B$18:$H$18="","",IFERROR(VLOOKUP($B$18:$H$18,évènements!$A$3:$D$190,3,0),""))</f>
        <v/>
      </c>
      <c r="H21" s="145" t="str">
        <f>IF($B$18:$H$18="","",IFERROR(VLOOKUP($B$18:$H$18,évènements!$A$3:$D$190,3,0),""))</f>
        <v/>
      </c>
    </row>
    <row r="22" spans="2:8" ht="20.25" x14ac:dyDescent="0.3">
      <c r="B22" s="144">
        <f>IF(H18="","",IF(MONTH(H18+1)&lt;&gt;MONTH(H18),"",H18+1))</f>
        <v>42884</v>
      </c>
      <c r="C22" s="144">
        <f t="shared" ref="C22:H22" si="4">IF(B22="","",IF(MONTH(B22+1)&lt;&gt;MONTH(B22),"",B22+1))</f>
        <v>42885</v>
      </c>
      <c r="D22" s="144">
        <f t="shared" si="4"/>
        <v>42886</v>
      </c>
      <c r="E22" s="144" t="str">
        <f t="shared" si="4"/>
        <v/>
      </c>
      <c r="F22" s="144" t="str">
        <f t="shared" si="4"/>
        <v/>
      </c>
      <c r="G22" s="144" t="str">
        <f t="shared" si="4"/>
        <v/>
      </c>
      <c r="H22" s="144" t="str">
        <f t="shared" si="4"/>
        <v/>
      </c>
    </row>
    <row r="23" spans="2:8" ht="26.25" customHeight="1" x14ac:dyDescent="0.25">
      <c r="B23" s="232" t="str">
        <f t="array" ref="B23:H23">IF(B22:H22="","",IFERROR(VLOOKUP(B22:H22,fête!$B$2:$C$367,2,0),""))</f>
        <v>Aymar</v>
      </c>
      <c r="C23" s="232" t="str">
        <v>Ferdinand</v>
      </c>
      <c r="D23" s="232" t="str">
        <v>Visitation de la Sainte Vierge</v>
      </c>
      <c r="E23" s="232" t="str">
        <v/>
      </c>
      <c r="F23" s="232" t="str">
        <v/>
      </c>
      <c r="G23" s="232" t="str">
        <v/>
      </c>
      <c r="H23" s="232" t="str">
        <v/>
      </c>
    </row>
    <row r="24" spans="2:8" ht="39.950000000000003" customHeight="1" x14ac:dyDescent="0.25">
      <c r="B24" s="145" t="s">
        <v>595</v>
      </c>
      <c r="C24" s="145" t="s">
        <v>595</v>
      </c>
      <c r="D24" s="145" t="s">
        <v>595</v>
      </c>
      <c r="E24" s="145" t="s">
        <v>595</v>
      </c>
      <c r="F24" s="145" t="s">
        <v>595</v>
      </c>
      <c r="G24" s="145" t="s">
        <v>595</v>
      </c>
      <c r="H24" s="145" t="s">
        <v>595</v>
      </c>
    </row>
    <row r="25" spans="2:8" ht="39.950000000000003" customHeight="1" x14ac:dyDescent="0.25">
      <c r="B25" s="145" t="str">
        <f>IF($B$22:$H$22="","",IFERROR(VLOOKUP($B$22:$H$22,évènements!$A$3:$D$190,3,0),""))</f>
        <v/>
      </c>
      <c r="C25" s="145" t="str">
        <f>IF($B$22:$H$22="","",IFERROR(VLOOKUP($B$22:$H$22,évènements!$A$3:$D$190,3,0),""))</f>
        <v/>
      </c>
      <c r="D25" s="145" t="str">
        <f>IF($B$22:$H$22="","",IFERROR(VLOOKUP($B$22:$H$22,évènements!$A$3:$D$190,3,0),""))</f>
        <v/>
      </c>
      <c r="E25" s="145" t="str">
        <f>IF($B$22:$H$22="","",IFERROR(VLOOKUP($B$22:$H$22,évènements!$A$3:$D$190,3,0),""))</f>
        <v/>
      </c>
      <c r="F25" s="145" t="str">
        <f>IF($B$22:$H$22="","",IFERROR(VLOOKUP($B$22:$H$22,évènements!$A$3:$D$190,3,0),""))</f>
        <v/>
      </c>
      <c r="G25" s="145" t="str">
        <f>IF($B$22:$H$22="","",IFERROR(VLOOKUP($B$22:$H$22,évènements!$A$3:$D$190,3,0),""))</f>
        <v/>
      </c>
      <c r="H25" s="145" t="str">
        <f>IF($B$22:$H$22="","",IFERROR(VLOOKUP($B$22:$H$22,évènements!$A$3:$D$190,3,0),""))</f>
        <v/>
      </c>
    </row>
    <row r="26" spans="2:8" ht="20.25" x14ac:dyDescent="0.3">
      <c r="B26" s="144" t="str">
        <f>IF(H22="","",IF(MONTH(H22+1)&lt;&gt;MONTH(H22),"",H22+1))</f>
        <v/>
      </c>
      <c r="C26" s="144" t="str">
        <f t="shared" ref="C26:H26" si="5">IF(B26="","",IF(MONTH(B26+1)&lt;&gt;MONTH(B26),"",B26+1))</f>
        <v/>
      </c>
      <c r="D26" s="144" t="str">
        <f t="shared" si="5"/>
        <v/>
      </c>
      <c r="E26" s="144" t="str">
        <f t="shared" si="5"/>
        <v/>
      </c>
      <c r="F26" s="144" t="str">
        <f t="shared" si="5"/>
        <v/>
      </c>
      <c r="G26" s="144" t="str">
        <f t="shared" si="5"/>
        <v/>
      </c>
      <c r="H26" s="144" t="str">
        <f t="shared" si="5"/>
        <v/>
      </c>
    </row>
    <row r="27" spans="2:8" ht="26.25" customHeight="1" x14ac:dyDescent="0.25">
      <c r="B27" s="232" t="str">
        <f t="array" ref="B27:H27">IF(B26:H26="","",IFERROR(VLOOKUP(B26:H26,fête!$B$2:$C$367,2,0),""))</f>
        <v/>
      </c>
      <c r="C27" s="232" t="str">
        <v/>
      </c>
      <c r="D27" s="232" t="str">
        <v/>
      </c>
      <c r="E27" s="232" t="str">
        <v/>
      </c>
      <c r="F27" s="232" t="str">
        <v/>
      </c>
      <c r="G27" s="232" t="str">
        <v/>
      </c>
      <c r="H27" s="232" t="str">
        <v/>
      </c>
    </row>
    <row r="28" spans="2:8" ht="39.950000000000003" customHeight="1" x14ac:dyDescent="0.25">
      <c r="B28" s="145" t="str">
        <f t="array" aca="1" ref="B28:H28" ca="1">IF(B26:H26="","",IFERROR(VLOOKUP(B26:H26,anniversaire!X1:Y100,2,0),""))</f>
        <v/>
      </c>
      <c r="C28" s="145" t="str">
        <f ca="1"/>
        <v/>
      </c>
      <c r="D28" s="145" t="str">
        <f ca="1"/>
        <v/>
      </c>
      <c r="E28" s="145" t="str">
        <f ca="1"/>
        <v/>
      </c>
      <c r="F28" s="145" t="str">
        <f ca="1"/>
        <v/>
      </c>
      <c r="G28" s="145" t="str">
        <f ca="1"/>
        <v/>
      </c>
      <c r="H28" s="145" t="str">
        <f ca="1"/>
        <v/>
      </c>
    </row>
    <row r="29" spans="2:8" ht="39.950000000000003" customHeight="1" x14ac:dyDescent="0.25">
      <c r="B29" s="145" t="str">
        <f>IF($B$26:$H$26="","",IFERROR(VLOOKUP($B$26:$H$26,évènements!$A$3:$D$190,3,0),""))</f>
        <v/>
      </c>
      <c r="C29" s="145" t="str">
        <f>IF($B$26:$H$26="","",IFERROR(VLOOKUP($B$26:$H$26,évènements!$A$3:$D$190,3,0),""))</f>
        <v/>
      </c>
      <c r="D29" s="145" t="str">
        <f>IF($B$26:$H$26="","",IFERROR(VLOOKUP($B$26:$H$26,évènements!$A$3:$D$190,3,0),""))</f>
        <v/>
      </c>
      <c r="E29" s="145" t="str">
        <f>IF($B$26:$H$26="","",IFERROR(VLOOKUP($B$26:$H$26,évènements!$A$3:$D$190,3,0),""))</f>
        <v/>
      </c>
      <c r="F29" s="145" t="str">
        <f>IF($B$26:$H$26="","",IFERROR(VLOOKUP($B$26:$H$26,évènements!$A$3:$D$190,3,0),""))</f>
        <v/>
      </c>
      <c r="G29" s="145" t="str">
        <f>IF($B$26:$H$26="","",IFERROR(VLOOKUP($B$26:$H$26,évènements!$A$3:$D$190,3,0),""))</f>
        <v/>
      </c>
      <c r="H29" s="145" t="str">
        <f>IF($B$26:$H$26="","",IFERROR(VLOOKUP($B$26:$H$26,évènements!$A$3:$D$190,3,0),""))</f>
        <v/>
      </c>
    </row>
  </sheetData>
  <mergeCells count="1">
    <mergeCell ref="B4:C4"/>
  </mergeCells>
  <conditionalFormatting sqref="B7:F7 B11:F11 B15:F15 B19:F19 B23:F23 B27:F27">
    <cfRule type="expression" dxfId="2037" priority="422" stopIfTrue="1">
      <formula>IF(AND(OR(WEEKDAY(B6)=1,AND(B7&lt;&gt;"",LEFT(B7,1)&lt;&gt;" ")),B6&lt;&gt;""),TRUE)</formula>
    </cfRule>
  </conditionalFormatting>
  <conditionalFormatting sqref="B12:F12 B8:F8 B16:F16 B20:F20 B24:F24 B28:F28">
    <cfRule type="expression" dxfId="2036" priority="423" stopIfTrue="1">
      <formula>IF(AND(OR(WEEKDAY(B6)=1,AND(B7&lt;&gt;"",LEFT(B7,1)&lt;&gt;" ")),B6&lt;&gt;""),TRUE)</formula>
    </cfRule>
  </conditionalFormatting>
  <conditionalFormatting sqref="B7:F7 B11:F11 B15:F15 B19:F19 B23:F23 B27:F27">
    <cfRule type="expression" dxfId="2035" priority="419" stopIfTrue="1">
      <formula>IF(AND(OR(WEEKDAY(B6)=1,AND(B7&lt;&gt;"",LEFT(B7,1)&lt;&gt;" ")),B6&lt;&gt;""),TRUE)</formula>
    </cfRule>
  </conditionalFormatting>
  <conditionalFormatting sqref="B12:F12 B8:F8 B16:F16 B20:F20 B24:F24 B28:F28">
    <cfRule type="expression" dxfId="2034" priority="420" stopIfTrue="1">
      <formula>IF(AND(OR(WEEKDAY(B6)=1,AND(B7&lt;&gt;"",LEFT(B7,1)&lt;&gt;" ")),B6&lt;&gt;""),TRUE)</formula>
    </cfRule>
  </conditionalFormatting>
  <conditionalFormatting sqref="B7">
    <cfRule type="notContainsBlanks" dxfId="2033" priority="417">
      <formula>LEN(TRIM(B7))&gt;0</formula>
    </cfRule>
  </conditionalFormatting>
  <conditionalFormatting sqref="C7:F7">
    <cfRule type="notContainsBlanks" dxfId="2032" priority="416">
      <formula>LEN(TRIM(C7))&gt;0</formula>
    </cfRule>
  </conditionalFormatting>
  <conditionalFormatting sqref="B11:F11">
    <cfRule type="notContainsBlanks" dxfId="2031" priority="415">
      <formula>LEN(TRIM(B11))&gt;0</formula>
    </cfRule>
  </conditionalFormatting>
  <conditionalFormatting sqref="B15:F15">
    <cfRule type="notContainsBlanks" dxfId="2030" priority="414">
      <formula>LEN(TRIM(B15))&gt;0</formula>
    </cfRule>
  </conditionalFormatting>
  <conditionalFormatting sqref="B19:F19">
    <cfRule type="notContainsBlanks" dxfId="2029" priority="413">
      <formula>LEN(TRIM(B19))&gt;0</formula>
    </cfRule>
  </conditionalFormatting>
  <conditionalFormatting sqref="B23:F23">
    <cfRule type="notContainsBlanks" dxfId="2028" priority="412">
      <formula>LEN(TRIM(B23))&gt;0</formula>
    </cfRule>
  </conditionalFormatting>
  <conditionalFormatting sqref="B27:F27">
    <cfRule type="notContainsBlanks" dxfId="2027" priority="411">
      <formula>LEN(TRIM(B27))&gt;0</formula>
    </cfRule>
  </conditionalFormatting>
  <conditionalFormatting sqref="B8">
    <cfRule type="notContainsBlanks" dxfId="2026" priority="424">
      <formula>LEN(TRIM(B8))&gt;0</formula>
    </cfRule>
  </conditionalFormatting>
  <conditionalFormatting sqref="C8:F8">
    <cfRule type="notContainsBlanks" dxfId="2025" priority="409">
      <formula>LEN(TRIM(C8))&gt;0</formula>
    </cfRule>
  </conditionalFormatting>
  <conditionalFormatting sqref="B12:F12">
    <cfRule type="notContainsBlanks" dxfId="2024" priority="408">
      <formula>LEN(TRIM(B12))&gt;0</formula>
    </cfRule>
  </conditionalFormatting>
  <conditionalFormatting sqref="B16:F16">
    <cfRule type="notContainsBlanks" dxfId="2023" priority="407">
      <formula>LEN(TRIM(B16))&gt;0</formula>
    </cfRule>
  </conditionalFormatting>
  <conditionalFormatting sqref="B20:F20">
    <cfRule type="notContainsBlanks" dxfId="2022" priority="406">
      <formula>LEN(TRIM(B20))&gt;0</formula>
    </cfRule>
  </conditionalFormatting>
  <conditionalFormatting sqref="B24:F24">
    <cfRule type="notContainsBlanks" dxfId="2021" priority="405">
      <formula>LEN(TRIM(B24))&gt;0</formula>
    </cfRule>
  </conditionalFormatting>
  <conditionalFormatting sqref="B28:F28">
    <cfRule type="notContainsBlanks" dxfId="2020" priority="404">
      <formula>LEN(TRIM(B28))&gt;0</formula>
    </cfRule>
  </conditionalFormatting>
  <conditionalFormatting sqref="G7:H7 G11:H11 G15:H15 G19:H19 G23:H23 G27:H27">
    <cfRule type="expression" dxfId="2019" priority="374" stopIfTrue="1">
      <formula>IF(AND(OR(WEEKDAY(G6)=1,AND(G7&lt;&gt;"",LEFT(G7,1)&lt;&gt;" ")),G6&lt;&gt;""),TRUE)</formula>
    </cfRule>
  </conditionalFormatting>
  <conditionalFormatting sqref="G8:H8 G12:H12 G16:H16 G20:H20 G24:H24 G28:H28">
    <cfRule type="expression" dxfId="2018" priority="375" stopIfTrue="1">
      <formula>IF(AND(OR(WEEKDAY(G6)=1,AND(G7&lt;&gt;"",LEFT(G7,1)&lt;&gt;" ")),G6&lt;&gt;""),TRUE)</formula>
    </cfRule>
  </conditionalFormatting>
  <conditionalFormatting sqref="G7:H7 G11:H11 G15:H15 G19:H19 G23:H23 G27:H27">
    <cfRule type="expression" dxfId="2017" priority="371" stopIfTrue="1">
      <formula>IF(AND(OR(WEEKDAY(G6)=1,AND(G7&lt;&gt;"",LEFT(G7,1)&lt;&gt;" ")),G6&lt;&gt;""),TRUE)</formula>
    </cfRule>
  </conditionalFormatting>
  <conditionalFormatting sqref="G8:H8 G12:H12 G16:H16 G20:H20 G24:H24 G28:H28">
    <cfRule type="expression" dxfId="2016" priority="372" stopIfTrue="1">
      <formula>IF(AND(OR(WEEKDAY(G13)=1,AND(G14&lt;&gt;"",LEFT(G14,1)&lt;&gt;" ")),G13&lt;&gt;""),TRUE)</formula>
    </cfRule>
  </conditionalFormatting>
  <conditionalFormatting sqref="G7:H7 G11:H11 G15:H15 G19:H19 G23:H23 G27:H27">
    <cfRule type="notContainsBlanks" dxfId="2015" priority="369">
      <formula>LEN(TRIM(G7))&gt;0</formula>
    </cfRule>
  </conditionalFormatting>
  <conditionalFormatting sqref="G8:H8 G12:H12 G16:H16 G20:H20 G24:H24 G28:H28">
    <cfRule type="notContainsBlanks" dxfId="2014" priority="368">
      <formula>LEN(TRIM(G8))&gt;0</formula>
    </cfRule>
  </conditionalFormatting>
  <conditionalFormatting sqref="B6:H6">
    <cfRule type="expression" dxfId="2013" priority="366" stopIfTrue="1">
      <formula>IF(AND(OR(WEEKDAY(B6)=1,AND(B7&lt;&gt;"",LEFT(B7,1)&lt;&gt;" ")),B6&lt;&gt;""),TRUE)</formula>
    </cfRule>
  </conditionalFormatting>
  <conditionalFormatting sqref="B6">
    <cfRule type="expression" dxfId="2012" priority="293">
      <formula>COUNTIF(Fériés,B6)=1</formula>
    </cfRule>
  </conditionalFormatting>
  <conditionalFormatting sqref="D6 D8">
    <cfRule type="expression" dxfId="2011" priority="292">
      <formula>COUNTIF(Fériés,$D$6)=1</formula>
    </cfRule>
  </conditionalFormatting>
  <conditionalFormatting sqref="B10:H10">
    <cfRule type="expression" dxfId="2010" priority="291" stopIfTrue="1">
      <formula>IF(AND(OR(WEEKDAY(B10)=1,AND(B11&lt;&gt;"",LEFT(B11,1)&lt;&gt;" ")),B10&lt;&gt;""),TRUE)</formula>
    </cfRule>
  </conditionalFormatting>
  <conditionalFormatting sqref="B10">
    <cfRule type="expression" dxfId="2009" priority="290">
      <formula>COUNTIF(Fériés,$B$10)=1</formula>
    </cfRule>
  </conditionalFormatting>
  <conditionalFormatting sqref="B10:H10">
    <cfRule type="expression" dxfId="2008" priority="289">
      <formula>COUNTIF(Fériés,B10)=1</formula>
    </cfRule>
  </conditionalFormatting>
  <conditionalFormatting sqref="D10">
    <cfRule type="expression" dxfId="2007" priority="288">
      <formula>COUNTIF(Fériés,$D$6)=1</formula>
    </cfRule>
  </conditionalFormatting>
  <conditionalFormatting sqref="B14:H14">
    <cfRule type="expression" dxfId="2006" priority="287" stopIfTrue="1">
      <formula>IF(AND(OR(WEEKDAY(B14)=1,AND(B15&lt;&gt;"",LEFT(B15,1)&lt;&gt;" ")),B14&lt;&gt;""),TRUE)</formula>
    </cfRule>
  </conditionalFormatting>
  <conditionalFormatting sqref="B14:H14">
    <cfRule type="expression" dxfId="2005" priority="285">
      <formula>COUNTIF(Fériés,B14)=1</formula>
    </cfRule>
  </conditionalFormatting>
  <conditionalFormatting sqref="D14">
    <cfRule type="expression" dxfId="2004" priority="284">
      <formula>COUNTIF(Fériés,$D$6)=1</formula>
    </cfRule>
  </conditionalFormatting>
  <conditionalFormatting sqref="B18:H18">
    <cfRule type="expression" dxfId="2003" priority="283" stopIfTrue="1">
      <formula>IF(AND(OR(WEEKDAY(B18)=1,AND(B19&lt;&gt;"",LEFT(B19,1)&lt;&gt;" ")),B18&lt;&gt;""),TRUE)</formula>
    </cfRule>
  </conditionalFormatting>
  <conditionalFormatting sqref="B18:H18">
    <cfRule type="expression" dxfId="2002" priority="281">
      <formula>COUNTIF(Fériés,B18)=1</formula>
    </cfRule>
  </conditionalFormatting>
  <conditionalFormatting sqref="D18">
    <cfRule type="expression" dxfId="2001" priority="280">
      <formula>COUNTIF(Fériés,$D$6)=1</formula>
    </cfRule>
  </conditionalFormatting>
  <conditionalFormatting sqref="B22:H22">
    <cfRule type="expression" dxfId="2000" priority="279" stopIfTrue="1">
      <formula>IF(AND(OR(WEEKDAY(B22)=1,AND(B23&lt;&gt;"",LEFT(B23,1)&lt;&gt;" ")),B22&lt;&gt;""),TRUE)</formula>
    </cfRule>
  </conditionalFormatting>
  <conditionalFormatting sqref="B22:H22">
    <cfRule type="expression" dxfId="1999" priority="277">
      <formula>COUNTIF(Fériés,B22)=1</formula>
    </cfRule>
  </conditionalFormatting>
  <conditionalFormatting sqref="D22">
    <cfRule type="expression" dxfId="1998" priority="276">
      <formula>COUNTIF(Fériés,$D$6)=1</formula>
    </cfRule>
  </conditionalFormatting>
  <conditionalFormatting sqref="C26:H26">
    <cfRule type="expression" dxfId="1997" priority="275" stopIfTrue="1">
      <formula>IF(AND(OR(WEEKDAY(C26)=1,AND(C27&lt;&gt;"",LEFT(C27,1)&lt;&gt;" ")),C26&lt;&gt;""),TRUE)</formula>
    </cfRule>
  </conditionalFormatting>
  <conditionalFormatting sqref="C26:H26">
    <cfRule type="expression" dxfId="1996" priority="273">
      <formula>COUNTIF(Fériés,$B$30=1)</formula>
    </cfRule>
  </conditionalFormatting>
  <conditionalFormatting sqref="D26">
    <cfRule type="expression" dxfId="1995" priority="272">
      <formula>COUNTIF(Fériés,$D$6)=1</formula>
    </cfRule>
  </conditionalFormatting>
  <conditionalFormatting sqref="B9:H9">
    <cfRule type="containsText" dxfId="1994" priority="260" operator="containsText" text="$H$5">
      <formula>NOT(ISERROR(SEARCH("$H$5",B9)))</formula>
    </cfRule>
  </conditionalFormatting>
  <conditionalFormatting sqref="B9:H9">
    <cfRule type="expression" dxfId="1993" priority="262" stopIfTrue="1">
      <formula>IF(AND(OR(WEEKDAY(B6)=1,AND(B7&lt;&gt;"",LEFT(B7,1)&lt;&gt;" ")),B6&lt;&gt;""),TRUE)</formula>
    </cfRule>
  </conditionalFormatting>
  <conditionalFormatting sqref="B9:H9">
    <cfRule type="notContainsBlanks" dxfId="1992" priority="261">
      <formula>LEN(TRIM(B9))&gt;0</formula>
    </cfRule>
  </conditionalFormatting>
  <conditionalFormatting sqref="B26">
    <cfRule type="expression" dxfId="1991" priority="217" stopIfTrue="1">
      <formula>IF(AND(OR(WEEKDAY(B26)=1,AND(B27&lt;&gt;"",LEFT(B27,1)&lt;&gt;" ")),B26&lt;&gt;""),TRUE)</formula>
    </cfRule>
  </conditionalFormatting>
  <conditionalFormatting sqref="B26">
    <cfRule type="expression" dxfId="1990" priority="215">
      <formula>COUNTIF(Fériés,B26)=1</formula>
    </cfRule>
  </conditionalFormatting>
  <conditionalFormatting sqref="H13">
    <cfRule type="containsText" dxfId="1989" priority="212" operator="containsText" text="$H$5">
      <formula>NOT(ISERROR(SEARCH("$H$5",H13)))</formula>
    </cfRule>
  </conditionalFormatting>
  <conditionalFormatting sqref="H13">
    <cfRule type="expression" dxfId="1988" priority="214" stopIfTrue="1">
      <formula>IF(AND(OR(WEEKDAY(H10)=1,AND(H11&lt;&gt;"",LEFT(H11,1)&lt;&gt;" ")),H10&lt;&gt;""),TRUE)</formula>
    </cfRule>
  </conditionalFormatting>
  <conditionalFormatting sqref="H13">
    <cfRule type="notContainsBlanks" dxfId="1987" priority="213">
      <formula>LEN(TRIM(H13))&gt;0</formula>
    </cfRule>
  </conditionalFormatting>
  <conditionalFormatting sqref="B13:G13">
    <cfRule type="containsText" dxfId="1986" priority="208" operator="containsText" text="$H$5">
      <formula>NOT(ISERROR(SEARCH("$H$5",B13)))</formula>
    </cfRule>
    <cfRule type="expression" dxfId="1985" priority="210" stopIfTrue="1">
      <formula>IF(AND(OR(WEEKDAY(B10)=1,AND(B11&lt;&gt;"",LEFT(B11,1)&lt;&gt;" ")),B10&lt;&gt;""),TRUE)</formula>
    </cfRule>
  </conditionalFormatting>
  <conditionalFormatting sqref="B13:G13">
    <cfRule type="notContainsBlanks" dxfId="1984" priority="209">
      <formula>LEN(TRIM(B13))&gt;0</formula>
    </cfRule>
  </conditionalFormatting>
  <conditionalFormatting sqref="D13">
    <cfRule type="expression" dxfId="1983" priority="206">
      <formula>COUNTIF(Fériés,$D$6)=1</formula>
    </cfRule>
  </conditionalFormatting>
  <conditionalFormatting sqref="H17">
    <cfRule type="containsText" dxfId="1982" priority="203" operator="containsText" text="$H$5">
      <formula>NOT(ISERROR(SEARCH("$H$5",H17)))</formula>
    </cfRule>
  </conditionalFormatting>
  <conditionalFormatting sqref="H17">
    <cfRule type="expression" dxfId="1981" priority="205" stopIfTrue="1">
      <formula>IF(AND(OR(WEEKDAY(H14)=1,AND(H15&lt;&gt;"",LEFT(H15,1)&lt;&gt;" ")),H14&lt;&gt;""),TRUE)</formula>
    </cfRule>
  </conditionalFormatting>
  <conditionalFormatting sqref="H17">
    <cfRule type="notContainsBlanks" dxfId="1980" priority="204">
      <formula>LEN(TRIM(H17))&gt;0</formula>
    </cfRule>
  </conditionalFormatting>
  <conditionalFormatting sqref="B17:G17">
    <cfRule type="containsText" dxfId="1979" priority="199" operator="containsText" text="$H$5">
      <formula>NOT(ISERROR(SEARCH("$H$5",B17)))</formula>
    </cfRule>
    <cfRule type="expression" dxfId="1978" priority="201" stopIfTrue="1">
      <formula>IF(AND(OR(WEEKDAY(B14)=1,AND(B15&lt;&gt;"",LEFT(B15,1)&lt;&gt;" ")),B14&lt;&gt;""),TRUE)</formula>
    </cfRule>
  </conditionalFormatting>
  <conditionalFormatting sqref="B17:G17">
    <cfRule type="notContainsBlanks" dxfId="1977" priority="200">
      <formula>LEN(TRIM(B17))&gt;0</formula>
    </cfRule>
  </conditionalFormatting>
  <conditionalFormatting sqref="D17">
    <cfRule type="expression" dxfId="1976" priority="197">
      <formula>COUNTIF(Fériés,$D$6)=1</formula>
    </cfRule>
  </conditionalFormatting>
  <conditionalFormatting sqref="H21">
    <cfRule type="containsText" dxfId="1975" priority="194" operator="containsText" text="$H$5">
      <formula>NOT(ISERROR(SEARCH("$H$5",H21)))</formula>
    </cfRule>
  </conditionalFormatting>
  <conditionalFormatting sqref="H21">
    <cfRule type="expression" dxfId="1974" priority="196" stopIfTrue="1">
      <formula>IF(AND(OR(WEEKDAY(H18)=1,AND(H19&lt;&gt;"",LEFT(H19,1)&lt;&gt;" ")),H18&lt;&gt;""),TRUE)</formula>
    </cfRule>
  </conditionalFormatting>
  <conditionalFormatting sqref="H21">
    <cfRule type="notContainsBlanks" dxfId="1973" priority="195">
      <formula>LEN(TRIM(H21))&gt;0</formula>
    </cfRule>
  </conditionalFormatting>
  <conditionalFormatting sqref="B21:G21">
    <cfRule type="containsText" dxfId="1972" priority="190" operator="containsText" text="$H$5">
      <formula>NOT(ISERROR(SEARCH("$H$5",B21)))</formula>
    </cfRule>
    <cfRule type="expression" dxfId="1971" priority="192" stopIfTrue="1">
      <formula>IF(AND(OR(WEEKDAY(B18)=1,AND(B19&lt;&gt;"",LEFT(B19,1)&lt;&gt;" ")),B18&lt;&gt;""),TRUE)</formula>
    </cfRule>
  </conditionalFormatting>
  <conditionalFormatting sqref="B21:G21">
    <cfRule type="notContainsBlanks" dxfId="1970" priority="191">
      <formula>LEN(TRIM(B21))&gt;0</formula>
    </cfRule>
  </conditionalFormatting>
  <conditionalFormatting sqref="D21">
    <cfRule type="expression" dxfId="1969" priority="188">
      <formula>COUNTIF(Fériés,$D$6)=1</formula>
    </cfRule>
  </conditionalFormatting>
  <conditionalFormatting sqref="B25:H25">
    <cfRule type="containsText" dxfId="1968" priority="181" operator="containsText" text="$H$5">
      <formula>NOT(ISERROR(SEARCH("$H$5",B25)))</formula>
    </cfRule>
    <cfRule type="expression" dxfId="1967" priority="183" stopIfTrue="1">
      <formula>IF(AND(OR(WEEKDAY(B22)=1,AND(B23&lt;&gt;"",LEFT(B23,1)&lt;&gt;" ")),B22&lt;&gt;""),TRUE)</formula>
    </cfRule>
  </conditionalFormatting>
  <conditionalFormatting sqref="B25:H25">
    <cfRule type="notContainsBlanks" dxfId="1966" priority="182">
      <formula>LEN(TRIM(B25))&gt;0</formula>
    </cfRule>
  </conditionalFormatting>
  <conditionalFormatting sqref="B29:H29">
    <cfRule type="containsText" dxfId="1965" priority="172" operator="containsText" text="$H$5">
      <formula>NOT(ISERROR(SEARCH("$H$5",B29)))</formula>
    </cfRule>
    <cfRule type="expression" dxfId="1964" priority="174" stopIfTrue="1">
      <formula>IF(AND(OR(WEEKDAY(B26)=1,AND(B27&lt;&gt;"",LEFT(B27,1)&lt;&gt;" ")),B26&lt;&gt;""),TRUE)</formula>
    </cfRule>
  </conditionalFormatting>
  <conditionalFormatting sqref="B29:H29">
    <cfRule type="notContainsBlanks" dxfId="1963" priority="173">
      <formula>LEN(TRIM(B29))&gt;0</formula>
    </cfRule>
  </conditionalFormatting>
  <conditionalFormatting sqref="B6:H6 B10:H10 B14:H14 B18:H18 B22:H22 B26:H26">
    <cfRule type="cellIs" dxfId="1962" priority="1" operator="equal">
      <formula>TODAY()</formula>
    </cfRule>
  </conditionalFormatting>
  <dataValidations count="1">
    <dataValidation type="list" operator="equal" sqref="B1:B2">
      <formula1>"1,2,3,4,5,6,7,8,9,10,11,12"</formula1>
      <formula2>0</formula2>
    </dataValidation>
  </dataValidations>
  <pageMargins left="0.7" right="0.7" top="0.75" bottom="0.75" header="0.3" footer="0.3"/>
  <pageSetup paperSize="9" scale="62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9" operator="containsText" id="{0E740641-454F-4C67-AA7A-88F10A7DADF6}">
            <xm:f>NOT(ISERROR(SEARCH($G$5,B9)))</xm:f>
            <xm:f>$G$5</xm:f>
            <x14:dxf>
              <fill>
                <patternFill>
                  <bgColor theme="0" tint="-0.34998626667073579"/>
                </patternFill>
              </fill>
            </x14:dxf>
          </x14:cfRule>
          <xm:sqref>B9:H9</xm:sqref>
        </x14:conditionalFormatting>
        <x14:conditionalFormatting xmlns:xm="http://schemas.microsoft.com/office/excel/2006/main">
          <x14:cfRule type="containsText" priority="211" operator="containsText" id="{C4D5F2B3-BDA6-496D-96BC-30B2A6965442}">
            <xm:f>NOT(ISERROR(SEARCH($G$5,H13)))</xm:f>
            <xm:f>$G$5</xm:f>
            <x14:dxf>
              <fill>
                <patternFill>
                  <bgColor theme="0" tint="-0.34998626667073579"/>
                </patternFill>
              </fill>
            </x14:dxf>
          </x14:cfRule>
          <xm:sqref>H13</xm:sqref>
        </x14:conditionalFormatting>
        <x14:conditionalFormatting xmlns:xm="http://schemas.microsoft.com/office/excel/2006/main">
          <x14:cfRule type="containsText" priority="207" operator="containsText" id="{7778D436-AE83-489A-A9EF-9571A05E4E53}">
            <xm:f>NOT(ISERROR(SEARCH($G$5,B13)))</xm:f>
            <xm:f>$G$5</xm:f>
            <x14:dxf>
              <fill>
                <patternFill>
                  <bgColor theme="0" tint="-0.34998626667073579"/>
                </patternFill>
              </fill>
            </x14:dxf>
          </x14:cfRule>
          <xm:sqref>B13:G13</xm:sqref>
        </x14:conditionalFormatting>
        <x14:conditionalFormatting xmlns:xm="http://schemas.microsoft.com/office/excel/2006/main">
          <x14:cfRule type="containsText" priority="202" operator="containsText" id="{38EBF4D4-61DC-43EA-93DD-EDCE1F899722}">
            <xm:f>NOT(ISERROR(SEARCH($G$5,H17)))</xm:f>
            <xm:f>$G$5</xm:f>
            <x14:dxf>
              <fill>
                <patternFill>
                  <bgColor theme="0" tint="-0.34998626667073579"/>
                </patternFill>
              </fill>
            </x14:dxf>
          </x14:cfRule>
          <xm:sqref>H17</xm:sqref>
        </x14:conditionalFormatting>
        <x14:conditionalFormatting xmlns:xm="http://schemas.microsoft.com/office/excel/2006/main">
          <x14:cfRule type="containsText" priority="198" operator="containsText" id="{828BE738-4D8E-422B-A245-425B87114D65}">
            <xm:f>NOT(ISERROR(SEARCH($G$5,B17)))</xm:f>
            <xm:f>$G$5</xm:f>
            <x14:dxf>
              <fill>
                <patternFill>
                  <bgColor theme="0" tint="-0.34998626667073579"/>
                </patternFill>
              </fill>
            </x14:dxf>
          </x14:cfRule>
          <xm:sqref>B17:G17</xm:sqref>
        </x14:conditionalFormatting>
        <x14:conditionalFormatting xmlns:xm="http://schemas.microsoft.com/office/excel/2006/main">
          <x14:cfRule type="containsText" priority="193" operator="containsText" id="{AADE22C8-0E5C-4D61-8288-C656FC903DC9}">
            <xm:f>NOT(ISERROR(SEARCH($G$5,H21)))</xm:f>
            <xm:f>$G$5</xm:f>
            <x14:dxf>
              <fill>
                <patternFill>
                  <bgColor theme="0" tint="-0.34998626667073579"/>
                </patternFill>
              </fill>
            </x14:dxf>
          </x14:cfRule>
          <xm:sqref>H21</xm:sqref>
        </x14:conditionalFormatting>
        <x14:conditionalFormatting xmlns:xm="http://schemas.microsoft.com/office/excel/2006/main">
          <x14:cfRule type="containsText" priority="189" operator="containsText" id="{D9A9FBFA-A44D-4F1B-BD3D-52E9B79F9273}">
            <xm:f>NOT(ISERROR(SEARCH($G$5,B21)))</xm:f>
            <xm:f>$G$5</xm:f>
            <x14:dxf>
              <fill>
                <patternFill>
                  <bgColor theme="0" tint="-0.34998626667073579"/>
                </patternFill>
              </fill>
            </x14:dxf>
          </x14:cfRule>
          <xm:sqref>B21:G21</xm:sqref>
        </x14:conditionalFormatting>
        <x14:conditionalFormatting xmlns:xm="http://schemas.microsoft.com/office/excel/2006/main">
          <x14:cfRule type="containsText" priority="180" operator="containsText" id="{7A108DE1-16D5-4C4C-9EE3-35485095E785}">
            <xm:f>NOT(ISERROR(SEARCH($G$5,B25)))</xm:f>
            <xm:f>$G$5</xm:f>
            <x14:dxf>
              <fill>
                <patternFill>
                  <bgColor theme="0" tint="-0.34998626667073579"/>
                </patternFill>
              </fill>
            </x14:dxf>
          </x14:cfRule>
          <xm:sqref>B25:H25</xm:sqref>
        </x14:conditionalFormatting>
        <x14:conditionalFormatting xmlns:xm="http://schemas.microsoft.com/office/excel/2006/main">
          <x14:cfRule type="containsText" priority="171" operator="containsText" id="{36DD696D-0C50-4FAA-9493-E3D34741D20F}">
            <xm:f>NOT(ISERROR(SEARCH($G$5,B29)))</xm:f>
            <xm:f>$G$5</xm:f>
            <x14:dxf>
              <fill>
                <patternFill>
                  <bgColor theme="0" tint="-0.34998626667073579"/>
                </patternFill>
              </fill>
            </x14:dxf>
          </x14:cfRule>
          <xm:sqref>B29:H29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39997558519241921"/>
  </sheetPr>
  <dimension ref="A1:AB128"/>
  <sheetViews>
    <sheetView zoomScale="70" zoomScaleNormal="70" workbookViewId="0">
      <selection activeCell="AE31" sqref="AE31"/>
    </sheetView>
  </sheetViews>
  <sheetFormatPr baseColWidth="10" defaultRowHeight="15" x14ac:dyDescent="0.25"/>
  <cols>
    <col min="3" max="3" width="20.140625" style="74" customWidth="1"/>
    <col min="4" max="4" width="37.7109375" customWidth="1"/>
    <col min="5" max="5" width="27.42578125" style="253" bestFit="1" customWidth="1"/>
    <col min="6" max="6" width="29.42578125" style="254" hidden="1" customWidth="1"/>
    <col min="7" max="7" width="29.42578125" style="74" hidden="1" customWidth="1"/>
    <col min="8" max="8" width="15.5703125" customWidth="1"/>
    <col min="9" max="9" width="12.28515625" hidden="1" customWidth="1"/>
    <col min="10" max="10" width="12" hidden="1" customWidth="1"/>
    <col min="11" max="11" width="12" customWidth="1"/>
    <col min="12" max="13" width="11.5703125" customWidth="1"/>
    <col min="14" max="14" width="20.140625" bestFit="1" customWidth="1"/>
    <col min="15" max="15" width="17.5703125" customWidth="1"/>
    <col min="16" max="16" width="32.7109375" style="70" hidden="1" customWidth="1"/>
    <col min="17" max="17" width="12.7109375" hidden="1" customWidth="1"/>
    <col min="18" max="18" width="15" hidden="1" customWidth="1"/>
    <col min="19" max="20" width="14.5703125" hidden="1" customWidth="1"/>
    <col min="21" max="23" width="11.42578125" hidden="1" customWidth="1"/>
    <col min="24" max="24" width="12" hidden="1" customWidth="1"/>
    <col min="25" max="25" width="21.7109375" hidden="1" customWidth="1"/>
    <col min="26" max="26" width="14.85546875" hidden="1" customWidth="1"/>
    <col min="27" max="27" width="12" hidden="1" customWidth="1"/>
    <col min="28" max="28" width="11.42578125" hidden="1" customWidth="1"/>
    <col min="29" max="29" width="0" hidden="1" customWidth="1"/>
  </cols>
  <sheetData>
    <row r="1" spans="1:28" ht="15.75" customHeight="1" thickBot="1" x14ac:dyDescent="0.3">
      <c r="A1" s="292" t="s">
        <v>35</v>
      </c>
      <c r="B1" s="293" t="s">
        <v>36</v>
      </c>
      <c r="C1" s="293" t="s">
        <v>67</v>
      </c>
      <c r="D1" s="294" t="s">
        <v>627</v>
      </c>
      <c r="E1" s="294" t="s">
        <v>37</v>
      </c>
      <c r="F1" s="295" t="s">
        <v>628</v>
      </c>
      <c r="G1" s="294" t="s">
        <v>629</v>
      </c>
      <c r="H1" s="293" t="s">
        <v>42</v>
      </c>
      <c r="I1" s="293" t="s">
        <v>592</v>
      </c>
      <c r="J1" s="296" t="s">
        <v>630</v>
      </c>
      <c r="K1" s="296" t="s">
        <v>631</v>
      </c>
      <c r="L1" s="296" t="s">
        <v>429</v>
      </c>
      <c r="M1" s="296" t="s">
        <v>632</v>
      </c>
      <c r="N1" s="297" t="s">
        <v>458</v>
      </c>
      <c r="R1" s="106" t="s">
        <v>430</v>
      </c>
      <c r="S1" s="107" t="s">
        <v>431</v>
      </c>
      <c r="T1" s="115"/>
      <c r="U1" s="107" t="s">
        <v>433</v>
      </c>
      <c r="V1" s="106" t="s">
        <v>432</v>
      </c>
      <c r="AB1" s="99">
        <f ca="1">TODAY()</f>
        <v>42887</v>
      </c>
    </row>
    <row r="2" spans="1:28" ht="15.75" customHeight="1" thickBot="1" x14ac:dyDescent="0.3">
      <c r="A2" s="298" t="s">
        <v>38</v>
      </c>
      <c r="B2" s="299" t="s">
        <v>39</v>
      </c>
      <c r="C2" s="299" t="str">
        <f>CONCATENATE(A2,"  ",B2)</f>
        <v>Virely  élodie</v>
      </c>
      <c r="D2" s="300" t="str">
        <f ca="1">CONCATENATE(C2,"  ",K2)</f>
        <v>Virely  élodie    32</v>
      </c>
      <c r="E2" s="300">
        <v>30975</v>
      </c>
      <c r="F2" s="301">
        <f t="shared" ref="F2:F24" si="0">IF(E2&lt;1/1/1900,"",E2)</f>
        <v>30975</v>
      </c>
      <c r="G2" s="302">
        <f t="shared" ref="G2:G24" ca="1" si="1">IF(E2&lt;1/1/2000,"",DATE(YEAR(TODAY()),MONTH(E2),DAY(F2)))</f>
        <v>43028</v>
      </c>
      <c r="H2" s="299" t="s">
        <v>43</v>
      </c>
      <c r="I2" s="303" t="str">
        <f t="shared" ref="I2:I26" ca="1" si="2">IF(E2&gt;$AB$1,"",IF(B2="","",IF(H2&lt;&gt;"naissance",IF(F2&lt;1/1/19000," ",DATEDIF(F2,TODAY(),"y")),"")))</f>
        <v/>
      </c>
      <c r="J2" s="304">
        <f t="shared" ref="J2:J26" ca="1" si="3">IF(H2="naissance",IF(F2&lt;1/1/19000," ",DATEDIF(F2,TODAY(),"y")),"")</f>
        <v>32</v>
      </c>
      <c r="K2" s="304" t="str">
        <f ca="1">CONCATENATE(I2,"  ",J2)</f>
        <v xml:space="preserve">  32</v>
      </c>
      <c r="L2" s="305" t="str">
        <f>IF(H2="naissance",IF(E2="","",INDEX({"Capricorne";"Verseau";"Poisson";"Bélier";"Taureau";"Gémeaux";"Cancer";"Lion";"Vierge";"Balance";"Scorpion";"Sagittaire";"Capricorne";""},MATCH(DATE(,MONTH(E2),DAY(E2)),{0;20;51;81;111;142;173;205;237;267;297;327;357},1))),"")</f>
        <v>Balance</v>
      </c>
      <c r="M2" s="306" t="str">
        <f>IF(H2="naissance",IF(F2="","",INDEX({"g";"h";"i";"^";"_";"z";"a";"b";"c";"d";"e";"f";"g";""},MATCH(DATE(,MONTH(F2),DAY(F2)),{0;20;51;81;111;142;173;205;237;267;297;327;357},1))),"")</f>
        <v>d</v>
      </c>
      <c r="N2" s="307" t="str">
        <f t="shared" ref="N2:N26" ca="1" si="4">IF(H2="naissance",OFFSET($U$3,MATCH(E2,$S$4:$S$123,1)+1,),"")</f>
        <v>猪 cochon</v>
      </c>
      <c r="Q2" s="105"/>
      <c r="R2" s="111"/>
      <c r="S2" s="112"/>
      <c r="T2" s="116"/>
      <c r="U2" s="113"/>
      <c r="V2" s="114"/>
      <c r="X2" s="75">
        <f ca="1">DATE(YEAR(TODAY()),MONTH(Z2),DAY(Z2))</f>
        <v>43028</v>
      </c>
      <c r="Y2" s="234" t="str">
        <f ca="1">D2</f>
        <v>Virely  élodie    32</v>
      </c>
      <c r="Z2" s="76">
        <f>E2</f>
        <v>30975</v>
      </c>
      <c r="AA2" s="77">
        <f ca="1">IF(Z2&lt;1/1/2000,"",DATEDIF(Z2,TODAY(),"y"))</f>
        <v>32</v>
      </c>
      <c r="AB2" s="78"/>
    </row>
    <row r="3" spans="1:28" ht="15.75" customHeight="1" thickBot="1" x14ac:dyDescent="0.3">
      <c r="A3" s="308" t="s">
        <v>38</v>
      </c>
      <c r="B3" s="309" t="s">
        <v>39</v>
      </c>
      <c r="C3" s="309" t="str">
        <f t="shared" ref="C3:C46" si="5">CONCATENATE(A3,"  ",B3)</f>
        <v>Virely  élodie</v>
      </c>
      <c r="D3" s="310" t="str">
        <f t="shared" ref="D3:D66" ca="1" si="6">CONCATENATE(C3,"  ",K3)</f>
        <v xml:space="preserve">Virely  élodie  3  </v>
      </c>
      <c r="E3" s="310">
        <v>41768</v>
      </c>
      <c r="F3" s="311">
        <f t="shared" si="0"/>
        <v>41768</v>
      </c>
      <c r="G3" s="310">
        <f t="shared" ca="1" si="1"/>
        <v>42864</v>
      </c>
      <c r="H3" s="309" t="s">
        <v>594</v>
      </c>
      <c r="I3" s="312">
        <f t="shared" ca="1" si="2"/>
        <v>3</v>
      </c>
      <c r="J3" s="313" t="str">
        <f t="shared" ca="1" si="3"/>
        <v/>
      </c>
      <c r="K3" s="313" t="str">
        <f ca="1">CONCATENATE(I3,"  ",J3)</f>
        <v xml:space="preserve">3  </v>
      </c>
      <c r="L3" s="314" t="str">
        <f>IF(H3="naissance",IF(E3="","",INDEX({"Capricorne";"Verseau";"Poisson";"Bélier";"Taureau";"Gémeaux";"Cancer";"Lion";"Vierge";"Balance";"Scorpion";"Sagittaire";"Capricorne";""},MATCH(DATE(,MONTH(E3),DAY(E3)),{0;20;51;81;111;142;173;205;237;267;297;327;357},1))),"")</f>
        <v/>
      </c>
      <c r="M3" s="315" t="str">
        <f>IF(H3="naissance",IF(F3="","",INDEX({"g";"h";"i";"^";"_";"z";"a";"b";"c";"d";"e";"f";"g";""},MATCH(DATE(,MONTH(F3),DAY(F3)),{0;20;51;81;111;142;173;205;237;267;297;327;357},1))),"")</f>
        <v/>
      </c>
      <c r="N3" s="316" t="str">
        <f t="shared" ca="1" si="4"/>
        <v/>
      </c>
      <c r="Q3" s="105"/>
      <c r="R3" s="111"/>
      <c r="S3" s="112"/>
      <c r="T3" s="116"/>
      <c r="U3" s="113"/>
      <c r="V3" s="114"/>
      <c r="X3" s="75">
        <f ca="1">DATE(YEAR(TODAY()),MONTH(Z3),DAY(Z3))</f>
        <v>42864</v>
      </c>
      <c r="Y3" s="234" t="str">
        <f t="shared" ref="Y3:Y66" ca="1" si="7">D3</f>
        <v xml:space="preserve">Virely  élodie  3  </v>
      </c>
      <c r="Z3" s="76">
        <f t="shared" ref="Z3:Z34" si="8">E3</f>
        <v>41768</v>
      </c>
      <c r="AA3" s="77">
        <f t="shared" ref="AA3:AA23" ca="1" si="9">IF(Z3&lt;1/1/2000,"",DATEDIF(Z3,TODAY(),"y"))</f>
        <v>3</v>
      </c>
    </row>
    <row r="4" spans="1:28" ht="15.75" customHeight="1" thickBot="1" x14ac:dyDescent="0.3">
      <c r="A4" s="298" t="s">
        <v>38</v>
      </c>
      <c r="B4" s="299" t="s">
        <v>39</v>
      </c>
      <c r="C4" s="299" t="str">
        <f t="shared" si="5"/>
        <v>Virely  élodie</v>
      </c>
      <c r="D4" s="300" t="str">
        <f t="shared" ca="1" si="6"/>
        <v xml:space="preserve">Virely  élodie  2  </v>
      </c>
      <c r="E4" s="300">
        <v>41832</v>
      </c>
      <c r="F4" s="301">
        <f t="shared" si="0"/>
        <v>41832</v>
      </c>
      <c r="G4" s="302">
        <f t="shared" ca="1" si="1"/>
        <v>42928</v>
      </c>
      <c r="H4" s="299" t="s">
        <v>44</v>
      </c>
      <c r="I4" s="303">
        <f t="shared" ca="1" si="2"/>
        <v>2</v>
      </c>
      <c r="J4" s="304" t="str">
        <f t="shared" ca="1" si="3"/>
        <v/>
      </c>
      <c r="K4" s="304" t="str">
        <f t="shared" ref="K4:K67" ca="1" si="10">CONCATENATE(I4,"  ",J4)</f>
        <v xml:space="preserve">2  </v>
      </c>
      <c r="L4" s="305" t="str">
        <f>IF(H4="naissance",IF(E4="","",INDEX({"Capricorne";"Verseau";"Poisson";"Bélier";"Taureau";"Gémeaux";"Cancer";"Lion";"Vierge";"Balance";"Scorpion";"Sagittaire";"Capricorne";""},MATCH(DATE(,MONTH(E4),DAY(E4)),{0;20;51;81;111;142;173;205;237;267;297;327;357},1))),"")</f>
        <v/>
      </c>
      <c r="M4" s="306" t="str">
        <f>IF(H4="naissance",IF(F4="","",INDEX({"g";"h";"i";"^";"_";"z";"a";"b";"c";"d";"e";"f";"g";""},MATCH(DATE(,MONTH(F4),DAY(F4)),{0;20;51;81;111;142;173;205;237;267;297;327;357},1))),"")</f>
        <v/>
      </c>
      <c r="N4" s="307" t="str">
        <f t="shared" ca="1" si="4"/>
        <v/>
      </c>
      <c r="Q4" s="105"/>
      <c r="R4" s="108">
        <v>31</v>
      </c>
      <c r="S4" s="108">
        <v>415</v>
      </c>
      <c r="T4" s="117">
        <v>1901</v>
      </c>
      <c r="U4" s="109" t="s">
        <v>434</v>
      </c>
      <c r="V4" s="330" t="s">
        <v>435</v>
      </c>
      <c r="X4" s="75">
        <f t="shared" ref="X4:X23" ca="1" si="11">DATE(YEAR(TODAY()),MONTH(Z4),DAY(Z4))</f>
        <v>42928</v>
      </c>
      <c r="Y4" s="234" t="str">
        <f t="shared" ca="1" si="7"/>
        <v xml:space="preserve">Virely  élodie  2  </v>
      </c>
      <c r="Z4" s="76">
        <f t="shared" si="8"/>
        <v>41832</v>
      </c>
      <c r="AA4" s="77">
        <f t="shared" ca="1" si="9"/>
        <v>2</v>
      </c>
    </row>
    <row r="5" spans="1:28" ht="15.75" customHeight="1" thickBot="1" x14ac:dyDescent="0.3">
      <c r="A5" s="308" t="s">
        <v>40</v>
      </c>
      <c r="B5" s="309" t="s">
        <v>54</v>
      </c>
      <c r="C5" s="309" t="str">
        <f t="shared" si="5"/>
        <v>Taraud  daniel</v>
      </c>
      <c r="D5" s="310" t="str">
        <f t="shared" ca="1" si="6"/>
        <v>Taraud  daniel    66</v>
      </c>
      <c r="E5" s="310">
        <v>18470</v>
      </c>
      <c r="F5" s="311">
        <f t="shared" si="0"/>
        <v>18470</v>
      </c>
      <c r="G5" s="310">
        <f t="shared" ca="1" si="1"/>
        <v>42942</v>
      </c>
      <c r="H5" s="309" t="s">
        <v>43</v>
      </c>
      <c r="I5" s="312" t="str">
        <f t="shared" ca="1" si="2"/>
        <v/>
      </c>
      <c r="J5" s="313">
        <f t="shared" ca="1" si="3"/>
        <v>66</v>
      </c>
      <c r="K5" s="313" t="str">
        <f t="shared" ca="1" si="10"/>
        <v xml:space="preserve">  66</v>
      </c>
      <c r="L5" s="314" t="str">
        <f>IF(H5="naissance",IF(E5="","",INDEX({"Capricorne";"Verseau";"Poisson";"Bélier";"Taureau";"Gémeaux";"Cancer";"Lion";"Vierge";"Balance";"Scorpion";"Sagittaire";"Capricorne";""},MATCH(DATE(,MONTH(E5),DAY(E5)),{0;20;51;81;111;142;173;205;237;267;297;327;357},1))),"")</f>
        <v>Lion</v>
      </c>
      <c r="M5" s="315" t="str">
        <f>IF(H5="naissance",IF(F5="","",INDEX({"g";"h";"i";"^";"_";"z";"a";"b";"c";"d";"e";"f";"g";""},MATCH(DATE(,MONTH(F5),DAY(F5)),{0;20;51;81;111;142;173;205;237;267;297;327;357},1))),"")</f>
        <v>b</v>
      </c>
      <c r="N5" s="316" t="str">
        <f t="shared" ca="1" si="4"/>
        <v>虎 tigre</v>
      </c>
      <c r="Q5" s="105"/>
      <c r="R5" s="108">
        <v>416</v>
      </c>
      <c r="S5" s="108">
        <v>769</v>
      </c>
      <c r="T5" s="117">
        <v>1902</v>
      </c>
      <c r="U5" s="110" t="s">
        <v>436</v>
      </c>
      <c r="V5" s="331"/>
      <c r="X5" s="75">
        <f t="shared" ca="1" si="11"/>
        <v>42942</v>
      </c>
      <c r="Y5" s="234" t="str">
        <f t="shared" ca="1" si="7"/>
        <v>Taraud  daniel    66</v>
      </c>
      <c r="Z5" s="76">
        <f t="shared" si="8"/>
        <v>18470</v>
      </c>
      <c r="AA5" s="77">
        <f t="shared" ca="1" si="9"/>
        <v>66</v>
      </c>
    </row>
    <row r="6" spans="1:28" ht="15.75" customHeight="1" thickBot="1" x14ac:dyDescent="0.3">
      <c r="A6" s="298" t="s">
        <v>40</v>
      </c>
      <c r="B6" s="299" t="s">
        <v>55</v>
      </c>
      <c r="C6" s="299" t="str">
        <f t="shared" si="5"/>
        <v>Taraud  gisèle</v>
      </c>
      <c r="D6" s="300" t="str">
        <f t="shared" ca="1" si="6"/>
        <v>Taraud  gisèle    62</v>
      </c>
      <c r="E6" s="300">
        <v>19913</v>
      </c>
      <c r="F6" s="301">
        <f t="shared" si="0"/>
        <v>19913</v>
      </c>
      <c r="G6" s="302">
        <f t="shared" ca="1" si="1"/>
        <v>42924</v>
      </c>
      <c r="H6" s="299" t="s">
        <v>43</v>
      </c>
      <c r="I6" s="303" t="str">
        <f t="shared" ca="1" si="2"/>
        <v/>
      </c>
      <c r="J6" s="304">
        <f t="shared" ca="1" si="3"/>
        <v>62</v>
      </c>
      <c r="K6" s="304" t="str">
        <f t="shared" ca="1" si="10"/>
        <v xml:space="preserve">  62</v>
      </c>
      <c r="L6" s="305" t="str">
        <f>IF(H6="naissance",IF(E6="","",INDEX({"Capricorne";"Verseau";"Poisson";"Bélier";"Taureau";"Gémeaux";"Cancer";"Lion";"Vierge";"Balance";"Scorpion";"Sagittaire";"Capricorne";""},MATCH(DATE(,MONTH(E6),DAY(E6)),{0;20;51;81;111;142;173;205;237;267;297;327;357},1))),"")</f>
        <v>Cancer</v>
      </c>
      <c r="M6" s="306" t="str">
        <f>IF(H6="naissance",IF(F6="","",INDEX({"g";"h";"i";"^";"_";"z";"a";"b";"c";"d";"e";"f";"g";""},MATCH(DATE(,MONTH(F6),DAY(F6)),{0;20;51;81;111;142;173;205;237;267;297;327;357},1))),"")</f>
        <v>a</v>
      </c>
      <c r="N6" s="307" t="str">
        <f t="shared" ca="1" si="4"/>
        <v>馬 cheval</v>
      </c>
      <c r="Q6" s="105"/>
      <c r="R6" s="108">
        <v>770</v>
      </c>
      <c r="S6" s="108">
        <v>1124</v>
      </c>
      <c r="T6" s="117">
        <v>1903</v>
      </c>
      <c r="U6" s="110" t="s">
        <v>437</v>
      </c>
      <c r="V6" s="330" t="s">
        <v>438</v>
      </c>
      <c r="X6" s="75">
        <f t="shared" ca="1" si="11"/>
        <v>42924</v>
      </c>
      <c r="Y6" s="234" t="str">
        <f t="shared" ca="1" si="7"/>
        <v>Taraud  gisèle    62</v>
      </c>
      <c r="Z6" s="76">
        <f t="shared" si="8"/>
        <v>19913</v>
      </c>
      <c r="AA6" s="77">
        <f t="shared" ca="1" si="9"/>
        <v>62</v>
      </c>
    </row>
    <row r="7" spans="1:28" ht="15.75" customHeight="1" thickBot="1" x14ac:dyDescent="0.3">
      <c r="A7" s="308" t="s">
        <v>40</v>
      </c>
      <c r="B7" s="309" t="s">
        <v>54</v>
      </c>
      <c r="C7" s="309" t="str">
        <f t="shared" si="5"/>
        <v>Taraud  daniel</v>
      </c>
      <c r="D7" s="310" t="str">
        <f t="shared" ca="1" si="6"/>
        <v xml:space="preserve">Taraud  daniel  42  </v>
      </c>
      <c r="E7" s="310">
        <v>27251</v>
      </c>
      <c r="F7" s="311">
        <f t="shared" si="0"/>
        <v>27251</v>
      </c>
      <c r="G7" s="310">
        <f t="shared" ca="1" si="1"/>
        <v>42957</v>
      </c>
      <c r="H7" s="309" t="s">
        <v>56</v>
      </c>
      <c r="I7" s="312">
        <f t="shared" ca="1" si="2"/>
        <v>42</v>
      </c>
      <c r="J7" s="313" t="str">
        <f t="shared" ca="1" si="3"/>
        <v/>
      </c>
      <c r="K7" s="313" t="str">
        <f t="shared" ca="1" si="10"/>
        <v xml:space="preserve">42  </v>
      </c>
      <c r="L7" s="314" t="str">
        <f>IF(H7="naissance",IF(E7="","",INDEX({"Capricorne";"Verseau";"Poisson";"Bélier";"Taureau";"Gémeaux";"Cancer";"Lion";"Vierge";"Balance";"Scorpion";"Sagittaire";"Capricorne";""},MATCH(DATE(,MONTH(E7),DAY(E7)),{0;20;51;81;111;142;173;205;237;267;297;327;357},1))),"")</f>
        <v/>
      </c>
      <c r="M7" s="315" t="str">
        <f>IF(H7="naissance",IF(F7="","",INDEX({"g";"h";"i";"^";"_";"z";"a";"b";"c";"d";"e";"f";"g";""},MATCH(DATE(,MONTH(F7),DAY(F7)),{0;20;51;81;111;142;173;205;237;267;297;327;357},1))),"")</f>
        <v/>
      </c>
      <c r="N7" s="316" t="str">
        <f t="shared" ca="1" si="4"/>
        <v/>
      </c>
      <c r="Q7" s="105"/>
      <c r="R7" s="108">
        <v>1125</v>
      </c>
      <c r="S7" s="108">
        <v>1507</v>
      </c>
      <c r="T7" s="117">
        <v>1904</v>
      </c>
      <c r="U7" s="110" t="s">
        <v>439</v>
      </c>
      <c r="V7" s="331"/>
      <c r="X7" s="75">
        <f t="shared" ca="1" si="11"/>
        <v>42957</v>
      </c>
      <c r="Y7" s="234" t="str">
        <f t="shared" ca="1" si="7"/>
        <v xml:space="preserve">Taraud  daniel  42  </v>
      </c>
      <c r="Z7" s="76">
        <f t="shared" si="8"/>
        <v>27251</v>
      </c>
      <c r="AA7" s="77">
        <f t="shared" ca="1" si="9"/>
        <v>42</v>
      </c>
    </row>
    <row r="8" spans="1:28" ht="15.75" customHeight="1" thickBot="1" x14ac:dyDescent="0.3">
      <c r="A8" s="298" t="s">
        <v>40</v>
      </c>
      <c r="B8" s="299" t="s">
        <v>55</v>
      </c>
      <c r="C8" s="299" t="str">
        <f t="shared" si="5"/>
        <v>Taraud  gisèle</v>
      </c>
      <c r="D8" s="300" t="str">
        <f t="shared" ca="1" si="6"/>
        <v xml:space="preserve">Taraud  gisèle  42  </v>
      </c>
      <c r="E8" s="300">
        <v>27251</v>
      </c>
      <c r="F8" s="301">
        <f t="shared" si="0"/>
        <v>27251</v>
      </c>
      <c r="G8" s="302">
        <f t="shared" ca="1" si="1"/>
        <v>42957</v>
      </c>
      <c r="H8" s="299" t="s">
        <v>56</v>
      </c>
      <c r="I8" s="303">
        <f t="shared" ca="1" si="2"/>
        <v>42</v>
      </c>
      <c r="J8" s="304" t="str">
        <f t="shared" ca="1" si="3"/>
        <v/>
      </c>
      <c r="K8" s="304" t="str">
        <f t="shared" ca="1" si="10"/>
        <v xml:space="preserve">42  </v>
      </c>
      <c r="L8" s="305" t="str">
        <f>IF(H8="naissance",IF(E8="","",INDEX({"Capricorne";"Verseau";"Poisson";"Bélier";"Taureau";"Gémeaux";"Cancer";"Lion";"Vierge";"Balance";"Scorpion";"Sagittaire";"Capricorne";""},MATCH(DATE(,MONTH(E8),DAY(E8)),{0;20;51;81;111;142;173;205;237;267;297;327;357},1))),"")</f>
        <v/>
      </c>
      <c r="M8" s="306" t="str">
        <f>IF(H8="naissance",IF(F8="","",INDEX({"g";"h";"i";"^";"_";"z";"a";"b";"c";"d";"e";"f";"g";""},MATCH(DATE(,MONTH(F8),DAY(F8)),{0;20;51;81;111;142;173;205;237;267;297;327;357},1))),"")</f>
        <v/>
      </c>
      <c r="N8" s="307" t="str">
        <f t="shared" ca="1" si="4"/>
        <v/>
      </c>
      <c r="Q8" s="105"/>
      <c r="R8" s="108">
        <v>1508</v>
      </c>
      <c r="S8" s="108">
        <v>1861</v>
      </c>
      <c r="T8" s="117">
        <v>1905</v>
      </c>
      <c r="U8" s="110" t="s">
        <v>441</v>
      </c>
      <c r="V8" s="330" t="s">
        <v>442</v>
      </c>
      <c r="X8" s="75">
        <f t="shared" ca="1" si="11"/>
        <v>42957</v>
      </c>
      <c r="Y8" s="234" t="str">
        <f t="shared" ca="1" si="7"/>
        <v xml:space="preserve">Taraud  gisèle  42  </v>
      </c>
      <c r="Z8" s="76">
        <f t="shared" si="8"/>
        <v>27251</v>
      </c>
      <c r="AA8" s="77">
        <f t="shared" ca="1" si="9"/>
        <v>42</v>
      </c>
    </row>
    <row r="9" spans="1:28" ht="15.75" customHeight="1" thickBot="1" x14ac:dyDescent="0.3">
      <c r="A9" s="308" t="s">
        <v>40</v>
      </c>
      <c r="B9" s="309" t="s">
        <v>46</v>
      </c>
      <c r="C9" s="309" t="str">
        <f t="shared" si="5"/>
        <v>Taraud  jerôme</v>
      </c>
      <c r="D9" s="310" t="str">
        <f t="shared" ca="1" si="6"/>
        <v>Taraud  jerôme    41</v>
      </c>
      <c r="E9" s="310">
        <v>27827</v>
      </c>
      <c r="F9" s="311">
        <f t="shared" si="0"/>
        <v>27827</v>
      </c>
      <c r="G9" s="310">
        <f t="shared" ca="1" si="1"/>
        <v>42802</v>
      </c>
      <c r="H9" s="309" t="s">
        <v>43</v>
      </c>
      <c r="I9" s="312" t="str">
        <f t="shared" ca="1" si="2"/>
        <v/>
      </c>
      <c r="J9" s="313">
        <f t="shared" ca="1" si="3"/>
        <v>41</v>
      </c>
      <c r="K9" s="313" t="str">
        <f t="shared" ca="1" si="10"/>
        <v xml:space="preserve">  41</v>
      </c>
      <c r="L9" s="314" t="str">
        <f>IF(H9="naissance",IF(E9="","",INDEX({"Capricorne";"Verseau";"Poisson";"Bélier";"Taureau";"Gémeaux";"Cancer";"Lion";"Vierge";"Balance";"Scorpion";"Sagittaire";"Capricorne";""},MATCH(DATE(,MONTH(E9),DAY(E9)),{0;20;51;81;111;142;173;205;237;267;297;327;357},1))),"")</f>
        <v>Poisson</v>
      </c>
      <c r="M9" s="315" t="str">
        <f>IF(H9="naissance",IF(F9="","",INDEX({"g";"h";"i";"^";"_";"z";"a";"b";"c";"d";"e";"f";"g";""},MATCH(DATE(,MONTH(F9),DAY(F9)),{0;20;51;81;111;142;173;205;237;267;297;327;357},1))),"")</f>
        <v>i</v>
      </c>
      <c r="N9" s="316" t="str">
        <f t="shared" ca="1" si="4"/>
        <v>龍 dragon</v>
      </c>
      <c r="Q9" s="105"/>
      <c r="R9" s="108">
        <v>1862</v>
      </c>
      <c r="S9" s="108">
        <v>2216</v>
      </c>
      <c r="T9" s="117">
        <v>1906</v>
      </c>
      <c r="U9" s="110" t="s">
        <v>443</v>
      </c>
      <c r="V9" s="331"/>
      <c r="X9" s="75">
        <f t="shared" ca="1" si="11"/>
        <v>42802</v>
      </c>
      <c r="Y9" s="234" t="str">
        <f t="shared" ca="1" si="7"/>
        <v>Taraud  jerôme    41</v>
      </c>
      <c r="Z9" s="76">
        <f t="shared" si="8"/>
        <v>27827</v>
      </c>
      <c r="AA9" s="77">
        <f t="shared" ca="1" si="9"/>
        <v>41</v>
      </c>
    </row>
    <row r="10" spans="1:28" ht="15.75" customHeight="1" thickBot="1" x14ac:dyDescent="0.3">
      <c r="A10" s="298" t="s">
        <v>40</v>
      </c>
      <c r="B10" s="299" t="s">
        <v>41</v>
      </c>
      <c r="C10" s="299" t="str">
        <f t="shared" si="5"/>
        <v>Taraud  sebastien</v>
      </c>
      <c r="D10" s="300" t="str">
        <f t="shared" ca="1" si="6"/>
        <v>Taraud  sebastien    39</v>
      </c>
      <c r="E10" s="300">
        <v>28622</v>
      </c>
      <c r="F10" s="301">
        <f t="shared" si="0"/>
        <v>28622</v>
      </c>
      <c r="G10" s="302">
        <f t="shared" ca="1" si="1"/>
        <v>42867</v>
      </c>
      <c r="H10" s="299" t="s">
        <v>43</v>
      </c>
      <c r="I10" s="303" t="str">
        <f t="shared" ca="1" si="2"/>
        <v/>
      </c>
      <c r="J10" s="304">
        <f t="shared" ca="1" si="3"/>
        <v>39</v>
      </c>
      <c r="K10" s="304" t="str">
        <f t="shared" ca="1" si="10"/>
        <v xml:space="preserve">  39</v>
      </c>
      <c r="L10" s="305" t="str">
        <f>IF(H10="naissance",IF(E10="","",INDEX({"Capricorne";"Verseau";"Poisson";"Bélier";"Taureau";"Gémeaux";"Cancer";"Lion";"Vierge";"Balance";"Scorpion";"Sagittaire";"Capricorne";""},MATCH(DATE(,MONTH(E10),DAY(E10)),{0;20;51;81;111;142;173;205;237;267;297;327;357},1))),"")</f>
        <v>Taureau</v>
      </c>
      <c r="M10" s="306" t="str">
        <f>IF(H10="naissance",IF(F10="","",INDEX({"g";"h";"i";"^";"_";"z";"a";"b";"c";"d";"e";"f";"g";""},MATCH(DATE(,MONTH(F10),DAY(F10)),{0;20;51;81;111;142;173;205;237;267;297;327;357},1))),"")</f>
        <v>_</v>
      </c>
      <c r="N10" s="307" t="str">
        <f t="shared" ca="1" si="4"/>
        <v>馬 cheval</v>
      </c>
      <c r="Q10" s="105"/>
      <c r="R10" s="108">
        <v>2217</v>
      </c>
      <c r="S10" s="108">
        <v>2600</v>
      </c>
      <c r="T10" s="117">
        <v>1907</v>
      </c>
      <c r="U10" s="110" t="s">
        <v>444</v>
      </c>
      <c r="V10" s="330" t="s">
        <v>445</v>
      </c>
      <c r="X10" s="75">
        <f t="shared" ca="1" si="11"/>
        <v>42867</v>
      </c>
      <c r="Y10" s="234" t="str">
        <f t="shared" ca="1" si="7"/>
        <v>Taraud  sebastien    39</v>
      </c>
      <c r="Z10" s="76">
        <f t="shared" si="8"/>
        <v>28622</v>
      </c>
      <c r="AA10" s="77">
        <f t="shared" ca="1" si="9"/>
        <v>39</v>
      </c>
    </row>
    <row r="11" spans="1:28" ht="15.75" customHeight="1" thickBot="1" x14ac:dyDescent="0.3">
      <c r="A11" s="308" t="s">
        <v>40</v>
      </c>
      <c r="B11" s="309" t="s">
        <v>57</v>
      </c>
      <c r="C11" s="309" t="str">
        <f t="shared" si="5"/>
        <v>Taraud  stéphanie</v>
      </c>
      <c r="D11" s="310" t="str">
        <f t="shared" ca="1" si="6"/>
        <v>Taraud  stéphanie    38</v>
      </c>
      <c r="E11" s="310">
        <v>28917</v>
      </c>
      <c r="F11" s="311">
        <f t="shared" si="0"/>
        <v>28917</v>
      </c>
      <c r="G11" s="310">
        <f t="shared" ca="1" si="1"/>
        <v>42797</v>
      </c>
      <c r="H11" s="309" t="s">
        <v>43</v>
      </c>
      <c r="I11" s="312" t="str">
        <f t="shared" ca="1" si="2"/>
        <v/>
      </c>
      <c r="J11" s="313">
        <f t="shared" ca="1" si="3"/>
        <v>38</v>
      </c>
      <c r="K11" s="313" t="str">
        <f t="shared" ca="1" si="10"/>
        <v xml:space="preserve">  38</v>
      </c>
      <c r="L11" s="314" t="str">
        <f>IF(H11="naissance",IF(E11="","",INDEX({"Capricorne";"Verseau";"Poisson";"Bélier";"Taureau";"Gémeaux";"Cancer";"Lion";"Vierge";"Balance";"Scorpion";"Sagittaire";"Capricorne";""},MATCH(DATE(,MONTH(E11),DAY(E11)),{0;20;51;81;111;142;173;205;237;267;297;327;357},1))),"")</f>
        <v>Poisson</v>
      </c>
      <c r="M11" s="315" t="str">
        <f>IF(H11="naissance",IF(F11="","",INDEX({"g";"h";"i";"^";"_";"z";"a";"b";"c";"d";"e";"f";"g";""},MATCH(DATE(,MONTH(F11),DAY(F11)),{0;20;51;81;111;142;173;205;237;267;297;327;357},1))),"")</f>
        <v>i</v>
      </c>
      <c r="N11" s="316" t="str">
        <f t="shared" ca="1" si="4"/>
        <v>羊 chèvre</v>
      </c>
      <c r="Q11" s="105"/>
      <c r="R11" s="108">
        <v>2601</v>
      </c>
      <c r="S11" s="110" t="s">
        <v>446</v>
      </c>
      <c r="T11" s="117">
        <v>1908</v>
      </c>
      <c r="U11" s="110" t="s">
        <v>447</v>
      </c>
      <c r="V11" s="331"/>
      <c r="X11" s="75">
        <f t="shared" ca="1" si="11"/>
        <v>42797</v>
      </c>
      <c r="Y11" s="234" t="str">
        <f t="shared" ca="1" si="7"/>
        <v>Taraud  stéphanie    38</v>
      </c>
      <c r="Z11" s="76">
        <f t="shared" si="8"/>
        <v>28917</v>
      </c>
      <c r="AA11" s="77">
        <f t="shared" ca="1" si="9"/>
        <v>38</v>
      </c>
    </row>
    <row r="12" spans="1:28" ht="15.75" customHeight="1" thickBot="1" x14ac:dyDescent="0.3">
      <c r="A12" s="298" t="s">
        <v>40</v>
      </c>
      <c r="B12" s="299" t="s">
        <v>45</v>
      </c>
      <c r="C12" s="299" t="str">
        <f t="shared" si="5"/>
        <v>Taraud  audrey</v>
      </c>
      <c r="D12" s="300" t="str">
        <f t="shared" ca="1" si="6"/>
        <v>Taraud  audrey    36</v>
      </c>
      <c r="E12" s="300">
        <v>29528</v>
      </c>
      <c r="F12" s="301">
        <f t="shared" si="0"/>
        <v>29528</v>
      </c>
      <c r="G12" s="302">
        <f t="shared" ca="1" si="1"/>
        <v>43042</v>
      </c>
      <c r="H12" s="299" t="s">
        <v>43</v>
      </c>
      <c r="I12" s="303" t="str">
        <f t="shared" ca="1" si="2"/>
        <v/>
      </c>
      <c r="J12" s="304">
        <f t="shared" ca="1" si="3"/>
        <v>36</v>
      </c>
      <c r="K12" s="304" t="str">
        <f t="shared" ca="1" si="10"/>
        <v xml:space="preserve">  36</v>
      </c>
      <c r="L12" s="305" t="str">
        <f>IF(H12="naissance",IF(E12="","",INDEX({"Capricorne";"Verseau";"Poisson";"Bélier";"Taureau";"Gémeaux";"Cancer";"Lion";"Vierge";"Balance";"Scorpion";"Sagittaire";"Capricorne";""},MATCH(DATE(,MONTH(E12),DAY(E12)),{0;20;51;81;111;142;173;205;237;267;297;327;357},1))),"")</f>
        <v>Scorpion</v>
      </c>
      <c r="M12" s="306" t="str">
        <f>IF(H12="naissance",IF(F12="","",INDEX({"g";"h";"i";"^";"_";"z";"a";"b";"c";"d";"e";"f";"g";""},MATCH(DATE(,MONTH(F12),DAY(F12)),{0;20;51;81;111;142;173;205;237;267;297;327;357},1))),"")</f>
        <v>e</v>
      </c>
      <c r="N12" s="307" t="str">
        <f t="shared" ca="1" si="4"/>
        <v>猴 singe</v>
      </c>
      <c r="Q12" s="105"/>
      <c r="R12" s="108">
        <v>2955</v>
      </c>
      <c r="S12" s="108">
        <v>3309</v>
      </c>
      <c r="T12" s="117">
        <v>1909</v>
      </c>
      <c r="U12" s="110" t="s">
        <v>448</v>
      </c>
      <c r="V12" s="330" t="s">
        <v>449</v>
      </c>
      <c r="X12" s="75">
        <f t="shared" ca="1" si="11"/>
        <v>43042</v>
      </c>
      <c r="Y12" s="234" t="str">
        <f t="shared" ca="1" si="7"/>
        <v>Taraud  audrey    36</v>
      </c>
      <c r="Z12" s="76">
        <f t="shared" si="8"/>
        <v>29528</v>
      </c>
      <c r="AA12" s="77">
        <f t="shared" ca="1" si="9"/>
        <v>36</v>
      </c>
    </row>
    <row r="13" spans="1:28" ht="15.75" customHeight="1" thickBot="1" x14ac:dyDescent="0.3">
      <c r="A13" s="308" t="s">
        <v>40</v>
      </c>
      <c r="B13" s="309" t="s">
        <v>46</v>
      </c>
      <c r="C13" s="309" t="str">
        <f t="shared" si="5"/>
        <v>Taraud  jerôme</v>
      </c>
      <c r="D13" s="310" t="str">
        <f t="shared" ca="1" si="6"/>
        <v xml:space="preserve">Taraud  jerôme  6  </v>
      </c>
      <c r="E13" s="310">
        <v>40403</v>
      </c>
      <c r="F13" s="311">
        <f t="shared" si="0"/>
        <v>40403</v>
      </c>
      <c r="G13" s="310">
        <f t="shared" ca="1" si="1"/>
        <v>42960</v>
      </c>
      <c r="H13" s="309" t="s">
        <v>56</v>
      </c>
      <c r="I13" s="312">
        <f t="shared" ca="1" si="2"/>
        <v>6</v>
      </c>
      <c r="J13" s="313" t="str">
        <f t="shared" ca="1" si="3"/>
        <v/>
      </c>
      <c r="K13" s="313" t="str">
        <f t="shared" ca="1" si="10"/>
        <v xml:space="preserve">6  </v>
      </c>
      <c r="L13" s="314" t="str">
        <f>IF(H13="naissance",IF(E13="","",INDEX({"Capricorne";"Verseau";"Poisson";"Bélier";"Taureau";"Gémeaux";"Cancer";"Lion";"Vierge";"Balance";"Scorpion";"Sagittaire";"Capricorne";""},MATCH(DATE(,MONTH(E13),DAY(E13)),{0;20;51;81;111;142;173;205;237;267;297;327;357},1))),"")</f>
        <v/>
      </c>
      <c r="M13" s="315" t="str">
        <f>IF(H13="naissance",IF(F13="","",INDEX({"g";"h";"i";"^";"_";"z";"a";"b";"c";"d";"e";"f";"g";""},MATCH(DATE(,MONTH(F13),DAY(F13)),{0;20;51;81;111;142;173;205;237;267;297;327;357},1))),"")</f>
        <v/>
      </c>
      <c r="N13" s="316" t="str">
        <f t="shared" ca="1" si="4"/>
        <v/>
      </c>
      <c r="Q13" s="105"/>
      <c r="R13" s="108">
        <v>3310</v>
      </c>
      <c r="S13" s="108">
        <v>3693</v>
      </c>
      <c r="T13" s="117">
        <v>1910</v>
      </c>
      <c r="U13" s="110" t="s">
        <v>450</v>
      </c>
      <c r="V13" s="331"/>
      <c r="X13" s="75">
        <f t="shared" ca="1" si="11"/>
        <v>42960</v>
      </c>
      <c r="Y13" s="234" t="str">
        <f t="shared" ca="1" si="7"/>
        <v xml:space="preserve">Taraud  jerôme  6  </v>
      </c>
      <c r="Z13" s="76">
        <f t="shared" si="8"/>
        <v>40403</v>
      </c>
      <c r="AA13" s="77">
        <f t="shared" ca="1" si="9"/>
        <v>6</v>
      </c>
    </row>
    <row r="14" spans="1:28" ht="15.75" customHeight="1" thickBot="1" x14ac:dyDescent="0.3">
      <c r="A14" s="298" t="s">
        <v>40</v>
      </c>
      <c r="B14" s="299" t="s">
        <v>57</v>
      </c>
      <c r="C14" s="299" t="str">
        <f t="shared" si="5"/>
        <v>Taraud  stéphanie</v>
      </c>
      <c r="D14" s="300" t="str">
        <f t="shared" ca="1" si="6"/>
        <v xml:space="preserve">Taraud  stéphanie  6  </v>
      </c>
      <c r="E14" s="300">
        <v>40403</v>
      </c>
      <c r="F14" s="301">
        <f t="shared" si="0"/>
        <v>40403</v>
      </c>
      <c r="G14" s="302">
        <f t="shared" ca="1" si="1"/>
        <v>42960</v>
      </c>
      <c r="H14" s="299" t="s">
        <v>56</v>
      </c>
      <c r="I14" s="303">
        <f t="shared" ca="1" si="2"/>
        <v>6</v>
      </c>
      <c r="J14" s="304" t="str">
        <f t="shared" ca="1" si="3"/>
        <v/>
      </c>
      <c r="K14" s="304" t="str">
        <f t="shared" ca="1" si="10"/>
        <v xml:space="preserve">6  </v>
      </c>
      <c r="L14" s="305" t="str">
        <f>IF(H14="naissance",IF(E14="","",INDEX({"Capricorne";"Verseau";"Poisson";"Bélier";"Taureau";"Gémeaux";"Cancer";"Lion";"Vierge";"Balance";"Scorpion";"Sagittaire";"Capricorne";""},MATCH(DATE(,MONTH(E14),DAY(E14)),{0;20;51;81;111;142;173;205;237;267;297;327;357},1))),"")</f>
        <v/>
      </c>
      <c r="M14" s="306" t="str">
        <f>IF(H14="naissance",IF(F14="","",INDEX({"g";"h";"i";"^";"_";"z";"a";"b";"c";"d";"e";"f";"g";""},MATCH(DATE(,MONTH(F14),DAY(F14)),{0;20;51;81;111;142;173;205;237;267;297;327;357},1))),"")</f>
        <v/>
      </c>
      <c r="N14" s="307" t="str">
        <f t="shared" ca="1" si="4"/>
        <v/>
      </c>
      <c r="Q14" s="105"/>
      <c r="R14" s="108">
        <v>3694</v>
      </c>
      <c r="S14" s="108">
        <v>4047</v>
      </c>
      <c r="T14" s="117">
        <v>1911</v>
      </c>
      <c r="U14" s="110" t="s">
        <v>451</v>
      </c>
      <c r="V14" s="330" t="s">
        <v>435</v>
      </c>
      <c r="X14" s="75">
        <f t="shared" ca="1" si="11"/>
        <v>42960</v>
      </c>
      <c r="Y14" s="234" t="str">
        <f t="shared" ca="1" si="7"/>
        <v xml:space="preserve">Taraud  stéphanie  6  </v>
      </c>
      <c r="Z14" s="76">
        <f t="shared" si="8"/>
        <v>40403</v>
      </c>
      <c r="AA14" s="77">
        <f t="shared" ca="1" si="9"/>
        <v>6</v>
      </c>
    </row>
    <row r="15" spans="1:28" ht="15.75" customHeight="1" thickBot="1" x14ac:dyDescent="0.3">
      <c r="A15" s="308" t="s">
        <v>65</v>
      </c>
      <c r="B15" s="309" t="s">
        <v>66</v>
      </c>
      <c r="C15" s="309" t="str">
        <f t="shared" si="5"/>
        <v>Lapostalle  Alexandre</v>
      </c>
      <c r="D15" s="310" t="str">
        <f t="shared" ca="1" si="6"/>
        <v>Lapostalle  Alexandre    30</v>
      </c>
      <c r="E15" s="310">
        <v>31863</v>
      </c>
      <c r="F15" s="311">
        <f t="shared" si="0"/>
        <v>31863</v>
      </c>
      <c r="G15" s="310">
        <f t="shared" ca="1" si="1"/>
        <v>42821</v>
      </c>
      <c r="H15" s="309" t="s">
        <v>43</v>
      </c>
      <c r="I15" s="312" t="str">
        <f t="shared" ca="1" si="2"/>
        <v/>
      </c>
      <c r="J15" s="313">
        <f t="shared" ca="1" si="3"/>
        <v>30</v>
      </c>
      <c r="K15" s="313" t="str">
        <f t="shared" ca="1" si="10"/>
        <v xml:space="preserve">  30</v>
      </c>
      <c r="L15" s="314" t="str">
        <f>IF(H15="naissance",IF(E15="","",INDEX({"Capricorne";"Verseau";"Poisson";"Bélier";"Taureau";"Gémeaux";"Cancer";"Lion";"Vierge";"Balance";"Scorpion";"Sagittaire";"Capricorne";""},MATCH(DATE(,MONTH(E15),DAY(E15)),{0;20;51;81;111;142;173;205;237;267;297;327;357},1))),"")</f>
        <v>Bélier</v>
      </c>
      <c r="M15" s="315" t="str">
        <f>IF(H15="naissance",IF(F15="","",INDEX({"g";"h";"i";"^";"_";"z";"a";"b";"c";"d";"e";"f";"g";""},MATCH(DATE(,MONTH(F15),DAY(F15)),{0;20;51;81;111;142;173;205;237;267;297;327;357},1))),"")</f>
        <v>^</v>
      </c>
      <c r="N15" s="316" t="str">
        <f t="shared" ca="1" si="4"/>
        <v>兔 lièvre</v>
      </c>
      <c r="Q15" s="105"/>
      <c r="R15" s="108">
        <v>4048</v>
      </c>
      <c r="S15" s="108">
        <v>4431</v>
      </c>
      <c r="T15" s="117">
        <v>1912</v>
      </c>
      <c r="U15" s="110" t="s">
        <v>452</v>
      </c>
      <c r="V15" s="331"/>
      <c r="X15" s="75">
        <f t="shared" ca="1" si="11"/>
        <v>42821</v>
      </c>
      <c r="Y15" s="234" t="str">
        <f t="shared" ca="1" si="7"/>
        <v>Lapostalle  Alexandre    30</v>
      </c>
      <c r="Z15" s="76">
        <f t="shared" si="8"/>
        <v>31863</v>
      </c>
      <c r="AA15" s="77">
        <f t="shared" ca="1" si="9"/>
        <v>30</v>
      </c>
    </row>
    <row r="16" spans="1:28" ht="15.75" customHeight="1" thickBot="1" x14ac:dyDescent="0.3">
      <c r="A16" s="298" t="s">
        <v>49</v>
      </c>
      <c r="B16" s="299" t="s">
        <v>50</v>
      </c>
      <c r="C16" s="299" t="str">
        <f t="shared" si="5"/>
        <v>Lachaise   Hervé</v>
      </c>
      <c r="D16" s="300" t="str">
        <f t="shared" ca="1" si="6"/>
        <v>Lachaise   Hervé    38</v>
      </c>
      <c r="E16" s="300">
        <v>28664</v>
      </c>
      <c r="F16" s="301">
        <f t="shared" si="0"/>
        <v>28664</v>
      </c>
      <c r="G16" s="302">
        <f t="shared" ca="1" si="1"/>
        <v>42909</v>
      </c>
      <c r="H16" s="299" t="s">
        <v>43</v>
      </c>
      <c r="I16" s="303" t="str">
        <f t="shared" ca="1" si="2"/>
        <v/>
      </c>
      <c r="J16" s="304">
        <f t="shared" ca="1" si="3"/>
        <v>38</v>
      </c>
      <c r="K16" s="304" t="str">
        <f t="shared" ca="1" si="10"/>
        <v xml:space="preserve">  38</v>
      </c>
      <c r="L16" s="305" t="str">
        <f>IF(H16="naissance",IF(E16="","",INDEX({"Capricorne";"Verseau";"Poisson";"Bélier";"Taureau";"Gémeaux";"Cancer";"Lion";"Vierge";"Balance";"Scorpion";"Sagittaire";"Capricorne";""},MATCH(DATE(,MONTH(E16),DAY(E16)),{0;20;51;81;111;142;173;205;237;267;297;327;357},1))),"")</f>
        <v>Cancer</v>
      </c>
      <c r="M16" s="306" t="str">
        <f>IF(H16="naissance",IF(F16="","",INDEX({"g";"h";"i";"^";"_";"z";"a";"b";"c";"d";"e";"f";"g";""},MATCH(DATE(,MONTH(F16),DAY(F16)),{0;20;51;81;111;142;173;205;237;267;297;327;357},1))),"")</f>
        <v>a</v>
      </c>
      <c r="N16" s="307" t="str">
        <f t="shared" ca="1" si="4"/>
        <v>馬 cheval</v>
      </c>
      <c r="Q16" s="105"/>
      <c r="R16" s="108">
        <v>4432</v>
      </c>
      <c r="S16" s="108">
        <v>4785</v>
      </c>
      <c r="T16" s="117">
        <v>1913</v>
      </c>
      <c r="U16" s="109" t="s">
        <v>434</v>
      </c>
      <c r="V16" s="330" t="s">
        <v>438</v>
      </c>
      <c r="X16" s="75">
        <f t="shared" ca="1" si="11"/>
        <v>42909</v>
      </c>
      <c r="Y16" s="234" t="str">
        <f t="shared" ca="1" si="7"/>
        <v>Lachaise   Hervé    38</v>
      </c>
      <c r="Z16" s="76">
        <f t="shared" si="8"/>
        <v>28664</v>
      </c>
      <c r="AA16" s="77">
        <f t="shared" ca="1" si="9"/>
        <v>38</v>
      </c>
    </row>
    <row r="17" spans="1:27" ht="15.75" customHeight="1" thickBot="1" x14ac:dyDescent="0.3">
      <c r="A17" s="308" t="s">
        <v>63</v>
      </c>
      <c r="B17" s="309" t="s">
        <v>64</v>
      </c>
      <c r="C17" s="309" t="str">
        <f t="shared" si="5"/>
        <v>Laborde   Clément</v>
      </c>
      <c r="D17" s="310" t="str">
        <f t="shared" ca="1" si="6"/>
        <v>Laborde   Clément    21</v>
      </c>
      <c r="E17" s="310">
        <v>35077</v>
      </c>
      <c r="F17" s="311">
        <f t="shared" si="0"/>
        <v>35077</v>
      </c>
      <c r="G17" s="310">
        <f t="shared" ca="1" si="1"/>
        <v>42748</v>
      </c>
      <c r="H17" s="309" t="s">
        <v>43</v>
      </c>
      <c r="I17" s="312" t="str">
        <f t="shared" ca="1" si="2"/>
        <v/>
      </c>
      <c r="J17" s="313">
        <f t="shared" ca="1" si="3"/>
        <v>21</v>
      </c>
      <c r="K17" s="313" t="str">
        <f t="shared" ca="1" si="10"/>
        <v xml:space="preserve">  21</v>
      </c>
      <c r="L17" s="314" t="str">
        <f>IF(H17="naissance",IF(E17="","",INDEX({"Capricorne";"Verseau";"Poisson";"Bélier";"Taureau";"Gémeaux";"Cancer";"Lion";"Vierge";"Balance";"Scorpion";"Sagittaire";"Capricorne";""},MATCH(DATE(,MONTH(E17),DAY(E17)),{0;20;51;81;111;142;173;205;237;267;297;327;357},1))),"")</f>
        <v>Capricorne</v>
      </c>
      <c r="M17" s="315" t="str">
        <f>IF(H17="naissance",IF(F17="","",INDEX({"g";"h";"i";"^";"_";"z";"a";"b";"c";"d";"e";"f";"g";""},MATCH(DATE(,MONTH(F17),DAY(F17)),{0;20;51;81;111;142;173;205;237;267;297;327;357},1))),"")</f>
        <v>g</v>
      </c>
      <c r="N17" s="316" t="str">
        <f t="shared" ca="1" si="4"/>
        <v>猪 cochon</v>
      </c>
      <c r="Q17" s="105"/>
      <c r="R17" s="108">
        <v>4786</v>
      </c>
      <c r="S17" s="108">
        <v>5139</v>
      </c>
      <c r="T17" s="117">
        <v>1914</v>
      </c>
      <c r="U17" s="110" t="s">
        <v>436</v>
      </c>
      <c r="V17" s="331"/>
      <c r="X17" s="75">
        <f t="shared" ca="1" si="11"/>
        <v>42748</v>
      </c>
      <c r="Y17" s="234" t="str">
        <f t="shared" ca="1" si="7"/>
        <v>Laborde   Clément    21</v>
      </c>
      <c r="Z17" s="76">
        <f t="shared" si="8"/>
        <v>35077</v>
      </c>
      <c r="AA17" s="77">
        <f t="shared" ca="1" si="9"/>
        <v>21</v>
      </c>
    </row>
    <row r="18" spans="1:27" ht="15.75" customHeight="1" thickBot="1" x14ac:dyDescent="0.3">
      <c r="A18" s="298" t="s">
        <v>61</v>
      </c>
      <c r="B18" s="299" t="s">
        <v>62</v>
      </c>
      <c r="C18" s="299" t="str">
        <f t="shared" si="5"/>
        <v>chedeville  phillipe</v>
      </c>
      <c r="D18" s="300" t="str">
        <f t="shared" ca="1" si="6"/>
        <v>chedeville  phillipe    33</v>
      </c>
      <c r="E18" s="300">
        <v>30809</v>
      </c>
      <c r="F18" s="301">
        <f t="shared" si="0"/>
        <v>30809</v>
      </c>
      <c r="G18" s="302">
        <f t="shared" ca="1" si="1"/>
        <v>42862</v>
      </c>
      <c r="H18" s="299" t="s">
        <v>43</v>
      </c>
      <c r="I18" s="303" t="str">
        <f t="shared" ca="1" si="2"/>
        <v/>
      </c>
      <c r="J18" s="304">
        <f t="shared" ca="1" si="3"/>
        <v>33</v>
      </c>
      <c r="K18" s="304" t="str">
        <f t="shared" ca="1" si="10"/>
        <v xml:space="preserve">  33</v>
      </c>
      <c r="L18" s="305" t="str">
        <f>IF(H18="naissance",IF(E18="","",INDEX({"Capricorne";"Verseau";"Poisson";"Bélier";"Taureau";"Gémeaux";"Cancer";"Lion";"Vierge";"Balance";"Scorpion";"Sagittaire";"Capricorne";""},MATCH(DATE(,MONTH(E18),DAY(E18)),{0;20;51;81;111;142;173;205;237;267;297;327;357},1))),"")</f>
        <v>Taureau</v>
      </c>
      <c r="M18" s="306" t="str">
        <f>IF(H18="naissance",IF(F18="","",INDEX({"g";"h";"i";"^";"_";"z";"a";"b";"c";"d";"e";"f";"g";""},MATCH(DATE(,MONTH(F18),DAY(F18)),{0;20;51;81;111;142;173;205;237;267;297;327;357},1))),"")</f>
        <v>_</v>
      </c>
      <c r="N18" s="307" t="str">
        <f t="shared" ca="1" si="4"/>
        <v>猪 cochon</v>
      </c>
      <c r="Q18" s="105"/>
      <c r="R18" s="108">
        <v>5140</v>
      </c>
      <c r="S18" s="108">
        <v>5523</v>
      </c>
      <c r="T18" s="117">
        <v>1915</v>
      </c>
      <c r="U18" s="110" t="s">
        <v>437</v>
      </c>
      <c r="V18" s="330" t="s">
        <v>442</v>
      </c>
      <c r="X18" s="75">
        <f t="shared" ca="1" si="11"/>
        <v>42862</v>
      </c>
      <c r="Y18" s="234" t="str">
        <f t="shared" ca="1" si="7"/>
        <v>chedeville  phillipe    33</v>
      </c>
      <c r="Z18" s="76">
        <f t="shared" si="8"/>
        <v>30809</v>
      </c>
      <c r="AA18" s="77">
        <f t="shared" ca="1" si="9"/>
        <v>33</v>
      </c>
    </row>
    <row r="19" spans="1:27" ht="15.75" customHeight="1" thickBot="1" x14ac:dyDescent="0.3">
      <c r="A19" s="308" t="s">
        <v>47</v>
      </c>
      <c r="B19" s="309" t="s">
        <v>48</v>
      </c>
      <c r="C19" s="309" t="str">
        <f t="shared" si="5"/>
        <v>chapellas  fabien</v>
      </c>
      <c r="D19" s="310" t="str">
        <f t="shared" ca="1" si="6"/>
        <v>chapellas  fabien    35</v>
      </c>
      <c r="E19" s="310">
        <v>30086</v>
      </c>
      <c r="F19" s="311">
        <f t="shared" si="0"/>
        <v>30086</v>
      </c>
      <c r="G19" s="310">
        <f t="shared" ca="1" si="1"/>
        <v>42870</v>
      </c>
      <c r="H19" s="309" t="s">
        <v>43</v>
      </c>
      <c r="I19" s="312" t="str">
        <f t="shared" ca="1" si="2"/>
        <v/>
      </c>
      <c r="J19" s="313">
        <f t="shared" ca="1" si="3"/>
        <v>35</v>
      </c>
      <c r="K19" s="313" t="str">
        <f t="shared" ca="1" si="10"/>
        <v xml:space="preserve">  35</v>
      </c>
      <c r="L19" s="314" t="str">
        <f>IF(H19="naissance",IF(E19="","",INDEX({"Capricorne";"Verseau";"Poisson";"Bélier";"Taureau";"Gémeaux";"Cancer";"Lion";"Vierge";"Balance";"Scorpion";"Sagittaire";"Capricorne";""},MATCH(DATE(,MONTH(E19),DAY(E19)),{0;20;51;81;111;142;173;205;237;267;297;327;357},1))),"")</f>
        <v>Taureau</v>
      </c>
      <c r="M19" s="315" t="str">
        <f>IF(H19="naissance",IF(F19="","",INDEX({"g";"h";"i";"^";"_";"z";"a";"b";"c";"d";"e";"f";"g";""},MATCH(DATE(,MONTH(F19),DAY(F19)),{0;20;51;81;111;142;173;205;237;267;297;327;357},1))),"")</f>
        <v>_</v>
      </c>
      <c r="N19" s="316" t="str">
        <f t="shared" ca="1" si="4"/>
        <v>狗 chien</v>
      </c>
      <c r="Q19" s="105"/>
      <c r="R19" s="108">
        <v>5524</v>
      </c>
      <c r="S19" s="108">
        <v>5877</v>
      </c>
      <c r="T19" s="117">
        <v>1916</v>
      </c>
      <c r="U19" s="110" t="s">
        <v>439</v>
      </c>
      <c r="V19" s="331"/>
      <c r="X19" s="75">
        <f t="shared" ca="1" si="11"/>
        <v>42870</v>
      </c>
      <c r="Y19" s="234" t="str">
        <f t="shared" ca="1" si="7"/>
        <v>chapellas  fabien    35</v>
      </c>
      <c r="Z19" s="76">
        <f t="shared" si="8"/>
        <v>30086</v>
      </c>
      <c r="AA19" s="77">
        <f t="shared" ca="1" si="9"/>
        <v>35</v>
      </c>
    </row>
    <row r="20" spans="1:27" ht="15.75" customHeight="1" thickBot="1" x14ac:dyDescent="0.3">
      <c r="A20" s="298" t="s">
        <v>58</v>
      </c>
      <c r="B20" s="299" t="s">
        <v>39</v>
      </c>
      <c r="C20" s="299" t="str">
        <f t="shared" si="5"/>
        <v>boireau  élodie</v>
      </c>
      <c r="D20" s="300" t="str">
        <f t="shared" ca="1" si="6"/>
        <v>boireau  élodie    33</v>
      </c>
      <c r="E20" s="300">
        <v>30650</v>
      </c>
      <c r="F20" s="301">
        <f t="shared" si="0"/>
        <v>30650</v>
      </c>
      <c r="G20" s="302">
        <f t="shared" ca="1" si="1"/>
        <v>43069</v>
      </c>
      <c r="H20" s="299" t="s">
        <v>43</v>
      </c>
      <c r="I20" s="303" t="str">
        <f t="shared" ca="1" si="2"/>
        <v/>
      </c>
      <c r="J20" s="304">
        <f t="shared" ca="1" si="3"/>
        <v>33</v>
      </c>
      <c r="K20" s="304" t="str">
        <f t="shared" ca="1" si="10"/>
        <v xml:space="preserve">  33</v>
      </c>
      <c r="L20" s="305" t="str">
        <f>IF(H20="naissance",IF(E20="","",INDEX({"Capricorne";"Verseau";"Poisson";"Bélier";"Taureau";"Gémeaux";"Cancer";"Lion";"Vierge";"Balance";"Scorpion";"Sagittaire";"Capricorne";""},MATCH(DATE(,MONTH(E20),DAY(E20)),{0;20;51;81;111;142;173;205;237;267;297;327;357},1))),"")</f>
        <v>Sagittaire</v>
      </c>
      <c r="M20" s="306" t="str">
        <f>IF(H20="naissance",IF(F20="","",INDEX({"g";"h";"i";"^";"_";"z";"a";"b";"c";"d";"e";"f";"g";""},MATCH(DATE(,MONTH(F20),DAY(F20)),{0;20;51;81;111;142;173;205;237;267;297;327;357},1))),"")</f>
        <v>f</v>
      </c>
      <c r="N20" s="307" t="str">
        <f t="shared" ca="1" si="4"/>
        <v>猪 cochon</v>
      </c>
      <c r="Q20" s="105"/>
      <c r="R20" s="108">
        <v>5878</v>
      </c>
      <c r="S20" s="108">
        <v>6232</v>
      </c>
      <c r="T20" s="117">
        <v>1917</v>
      </c>
      <c r="U20" s="110" t="s">
        <v>441</v>
      </c>
      <c r="V20" s="330" t="s">
        <v>445</v>
      </c>
      <c r="X20" s="75">
        <f t="shared" ca="1" si="11"/>
        <v>43069</v>
      </c>
      <c r="Y20" s="234" t="str">
        <f t="shared" ca="1" si="7"/>
        <v>boireau  élodie    33</v>
      </c>
      <c r="Z20" s="76">
        <f t="shared" si="8"/>
        <v>30650</v>
      </c>
      <c r="AA20" s="77">
        <f t="shared" ca="1" si="9"/>
        <v>33</v>
      </c>
    </row>
    <row r="21" spans="1:27" ht="15.75" customHeight="1" thickBot="1" x14ac:dyDescent="0.3">
      <c r="A21" s="308" t="s">
        <v>51</v>
      </c>
      <c r="B21" s="309" t="s">
        <v>52</v>
      </c>
      <c r="C21" s="309" t="str">
        <f t="shared" si="5"/>
        <v>Boireau  eric</v>
      </c>
      <c r="D21" s="310" t="str">
        <f t="shared" ca="1" si="6"/>
        <v>Boireau  eric    32</v>
      </c>
      <c r="E21" s="310">
        <v>31165</v>
      </c>
      <c r="F21" s="311">
        <f t="shared" si="0"/>
        <v>31165</v>
      </c>
      <c r="G21" s="310">
        <f t="shared" ca="1" si="1"/>
        <v>42853</v>
      </c>
      <c r="H21" s="309" t="s">
        <v>43</v>
      </c>
      <c r="I21" s="312" t="str">
        <f t="shared" ca="1" si="2"/>
        <v/>
      </c>
      <c r="J21" s="313">
        <f t="shared" ca="1" si="3"/>
        <v>32</v>
      </c>
      <c r="K21" s="313" t="str">
        <f t="shared" ca="1" si="10"/>
        <v xml:space="preserve">  32</v>
      </c>
      <c r="L21" s="314" t="str">
        <f>IF(H21="naissance",IF(E21="","",INDEX({"Capricorne";"Verseau";"Poisson";"Bélier";"Taureau";"Gémeaux";"Cancer";"Lion";"Vierge";"Balance";"Scorpion";"Sagittaire";"Capricorne";""},MATCH(DATE(,MONTH(E21),DAY(E21)),{0;20;51;81;111;142;173;205;237;267;297;327;357},1))),"")</f>
        <v>Taureau</v>
      </c>
      <c r="M21" s="315" t="str">
        <f>IF(H21="naissance",IF(F21="","",INDEX({"g";"h";"i";"^";"_";"z";"a";"b";"c";"d";"e";"f";"g";""},MATCH(DATE(,MONTH(F21),DAY(F21)),{0;20;51;81;111;142;173;205;237;267;297;327;357},1))),"")</f>
        <v>_</v>
      </c>
      <c r="N21" s="316" t="str">
        <f t="shared" ca="1" si="4"/>
        <v>牛 buffle</v>
      </c>
      <c r="Q21" s="105"/>
      <c r="R21" s="108">
        <v>6233</v>
      </c>
      <c r="S21" s="108">
        <v>6616</v>
      </c>
      <c r="T21" s="117">
        <v>1918</v>
      </c>
      <c r="U21" s="110" t="s">
        <v>443</v>
      </c>
      <c r="V21" s="331"/>
      <c r="X21" s="75">
        <f t="shared" ca="1" si="11"/>
        <v>42853</v>
      </c>
      <c r="Y21" s="234" t="str">
        <f t="shared" ca="1" si="7"/>
        <v>Boireau  eric    32</v>
      </c>
      <c r="Z21" s="76">
        <f t="shared" si="8"/>
        <v>31165</v>
      </c>
      <c r="AA21" s="77">
        <f t="shared" ca="1" si="9"/>
        <v>32</v>
      </c>
    </row>
    <row r="22" spans="1:27" ht="15.75" customHeight="1" thickBot="1" x14ac:dyDescent="0.3">
      <c r="A22" s="298" t="s">
        <v>51</v>
      </c>
      <c r="B22" s="299" t="s">
        <v>53</v>
      </c>
      <c r="C22" s="299" t="str">
        <f t="shared" si="5"/>
        <v>Boireau  estelle</v>
      </c>
      <c r="D22" s="300" t="str">
        <f t="shared" ca="1" si="6"/>
        <v>Boireau  estelle    28</v>
      </c>
      <c r="E22" s="300">
        <v>32331</v>
      </c>
      <c r="F22" s="301">
        <f t="shared" si="0"/>
        <v>32331</v>
      </c>
      <c r="G22" s="302">
        <f t="shared" ca="1" si="1"/>
        <v>42923</v>
      </c>
      <c r="H22" s="299" t="s">
        <v>43</v>
      </c>
      <c r="I22" s="303" t="str">
        <f t="shared" ca="1" si="2"/>
        <v/>
      </c>
      <c r="J22" s="304">
        <f t="shared" ca="1" si="3"/>
        <v>28</v>
      </c>
      <c r="K22" s="304" t="str">
        <f t="shared" ca="1" si="10"/>
        <v xml:space="preserve">  28</v>
      </c>
      <c r="L22" s="305" t="str">
        <f>IF(H22="naissance",IF(E22="","",INDEX({"Capricorne";"Verseau";"Poisson";"Bélier";"Taureau";"Gémeaux";"Cancer";"Lion";"Vierge";"Balance";"Scorpion";"Sagittaire";"Capricorne";""},MATCH(DATE(,MONTH(E22),DAY(E22)),{0;20;51;81;111;142;173;205;237;267;297;327;357},1))),"")</f>
        <v>Cancer</v>
      </c>
      <c r="M22" s="306" t="str">
        <f>IF(H22="naissance",IF(F22="","",INDEX({"g";"h";"i";"^";"_";"z";"a";"b";"c";"d";"e";"f";"g";""},MATCH(DATE(,MONTH(F22),DAY(F22)),{0;20;51;81;111;142;173;205;237;267;297;327;357},1))),"")</f>
        <v>a</v>
      </c>
      <c r="N22" s="307" t="str">
        <f t="shared" ca="1" si="4"/>
        <v>龍 dragon</v>
      </c>
      <c r="Q22" s="105"/>
      <c r="R22" s="108">
        <v>6617</v>
      </c>
      <c r="S22" s="108">
        <v>6971</v>
      </c>
      <c r="T22" s="117">
        <v>1919</v>
      </c>
      <c r="U22" s="110" t="s">
        <v>444</v>
      </c>
      <c r="V22" s="330" t="s">
        <v>449</v>
      </c>
      <c r="X22" s="75">
        <f t="shared" ca="1" si="11"/>
        <v>42923</v>
      </c>
      <c r="Y22" s="234" t="str">
        <f t="shared" ca="1" si="7"/>
        <v>Boireau  estelle    28</v>
      </c>
      <c r="Z22" s="76">
        <f t="shared" si="8"/>
        <v>32331</v>
      </c>
      <c r="AA22" s="77">
        <f t="shared" ca="1" si="9"/>
        <v>28</v>
      </c>
    </row>
    <row r="23" spans="1:27" ht="15.75" customHeight="1" thickBot="1" x14ac:dyDescent="0.3">
      <c r="A23" s="308" t="s">
        <v>60</v>
      </c>
      <c r="B23" s="309" t="s">
        <v>59</v>
      </c>
      <c r="C23" s="309" t="str">
        <f t="shared" si="5"/>
        <v>Barberan  mélanie</v>
      </c>
      <c r="D23" s="310" t="str">
        <f t="shared" ca="1" si="6"/>
        <v>Barberan  mélanie    27</v>
      </c>
      <c r="E23" s="310">
        <v>32671</v>
      </c>
      <c r="F23" s="311">
        <f t="shared" si="0"/>
        <v>32671</v>
      </c>
      <c r="G23" s="310">
        <f t="shared" ca="1" si="1"/>
        <v>42898</v>
      </c>
      <c r="H23" s="309" t="s">
        <v>43</v>
      </c>
      <c r="I23" s="312" t="str">
        <f t="shared" ca="1" si="2"/>
        <v/>
      </c>
      <c r="J23" s="313">
        <f t="shared" ca="1" si="3"/>
        <v>27</v>
      </c>
      <c r="K23" s="313" t="str">
        <f t="shared" ca="1" si="10"/>
        <v xml:space="preserve">  27</v>
      </c>
      <c r="L23" s="314" t="str">
        <f>IF(H23="naissance",IF(E23="","",INDEX({"Capricorne";"Verseau";"Poisson";"Bélier";"Taureau";"Gémeaux";"Cancer";"Lion";"Vierge";"Balance";"Scorpion";"Sagittaire";"Capricorne";""},MATCH(DATE(,MONTH(E23),DAY(E23)),{0;20;51;81;111;142;173;205;237;267;297;327;357},1))),"")</f>
        <v>Gémeaux</v>
      </c>
      <c r="M23" s="315" t="str">
        <f>IF(H23="naissance",IF(F23="","",INDEX({"g";"h";"i";"^";"_";"z";"a";"b";"c";"d";"e";"f";"g";""},MATCH(DATE(,MONTH(F23),DAY(F23)),{0;20;51;81;111;142;173;205;237;267;297;327;357},1))),"")</f>
        <v>z</v>
      </c>
      <c r="N23" s="316" t="str">
        <f t="shared" ca="1" si="4"/>
        <v>蛇 serpent</v>
      </c>
      <c r="Q23" s="105"/>
      <c r="R23" s="110" t="s">
        <v>453</v>
      </c>
      <c r="S23" s="108">
        <v>7355</v>
      </c>
      <c r="T23" s="117">
        <v>1920</v>
      </c>
      <c r="U23" s="110" t="s">
        <v>447</v>
      </c>
      <c r="V23" s="331"/>
      <c r="X23" s="75">
        <f t="shared" ca="1" si="11"/>
        <v>42898</v>
      </c>
      <c r="Y23" s="234" t="str">
        <f t="shared" ca="1" si="7"/>
        <v>Barberan  mélanie    27</v>
      </c>
      <c r="Z23" s="76">
        <f t="shared" si="8"/>
        <v>32671</v>
      </c>
      <c r="AA23" s="77">
        <f t="shared" ca="1" si="9"/>
        <v>27</v>
      </c>
    </row>
    <row r="24" spans="1:27" ht="15.75" customHeight="1" thickBot="1" x14ac:dyDescent="0.3">
      <c r="A24" s="298" t="s">
        <v>427</v>
      </c>
      <c r="B24" s="299" t="s">
        <v>428</v>
      </c>
      <c r="C24" s="299" t="str">
        <f t="shared" si="5"/>
        <v>boireau   andrée</v>
      </c>
      <c r="D24" s="300" t="str">
        <f t="shared" ca="1" si="6"/>
        <v>boireau   andrée    82</v>
      </c>
      <c r="E24" s="300">
        <v>12847</v>
      </c>
      <c r="F24" s="301">
        <f t="shared" si="0"/>
        <v>12847</v>
      </c>
      <c r="G24" s="302">
        <f t="shared" ca="1" si="1"/>
        <v>42798</v>
      </c>
      <c r="H24" s="299" t="s">
        <v>43</v>
      </c>
      <c r="I24" s="303" t="str">
        <f t="shared" ca="1" si="2"/>
        <v/>
      </c>
      <c r="J24" s="304">
        <f t="shared" ca="1" si="3"/>
        <v>82</v>
      </c>
      <c r="K24" s="304" t="str">
        <f t="shared" ca="1" si="10"/>
        <v xml:space="preserve">  82</v>
      </c>
      <c r="L24" s="305" t="str">
        <f>IF(H24="naissance",IF(E24="","",INDEX({"Capricorne";"Verseau";"Poisson";"Bélier";"Taureau";"Gémeaux";"Cancer";"Lion";"Vierge";"Balance";"Scorpion";"Sagittaire";"Capricorne";""},MATCH(DATE(,MONTH(E24),DAY(E24)),{0;20;51;81;111;142;173;205;237;267;297;327;357},1))),"")</f>
        <v>Poisson</v>
      </c>
      <c r="M24" s="306" t="str">
        <f>IF(H24="naissance",IF(F24="","",INDEX({"g";"h";"i";"^";"_";"z";"a";"b";"c";"d";"e";"f";"g";""},MATCH(DATE(,MONTH(F24),DAY(F24)),{0;20;51;81;111;142;173;205;237;267;297;327;357},1))),"")</f>
        <v>i</v>
      </c>
      <c r="N24" s="307" t="str">
        <f t="shared" ca="1" si="4"/>
        <v>猪 cochon</v>
      </c>
      <c r="Q24" s="105"/>
      <c r="R24" s="108">
        <v>7356</v>
      </c>
      <c r="S24" s="108">
        <v>7709</v>
      </c>
      <c r="T24" s="117">
        <v>1921</v>
      </c>
      <c r="U24" s="110" t="s">
        <v>448</v>
      </c>
      <c r="V24" s="330" t="s">
        <v>435</v>
      </c>
      <c r="X24" s="75">
        <f t="shared" ref="X24:X36" ca="1" si="12">DATE(YEAR(TODAY()),MONTH(Z24),DAY(Z24))</f>
        <v>42798</v>
      </c>
      <c r="Y24" s="234" t="str">
        <f t="shared" ca="1" si="7"/>
        <v>boireau   andrée    82</v>
      </c>
      <c r="Z24" s="76">
        <f t="shared" si="8"/>
        <v>12847</v>
      </c>
      <c r="AA24" s="77">
        <f t="shared" ref="AA24:AA36" ca="1" si="13">IF(Z24&lt;1/1/2000,"",DATEDIF(Z24,TODAY(),"y"))</f>
        <v>82</v>
      </c>
    </row>
    <row r="25" spans="1:27" ht="15.75" customHeight="1" thickBot="1" x14ac:dyDescent="0.3">
      <c r="A25" s="308" t="s">
        <v>38</v>
      </c>
      <c r="B25" s="309" t="s">
        <v>460</v>
      </c>
      <c r="C25" s="309" t="str">
        <f t="shared" si="5"/>
        <v>Virely  Maël</v>
      </c>
      <c r="D25" s="310" t="str">
        <f t="shared" ca="1" si="6"/>
        <v>Virely  Maël    3</v>
      </c>
      <c r="E25" s="310">
        <v>41552</v>
      </c>
      <c r="F25" s="311">
        <f>IF(E25&lt;1/1/1900,"",E25)</f>
        <v>41552</v>
      </c>
      <c r="G25" s="310">
        <f ca="1">IF(E25&lt;1/1/2000,"",DATE(YEAR(TODAY()),MONTH(E25),DAY(F25)))</f>
        <v>43013</v>
      </c>
      <c r="H25" s="309" t="s">
        <v>43</v>
      </c>
      <c r="I25" s="312" t="str">
        <f t="shared" ca="1" si="2"/>
        <v/>
      </c>
      <c r="J25" s="313">
        <f t="shared" ca="1" si="3"/>
        <v>3</v>
      </c>
      <c r="K25" s="313" t="str">
        <f t="shared" ca="1" si="10"/>
        <v xml:space="preserve">  3</v>
      </c>
      <c r="L25" s="314" t="str">
        <f>IF(H25="naissance",IF(E25="","",INDEX({"Capricorne";"Verseau";"Poisson";"Bélier";"Taureau";"Gémeaux";"Cancer";"Lion";"Vierge";"Balance";"Scorpion";"Sagittaire";"Capricorne";""},MATCH(DATE(,MONTH(E25),DAY(E25)),{0;20;51;81;111;142;173;205;237;267;297;327;357},1))),"")</f>
        <v>Balance</v>
      </c>
      <c r="M25" s="315" t="str">
        <f>IF(H25="naissance",IF(F25="","",INDEX({"g";"h";"i";"^";"_";"z";"a";"b";"c";"d";"e";"f";"g";""},MATCH(DATE(,MONTH(F25),DAY(F25)),{0;20;51;81;111;142;173;205;237;267;297;327;357},1))),"")</f>
        <v>d</v>
      </c>
      <c r="N25" s="316" t="str">
        <f t="shared" ca="1" si="4"/>
        <v>蛇 serpent</v>
      </c>
      <c r="Q25" s="105"/>
      <c r="R25" s="108">
        <v>7710</v>
      </c>
      <c r="S25" s="108">
        <v>8063</v>
      </c>
      <c r="T25" s="117">
        <v>1922</v>
      </c>
      <c r="U25" s="110" t="s">
        <v>450</v>
      </c>
      <c r="V25" s="331"/>
      <c r="X25" s="75">
        <f t="shared" ca="1" si="12"/>
        <v>43013</v>
      </c>
      <c r="Y25" s="234" t="str">
        <f t="shared" ca="1" si="7"/>
        <v>Virely  Maël    3</v>
      </c>
      <c r="Z25" s="76">
        <f t="shared" si="8"/>
        <v>41552</v>
      </c>
      <c r="AA25" s="77">
        <f t="shared" ca="1" si="13"/>
        <v>3</v>
      </c>
    </row>
    <row r="26" spans="1:27" ht="15.75" customHeight="1" thickBot="1" x14ac:dyDescent="0.3">
      <c r="A26" s="298" t="s">
        <v>38</v>
      </c>
      <c r="B26" s="299" t="s">
        <v>459</v>
      </c>
      <c r="C26" s="299" t="str">
        <f t="shared" si="5"/>
        <v>Virely  Alexi</v>
      </c>
      <c r="D26" s="300" t="str">
        <f t="shared" ca="1" si="6"/>
        <v>Virely  Alexi    6</v>
      </c>
      <c r="E26" s="300">
        <v>40555</v>
      </c>
      <c r="F26" s="301">
        <f>IF(E26&lt;1/1/1900,"",E26)</f>
        <v>40555</v>
      </c>
      <c r="G26" s="302">
        <f ca="1">IF(E26&lt;1/1/2000,"",DATE(YEAR(TODAY()),MONTH(E26),DAY(F26)))</f>
        <v>42747</v>
      </c>
      <c r="H26" s="299" t="s">
        <v>43</v>
      </c>
      <c r="I26" s="303" t="str">
        <f t="shared" ca="1" si="2"/>
        <v/>
      </c>
      <c r="J26" s="304">
        <f t="shared" ca="1" si="3"/>
        <v>6</v>
      </c>
      <c r="K26" s="304" t="str">
        <f t="shared" ca="1" si="10"/>
        <v xml:space="preserve">  6</v>
      </c>
      <c r="L26" s="305" t="str">
        <f>IF(H26="naissance",IF(E26="","",INDEX({"Capricorne";"Verseau";"Poisson";"Bélier";"Taureau";"Gémeaux";"Cancer";"Lion";"Vierge";"Balance";"Scorpion";"Sagittaire";"Capricorne";""},MATCH(DATE(,MONTH(E26),DAY(E26)),{0;20;51;81;111;142;173;205;237;267;297;327;357},1))),"")</f>
        <v>Capricorne</v>
      </c>
      <c r="M26" s="306" t="str">
        <f>IF(H26="naissance",IF(F26="","",INDEX({"g";"h";"i";"^";"_";"z";"a";"b";"c";"d";"e";"f";"g";""},MATCH(DATE(,MONTH(F26),DAY(F26)),{0;20;51;81;111;142;173;205;237;267;297;327;357},1))),"")</f>
        <v>g</v>
      </c>
      <c r="N26" s="307" t="str">
        <f t="shared" ca="1" si="4"/>
        <v>虎 tigre</v>
      </c>
      <c r="Q26" s="105"/>
      <c r="R26" s="108">
        <v>8064</v>
      </c>
      <c r="S26" s="108">
        <v>8447</v>
      </c>
      <c r="T26" s="117">
        <v>1923</v>
      </c>
      <c r="U26" s="110" t="s">
        <v>451</v>
      </c>
      <c r="V26" s="255" t="s">
        <v>438</v>
      </c>
      <c r="X26" s="75">
        <f t="shared" ca="1" si="12"/>
        <v>42747</v>
      </c>
      <c r="Y26" s="234" t="str">
        <f t="shared" ca="1" si="7"/>
        <v>Virely  Alexi    6</v>
      </c>
      <c r="Z26" s="76">
        <f t="shared" si="8"/>
        <v>40555</v>
      </c>
      <c r="AA26" s="77">
        <f t="shared" ca="1" si="13"/>
        <v>6</v>
      </c>
    </row>
    <row r="27" spans="1:27" ht="15.75" customHeight="1" thickBot="1" x14ac:dyDescent="0.3">
      <c r="A27" s="298" t="s">
        <v>58</v>
      </c>
      <c r="B27" s="299" t="s">
        <v>593</v>
      </c>
      <c r="C27" s="299" t="str">
        <f>CONCATENATE(A27,"  ",B27)</f>
        <v>boireau  emmy</v>
      </c>
      <c r="D27" s="300" t="str">
        <f ca="1">CONCATENATE(C27,"  ",K27)</f>
        <v>boireau  emmy    7</v>
      </c>
      <c r="E27" s="300">
        <v>40310</v>
      </c>
      <c r="F27" s="301">
        <f>IF(E27&lt;1/1/1900,"",E27)</f>
        <v>40310</v>
      </c>
      <c r="G27" s="302">
        <f ca="1">IF(E27&lt;1/1/2000,"",DATE(YEAR(TODAY()),MONTH(E27),DAY(F27)))</f>
        <v>42867</v>
      </c>
      <c r="H27" s="299" t="s">
        <v>43</v>
      </c>
      <c r="I27" s="303" t="str">
        <f ca="1">IF(E27&gt;$AB$1,"",IF(B27="","",IF(H27&lt;&gt;"naissance",IF(F27&lt;1/1/19000," ",DATEDIF(F27,TODAY(),"y")),"")))</f>
        <v/>
      </c>
      <c r="J27" s="304">
        <f ca="1">IF(H27="naissance",IF(F27&lt;1/1/19000," ",DATEDIF(F27,TODAY(),"y")),"")</f>
        <v>7</v>
      </c>
      <c r="K27" s="304" t="str">
        <f ca="1">CONCATENATE(I27,"  ",J27)</f>
        <v xml:space="preserve">  7</v>
      </c>
      <c r="L27" s="305" t="str">
        <f>IF(H27="naissance",IF(E27="","",INDEX({"Capricorne";"Verseau";"Poisson";"Bélier";"Taureau";"Gémeaux";"Cancer";"Lion";"Vierge";"Balance";"Scorpion";"Sagittaire";"Capricorne";""},MATCH(DATE(,MONTH(E27),DAY(E27)),{0;20;51;81;111;142;173;205;237;267;297;327;357},1))),"")</f>
        <v>Taureau</v>
      </c>
      <c r="M27" s="306" t="str">
        <f>IF(H27="naissance",IF(F27="","",INDEX({"g";"h";"i";"^";"_";"z";"a";"b";"c";"d";"e";"f";"g";""},MATCH(DATE(,MONTH(F27),DAY(F27)),{0;20;51;81;111;142;173;205;237;267;297;327;357},1))),"")</f>
        <v>_</v>
      </c>
      <c r="N27" s="307" t="str">
        <f t="shared" ref="N27:N39" ca="1" si="14">IF(H27="naissance",OFFSET($U$3,MATCH(E27,$S$4:$S$123,1)+1,),"")</f>
        <v>虎 tigre</v>
      </c>
      <c r="Q27" s="105"/>
      <c r="R27" s="108"/>
      <c r="S27" s="108"/>
      <c r="T27" s="117"/>
      <c r="U27" s="257"/>
      <c r="V27" s="256"/>
      <c r="X27" s="75"/>
      <c r="Y27" s="234"/>
      <c r="Z27" s="76"/>
      <c r="AA27" s="77"/>
    </row>
    <row r="28" spans="1:27" ht="15.75" customHeight="1" thickBot="1" x14ac:dyDescent="0.3">
      <c r="A28" s="308" t="s">
        <v>58</v>
      </c>
      <c r="B28" s="309" t="s">
        <v>602</v>
      </c>
      <c r="C28" s="309" t="str">
        <f t="shared" ref="C28:C39" si="15">CONCATENATE(A28,"  ",B28)</f>
        <v>boireau  louane</v>
      </c>
      <c r="D28" s="310" t="str">
        <f t="shared" ref="D28:D39" ca="1" si="16">CONCATENATE(C28,"  ",K28)</f>
        <v>boireau  louane    1</v>
      </c>
      <c r="E28" s="310">
        <v>42371</v>
      </c>
      <c r="F28" s="311">
        <f t="shared" ref="F28:F39" si="17">IF(E28&lt;1/1/1900,"",E28)</f>
        <v>42371</v>
      </c>
      <c r="G28" s="310">
        <f t="shared" ref="G28:G39" ca="1" si="18">IF(E28&lt;1/1/2000,"",DATE(YEAR(TODAY()),MONTH(E28),DAY(F28)))</f>
        <v>42737</v>
      </c>
      <c r="H28" s="309" t="s">
        <v>43</v>
      </c>
      <c r="I28" s="312" t="str">
        <f t="shared" ref="I28:I39" ca="1" si="19">IF(E28&gt;$AB$1,"",IF(B28="","",IF(H28&lt;&gt;"naissance",IF(F28&lt;1/1/19000," ",DATEDIF(F28,TODAY(),"y")),"")))</f>
        <v/>
      </c>
      <c r="J28" s="313">
        <f t="shared" ref="J28:J39" ca="1" si="20">IF(H28="naissance",IF(F28&lt;1/1/19000," ",DATEDIF(F28,TODAY(),"y")),"")</f>
        <v>1</v>
      </c>
      <c r="K28" s="313" t="str">
        <f t="shared" ref="K28:K39" ca="1" si="21">CONCATENATE(I28,"  ",J28)</f>
        <v xml:space="preserve">  1</v>
      </c>
      <c r="L28" s="314" t="str">
        <f>IF(H28="naissance",IF(E28="","",INDEX({"Capricorne";"Verseau";"Poisson";"Bélier";"Taureau";"Gémeaux";"Cancer";"Lion";"Vierge";"Balance";"Scorpion";"Sagittaire";"Capricorne";""},MATCH(DATE(,MONTH(E28),DAY(E28)),{0;20;51;81;111;142;173;205;237;267;297;327;357},1))),"")</f>
        <v>Capricorne</v>
      </c>
      <c r="M28" s="315" t="str">
        <f>IF(H28="naissance",IF(F28="","",INDEX({"g";"h";"i";"^";"_";"z";"a";"b";"c";"d";"e";"f";"g";""},MATCH(DATE(,MONTH(F28),DAY(F28)),{0;20;51;81;111;142;173;205;237;267;297;327;357},1))),"")</f>
        <v>g</v>
      </c>
      <c r="N28" s="316" t="str">
        <f t="shared" ca="1" si="14"/>
        <v>羊 chèvre</v>
      </c>
      <c r="Q28" s="105"/>
      <c r="R28" s="108">
        <v>8802</v>
      </c>
      <c r="S28" s="108">
        <v>9156</v>
      </c>
      <c r="T28" s="117">
        <v>1925</v>
      </c>
      <c r="U28" s="109" t="s">
        <v>434</v>
      </c>
      <c r="V28" s="330" t="s">
        <v>442</v>
      </c>
      <c r="X28" s="75">
        <f t="shared" ca="1" si="12"/>
        <v>42737</v>
      </c>
      <c r="Y28" s="234" t="str">
        <f t="shared" ca="1" si="7"/>
        <v>boireau  louane    1</v>
      </c>
      <c r="Z28" s="76">
        <f t="shared" si="8"/>
        <v>42371</v>
      </c>
      <c r="AA28" s="77">
        <f t="shared" ca="1" si="13"/>
        <v>1</v>
      </c>
    </row>
    <row r="29" spans="1:27" ht="15.75" customHeight="1" thickBot="1" x14ac:dyDescent="0.3">
      <c r="A29" s="298" t="s">
        <v>603</v>
      </c>
      <c r="B29" s="299" t="s">
        <v>604</v>
      </c>
      <c r="C29" s="299" t="str">
        <f t="shared" si="15"/>
        <v>decelle  nelly</v>
      </c>
      <c r="D29" s="300" t="str">
        <f t="shared" ca="1" si="16"/>
        <v>decelle  nelly    36</v>
      </c>
      <c r="E29" s="300">
        <v>29481</v>
      </c>
      <c r="F29" s="301">
        <f t="shared" si="17"/>
        <v>29481</v>
      </c>
      <c r="G29" s="302">
        <f t="shared" ca="1" si="18"/>
        <v>42995</v>
      </c>
      <c r="H29" s="299" t="s">
        <v>43</v>
      </c>
      <c r="I29" s="303" t="str">
        <f t="shared" ca="1" si="19"/>
        <v/>
      </c>
      <c r="J29" s="304">
        <f t="shared" ca="1" si="20"/>
        <v>36</v>
      </c>
      <c r="K29" s="304" t="str">
        <f t="shared" ca="1" si="21"/>
        <v xml:space="preserve">  36</v>
      </c>
      <c r="L29" s="305" t="str">
        <f>IF(H29="naissance",IF(E29="","",INDEX({"Capricorne";"Verseau";"Poisson";"Bélier";"Taureau";"Gémeaux";"Cancer";"Lion";"Vierge";"Balance";"Scorpion";"Sagittaire";"Capricorne";""},MATCH(DATE(,MONTH(E29),DAY(E29)),{0;20;51;81;111;142;173;205;237;267;297;327;357},1))),"")</f>
        <v>Vierge</v>
      </c>
      <c r="M29" s="306" t="str">
        <f>IF(H29="naissance",IF(F29="","",INDEX({"g";"h";"i";"^";"_";"z";"a";"b";"c";"d";"e";"f";"g";""},MATCH(DATE(,MONTH(F29),DAY(F29)),{0;20;51;81;111;142;173;205;237;267;297;327;357},1))),"")</f>
        <v>c</v>
      </c>
      <c r="N29" s="307" t="str">
        <f t="shared" ca="1" si="14"/>
        <v>猴 singe</v>
      </c>
      <c r="Q29" s="105"/>
      <c r="R29" s="108">
        <v>9157</v>
      </c>
      <c r="S29" s="108">
        <v>9540</v>
      </c>
      <c r="T29" s="117">
        <v>1926</v>
      </c>
      <c r="U29" s="110" t="s">
        <v>436</v>
      </c>
      <c r="V29" s="331"/>
      <c r="X29" s="75">
        <f t="shared" ca="1" si="12"/>
        <v>42995</v>
      </c>
      <c r="Y29" s="234" t="str">
        <f t="shared" ca="1" si="7"/>
        <v>decelle  nelly    36</v>
      </c>
      <c r="Z29" s="76">
        <f t="shared" si="8"/>
        <v>29481</v>
      </c>
      <c r="AA29" s="77">
        <f t="shared" ca="1" si="13"/>
        <v>36</v>
      </c>
    </row>
    <row r="30" spans="1:27" ht="15.75" customHeight="1" thickBot="1" x14ac:dyDescent="0.3">
      <c r="A30" s="308" t="s">
        <v>58</v>
      </c>
      <c r="B30" s="309" t="s">
        <v>605</v>
      </c>
      <c r="C30" s="309" t="str">
        <f t="shared" si="15"/>
        <v>boireau  kylian</v>
      </c>
      <c r="D30" s="310" t="str">
        <f t="shared" ca="1" si="16"/>
        <v>boireau  kylian    2</v>
      </c>
      <c r="E30" s="310">
        <v>41899</v>
      </c>
      <c r="F30" s="311">
        <f t="shared" si="17"/>
        <v>41899</v>
      </c>
      <c r="G30" s="310">
        <f t="shared" ca="1" si="18"/>
        <v>42995</v>
      </c>
      <c r="H30" s="309" t="s">
        <v>43</v>
      </c>
      <c r="I30" s="312" t="str">
        <f t="shared" ca="1" si="19"/>
        <v/>
      </c>
      <c r="J30" s="313">
        <f t="shared" ca="1" si="20"/>
        <v>2</v>
      </c>
      <c r="K30" s="313" t="str">
        <f t="shared" ca="1" si="21"/>
        <v xml:space="preserve">  2</v>
      </c>
      <c r="L30" s="314" t="str">
        <f>IF(H30="naissance",IF(E30="","",INDEX({"Capricorne";"Verseau";"Poisson";"Bélier";"Taureau";"Gémeaux";"Cancer";"Lion";"Vierge";"Balance";"Scorpion";"Sagittaire";"Capricorne";""},MATCH(DATE(,MONTH(E30),DAY(E30)),{0;20;51;81;111;142;173;205;237;267;297;327;357},1))),"")</f>
        <v>Vierge</v>
      </c>
      <c r="M30" s="315" t="str">
        <f>IF(H30="naissance",IF(F30="","",INDEX({"g";"h";"i";"^";"_";"z";"a";"b";"c";"d";"e";"f";"g";""},MATCH(DATE(,MONTH(F30),DAY(F30)),{0;20;51;81;111;142;173;205;237;267;297;327;357},1))),"")</f>
        <v>c</v>
      </c>
      <c r="N30" s="316" t="str">
        <f t="shared" ca="1" si="14"/>
        <v>馬 cheval</v>
      </c>
      <c r="Q30" s="105"/>
      <c r="R30" s="108">
        <v>9541</v>
      </c>
      <c r="S30" s="110" t="s">
        <v>455</v>
      </c>
      <c r="T30" s="117">
        <v>1927</v>
      </c>
      <c r="U30" s="110" t="s">
        <v>437</v>
      </c>
      <c r="V30" s="330" t="s">
        <v>445</v>
      </c>
      <c r="X30" s="75">
        <f t="shared" ca="1" si="12"/>
        <v>42995</v>
      </c>
      <c r="Y30" s="234" t="str">
        <f t="shared" ca="1" si="7"/>
        <v>boireau  kylian    2</v>
      </c>
      <c r="Z30" s="76">
        <f t="shared" si="8"/>
        <v>41899</v>
      </c>
      <c r="AA30" s="77">
        <f t="shared" ca="1" si="13"/>
        <v>2</v>
      </c>
    </row>
    <row r="31" spans="1:27" ht="15.75" customHeight="1" thickBot="1" x14ac:dyDescent="0.3">
      <c r="A31" s="298" t="s">
        <v>606</v>
      </c>
      <c r="B31" s="299"/>
      <c r="C31" s="299" t="str">
        <f t="shared" si="15"/>
        <v xml:space="preserve">mica  </v>
      </c>
      <c r="D31" s="300" t="str">
        <f t="shared" ca="1" si="16"/>
        <v>mica      35</v>
      </c>
      <c r="E31" s="300">
        <v>30008</v>
      </c>
      <c r="F31" s="301">
        <f t="shared" si="17"/>
        <v>30008</v>
      </c>
      <c r="G31" s="302">
        <f t="shared" ca="1" si="18"/>
        <v>42792</v>
      </c>
      <c r="H31" s="299" t="s">
        <v>43</v>
      </c>
      <c r="I31" s="303" t="str">
        <f t="shared" ca="1" si="19"/>
        <v/>
      </c>
      <c r="J31" s="304">
        <f t="shared" ca="1" si="20"/>
        <v>35</v>
      </c>
      <c r="K31" s="304" t="str">
        <f t="shared" ca="1" si="21"/>
        <v xml:space="preserve">  35</v>
      </c>
      <c r="L31" s="305" t="str">
        <f>IF(H31="naissance",IF(E31="","",INDEX({"Capricorne";"Verseau";"Poisson";"Bélier";"Taureau";"Gémeaux";"Cancer";"Lion";"Vierge";"Balance";"Scorpion";"Sagittaire";"Capricorne";""},MATCH(DATE(,MONTH(E31),DAY(E31)),{0;20;51;81;111;142;173;205;237;267;297;327;357},1))),"")</f>
        <v>Poisson</v>
      </c>
      <c r="M31" s="306" t="str">
        <f>IF(H31="naissance",IF(F31="","",INDEX({"g";"h";"i";"^";"_";"z";"a";"b";"c";"d";"e";"f";"g";""},MATCH(DATE(,MONTH(F31),DAY(F31)),{0;20;51;81;111;142;173;205;237;267;297;327;357},1))),"")</f>
        <v>i</v>
      </c>
      <c r="N31" s="307" t="str">
        <f t="shared" ca="1" si="14"/>
        <v>狗 chien</v>
      </c>
      <c r="Q31" s="105"/>
      <c r="R31" s="108">
        <v>9895</v>
      </c>
      <c r="S31" s="108">
        <v>10249</v>
      </c>
      <c r="T31" s="117">
        <v>1928</v>
      </c>
      <c r="U31" s="110" t="s">
        <v>439</v>
      </c>
      <c r="V31" s="331"/>
      <c r="X31" s="75">
        <f t="shared" ca="1" si="12"/>
        <v>42792</v>
      </c>
      <c r="Y31" s="234" t="str">
        <f t="shared" ca="1" si="7"/>
        <v>mica      35</v>
      </c>
      <c r="Z31" s="76">
        <f t="shared" si="8"/>
        <v>30008</v>
      </c>
      <c r="AA31" s="77">
        <f t="shared" ca="1" si="13"/>
        <v>35</v>
      </c>
    </row>
    <row r="32" spans="1:27" ht="15.75" customHeight="1" thickBot="1" x14ac:dyDescent="0.3">
      <c r="A32" s="308" t="s">
        <v>607</v>
      </c>
      <c r="B32" s="309" t="s">
        <v>608</v>
      </c>
      <c r="C32" s="309" t="str">
        <f t="shared" si="15"/>
        <v>malandin  yoann</v>
      </c>
      <c r="D32" s="310" t="str">
        <f t="shared" ca="1" si="16"/>
        <v>malandin  yoann    37</v>
      </c>
      <c r="E32" s="310">
        <v>29300</v>
      </c>
      <c r="F32" s="311">
        <f t="shared" si="17"/>
        <v>29300</v>
      </c>
      <c r="G32" s="310">
        <f t="shared" ca="1" si="18"/>
        <v>42814</v>
      </c>
      <c r="H32" s="309" t="s">
        <v>43</v>
      </c>
      <c r="I32" s="312" t="str">
        <f t="shared" ca="1" si="19"/>
        <v/>
      </c>
      <c r="J32" s="313">
        <f t="shared" ca="1" si="20"/>
        <v>37</v>
      </c>
      <c r="K32" s="313" t="str">
        <f t="shared" ca="1" si="21"/>
        <v xml:space="preserve">  37</v>
      </c>
      <c r="L32" s="314" t="str">
        <f>IF(H32="naissance",IF(E32="","",INDEX({"Capricorne";"Verseau";"Poisson";"Bélier";"Taureau";"Gémeaux";"Cancer";"Lion";"Vierge";"Balance";"Scorpion";"Sagittaire";"Capricorne";""},MATCH(DATE(,MONTH(E32),DAY(E32)),{0;20;51;81;111;142;173;205;237;267;297;327;357},1))),"")</f>
        <v>Poisson</v>
      </c>
      <c r="M32" s="315" t="str">
        <f>IF(H32="naissance",IF(F32="","",INDEX({"g";"h";"i";"^";"_";"z";"a";"b";"c";"d";"e";"f";"g";""},MATCH(DATE(,MONTH(F32),DAY(F32)),{0;20;51;81;111;142;173;205;237;267;297;327;357},1))),"")</f>
        <v>i</v>
      </c>
      <c r="N32" s="316" t="str">
        <f t="shared" ca="1" si="14"/>
        <v>猴 singe</v>
      </c>
      <c r="Q32" s="105"/>
      <c r="R32" s="108">
        <v>10250</v>
      </c>
      <c r="S32" s="108">
        <v>10633</v>
      </c>
      <c r="T32" s="117">
        <v>1929</v>
      </c>
      <c r="U32" s="110" t="s">
        <v>441</v>
      </c>
      <c r="V32" s="330" t="s">
        <v>449</v>
      </c>
      <c r="X32" s="75">
        <f t="shared" ca="1" si="12"/>
        <v>42814</v>
      </c>
      <c r="Y32" s="234" t="str">
        <f t="shared" ca="1" si="7"/>
        <v>malandin  yoann    37</v>
      </c>
      <c r="Z32" s="76">
        <f t="shared" si="8"/>
        <v>29300</v>
      </c>
      <c r="AA32" s="77">
        <f t="shared" ca="1" si="13"/>
        <v>37</v>
      </c>
    </row>
    <row r="33" spans="1:27" ht="15.75" customHeight="1" thickBot="1" x14ac:dyDescent="0.3">
      <c r="A33" s="298" t="s">
        <v>609</v>
      </c>
      <c r="B33" s="299" t="s">
        <v>610</v>
      </c>
      <c r="C33" s="299" t="str">
        <f t="shared" si="15"/>
        <v>taraud  albane</v>
      </c>
      <c r="D33" s="300" t="str">
        <f t="shared" ca="1" si="16"/>
        <v>taraud  albane    8</v>
      </c>
      <c r="E33" s="300">
        <v>39901</v>
      </c>
      <c r="F33" s="301">
        <f t="shared" si="17"/>
        <v>39901</v>
      </c>
      <c r="G33" s="302">
        <f t="shared" ca="1" si="18"/>
        <v>42823</v>
      </c>
      <c r="H33" s="299" t="s">
        <v>43</v>
      </c>
      <c r="I33" s="303" t="str">
        <f t="shared" ca="1" si="19"/>
        <v/>
      </c>
      <c r="J33" s="304">
        <f t="shared" ca="1" si="20"/>
        <v>8</v>
      </c>
      <c r="K33" s="304" t="str">
        <f t="shared" ca="1" si="21"/>
        <v xml:space="preserve">  8</v>
      </c>
      <c r="L33" s="305" t="str">
        <f>IF(H33="naissance",IF(E33="","",INDEX({"Capricorne";"Verseau";"Poisson";"Bélier";"Taureau";"Gémeaux";"Cancer";"Lion";"Vierge";"Balance";"Scorpion";"Sagittaire";"Capricorne";""},MATCH(DATE(,MONTH(E33),DAY(E33)),{0;20;51;81;111;142;173;205;237;267;297;327;357},1))),"")</f>
        <v>Bélier</v>
      </c>
      <c r="M33" s="306" t="str">
        <f>IF(H33="naissance",IF(F33="","",INDEX({"g";"h";"i";"^";"_";"z";"a";"b";"c";"d";"e";"f";"g";""},MATCH(DATE(,MONTH(F33),DAY(F33)),{0;20;51;81;111;142;173;205;237;267;297;327;357},1))),"")</f>
        <v>^</v>
      </c>
      <c r="N33" s="307" t="str">
        <f t="shared" ca="1" si="14"/>
        <v>牛 buffle</v>
      </c>
      <c r="Q33" s="105"/>
      <c r="R33" s="108">
        <v>10634</v>
      </c>
      <c r="S33" s="108">
        <v>10987</v>
      </c>
      <c r="T33" s="117">
        <v>1930</v>
      </c>
      <c r="U33" s="110" t="s">
        <v>443</v>
      </c>
      <c r="V33" s="331"/>
      <c r="X33" s="75">
        <f t="shared" ca="1" si="12"/>
        <v>42823</v>
      </c>
      <c r="Y33" s="234" t="str">
        <f t="shared" ca="1" si="7"/>
        <v>taraud  albane    8</v>
      </c>
      <c r="Z33" s="76">
        <f t="shared" si="8"/>
        <v>39901</v>
      </c>
      <c r="AA33" s="77">
        <f t="shared" ca="1" si="13"/>
        <v>8</v>
      </c>
    </row>
    <row r="34" spans="1:27" ht="15.75" customHeight="1" thickBot="1" x14ac:dyDescent="0.3">
      <c r="A34" s="308" t="s">
        <v>603</v>
      </c>
      <c r="B34" s="309" t="s">
        <v>54</v>
      </c>
      <c r="C34" s="309" t="str">
        <f t="shared" si="15"/>
        <v>decelle  daniel</v>
      </c>
      <c r="D34" s="310" t="str">
        <f t="shared" ca="1" si="16"/>
        <v>decelle  daniel    38</v>
      </c>
      <c r="E34" s="310">
        <v>28944</v>
      </c>
      <c r="F34" s="311">
        <f t="shared" si="17"/>
        <v>28944</v>
      </c>
      <c r="G34" s="310">
        <f t="shared" ca="1" si="18"/>
        <v>42824</v>
      </c>
      <c r="H34" s="309" t="s">
        <v>43</v>
      </c>
      <c r="I34" s="312" t="str">
        <f t="shared" ca="1" si="19"/>
        <v/>
      </c>
      <c r="J34" s="313">
        <f t="shared" ca="1" si="20"/>
        <v>38</v>
      </c>
      <c r="K34" s="313" t="str">
        <f t="shared" ca="1" si="21"/>
        <v xml:space="preserve">  38</v>
      </c>
      <c r="L34" s="314" t="str">
        <f>IF(H34="naissance",IF(E34="","",INDEX({"Capricorne";"Verseau";"Poisson";"Bélier";"Taureau";"Gémeaux";"Cancer";"Lion";"Vierge";"Balance";"Scorpion";"Sagittaire";"Capricorne";""},MATCH(DATE(,MONTH(E34),DAY(E34)),{0;20;51;81;111;142;173;205;237;267;297;327;357},1))),"")</f>
        <v>Bélier</v>
      </c>
      <c r="M34" s="315" t="str">
        <f>IF(H34="naissance",IF(F34="","",INDEX({"g";"h";"i";"^";"_";"z";"a";"b";"c";"d";"e";"f";"g";""},MATCH(DATE(,MONTH(F34),DAY(F34)),{0;20;51;81;111;142;173;205;237;267;297;327;357},1))),"")</f>
        <v>^</v>
      </c>
      <c r="N34" s="316" t="str">
        <f t="shared" ca="1" si="14"/>
        <v>羊 chèvre</v>
      </c>
      <c r="Q34" s="105"/>
      <c r="R34" s="108">
        <v>10988</v>
      </c>
      <c r="S34" s="108">
        <v>11370</v>
      </c>
      <c r="T34" s="117">
        <v>1931</v>
      </c>
      <c r="U34" s="110" t="s">
        <v>444</v>
      </c>
      <c r="V34" s="330" t="s">
        <v>435</v>
      </c>
      <c r="X34" s="75">
        <f t="shared" ca="1" si="12"/>
        <v>42824</v>
      </c>
      <c r="Y34" s="234" t="str">
        <f t="shared" ca="1" si="7"/>
        <v>decelle  daniel    38</v>
      </c>
      <c r="Z34" s="76">
        <f t="shared" si="8"/>
        <v>28944</v>
      </c>
      <c r="AA34" s="77">
        <f t="shared" ca="1" si="13"/>
        <v>38</v>
      </c>
    </row>
    <row r="35" spans="1:27" ht="15.75" customHeight="1" thickBot="1" x14ac:dyDescent="0.3">
      <c r="A35" s="298" t="s">
        <v>603</v>
      </c>
      <c r="B35" s="299" t="s">
        <v>611</v>
      </c>
      <c r="C35" s="299" t="str">
        <f t="shared" si="15"/>
        <v>decelle  antoine</v>
      </c>
      <c r="D35" s="300" t="str">
        <f t="shared" ca="1" si="16"/>
        <v>decelle  antoine    7</v>
      </c>
      <c r="E35" s="300">
        <v>40259</v>
      </c>
      <c r="F35" s="301">
        <f t="shared" si="17"/>
        <v>40259</v>
      </c>
      <c r="G35" s="302">
        <f t="shared" ca="1" si="18"/>
        <v>42816</v>
      </c>
      <c r="H35" s="299" t="s">
        <v>43</v>
      </c>
      <c r="I35" s="303" t="str">
        <f t="shared" ca="1" si="19"/>
        <v/>
      </c>
      <c r="J35" s="304">
        <f t="shared" ca="1" si="20"/>
        <v>7</v>
      </c>
      <c r="K35" s="304" t="str">
        <f t="shared" ca="1" si="21"/>
        <v xml:space="preserve">  7</v>
      </c>
      <c r="L35" s="305" t="str">
        <f>IF(H35="naissance",IF(E35="","",INDEX({"Capricorne";"Verseau";"Poisson";"Bélier";"Taureau";"Gémeaux";"Cancer";"Lion";"Vierge";"Balance";"Scorpion";"Sagittaire";"Capricorne";""},MATCH(DATE(,MONTH(E35),DAY(E35)),{0;20;51;81;111;142;173;205;237;267;297;327;357},1))),"")</f>
        <v>Bélier</v>
      </c>
      <c r="M35" s="306" t="str">
        <f>IF(H35="naissance",IF(F35="","",INDEX({"g";"h";"i";"^";"_";"z";"a";"b";"c";"d";"e";"f";"g";""},MATCH(DATE(,MONTH(F35),DAY(F35)),{0;20;51;81;111;142;173;205;237;267;297;327;357},1))),"")</f>
        <v>^</v>
      </c>
      <c r="N35" s="307" t="str">
        <f t="shared" ca="1" si="14"/>
        <v>虎 tigre</v>
      </c>
      <c r="Q35" s="105"/>
      <c r="R35" s="108">
        <v>11371</v>
      </c>
      <c r="S35" s="108">
        <v>11724</v>
      </c>
      <c r="T35" s="117">
        <v>1932</v>
      </c>
      <c r="U35" s="110" t="s">
        <v>447</v>
      </c>
      <c r="V35" s="331"/>
      <c r="X35" s="75">
        <f t="shared" ca="1" si="12"/>
        <v>42816</v>
      </c>
      <c r="Y35" s="234" t="str">
        <f t="shared" ca="1" si="7"/>
        <v>decelle  antoine    7</v>
      </c>
      <c r="Z35" s="76">
        <f t="shared" ref="Z35:Z65" si="22">E35</f>
        <v>40259</v>
      </c>
      <c r="AA35" s="77">
        <f t="shared" ca="1" si="13"/>
        <v>7</v>
      </c>
    </row>
    <row r="36" spans="1:27" ht="15.75" customHeight="1" thickBot="1" x14ac:dyDescent="0.3">
      <c r="A36" s="308" t="s">
        <v>603</v>
      </c>
      <c r="B36" s="309" t="s">
        <v>612</v>
      </c>
      <c r="C36" s="309" t="str">
        <f t="shared" si="15"/>
        <v>decelle  emma</v>
      </c>
      <c r="D36" s="310" t="str">
        <f t="shared" ca="1" si="16"/>
        <v>decelle  emma    9</v>
      </c>
      <c r="E36" s="310">
        <v>39537</v>
      </c>
      <c r="F36" s="311">
        <f t="shared" si="17"/>
        <v>39537</v>
      </c>
      <c r="G36" s="310">
        <f t="shared" ca="1" si="18"/>
        <v>42824</v>
      </c>
      <c r="H36" s="309" t="s">
        <v>43</v>
      </c>
      <c r="I36" s="312" t="str">
        <f t="shared" ca="1" si="19"/>
        <v/>
      </c>
      <c r="J36" s="313">
        <f t="shared" ca="1" si="20"/>
        <v>9</v>
      </c>
      <c r="K36" s="313" t="str">
        <f t="shared" ca="1" si="21"/>
        <v xml:space="preserve">  9</v>
      </c>
      <c r="L36" s="314" t="str">
        <f>IF(H36="naissance",IF(E36="","",INDEX({"Capricorne";"Verseau";"Poisson";"Bélier";"Taureau";"Gémeaux";"Cancer";"Lion";"Vierge";"Balance";"Scorpion";"Sagittaire";"Capricorne";""},MATCH(DATE(,MONTH(E36),DAY(E36)),{0;20;51;81;111;142;173;205;237;267;297;327;357},1))),"")</f>
        <v>Bélier</v>
      </c>
      <c r="M36" s="315" t="str">
        <f>IF(H36="naissance",IF(F36="","",INDEX({"g";"h";"i";"^";"_";"z";"a";"b";"c";"d";"e";"f";"g";""},MATCH(DATE(,MONTH(F36),DAY(F36)),{0;20;51;81;111;142;173;205;237;267;297;327;357},1))),"")</f>
        <v>^</v>
      </c>
      <c r="N36" s="316" t="str">
        <f t="shared" ca="1" si="14"/>
        <v>鼠 rat</v>
      </c>
      <c r="Q36" s="105"/>
      <c r="R36" s="108">
        <v>11725</v>
      </c>
      <c r="S36" s="108">
        <v>12079</v>
      </c>
      <c r="T36" s="117">
        <v>1933</v>
      </c>
      <c r="U36" s="110" t="s">
        <v>448</v>
      </c>
      <c r="V36" s="330" t="s">
        <v>438</v>
      </c>
      <c r="X36" s="75">
        <f t="shared" ca="1" si="12"/>
        <v>42824</v>
      </c>
      <c r="Y36" s="234" t="str">
        <f t="shared" ca="1" si="7"/>
        <v>decelle  emma    9</v>
      </c>
      <c r="Z36" s="76">
        <f t="shared" si="22"/>
        <v>39537</v>
      </c>
      <c r="AA36" s="77">
        <f t="shared" ca="1" si="13"/>
        <v>9</v>
      </c>
    </row>
    <row r="37" spans="1:27" ht="15.75" customHeight="1" thickBot="1" x14ac:dyDescent="0.3">
      <c r="A37" s="298" t="s">
        <v>58</v>
      </c>
      <c r="B37" s="299" t="s">
        <v>613</v>
      </c>
      <c r="C37" s="299" t="str">
        <f t="shared" si="15"/>
        <v>boireau  bejamin</v>
      </c>
      <c r="D37" s="300" t="str">
        <f t="shared" ca="1" si="16"/>
        <v>boireau  bejamin    3</v>
      </c>
      <c r="E37" s="300">
        <v>41743</v>
      </c>
      <c r="F37" s="301">
        <f t="shared" si="17"/>
        <v>41743</v>
      </c>
      <c r="G37" s="302">
        <f t="shared" ca="1" si="18"/>
        <v>42839</v>
      </c>
      <c r="H37" s="299" t="s">
        <v>43</v>
      </c>
      <c r="I37" s="303" t="str">
        <f t="shared" ca="1" si="19"/>
        <v/>
      </c>
      <c r="J37" s="304">
        <f t="shared" ca="1" si="20"/>
        <v>3</v>
      </c>
      <c r="K37" s="304" t="str">
        <f t="shared" ca="1" si="21"/>
        <v xml:space="preserve">  3</v>
      </c>
      <c r="L37" s="305" t="str">
        <f>IF(H37="naissance",IF(E37="","",INDEX({"Capricorne";"Verseau";"Poisson";"Bélier";"Taureau";"Gémeaux";"Cancer";"Lion";"Vierge";"Balance";"Scorpion";"Sagittaire";"Capricorne";""},MATCH(DATE(,MONTH(E37),DAY(E37)),{0;20;51;81;111;142;173;205;237;267;297;327;357},1))),"")</f>
        <v>Bélier</v>
      </c>
      <c r="M37" s="306" t="str">
        <f>IF(H37="naissance",IF(F37="","",INDEX({"g";"h";"i";"^";"_";"z";"a";"b";"c";"d";"e";"f";"g";""},MATCH(DATE(,MONTH(F37),DAY(F37)),{0;20;51;81;111;142;173;205;237;267;297;327;357},1))),"")</f>
        <v>^</v>
      </c>
      <c r="N37" s="307" t="str">
        <f t="shared" ca="1" si="14"/>
        <v>馬 cheval</v>
      </c>
      <c r="Q37" s="105"/>
      <c r="R37" s="108">
        <v>12080</v>
      </c>
      <c r="S37" s="108">
        <v>12463</v>
      </c>
      <c r="T37" s="117">
        <v>1934</v>
      </c>
      <c r="U37" s="110" t="s">
        <v>450</v>
      </c>
      <c r="V37" s="331"/>
      <c r="X37" s="75">
        <f t="shared" ref="X37:X46" ca="1" si="23">DATE(YEAR(TODAY()),MONTH(Z37),DAY(Z37))</f>
        <v>42839</v>
      </c>
      <c r="Y37" s="234" t="str">
        <f t="shared" ca="1" si="7"/>
        <v>boireau  bejamin    3</v>
      </c>
      <c r="Z37" s="76">
        <f t="shared" si="22"/>
        <v>41743</v>
      </c>
    </row>
    <row r="38" spans="1:27" ht="15.75" customHeight="1" thickBot="1" x14ac:dyDescent="0.3">
      <c r="A38" s="308" t="s">
        <v>614</v>
      </c>
      <c r="B38" s="309" t="s">
        <v>615</v>
      </c>
      <c r="C38" s="309" t="str">
        <f t="shared" si="15"/>
        <v>laborde  marine</v>
      </c>
      <c r="D38" s="310" t="str">
        <f t="shared" ca="1" si="16"/>
        <v>laborde  marine    23</v>
      </c>
      <c r="E38" s="310">
        <v>34411</v>
      </c>
      <c r="F38" s="311">
        <f t="shared" si="17"/>
        <v>34411</v>
      </c>
      <c r="G38" s="310">
        <f t="shared" ca="1" si="18"/>
        <v>42812</v>
      </c>
      <c r="H38" s="309" t="s">
        <v>43</v>
      </c>
      <c r="I38" s="312" t="str">
        <f t="shared" ca="1" si="19"/>
        <v/>
      </c>
      <c r="J38" s="313">
        <f t="shared" ca="1" si="20"/>
        <v>23</v>
      </c>
      <c r="K38" s="313" t="str">
        <f t="shared" ca="1" si="21"/>
        <v xml:space="preserve">  23</v>
      </c>
      <c r="L38" s="314" t="str">
        <f>IF(H38="naissance",IF(E38="","",INDEX({"Capricorne";"Verseau";"Poisson";"Bélier";"Taureau";"Gémeaux";"Cancer";"Lion";"Vierge";"Balance";"Scorpion";"Sagittaire";"Capricorne";""},MATCH(DATE(,MONTH(E38),DAY(E38)),{0;20;51;81;111;142;173;205;237;267;297;327;357},1))),"")</f>
        <v>Poisson</v>
      </c>
      <c r="M38" s="315" t="str">
        <f>IF(H38="naissance",IF(F38="","",INDEX({"g";"h";"i";"^";"_";"z";"a";"b";"c";"d";"e";"f";"g";""},MATCH(DATE(,MONTH(F38),DAY(F38)),{0;20;51;81;111;142;173;205;237;267;297;327;357},1))),"")</f>
        <v>i</v>
      </c>
      <c r="N38" s="316" t="str">
        <f t="shared" ca="1" si="14"/>
        <v>狗 chien</v>
      </c>
      <c r="R38" s="108">
        <v>12464</v>
      </c>
      <c r="S38" s="108">
        <v>12818</v>
      </c>
      <c r="T38" s="117">
        <v>1935</v>
      </c>
      <c r="U38" s="110" t="s">
        <v>451</v>
      </c>
      <c r="V38" s="330" t="s">
        <v>442</v>
      </c>
      <c r="X38" s="75">
        <f t="shared" ca="1" si="23"/>
        <v>42812</v>
      </c>
      <c r="Y38" s="234" t="str">
        <f t="shared" ca="1" si="7"/>
        <v>laborde  marine    23</v>
      </c>
      <c r="Z38" s="76">
        <f t="shared" si="22"/>
        <v>34411</v>
      </c>
    </row>
    <row r="39" spans="1:27" ht="15.75" customHeight="1" thickBot="1" x14ac:dyDescent="0.3">
      <c r="A39" s="298" t="s">
        <v>58</v>
      </c>
      <c r="B39" s="299" t="s">
        <v>616</v>
      </c>
      <c r="C39" s="299" t="str">
        <f t="shared" si="15"/>
        <v>boireau  léna</v>
      </c>
      <c r="D39" s="300" t="str">
        <f t="shared" ca="1" si="16"/>
        <v>boireau  léna    2</v>
      </c>
      <c r="E39" s="300">
        <v>41878</v>
      </c>
      <c r="F39" s="301">
        <f t="shared" si="17"/>
        <v>41878</v>
      </c>
      <c r="G39" s="302">
        <f t="shared" ca="1" si="18"/>
        <v>42974</v>
      </c>
      <c r="H39" s="299" t="s">
        <v>43</v>
      </c>
      <c r="I39" s="303" t="str">
        <f t="shared" ca="1" si="19"/>
        <v/>
      </c>
      <c r="J39" s="304">
        <f t="shared" ca="1" si="20"/>
        <v>2</v>
      </c>
      <c r="K39" s="304" t="str">
        <f t="shared" ca="1" si="21"/>
        <v xml:space="preserve">  2</v>
      </c>
      <c r="L39" s="305" t="str">
        <f>IF(H39="naissance",IF(E39="","",INDEX({"Capricorne";"Verseau";"Poisson";"Bélier";"Taureau";"Gémeaux";"Cancer";"Lion";"Vierge";"Balance";"Scorpion";"Sagittaire";"Capricorne";""},MATCH(DATE(,MONTH(E39),DAY(E39)),{0;20;51;81;111;142;173;205;237;267;297;327;357},1))),"")</f>
        <v>Vierge</v>
      </c>
      <c r="M39" s="306" t="str">
        <f>IF(H39="naissance",IF(F39="","",INDEX({"g";"h";"i";"^";"_";"z";"a";"b";"c";"d";"e";"f";"g";""},MATCH(DATE(,MONTH(F39),DAY(F39)),{0;20;51;81;111;142;173;205;237;267;297;327;357},1))),"")</f>
        <v>c</v>
      </c>
      <c r="N39" s="307" t="str">
        <f t="shared" ca="1" si="14"/>
        <v>馬 cheval</v>
      </c>
      <c r="R39" s="108">
        <v>12819</v>
      </c>
      <c r="S39" s="108">
        <v>13172</v>
      </c>
      <c r="T39" s="117">
        <v>1936</v>
      </c>
      <c r="U39" s="110" t="s">
        <v>452</v>
      </c>
      <c r="V39" s="331"/>
      <c r="X39" s="75">
        <f t="shared" ca="1" si="23"/>
        <v>42974</v>
      </c>
      <c r="Y39" s="234" t="str">
        <f t="shared" ca="1" si="7"/>
        <v>boireau  léna    2</v>
      </c>
      <c r="Z39" s="76">
        <f t="shared" si="22"/>
        <v>41878</v>
      </c>
    </row>
    <row r="40" spans="1:27" ht="15.75" customHeight="1" thickBot="1" x14ac:dyDescent="0.3">
      <c r="A40" s="298"/>
      <c r="B40" s="299"/>
      <c r="C40" s="299"/>
      <c r="D40" s="300"/>
      <c r="E40" s="300"/>
      <c r="F40" s="301"/>
      <c r="G40" s="302"/>
      <c r="H40" s="299"/>
      <c r="I40" s="303"/>
      <c r="J40" s="304"/>
      <c r="K40" s="304"/>
      <c r="L40" s="305"/>
      <c r="M40" s="306"/>
      <c r="N40" s="307"/>
      <c r="R40" s="108">
        <v>13173</v>
      </c>
      <c r="S40" s="108">
        <v>13556</v>
      </c>
      <c r="T40" s="117">
        <v>1937</v>
      </c>
      <c r="U40" s="109" t="s">
        <v>434</v>
      </c>
      <c r="V40" s="330" t="s">
        <v>445</v>
      </c>
      <c r="X40" s="75">
        <f t="shared" ca="1" si="23"/>
        <v>42735</v>
      </c>
      <c r="Y40" s="234">
        <f t="shared" si="7"/>
        <v>0</v>
      </c>
      <c r="Z40" s="76">
        <f t="shared" si="22"/>
        <v>0</v>
      </c>
    </row>
    <row r="41" spans="1:27" ht="15.75" customHeight="1" thickBot="1" x14ac:dyDescent="0.3">
      <c r="A41" s="292"/>
      <c r="B41" s="293"/>
      <c r="C41" s="293" t="str">
        <f t="shared" si="5"/>
        <v xml:space="preserve">  </v>
      </c>
      <c r="D41" s="294" t="str">
        <f t="shared" ca="1" si="6"/>
        <v xml:space="preserve">      </v>
      </c>
      <c r="E41" s="294"/>
      <c r="F41" s="295" t="str">
        <f t="shared" ref="F41:F90" si="24">IF(E41&lt;1/1/1900,"",E41)</f>
        <v/>
      </c>
      <c r="G41" s="294" t="str">
        <f t="shared" ref="G41:G90" ca="1" si="25">IF(E41&lt;1/1/2000,"",DATE(YEAR(TODAY()),MONTH(E41),DAY(F41)))</f>
        <v/>
      </c>
      <c r="H41" s="293"/>
      <c r="I41" s="293" t="str">
        <f t="shared" ref="I41:I65" ca="1" si="26">IF(E41&gt;$AB$1,"",IF(B41="","",IF(H41&lt;&gt;"naissance",IF(F41&lt;1/1/19000," ",DATEDIF(F41,TODAY(),"y")),"")))</f>
        <v/>
      </c>
      <c r="J41" s="296" t="str">
        <f t="shared" ref="J41:J66" ca="1" si="27">IF(H41="naissance",IF(F41&lt;1/1/19000," ",DATEDIF(F41,TODAY(),"y")),"")</f>
        <v/>
      </c>
      <c r="K41" s="296" t="str">
        <f t="shared" ca="1" si="10"/>
        <v xml:space="preserve">  </v>
      </c>
      <c r="L41" s="296" t="str">
        <f>IF(H41="naissance",IF(E41="","",INDEX({"Capricorne";"Verseau";"Poisson";"Bélier";"Taureau";"Gémeaux";"Cancer";"Lion";"Vierge";"Balance";"Scorpion";"Sagittaire";"Capricorne";""},MATCH(DATE(,MONTH(E41),DAY(E41)),{0;20;51;81;111;142;173;205;237;267;297;327;357},1))),"")</f>
        <v/>
      </c>
      <c r="M41" s="296" t="str">
        <f>IF(H41="naissance",IF(F41="","",INDEX({"g";"h";"i";"^";"_";"z";"a";"b";"c";"d";"e";"f";"g";""},MATCH(DATE(,MONTH(F41),DAY(F41)),{0;20;51;81;111;142;173;205;237;267;297;327;357},1))),"")</f>
        <v/>
      </c>
      <c r="N41" s="297" t="str">
        <f t="shared" ref="N41:N66" ca="1" si="28">IF(H41="naissance",OFFSET($U$3,MATCH(E41,$S$4:$S$123,1)+1,),"")</f>
        <v/>
      </c>
      <c r="R41" s="108">
        <v>13557</v>
      </c>
      <c r="S41" s="108">
        <v>13910</v>
      </c>
      <c r="T41" s="117">
        <v>1938</v>
      </c>
      <c r="U41" s="110" t="s">
        <v>436</v>
      </c>
      <c r="V41" s="331"/>
      <c r="X41" s="75">
        <f t="shared" ca="1" si="23"/>
        <v>42735</v>
      </c>
      <c r="Y41" s="234" t="str">
        <f t="shared" ca="1" si="7"/>
        <v xml:space="preserve">      </v>
      </c>
      <c r="Z41" s="76">
        <f t="shared" si="22"/>
        <v>0</v>
      </c>
    </row>
    <row r="42" spans="1:27" ht="15.75" customHeight="1" thickBot="1" x14ac:dyDescent="0.3">
      <c r="A42" s="298"/>
      <c r="B42" s="299"/>
      <c r="C42" s="299" t="str">
        <f t="shared" si="5"/>
        <v xml:space="preserve">  </v>
      </c>
      <c r="D42" s="300" t="str">
        <f t="shared" ca="1" si="6"/>
        <v xml:space="preserve">      </v>
      </c>
      <c r="E42" s="300"/>
      <c r="F42" s="301" t="str">
        <f t="shared" si="24"/>
        <v/>
      </c>
      <c r="G42" s="302" t="str">
        <f t="shared" ca="1" si="25"/>
        <v/>
      </c>
      <c r="H42" s="299"/>
      <c r="I42" s="303" t="str">
        <f t="shared" ca="1" si="26"/>
        <v/>
      </c>
      <c r="J42" s="304" t="str">
        <f t="shared" ca="1" si="27"/>
        <v/>
      </c>
      <c r="K42" s="304" t="str">
        <f t="shared" ca="1" si="10"/>
        <v xml:space="preserve">  </v>
      </c>
      <c r="L42" s="305" t="str">
        <f>IF(H42="naissance",IF(E42="","",INDEX({"Capricorne";"Verseau";"Poisson";"Bélier";"Taureau";"Gémeaux";"Cancer";"Lion";"Vierge";"Balance";"Scorpion";"Sagittaire";"Capricorne";""},MATCH(DATE(,MONTH(E42),DAY(E42)),{0;20;51;81;111;142;173;205;237;267;297;327;357},1))),"")</f>
        <v/>
      </c>
      <c r="M42" s="306" t="str">
        <f>IF(H42="naissance",IF(F42="","",INDEX({"g";"h";"i";"^";"_";"z";"a";"b";"c";"d";"e";"f";"g";""},MATCH(DATE(,MONTH(F42),DAY(F42)),{0;20;51;81;111;142;173;205;237;267;297;327;357},1))),"")</f>
        <v/>
      </c>
      <c r="N42" s="307" t="str">
        <f t="shared" ca="1" si="28"/>
        <v/>
      </c>
      <c r="R42" s="108">
        <v>13911</v>
      </c>
      <c r="S42" s="108">
        <v>14294</v>
      </c>
      <c r="T42" s="117">
        <v>1939</v>
      </c>
      <c r="U42" s="110" t="s">
        <v>437</v>
      </c>
      <c r="V42" s="330" t="s">
        <v>449</v>
      </c>
      <c r="X42" s="75">
        <f t="shared" ca="1" si="23"/>
        <v>42735</v>
      </c>
      <c r="Y42" s="234" t="str">
        <f t="shared" ca="1" si="7"/>
        <v xml:space="preserve">      </v>
      </c>
      <c r="Z42" s="76">
        <f t="shared" si="22"/>
        <v>0</v>
      </c>
    </row>
    <row r="43" spans="1:27" ht="15.75" customHeight="1" thickBot="1" x14ac:dyDescent="0.3">
      <c r="A43" s="308"/>
      <c r="B43" s="309"/>
      <c r="C43" s="309" t="str">
        <f t="shared" si="5"/>
        <v xml:space="preserve">  </v>
      </c>
      <c r="D43" s="310" t="str">
        <f t="shared" ca="1" si="6"/>
        <v xml:space="preserve">      </v>
      </c>
      <c r="E43" s="310"/>
      <c r="F43" s="311" t="str">
        <f t="shared" si="24"/>
        <v/>
      </c>
      <c r="G43" s="310" t="str">
        <f t="shared" ca="1" si="25"/>
        <v/>
      </c>
      <c r="H43" s="309"/>
      <c r="I43" s="312" t="str">
        <f t="shared" ca="1" si="26"/>
        <v/>
      </c>
      <c r="J43" s="313" t="str">
        <f t="shared" ca="1" si="27"/>
        <v/>
      </c>
      <c r="K43" s="313" t="str">
        <f t="shared" ca="1" si="10"/>
        <v xml:space="preserve">  </v>
      </c>
      <c r="L43" s="314" t="str">
        <f>IF(H43="naissance",IF(E43="","",INDEX({"Capricorne";"Verseau";"Poisson";"Bélier";"Taureau";"Gémeaux";"Cancer";"Lion";"Vierge";"Balance";"Scorpion";"Sagittaire";"Capricorne";""},MATCH(DATE(,MONTH(E43),DAY(E43)),{0;20;51;81;111;142;173;205;237;267;297;327;357},1))),"")</f>
        <v/>
      </c>
      <c r="M43" s="315" t="str">
        <f>IF(H43="naissance",IF(F43="","",INDEX({"g";"h";"i";"^";"_";"z";"a";"b";"c";"d";"e";"f";"g";""},MATCH(DATE(,MONTH(F43),DAY(F43)),{0;20;51;81;111;142;173;205;237;267;297;327;357},1))),"")</f>
        <v/>
      </c>
      <c r="N43" s="316" t="str">
        <f t="shared" ca="1" si="28"/>
        <v/>
      </c>
      <c r="R43" s="108">
        <v>14295</v>
      </c>
      <c r="S43" s="108">
        <v>14648</v>
      </c>
      <c r="T43" s="117">
        <v>1940</v>
      </c>
      <c r="U43" s="110" t="s">
        <v>439</v>
      </c>
      <c r="V43" s="331"/>
      <c r="X43" s="75">
        <f t="shared" ca="1" si="23"/>
        <v>42735</v>
      </c>
      <c r="Y43" s="234" t="str">
        <f t="shared" ca="1" si="7"/>
        <v xml:space="preserve">      </v>
      </c>
      <c r="Z43" s="76">
        <f t="shared" si="22"/>
        <v>0</v>
      </c>
    </row>
    <row r="44" spans="1:27" ht="15.75" customHeight="1" thickBot="1" x14ac:dyDescent="0.3">
      <c r="A44" s="298"/>
      <c r="B44" s="299"/>
      <c r="C44" s="299" t="str">
        <f t="shared" si="5"/>
        <v xml:space="preserve">  </v>
      </c>
      <c r="D44" s="300" t="str">
        <f t="shared" ca="1" si="6"/>
        <v xml:space="preserve">      </v>
      </c>
      <c r="E44" s="300"/>
      <c r="F44" s="301" t="str">
        <f t="shared" si="24"/>
        <v/>
      </c>
      <c r="G44" s="302" t="str">
        <f t="shared" ca="1" si="25"/>
        <v/>
      </c>
      <c r="H44" s="299"/>
      <c r="I44" s="303" t="str">
        <f t="shared" ca="1" si="26"/>
        <v/>
      </c>
      <c r="J44" s="304" t="str">
        <f t="shared" ca="1" si="27"/>
        <v/>
      </c>
      <c r="K44" s="304" t="str">
        <f t="shared" ca="1" si="10"/>
        <v xml:space="preserve">  </v>
      </c>
      <c r="L44" s="305" t="str">
        <f>IF(H44="naissance",IF(E44="","",INDEX({"Capricorne";"Verseau";"Poisson";"Bélier";"Taureau";"Gémeaux";"Cancer";"Lion";"Vierge";"Balance";"Scorpion";"Sagittaire";"Capricorne";""},MATCH(DATE(,MONTH(E44),DAY(E44)),{0;20;51;81;111;142;173;205;237;267;297;327;357},1))),"")</f>
        <v/>
      </c>
      <c r="M44" s="306" t="str">
        <f>IF(H44="naissance",IF(F44="","",INDEX({"g";"h";"i";"^";"_";"z";"a";"b";"c";"d";"e";"f";"g";""},MATCH(DATE(,MONTH(F44),DAY(F44)),{0;20;51;81;111;142;173;205;237;267;297;327;357},1))),"")</f>
        <v/>
      </c>
      <c r="N44" s="307" t="str">
        <f t="shared" ca="1" si="28"/>
        <v/>
      </c>
      <c r="R44" s="108">
        <v>14649</v>
      </c>
      <c r="S44" s="108">
        <v>15002</v>
      </c>
      <c r="T44" s="117">
        <v>1941</v>
      </c>
      <c r="U44" s="110" t="s">
        <v>441</v>
      </c>
      <c r="V44" s="330" t="s">
        <v>435</v>
      </c>
      <c r="X44" s="75">
        <f t="shared" ca="1" si="23"/>
        <v>42735</v>
      </c>
      <c r="Y44" s="234" t="str">
        <f t="shared" ca="1" si="7"/>
        <v xml:space="preserve">      </v>
      </c>
      <c r="Z44" s="76">
        <f t="shared" si="22"/>
        <v>0</v>
      </c>
    </row>
    <row r="45" spans="1:27" ht="15.75" customHeight="1" thickBot="1" x14ac:dyDescent="0.3">
      <c r="A45" s="308"/>
      <c r="B45" s="309"/>
      <c r="C45" s="309" t="str">
        <f t="shared" si="5"/>
        <v xml:space="preserve">  </v>
      </c>
      <c r="D45" s="310" t="str">
        <f t="shared" ca="1" si="6"/>
        <v xml:space="preserve">      </v>
      </c>
      <c r="E45" s="310"/>
      <c r="F45" s="311" t="str">
        <f t="shared" si="24"/>
        <v/>
      </c>
      <c r="G45" s="310" t="str">
        <f t="shared" ca="1" si="25"/>
        <v/>
      </c>
      <c r="H45" s="309"/>
      <c r="I45" s="312" t="str">
        <f t="shared" ca="1" si="26"/>
        <v/>
      </c>
      <c r="J45" s="313" t="str">
        <f t="shared" ca="1" si="27"/>
        <v/>
      </c>
      <c r="K45" s="313" t="str">
        <f t="shared" ca="1" si="10"/>
        <v xml:space="preserve">  </v>
      </c>
      <c r="L45" s="314" t="str">
        <f>IF(H45="naissance",IF(E45="","",INDEX({"Capricorne";"Verseau";"Poisson";"Bélier";"Taureau";"Gémeaux";"Cancer";"Lion";"Vierge";"Balance";"Scorpion";"Sagittaire";"Capricorne";""},MATCH(DATE(,MONTH(E45),DAY(E45)),{0;20;51;81;111;142;173;205;237;267;297;327;357},1))),"")</f>
        <v/>
      </c>
      <c r="M45" s="315" t="str">
        <f>IF(H45="naissance",IF(F45="","",INDEX({"g";"h";"i";"^";"_";"z";"a";"b";"c";"d";"e";"f";"g";""},MATCH(DATE(,MONTH(F45),DAY(F45)),{0;20;51;81;111;142;173;205;237;267;297;327;357},1))),"")</f>
        <v/>
      </c>
      <c r="N45" s="316" t="str">
        <f t="shared" ca="1" si="28"/>
        <v/>
      </c>
      <c r="R45" s="108">
        <v>15003</v>
      </c>
      <c r="S45" s="108">
        <v>15386</v>
      </c>
      <c r="T45" s="117">
        <v>1942</v>
      </c>
      <c r="U45" s="110" t="s">
        <v>443</v>
      </c>
      <c r="V45" s="331"/>
      <c r="X45" s="75">
        <f t="shared" ca="1" si="23"/>
        <v>42735</v>
      </c>
      <c r="Y45" s="234" t="str">
        <f t="shared" ca="1" si="7"/>
        <v xml:space="preserve">      </v>
      </c>
      <c r="Z45" s="76">
        <f t="shared" si="22"/>
        <v>0</v>
      </c>
    </row>
    <row r="46" spans="1:27" ht="15.75" customHeight="1" thickBot="1" x14ac:dyDescent="0.3">
      <c r="A46" s="298"/>
      <c r="B46" s="299"/>
      <c r="C46" s="299" t="str">
        <f t="shared" si="5"/>
        <v xml:space="preserve">  </v>
      </c>
      <c r="D46" s="300" t="str">
        <f t="shared" ca="1" si="6"/>
        <v xml:space="preserve">      </v>
      </c>
      <c r="E46" s="300"/>
      <c r="F46" s="301" t="str">
        <f t="shared" si="24"/>
        <v/>
      </c>
      <c r="G46" s="302" t="str">
        <f t="shared" ca="1" si="25"/>
        <v/>
      </c>
      <c r="H46" s="299"/>
      <c r="I46" s="303" t="str">
        <f t="shared" ca="1" si="26"/>
        <v/>
      </c>
      <c r="J46" s="304" t="str">
        <f t="shared" ca="1" si="27"/>
        <v/>
      </c>
      <c r="K46" s="304" t="str">
        <f t="shared" ca="1" si="10"/>
        <v xml:space="preserve">  </v>
      </c>
      <c r="L46" s="305" t="str">
        <f>IF(H46="naissance",IF(E46="","",INDEX({"Capricorne";"Verseau";"Poisson";"Bélier";"Taureau";"Gémeaux";"Cancer";"Lion";"Vierge";"Balance";"Scorpion";"Sagittaire";"Capricorne";""},MATCH(DATE(,MONTH(E46),DAY(E46)),{0;20;51;81;111;142;173;205;237;267;297;327;357},1))),"")</f>
        <v/>
      </c>
      <c r="M46" s="306" t="str">
        <f>IF(H46="naissance",IF(F46="","",INDEX({"g";"h";"i";"^";"_";"z";"a";"b";"c";"d";"e";"f";"g";""},MATCH(DATE(,MONTH(F46),DAY(F46)),{0;20;51;81;111;142;173;205;237;267;297;327;357},1))),"")</f>
        <v/>
      </c>
      <c r="N46" s="307" t="str">
        <f t="shared" ca="1" si="28"/>
        <v/>
      </c>
      <c r="R46" s="108">
        <v>15387</v>
      </c>
      <c r="S46" s="108">
        <v>15741</v>
      </c>
      <c r="T46" s="117">
        <v>1943</v>
      </c>
      <c r="U46" s="110" t="s">
        <v>444</v>
      </c>
      <c r="V46" s="330" t="s">
        <v>438</v>
      </c>
      <c r="X46" s="75">
        <f t="shared" ca="1" si="23"/>
        <v>42735</v>
      </c>
      <c r="Y46" s="234" t="str">
        <f t="shared" ca="1" si="7"/>
        <v xml:space="preserve">      </v>
      </c>
      <c r="Z46" s="76">
        <f t="shared" si="22"/>
        <v>0</v>
      </c>
    </row>
    <row r="47" spans="1:27" ht="15.75" customHeight="1" thickBot="1" x14ac:dyDescent="0.3">
      <c r="A47" s="308"/>
      <c r="B47" s="309"/>
      <c r="C47" s="309" t="str">
        <f t="shared" ref="C47:C100" si="29">CONCATENATE(A47,"  ",B47)</f>
        <v xml:space="preserve">  </v>
      </c>
      <c r="D47" s="310" t="str">
        <f t="shared" ca="1" si="6"/>
        <v xml:space="preserve">      </v>
      </c>
      <c r="E47" s="310"/>
      <c r="F47" s="311" t="str">
        <f t="shared" si="24"/>
        <v/>
      </c>
      <c r="G47" s="310" t="str">
        <f t="shared" ca="1" si="25"/>
        <v/>
      </c>
      <c r="H47" s="309"/>
      <c r="I47" s="312" t="str">
        <f t="shared" ca="1" si="26"/>
        <v/>
      </c>
      <c r="J47" s="313" t="str">
        <f t="shared" ca="1" si="27"/>
        <v/>
      </c>
      <c r="K47" s="313" t="str">
        <f t="shared" ca="1" si="10"/>
        <v xml:space="preserve">  </v>
      </c>
      <c r="L47" s="314" t="str">
        <f>IF(H47="naissance",IF(E47="","",INDEX({"Capricorne";"Verseau";"Poisson";"Bélier";"Taureau";"Gémeaux";"Cancer";"Lion";"Vierge";"Balance";"Scorpion";"Sagittaire";"Capricorne";""},MATCH(DATE(,MONTH(E47),DAY(E47)),{0;20;51;81;111;142;173;205;237;267;297;327;357},1))),"")</f>
        <v/>
      </c>
      <c r="M47" s="315" t="str">
        <f>IF(H47="naissance",IF(F47="","",INDEX({"g";"h";"i";"^";"_";"z";"a";"b";"c";"d";"e";"f";"g";""},MATCH(DATE(,MONTH(F47),DAY(F47)),{0;20;51;81;111;142;173;205;237;267;297;327;357},1))),"")</f>
        <v/>
      </c>
      <c r="N47" s="316" t="str">
        <f t="shared" ca="1" si="28"/>
        <v/>
      </c>
      <c r="R47" s="108">
        <v>15742</v>
      </c>
      <c r="S47" s="108">
        <v>16095</v>
      </c>
      <c r="T47" s="117">
        <v>1944</v>
      </c>
      <c r="U47" s="110" t="s">
        <v>447</v>
      </c>
      <c r="V47" s="331"/>
      <c r="X47" s="75">
        <f t="shared" ref="X47:X100" ca="1" si="30">DATE(YEAR(TODAY()),MONTH(Z47),DAY(Z47))</f>
        <v>42735</v>
      </c>
      <c r="Y47" s="234" t="str">
        <f t="shared" ca="1" si="7"/>
        <v xml:space="preserve">      </v>
      </c>
      <c r="Z47" s="76">
        <f t="shared" si="22"/>
        <v>0</v>
      </c>
    </row>
    <row r="48" spans="1:27" ht="15.75" customHeight="1" thickBot="1" x14ac:dyDescent="0.3">
      <c r="A48" s="298"/>
      <c r="B48" s="299"/>
      <c r="C48" s="299" t="str">
        <f t="shared" si="29"/>
        <v xml:space="preserve">  </v>
      </c>
      <c r="D48" s="300" t="str">
        <f t="shared" ca="1" si="6"/>
        <v xml:space="preserve">      </v>
      </c>
      <c r="E48" s="300"/>
      <c r="F48" s="301" t="str">
        <f t="shared" si="24"/>
        <v/>
      </c>
      <c r="G48" s="302" t="str">
        <f t="shared" ca="1" si="25"/>
        <v/>
      </c>
      <c r="H48" s="299"/>
      <c r="I48" s="303" t="str">
        <f t="shared" ca="1" si="26"/>
        <v/>
      </c>
      <c r="J48" s="304" t="str">
        <f t="shared" ca="1" si="27"/>
        <v/>
      </c>
      <c r="K48" s="304" t="str">
        <f t="shared" ca="1" si="10"/>
        <v xml:space="preserve">  </v>
      </c>
      <c r="L48" s="305" t="str">
        <f>IF(H48="naissance",IF(E48="","",INDEX({"Capricorne";"Verseau";"Poisson";"Bélier";"Taureau";"Gémeaux";"Cancer";"Lion";"Vierge";"Balance";"Scorpion";"Sagittaire";"Capricorne";""},MATCH(DATE(,MONTH(E48),DAY(E48)),{0;20;51;81;111;142;173;205;237;267;297;327;357},1))),"")</f>
        <v/>
      </c>
      <c r="M48" s="306" t="str">
        <f>IF(H48="naissance",IF(F48="","",INDEX({"g";"h";"i";"^";"_";"z";"a";"b";"c";"d";"e";"f";"g";""},MATCH(DATE(,MONTH(F48),DAY(F48)),{0;20;51;81;111;142;173;205;237;267;297;327;357},1))),"")</f>
        <v/>
      </c>
      <c r="N48" s="307" t="str">
        <f t="shared" ca="1" si="28"/>
        <v/>
      </c>
      <c r="R48" s="108">
        <v>16096</v>
      </c>
      <c r="S48" s="108">
        <v>16480</v>
      </c>
      <c r="T48" s="117">
        <v>1945</v>
      </c>
      <c r="U48" s="110" t="s">
        <v>448</v>
      </c>
      <c r="V48" s="330" t="s">
        <v>442</v>
      </c>
      <c r="X48" s="75">
        <f t="shared" ca="1" si="30"/>
        <v>42735</v>
      </c>
      <c r="Y48" s="234" t="str">
        <f t="shared" ca="1" si="7"/>
        <v xml:space="preserve">      </v>
      </c>
      <c r="Z48" s="76">
        <f t="shared" si="22"/>
        <v>0</v>
      </c>
    </row>
    <row r="49" spans="1:26" ht="15.75" customHeight="1" thickBot="1" x14ac:dyDescent="0.3">
      <c r="A49" s="308"/>
      <c r="B49" s="309"/>
      <c r="C49" s="309" t="str">
        <f t="shared" si="29"/>
        <v xml:space="preserve">  </v>
      </c>
      <c r="D49" s="310" t="str">
        <f t="shared" ca="1" si="6"/>
        <v xml:space="preserve">      </v>
      </c>
      <c r="E49" s="310"/>
      <c r="F49" s="311" t="str">
        <f t="shared" si="24"/>
        <v/>
      </c>
      <c r="G49" s="310" t="str">
        <f t="shared" ca="1" si="25"/>
        <v/>
      </c>
      <c r="H49" s="309"/>
      <c r="I49" s="312" t="str">
        <f t="shared" ca="1" si="26"/>
        <v/>
      </c>
      <c r="J49" s="313" t="str">
        <f t="shared" ca="1" si="27"/>
        <v/>
      </c>
      <c r="K49" s="313" t="str">
        <f t="shared" ca="1" si="10"/>
        <v xml:space="preserve">  </v>
      </c>
      <c r="L49" s="314" t="str">
        <f>IF(H49="naissance",IF(E49="","",INDEX({"Capricorne";"Verseau";"Poisson";"Bélier";"Taureau";"Gémeaux";"Cancer";"Lion";"Vierge";"Balance";"Scorpion";"Sagittaire";"Capricorne";""},MATCH(DATE(,MONTH(E49),DAY(E49)),{0;20;51;81;111;142;173;205;237;267;297;327;357},1))),"")</f>
        <v/>
      </c>
      <c r="M49" s="315" t="str">
        <f>IF(H49="naissance",IF(F49="","",INDEX({"g";"h";"i";"^";"_";"z";"a";"b";"c";"d";"e";"f";"g";""},MATCH(DATE(,MONTH(F49),DAY(F49)),{0;20;51;81;111;142;173;205;237;267;297;327;357},1))),"")</f>
        <v/>
      </c>
      <c r="N49" s="316" t="str">
        <f t="shared" ca="1" si="28"/>
        <v/>
      </c>
      <c r="R49" s="108">
        <v>16481</v>
      </c>
      <c r="S49" s="110" t="s">
        <v>457</v>
      </c>
      <c r="T49" s="117">
        <v>1946</v>
      </c>
      <c r="U49" s="110" t="s">
        <v>450</v>
      </c>
      <c r="V49" s="331"/>
      <c r="X49" s="75">
        <f t="shared" ca="1" si="30"/>
        <v>42735</v>
      </c>
      <c r="Y49" s="234" t="str">
        <f t="shared" ca="1" si="7"/>
        <v xml:space="preserve">      </v>
      </c>
      <c r="Z49" s="76">
        <f t="shared" si="22"/>
        <v>0</v>
      </c>
    </row>
    <row r="50" spans="1:26" ht="15.75" customHeight="1" thickBot="1" x14ac:dyDescent="0.3">
      <c r="A50" s="298"/>
      <c r="B50" s="299"/>
      <c r="C50" s="299" t="str">
        <f t="shared" si="29"/>
        <v xml:space="preserve">  </v>
      </c>
      <c r="D50" s="300" t="str">
        <f t="shared" ca="1" si="6"/>
        <v xml:space="preserve">      </v>
      </c>
      <c r="E50" s="300"/>
      <c r="F50" s="301" t="str">
        <f t="shared" si="24"/>
        <v/>
      </c>
      <c r="G50" s="302" t="str">
        <f t="shared" ca="1" si="25"/>
        <v/>
      </c>
      <c r="H50" s="299"/>
      <c r="I50" s="303" t="str">
        <f t="shared" ca="1" si="26"/>
        <v/>
      </c>
      <c r="J50" s="304" t="str">
        <f t="shared" ca="1" si="27"/>
        <v/>
      </c>
      <c r="K50" s="304" t="str">
        <f t="shared" ca="1" si="10"/>
        <v xml:space="preserve">  </v>
      </c>
      <c r="L50" s="305" t="str">
        <f>IF(H50="naissance",IF(E50="","",INDEX({"Capricorne";"Verseau";"Poisson";"Bélier";"Taureau";"Gémeaux";"Cancer";"Lion";"Vierge";"Balance";"Scorpion";"Sagittaire";"Capricorne";""},MATCH(DATE(,MONTH(E50),DAY(E50)),{0;20;51;81;111;142;173;205;237;267;297;327;357},1))),"")</f>
        <v/>
      </c>
      <c r="M50" s="306" t="str">
        <f>IF(H50="naissance",IF(F50="","",INDEX({"g";"h";"i";"^";"_";"z";"a";"b";"c";"d";"e";"f";"g";""},MATCH(DATE(,MONTH(F50),DAY(F50)),{0;20;51;81;111;142;173;205;237;267;297;327;357},1))),"")</f>
        <v/>
      </c>
      <c r="N50" s="307" t="str">
        <f t="shared" ca="1" si="28"/>
        <v/>
      </c>
      <c r="R50" s="108">
        <v>16835</v>
      </c>
      <c r="S50" s="108">
        <v>17188</v>
      </c>
      <c r="T50" s="117">
        <v>1947</v>
      </c>
      <c r="U50" s="110" t="s">
        <v>451</v>
      </c>
      <c r="V50" s="330" t="s">
        <v>445</v>
      </c>
      <c r="X50" s="75">
        <f t="shared" ca="1" si="30"/>
        <v>42735</v>
      </c>
      <c r="Y50" s="234" t="str">
        <f t="shared" ca="1" si="7"/>
        <v xml:space="preserve">      </v>
      </c>
      <c r="Z50" s="76">
        <f t="shared" si="22"/>
        <v>0</v>
      </c>
    </row>
    <row r="51" spans="1:26" ht="15.75" customHeight="1" thickBot="1" x14ac:dyDescent="0.3">
      <c r="A51" s="308"/>
      <c r="B51" s="309"/>
      <c r="C51" s="309" t="str">
        <f t="shared" si="29"/>
        <v xml:space="preserve">  </v>
      </c>
      <c r="D51" s="310" t="str">
        <f t="shared" ca="1" si="6"/>
        <v xml:space="preserve">      </v>
      </c>
      <c r="E51" s="310"/>
      <c r="F51" s="311" t="str">
        <f t="shared" si="24"/>
        <v/>
      </c>
      <c r="G51" s="310" t="str">
        <f t="shared" ca="1" si="25"/>
        <v/>
      </c>
      <c r="H51" s="309"/>
      <c r="I51" s="312" t="str">
        <f t="shared" ca="1" si="26"/>
        <v/>
      </c>
      <c r="J51" s="313" t="str">
        <f t="shared" ca="1" si="27"/>
        <v/>
      </c>
      <c r="K51" s="313" t="str">
        <f t="shared" ca="1" si="10"/>
        <v xml:space="preserve">  </v>
      </c>
      <c r="L51" s="314" t="str">
        <f>IF(H51="naissance",IF(E51="","",INDEX({"Capricorne";"Verseau";"Poisson";"Bélier";"Taureau";"Gémeaux";"Cancer";"Lion";"Vierge";"Balance";"Scorpion";"Sagittaire";"Capricorne";""},MATCH(DATE(,MONTH(E51),DAY(E51)),{0;20;51;81;111;142;173;205;237;267;297;327;357},1))),"")</f>
        <v/>
      </c>
      <c r="M51" s="315" t="str">
        <f>IF(H51="naissance",IF(F51="","",INDEX({"g";"h";"i";"^";"_";"z";"a";"b";"c";"d";"e";"f";"g";""},MATCH(DATE(,MONTH(F51),DAY(F51)),{0;20;51;81;111;142;173;205;237;267;297;327;357},1))),"")</f>
        <v/>
      </c>
      <c r="N51" s="316" t="str">
        <f t="shared" ca="1" si="28"/>
        <v/>
      </c>
      <c r="R51" s="108">
        <v>17189</v>
      </c>
      <c r="S51" s="108">
        <v>17572</v>
      </c>
      <c r="T51" s="117">
        <v>1948</v>
      </c>
      <c r="U51" s="110" t="s">
        <v>452</v>
      </c>
      <c r="V51" s="331"/>
      <c r="X51" s="75">
        <f t="shared" ca="1" si="30"/>
        <v>42735</v>
      </c>
      <c r="Y51" s="234" t="str">
        <f t="shared" ca="1" si="7"/>
        <v xml:space="preserve">      </v>
      </c>
      <c r="Z51" s="76">
        <f t="shared" si="22"/>
        <v>0</v>
      </c>
    </row>
    <row r="52" spans="1:26" ht="15.75" customHeight="1" thickBot="1" x14ac:dyDescent="0.3">
      <c r="A52" s="298"/>
      <c r="B52" s="299"/>
      <c r="C52" s="299" t="str">
        <f t="shared" si="29"/>
        <v xml:space="preserve">  </v>
      </c>
      <c r="D52" s="300" t="str">
        <f t="shared" ca="1" si="6"/>
        <v xml:space="preserve">      </v>
      </c>
      <c r="E52" s="300"/>
      <c r="F52" s="301" t="str">
        <f t="shared" si="24"/>
        <v/>
      </c>
      <c r="G52" s="302" t="str">
        <f t="shared" ca="1" si="25"/>
        <v/>
      </c>
      <c r="H52" s="299"/>
      <c r="I52" s="303" t="str">
        <f t="shared" ca="1" si="26"/>
        <v/>
      </c>
      <c r="J52" s="304" t="str">
        <f t="shared" ca="1" si="27"/>
        <v/>
      </c>
      <c r="K52" s="304" t="str">
        <f t="shared" ca="1" si="10"/>
        <v xml:space="preserve">  </v>
      </c>
      <c r="L52" s="305" t="str">
        <f>IF(H52="naissance",IF(E52="","",INDEX({"Capricorne";"Verseau";"Poisson";"Bélier";"Taureau";"Gémeaux";"Cancer";"Lion";"Vierge";"Balance";"Scorpion";"Sagittaire";"Capricorne";""},MATCH(DATE(,MONTH(E52),DAY(E52)),{0;20;51;81;111;142;173;205;237;267;297;327;357},1))),"")</f>
        <v/>
      </c>
      <c r="M52" s="306" t="str">
        <f>IF(H52="naissance",IF(F52="","",INDEX({"g";"h";"i";"^";"_";"z";"a";"b";"c";"d";"e";"f";"g";""},MATCH(DATE(,MONTH(F52),DAY(F52)),{0;20;51;81;111;142;173;205;237;267;297;327;357},1))),"")</f>
        <v/>
      </c>
      <c r="N52" s="307" t="str">
        <f t="shared" ca="1" si="28"/>
        <v/>
      </c>
      <c r="R52" s="108">
        <v>17573</v>
      </c>
      <c r="S52" s="108">
        <v>17926</v>
      </c>
      <c r="T52" s="117">
        <v>1949</v>
      </c>
      <c r="U52" s="109" t="s">
        <v>434</v>
      </c>
      <c r="V52" s="330" t="s">
        <v>449</v>
      </c>
      <c r="X52" s="75">
        <f t="shared" ca="1" si="30"/>
        <v>42735</v>
      </c>
      <c r="Y52" s="234" t="str">
        <f t="shared" ca="1" si="7"/>
        <v xml:space="preserve">      </v>
      </c>
      <c r="Z52" s="76">
        <f t="shared" si="22"/>
        <v>0</v>
      </c>
    </row>
    <row r="53" spans="1:26" ht="15.75" customHeight="1" thickBot="1" x14ac:dyDescent="0.3">
      <c r="A53" s="308"/>
      <c r="B53" s="309"/>
      <c r="C53" s="309" t="str">
        <f t="shared" si="29"/>
        <v xml:space="preserve">  </v>
      </c>
      <c r="D53" s="310" t="str">
        <f t="shared" ca="1" si="6"/>
        <v xml:space="preserve">      </v>
      </c>
      <c r="E53" s="310"/>
      <c r="F53" s="311" t="str">
        <f t="shared" si="24"/>
        <v/>
      </c>
      <c r="G53" s="310" t="str">
        <f t="shared" ca="1" si="25"/>
        <v/>
      </c>
      <c r="H53" s="309"/>
      <c r="I53" s="312" t="str">
        <f t="shared" ca="1" si="26"/>
        <v/>
      </c>
      <c r="J53" s="313" t="str">
        <f t="shared" ca="1" si="27"/>
        <v/>
      </c>
      <c r="K53" s="313" t="str">
        <f t="shared" ca="1" si="10"/>
        <v xml:space="preserve">  </v>
      </c>
      <c r="L53" s="314" t="str">
        <f>IF(H53="naissance",IF(E53="","",INDEX({"Capricorne";"Verseau";"Poisson";"Bélier";"Taureau";"Gémeaux";"Cancer";"Lion";"Vierge";"Balance";"Scorpion";"Sagittaire";"Capricorne";""},MATCH(DATE(,MONTH(E53),DAY(E53)),{0;20;51;81;111;142;173;205;237;267;297;327;357},1))),"")</f>
        <v/>
      </c>
      <c r="M53" s="315" t="str">
        <f>IF(H53="naissance",IF(F53="","",INDEX({"g";"h";"i";"^";"_";"z";"a";"b";"c";"d";"e";"f";"g";""},MATCH(DATE(,MONTH(F53),DAY(F53)),{0;20;51;81;111;142;173;205;237;267;297;327;357},1))),"")</f>
        <v/>
      </c>
      <c r="N53" s="316" t="str">
        <f t="shared" ca="1" si="28"/>
        <v/>
      </c>
      <c r="R53" s="108">
        <v>17927</v>
      </c>
      <c r="S53" s="108">
        <v>18310</v>
      </c>
      <c r="T53" s="117">
        <v>1950</v>
      </c>
      <c r="U53" s="110" t="s">
        <v>436</v>
      </c>
      <c r="V53" s="331"/>
      <c r="X53" s="75">
        <f t="shared" ca="1" si="30"/>
        <v>42735</v>
      </c>
      <c r="Y53" s="234" t="str">
        <f t="shared" ca="1" si="7"/>
        <v xml:space="preserve">      </v>
      </c>
      <c r="Z53" s="76">
        <f t="shared" si="22"/>
        <v>0</v>
      </c>
    </row>
    <row r="54" spans="1:26" ht="15.75" customHeight="1" thickBot="1" x14ac:dyDescent="0.3">
      <c r="A54" s="298"/>
      <c r="B54" s="299"/>
      <c r="C54" s="299" t="str">
        <f t="shared" si="29"/>
        <v xml:space="preserve">  </v>
      </c>
      <c r="D54" s="300" t="str">
        <f t="shared" ca="1" si="6"/>
        <v xml:space="preserve">      </v>
      </c>
      <c r="E54" s="300"/>
      <c r="F54" s="301" t="str">
        <f t="shared" si="24"/>
        <v/>
      </c>
      <c r="G54" s="302" t="str">
        <f t="shared" ca="1" si="25"/>
        <v/>
      </c>
      <c r="H54" s="299"/>
      <c r="I54" s="303" t="str">
        <f t="shared" ca="1" si="26"/>
        <v/>
      </c>
      <c r="J54" s="304" t="str">
        <f t="shared" ca="1" si="27"/>
        <v/>
      </c>
      <c r="K54" s="304" t="str">
        <f t="shared" ca="1" si="10"/>
        <v xml:space="preserve">  </v>
      </c>
      <c r="L54" s="305" t="str">
        <f>IF(H54="naissance",IF(E54="","",INDEX({"Capricorne";"Verseau";"Poisson";"Bélier";"Taureau";"Gémeaux";"Cancer";"Lion";"Vierge";"Balance";"Scorpion";"Sagittaire";"Capricorne";""},MATCH(DATE(,MONTH(E54),DAY(E54)),{0;20;51;81;111;142;173;205;237;267;297;327;357},1))),"")</f>
        <v/>
      </c>
      <c r="M54" s="306" t="str">
        <f>IF(H54="naissance",IF(F54="","",INDEX({"g";"h";"i";"^";"_";"z";"a";"b";"c";"d";"e";"f";"g";""},MATCH(DATE(,MONTH(F54),DAY(F54)),{0;20;51;81;111;142;173;205;237;267;297;327;357},1))),"")</f>
        <v/>
      </c>
      <c r="N54" s="307" t="str">
        <f t="shared" ca="1" si="28"/>
        <v/>
      </c>
      <c r="R54" s="108">
        <v>18311</v>
      </c>
      <c r="S54" s="108">
        <v>18664</v>
      </c>
      <c r="T54" s="117">
        <v>1951</v>
      </c>
      <c r="U54" s="110" t="s">
        <v>437</v>
      </c>
      <c r="V54" s="330" t="s">
        <v>435</v>
      </c>
      <c r="X54" s="75">
        <f t="shared" ca="1" si="30"/>
        <v>42735</v>
      </c>
      <c r="Y54" s="234" t="str">
        <f t="shared" ca="1" si="7"/>
        <v xml:space="preserve">      </v>
      </c>
      <c r="Z54" s="76">
        <f t="shared" si="22"/>
        <v>0</v>
      </c>
    </row>
    <row r="55" spans="1:26" ht="15.75" customHeight="1" thickBot="1" x14ac:dyDescent="0.3">
      <c r="A55" s="292"/>
      <c r="B55" s="293"/>
      <c r="C55" s="293" t="str">
        <f t="shared" si="29"/>
        <v xml:space="preserve">  </v>
      </c>
      <c r="D55" s="294" t="str">
        <f t="shared" ca="1" si="6"/>
        <v xml:space="preserve">      </v>
      </c>
      <c r="E55" s="294"/>
      <c r="F55" s="295" t="str">
        <f t="shared" si="24"/>
        <v/>
      </c>
      <c r="G55" s="294" t="str">
        <f t="shared" ca="1" si="25"/>
        <v/>
      </c>
      <c r="H55" s="293"/>
      <c r="I55" s="293" t="str">
        <f t="shared" ca="1" si="26"/>
        <v/>
      </c>
      <c r="J55" s="296" t="str">
        <f t="shared" ca="1" si="27"/>
        <v/>
      </c>
      <c r="K55" s="296" t="str">
        <f t="shared" ca="1" si="10"/>
        <v xml:space="preserve">  </v>
      </c>
      <c r="L55" s="296" t="str">
        <f>IF(H55="naissance",IF(E55="","",INDEX({"Capricorne";"Verseau";"Poisson";"Bélier";"Taureau";"Gémeaux";"Cancer";"Lion";"Vierge";"Balance";"Scorpion";"Sagittaire";"Capricorne";""},MATCH(DATE(,MONTH(E55),DAY(E55)),{0;20;51;81;111;142;173;205;237;267;297;327;357},1))),"")</f>
        <v/>
      </c>
      <c r="M55" s="296" t="str">
        <f>IF(H55="naissance",IF(F55="","",INDEX({"g";"h";"i";"^";"_";"z";"a";"b";"c";"d";"e";"f";"g";""},MATCH(DATE(,MONTH(F55),DAY(F55)),{0;20;51;81;111;142;173;205;237;267;297;327;357},1))),"")</f>
        <v/>
      </c>
      <c r="N55" s="297" t="str">
        <f t="shared" ca="1" si="28"/>
        <v/>
      </c>
      <c r="R55" s="108">
        <v>18665</v>
      </c>
      <c r="S55" s="108">
        <v>19019</v>
      </c>
      <c r="T55" s="117">
        <v>1952</v>
      </c>
      <c r="U55" s="110" t="s">
        <v>439</v>
      </c>
      <c r="V55" s="331"/>
      <c r="X55" s="75">
        <f t="shared" ca="1" si="30"/>
        <v>42735</v>
      </c>
      <c r="Y55" s="234" t="str">
        <f t="shared" ca="1" si="7"/>
        <v xml:space="preserve">      </v>
      </c>
      <c r="Z55" s="76">
        <f t="shared" si="22"/>
        <v>0</v>
      </c>
    </row>
    <row r="56" spans="1:26" ht="15.75" customHeight="1" thickBot="1" x14ac:dyDescent="0.3">
      <c r="A56" s="298"/>
      <c r="B56" s="299"/>
      <c r="C56" s="299" t="str">
        <f t="shared" si="29"/>
        <v xml:space="preserve">  </v>
      </c>
      <c r="D56" s="300" t="str">
        <f t="shared" ca="1" si="6"/>
        <v xml:space="preserve">      </v>
      </c>
      <c r="E56" s="300"/>
      <c r="F56" s="301" t="str">
        <f t="shared" si="24"/>
        <v/>
      </c>
      <c r="G56" s="302" t="str">
        <f t="shared" ca="1" si="25"/>
        <v/>
      </c>
      <c r="H56" s="299"/>
      <c r="I56" s="303" t="str">
        <f t="shared" ca="1" si="26"/>
        <v/>
      </c>
      <c r="J56" s="304" t="str">
        <f t="shared" ca="1" si="27"/>
        <v/>
      </c>
      <c r="K56" s="304" t="str">
        <f t="shared" ca="1" si="10"/>
        <v xml:space="preserve">  </v>
      </c>
      <c r="L56" s="305" t="str">
        <f>IF(H56="naissance",IF(E56="","",INDEX({"Capricorne";"Verseau";"Poisson";"Bélier";"Taureau";"Gémeaux";"Cancer";"Lion";"Vierge";"Balance";"Scorpion";"Sagittaire";"Capricorne";""},MATCH(DATE(,MONTH(E56),DAY(E56)),{0;20;51;81;111;142;173;205;237;267;297;327;357},1))),"")</f>
        <v/>
      </c>
      <c r="M56" s="306" t="str">
        <f>IF(H56="naissance",IF(F56="","",INDEX({"g";"h";"i";"^";"_";"z";"a";"b";"c";"d";"e";"f";"g";""},MATCH(DATE(,MONTH(F56),DAY(F56)),{0;20;51;81;111;142;173;205;237;267;297;327;357},1))),"")</f>
        <v/>
      </c>
      <c r="N56" s="307" t="str">
        <f t="shared" ca="1" si="28"/>
        <v/>
      </c>
      <c r="R56" s="108">
        <v>19020</v>
      </c>
      <c r="S56" s="108">
        <v>19403</v>
      </c>
      <c r="T56" s="117">
        <v>1953</v>
      </c>
      <c r="U56" s="110" t="s">
        <v>441</v>
      </c>
      <c r="V56" s="330" t="s">
        <v>438</v>
      </c>
      <c r="X56" s="75">
        <f t="shared" ca="1" si="30"/>
        <v>42735</v>
      </c>
      <c r="Y56" s="234" t="str">
        <f t="shared" ca="1" si="7"/>
        <v xml:space="preserve">      </v>
      </c>
      <c r="Z56" s="76">
        <f t="shared" si="22"/>
        <v>0</v>
      </c>
    </row>
    <row r="57" spans="1:26" ht="15.75" customHeight="1" thickBot="1" x14ac:dyDescent="0.3">
      <c r="A57" s="308"/>
      <c r="B57" s="309"/>
      <c r="C57" s="309" t="str">
        <f t="shared" si="29"/>
        <v xml:space="preserve">  </v>
      </c>
      <c r="D57" s="310" t="str">
        <f t="shared" ca="1" si="6"/>
        <v xml:space="preserve">      </v>
      </c>
      <c r="E57" s="310"/>
      <c r="F57" s="311" t="str">
        <f t="shared" si="24"/>
        <v/>
      </c>
      <c r="G57" s="310" t="str">
        <f t="shared" ca="1" si="25"/>
        <v/>
      </c>
      <c r="H57" s="309"/>
      <c r="I57" s="312" t="str">
        <f t="shared" ca="1" si="26"/>
        <v/>
      </c>
      <c r="J57" s="313" t="str">
        <f t="shared" ca="1" si="27"/>
        <v/>
      </c>
      <c r="K57" s="313" t="str">
        <f t="shared" ca="1" si="10"/>
        <v xml:space="preserve">  </v>
      </c>
      <c r="L57" s="314" t="str">
        <f>IF(H57="naissance",IF(E57="","",INDEX({"Capricorne";"Verseau";"Poisson";"Bélier";"Taureau";"Gémeaux";"Cancer";"Lion";"Vierge";"Balance";"Scorpion";"Sagittaire";"Capricorne";""},MATCH(DATE(,MONTH(E57),DAY(E57)),{0;20;51;81;111;142;173;205;237;267;297;327;357},1))),"")</f>
        <v/>
      </c>
      <c r="M57" s="315" t="str">
        <f>IF(H57="naissance",IF(F57="","",INDEX({"g";"h";"i";"^";"_";"z";"a";"b";"c";"d";"e";"f";"g";""},MATCH(DATE(,MONTH(F57),DAY(F57)),{0;20;51;81;111;142;173;205;237;267;297;327;357},1))),"")</f>
        <v/>
      </c>
      <c r="N57" s="316" t="str">
        <f t="shared" ca="1" si="28"/>
        <v/>
      </c>
      <c r="R57" s="108">
        <v>19404</v>
      </c>
      <c r="S57" s="108">
        <v>19757</v>
      </c>
      <c r="T57" s="117">
        <v>1954</v>
      </c>
      <c r="U57" s="110" t="s">
        <v>443</v>
      </c>
      <c r="V57" s="331"/>
      <c r="X57" s="75">
        <f t="shared" ca="1" si="30"/>
        <v>42735</v>
      </c>
      <c r="Y57" s="234" t="str">
        <f t="shared" ca="1" si="7"/>
        <v xml:space="preserve">      </v>
      </c>
      <c r="Z57" s="76">
        <f t="shared" si="22"/>
        <v>0</v>
      </c>
    </row>
    <row r="58" spans="1:26" ht="15.75" customHeight="1" thickBot="1" x14ac:dyDescent="0.3">
      <c r="A58" s="298"/>
      <c r="B58" s="299"/>
      <c r="C58" s="299" t="str">
        <f t="shared" si="29"/>
        <v xml:space="preserve">  </v>
      </c>
      <c r="D58" s="300" t="str">
        <f t="shared" ca="1" si="6"/>
        <v xml:space="preserve">      </v>
      </c>
      <c r="E58" s="300"/>
      <c r="F58" s="301" t="str">
        <f t="shared" si="24"/>
        <v/>
      </c>
      <c r="G58" s="302" t="str">
        <f t="shared" ca="1" si="25"/>
        <v/>
      </c>
      <c r="H58" s="299"/>
      <c r="I58" s="303" t="str">
        <f t="shared" ca="1" si="26"/>
        <v/>
      </c>
      <c r="J58" s="304" t="str">
        <f t="shared" ca="1" si="27"/>
        <v/>
      </c>
      <c r="K58" s="304" t="str">
        <f t="shared" ca="1" si="10"/>
        <v xml:space="preserve">  </v>
      </c>
      <c r="L58" s="305" t="str">
        <f>IF(H58="naissance",IF(E58="","",INDEX({"Capricorne";"Verseau";"Poisson";"Bélier";"Taureau";"Gémeaux";"Cancer";"Lion";"Vierge";"Balance";"Scorpion";"Sagittaire";"Capricorne";""},MATCH(DATE(,MONTH(E58),DAY(E58)),{0;20;51;81;111;142;173;205;237;267;297;327;357},1))),"")</f>
        <v/>
      </c>
      <c r="M58" s="306" t="str">
        <f>IF(H58="naissance",IF(F58="","",INDEX({"g";"h";"i";"^";"_";"z";"a";"b";"c";"d";"e";"f";"g";""},MATCH(DATE(,MONTH(F58),DAY(F58)),{0;20;51;81;111;142;173;205;237;267;297;327;357},1))),"")</f>
        <v/>
      </c>
      <c r="N58" s="307" t="str">
        <f t="shared" ca="1" si="28"/>
        <v/>
      </c>
      <c r="R58" s="108">
        <v>19758</v>
      </c>
      <c r="S58" s="108">
        <v>20112</v>
      </c>
      <c r="T58" s="117">
        <v>1955</v>
      </c>
      <c r="U58" s="110" t="s">
        <v>444</v>
      </c>
      <c r="V58" s="330" t="s">
        <v>442</v>
      </c>
      <c r="X58" s="75">
        <f t="shared" ca="1" si="30"/>
        <v>42735</v>
      </c>
      <c r="Y58" s="234" t="str">
        <f t="shared" ca="1" si="7"/>
        <v xml:space="preserve">      </v>
      </c>
      <c r="Z58" s="76">
        <f t="shared" si="22"/>
        <v>0</v>
      </c>
    </row>
    <row r="59" spans="1:26" ht="15.75" customHeight="1" thickBot="1" x14ac:dyDescent="0.3">
      <c r="A59" s="308"/>
      <c r="B59" s="309"/>
      <c r="C59" s="309" t="str">
        <f t="shared" si="29"/>
        <v xml:space="preserve">  </v>
      </c>
      <c r="D59" s="310" t="str">
        <f t="shared" ca="1" si="6"/>
        <v xml:space="preserve">      </v>
      </c>
      <c r="E59" s="310"/>
      <c r="F59" s="311" t="str">
        <f t="shared" si="24"/>
        <v/>
      </c>
      <c r="G59" s="310" t="str">
        <f t="shared" ca="1" si="25"/>
        <v/>
      </c>
      <c r="H59" s="309"/>
      <c r="I59" s="312" t="str">
        <f t="shared" ca="1" si="26"/>
        <v/>
      </c>
      <c r="J59" s="313" t="str">
        <f t="shared" ca="1" si="27"/>
        <v/>
      </c>
      <c r="K59" s="313" t="str">
        <f t="shared" ca="1" si="10"/>
        <v xml:space="preserve">  </v>
      </c>
      <c r="L59" s="314" t="str">
        <f>IF(H59="naissance",IF(E59="","",INDEX({"Capricorne";"Verseau";"Poisson";"Bélier";"Taureau";"Gémeaux";"Cancer";"Lion";"Vierge";"Balance";"Scorpion";"Sagittaire";"Capricorne";""},MATCH(DATE(,MONTH(E59),DAY(E59)),{0;20;51;81;111;142;173;205;237;267;297;327;357},1))),"")</f>
        <v/>
      </c>
      <c r="M59" s="315" t="str">
        <f>IF(H59="naissance",IF(F59="","",INDEX({"g";"h";"i";"^";"_";"z";"a";"b";"c";"d";"e";"f";"g";""},MATCH(DATE(,MONTH(F59),DAY(F59)),{0;20;51;81;111;142;173;205;237;267;297;327;357},1))),"")</f>
        <v/>
      </c>
      <c r="N59" s="316" t="str">
        <f t="shared" ca="1" si="28"/>
        <v/>
      </c>
      <c r="R59" s="108">
        <v>20113</v>
      </c>
      <c r="S59" s="108">
        <v>20496</v>
      </c>
      <c r="T59" s="117">
        <v>1956</v>
      </c>
      <c r="U59" s="110" t="s">
        <v>447</v>
      </c>
      <c r="V59" s="331"/>
      <c r="X59" s="75">
        <f t="shared" ca="1" si="30"/>
        <v>42735</v>
      </c>
      <c r="Y59" s="234" t="str">
        <f t="shared" ca="1" si="7"/>
        <v xml:space="preserve">      </v>
      </c>
      <c r="Z59" s="76">
        <f t="shared" si="22"/>
        <v>0</v>
      </c>
    </row>
    <row r="60" spans="1:26" ht="15.75" customHeight="1" thickBot="1" x14ac:dyDescent="0.3">
      <c r="A60" s="298"/>
      <c r="B60" s="299"/>
      <c r="C60" s="299" t="str">
        <f t="shared" si="29"/>
        <v xml:space="preserve">  </v>
      </c>
      <c r="D60" s="300" t="str">
        <f t="shared" ca="1" si="6"/>
        <v xml:space="preserve">      </v>
      </c>
      <c r="E60" s="300"/>
      <c r="F60" s="301" t="str">
        <f t="shared" si="24"/>
        <v/>
      </c>
      <c r="G60" s="302" t="str">
        <f t="shared" ca="1" si="25"/>
        <v/>
      </c>
      <c r="H60" s="299"/>
      <c r="I60" s="303" t="str">
        <f t="shared" ca="1" si="26"/>
        <v/>
      </c>
      <c r="J60" s="304" t="str">
        <f t="shared" ca="1" si="27"/>
        <v/>
      </c>
      <c r="K60" s="304" t="str">
        <f t="shared" ca="1" si="10"/>
        <v xml:space="preserve">  </v>
      </c>
      <c r="L60" s="305" t="str">
        <f>IF(H60="naissance",IF(E60="","",INDEX({"Capricorne";"Verseau";"Poisson";"Bélier";"Taureau";"Gémeaux";"Cancer";"Lion";"Vierge";"Balance";"Scorpion";"Sagittaire";"Capricorne";""},MATCH(DATE(,MONTH(E60),DAY(E60)),{0;20;51;81;111;142;173;205;237;267;297;327;357},1))),"")</f>
        <v/>
      </c>
      <c r="M60" s="306" t="str">
        <f>IF(H60="naissance",IF(F60="","",INDEX({"g";"h";"i";"^";"_";"z";"a";"b";"c";"d";"e";"f";"g";""},MATCH(DATE(,MONTH(F60),DAY(F60)),{0;20;51;81;111;142;173;205;237;267;297;327;357},1))),"")</f>
        <v/>
      </c>
      <c r="N60" s="307" t="str">
        <f t="shared" ca="1" si="28"/>
        <v/>
      </c>
      <c r="R60" s="108">
        <v>20497</v>
      </c>
      <c r="S60" s="108">
        <v>20850</v>
      </c>
      <c r="T60" s="117">
        <v>1957</v>
      </c>
      <c r="U60" s="110" t="s">
        <v>448</v>
      </c>
      <c r="V60" s="330" t="s">
        <v>445</v>
      </c>
      <c r="X60" s="75">
        <f t="shared" ca="1" si="30"/>
        <v>42735</v>
      </c>
      <c r="Y60" s="234" t="str">
        <f t="shared" ca="1" si="7"/>
        <v xml:space="preserve">      </v>
      </c>
      <c r="Z60" s="76">
        <f t="shared" si="22"/>
        <v>0</v>
      </c>
    </row>
    <row r="61" spans="1:26" ht="15.75" customHeight="1" thickBot="1" x14ac:dyDescent="0.3">
      <c r="A61" s="308"/>
      <c r="B61" s="309"/>
      <c r="C61" s="309" t="str">
        <f t="shared" si="29"/>
        <v xml:space="preserve">  </v>
      </c>
      <c r="D61" s="310" t="str">
        <f t="shared" ca="1" si="6"/>
        <v xml:space="preserve">      </v>
      </c>
      <c r="E61" s="310"/>
      <c r="F61" s="311" t="str">
        <f t="shared" si="24"/>
        <v/>
      </c>
      <c r="G61" s="310" t="str">
        <f t="shared" ca="1" si="25"/>
        <v/>
      </c>
      <c r="H61" s="309"/>
      <c r="I61" s="312" t="str">
        <f t="shared" ca="1" si="26"/>
        <v/>
      </c>
      <c r="J61" s="313" t="str">
        <f t="shared" ca="1" si="27"/>
        <v/>
      </c>
      <c r="K61" s="313" t="str">
        <f t="shared" ca="1" si="10"/>
        <v xml:space="preserve">  </v>
      </c>
      <c r="L61" s="314" t="str">
        <f>IF(H61="naissance",IF(E61="","",INDEX({"Capricorne";"Verseau";"Poisson";"Bélier";"Taureau";"Gémeaux";"Cancer";"Lion";"Vierge";"Balance";"Scorpion";"Sagittaire";"Capricorne";""},MATCH(DATE(,MONTH(E61),DAY(E61)),{0;20;51;81;111;142;173;205;237;267;297;327;357},1))),"")</f>
        <v/>
      </c>
      <c r="M61" s="315" t="str">
        <f>IF(H61="naissance",IF(F61="","",INDEX({"g";"h";"i";"^";"_";"z";"a";"b";"c";"d";"e";"f";"g";""},MATCH(DATE(,MONTH(F61),DAY(F61)),{0;20;51;81;111;142;173;205;237;267;297;327;357},1))),"")</f>
        <v/>
      </c>
      <c r="N61" s="316" t="str">
        <f t="shared" ca="1" si="28"/>
        <v/>
      </c>
      <c r="R61" s="108">
        <v>20851</v>
      </c>
      <c r="S61" s="108">
        <v>21233</v>
      </c>
      <c r="T61" s="117">
        <v>1958</v>
      </c>
      <c r="U61" s="110" t="s">
        <v>450</v>
      </c>
      <c r="V61" s="331"/>
      <c r="X61" s="75">
        <f t="shared" ca="1" si="30"/>
        <v>42735</v>
      </c>
      <c r="Y61" s="234" t="str">
        <f t="shared" ca="1" si="7"/>
        <v xml:space="preserve">      </v>
      </c>
      <c r="Z61" s="76">
        <f t="shared" si="22"/>
        <v>0</v>
      </c>
    </row>
    <row r="62" spans="1:26" ht="15.75" customHeight="1" thickBot="1" x14ac:dyDescent="0.3">
      <c r="A62" s="298"/>
      <c r="B62" s="299"/>
      <c r="C62" s="299" t="str">
        <f t="shared" si="29"/>
        <v xml:space="preserve">  </v>
      </c>
      <c r="D62" s="300" t="str">
        <f t="shared" ca="1" si="6"/>
        <v xml:space="preserve">      </v>
      </c>
      <c r="E62" s="300"/>
      <c r="F62" s="301" t="str">
        <f t="shared" si="24"/>
        <v/>
      </c>
      <c r="G62" s="302" t="str">
        <f t="shared" ca="1" si="25"/>
        <v/>
      </c>
      <c r="H62" s="299"/>
      <c r="I62" s="303" t="str">
        <f t="shared" ca="1" si="26"/>
        <v/>
      </c>
      <c r="J62" s="304" t="str">
        <f t="shared" ca="1" si="27"/>
        <v/>
      </c>
      <c r="K62" s="304" t="str">
        <f t="shared" ca="1" si="10"/>
        <v xml:space="preserve">  </v>
      </c>
      <c r="L62" s="305" t="str">
        <f>IF(H62="naissance",IF(E62="","",INDEX({"Capricorne";"Verseau";"Poisson";"Bélier";"Taureau";"Gémeaux";"Cancer";"Lion";"Vierge";"Balance";"Scorpion";"Sagittaire";"Capricorne";""},MATCH(DATE(,MONTH(E62),DAY(E62)),{0;20;51;81;111;142;173;205;237;267;297;327;357},1))),"")</f>
        <v/>
      </c>
      <c r="M62" s="306" t="str">
        <f>IF(H62="naissance",IF(F62="","",INDEX({"g";"h";"i";"^";"_";"z";"a";"b";"c";"d";"e";"f";"g";""},MATCH(DATE(,MONTH(F62),DAY(F62)),{0;20;51;81;111;142;173;205;237;267;297;327;357},1))),"")</f>
        <v/>
      </c>
      <c r="N62" s="307" t="str">
        <f t="shared" ca="1" si="28"/>
        <v/>
      </c>
      <c r="R62" s="108">
        <v>21234</v>
      </c>
      <c r="S62" s="108">
        <v>21588</v>
      </c>
      <c r="T62" s="117">
        <v>1959</v>
      </c>
      <c r="U62" s="110" t="s">
        <v>451</v>
      </c>
      <c r="V62" s="330" t="s">
        <v>449</v>
      </c>
      <c r="X62" s="75">
        <f t="shared" ca="1" si="30"/>
        <v>42735</v>
      </c>
      <c r="Y62" s="234" t="str">
        <f t="shared" ca="1" si="7"/>
        <v xml:space="preserve">      </v>
      </c>
      <c r="Z62" s="76">
        <f t="shared" si="22"/>
        <v>0</v>
      </c>
    </row>
    <row r="63" spans="1:26" ht="15.75" customHeight="1" thickBot="1" x14ac:dyDescent="0.3">
      <c r="A63" s="308"/>
      <c r="B63" s="309"/>
      <c r="C63" s="309" t="str">
        <f t="shared" si="29"/>
        <v xml:space="preserve">  </v>
      </c>
      <c r="D63" s="310" t="str">
        <f t="shared" ca="1" si="6"/>
        <v xml:space="preserve">      </v>
      </c>
      <c r="E63" s="310"/>
      <c r="F63" s="311" t="str">
        <f t="shared" si="24"/>
        <v/>
      </c>
      <c r="G63" s="310" t="str">
        <f t="shared" ca="1" si="25"/>
        <v/>
      </c>
      <c r="H63" s="309"/>
      <c r="I63" s="312" t="str">
        <f t="shared" ca="1" si="26"/>
        <v/>
      </c>
      <c r="J63" s="313" t="str">
        <f t="shared" ca="1" si="27"/>
        <v/>
      </c>
      <c r="K63" s="313" t="str">
        <f t="shared" ca="1" si="10"/>
        <v xml:space="preserve">  </v>
      </c>
      <c r="L63" s="314" t="str">
        <f>IF(H63="naissance",IF(E63="","",INDEX({"Capricorne";"Verseau";"Poisson";"Bélier";"Taureau";"Gémeaux";"Cancer";"Lion";"Vierge";"Balance";"Scorpion";"Sagittaire";"Capricorne";""},MATCH(DATE(,MONTH(E63),DAY(E63)),{0;20;51;81;111;142;173;205;237;267;297;327;357},1))),"")</f>
        <v/>
      </c>
      <c r="M63" s="315" t="str">
        <f>IF(H63="naissance",IF(F63="","",INDEX({"g";"h";"i";"^";"_";"z";"a";"b";"c";"d";"e";"f";"g";""},MATCH(DATE(,MONTH(F63),DAY(F63)),{0;20;51;81;111;142;173;205;237;267;297;327;357},1))),"")</f>
        <v/>
      </c>
      <c r="N63" s="316" t="str">
        <f t="shared" ca="1" si="28"/>
        <v/>
      </c>
      <c r="R63" s="108">
        <v>21589</v>
      </c>
      <c r="S63" s="108">
        <v>21942</v>
      </c>
      <c r="T63" s="117">
        <v>1960</v>
      </c>
      <c r="U63" s="110" t="s">
        <v>452</v>
      </c>
      <c r="V63" s="331"/>
      <c r="X63" s="75">
        <f t="shared" ca="1" si="30"/>
        <v>42735</v>
      </c>
      <c r="Y63" s="234" t="str">
        <f t="shared" ca="1" si="7"/>
        <v xml:space="preserve">      </v>
      </c>
      <c r="Z63" s="76">
        <f t="shared" si="22"/>
        <v>0</v>
      </c>
    </row>
    <row r="64" spans="1:26" ht="15.75" customHeight="1" thickBot="1" x14ac:dyDescent="0.3">
      <c r="A64" s="298"/>
      <c r="B64" s="299"/>
      <c r="C64" s="299" t="str">
        <f t="shared" si="29"/>
        <v xml:space="preserve">  </v>
      </c>
      <c r="D64" s="300" t="str">
        <f t="shared" ca="1" si="6"/>
        <v xml:space="preserve">      </v>
      </c>
      <c r="E64" s="300"/>
      <c r="F64" s="301" t="str">
        <f t="shared" si="24"/>
        <v/>
      </c>
      <c r="G64" s="302" t="str">
        <f t="shared" ca="1" si="25"/>
        <v/>
      </c>
      <c r="H64" s="299"/>
      <c r="I64" s="303" t="str">
        <f t="shared" ca="1" si="26"/>
        <v/>
      </c>
      <c r="J64" s="304" t="str">
        <f t="shared" ca="1" si="27"/>
        <v/>
      </c>
      <c r="K64" s="304" t="str">
        <f t="shared" ca="1" si="10"/>
        <v xml:space="preserve">  </v>
      </c>
      <c r="L64" s="305" t="str">
        <f>IF(H64="naissance",IF(E64="","",INDEX({"Capricorne";"Verseau";"Poisson";"Bélier";"Taureau";"Gémeaux";"Cancer";"Lion";"Vierge";"Balance";"Scorpion";"Sagittaire";"Capricorne";""},MATCH(DATE(,MONTH(E64),DAY(E64)),{0;20;51;81;111;142;173;205;237;267;297;327;357},1))),"")</f>
        <v/>
      </c>
      <c r="M64" s="306" t="str">
        <f>IF(H64="naissance",IF(F64="","",INDEX({"g";"h";"i";"^";"_";"z";"a";"b";"c";"d";"e";"f";"g";""},MATCH(DATE(,MONTH(F64),DAY(F64)),{0;20;51;81;111;142;173;205;237;267;297;327;357},1))),"")</f>
        <v/>
      </c>
      <c r="N64" s="307" t="str">
        <f t="shared" ca="1" si="28"/>
        <v/>
      </c>
      <c r="R64" s="108">
        <v>21943</v>
      </c>
      <c r="S64" s="108">
        <v>22326</v>
      </c>
      <c r="T64" s="117">
        <v>1961</v>
      </c>
      <c r="U64" s="109" t="s">
        <v>434</v>
      </c>
      <c r="V64" s="330" t="s">
        <v>435</v>
      </c>
      <c r="X64" s="75">
        <f t="shared" ca="1" si="30"/>
        <v>42735</v>
      </c>
      <c r="Y64" s="234" t="str">
        <f t="shared" ca="1" si="7"/>
        <v xml:space="preserve">      </v>
      </c>
      <c r="Z64" s="76">
        <f t="shared" si="22"/>
        <v>0</v>
      </c>
    </row>
    <row r="65" spans="1:26" ht="15.75" customHeight="1" thickBot="1" x14ac:dyDescent="0.3">
      <c r="A65" s="308"/>
      <c r="B65" s="309"/>
      <c r="C65" s="309" t="str">
        <f t="shared" si="29"/>
        <v xml:space="preserve">  </v>
      </c>
      <c r="D65" s="310" t="str">
        <f t="shared" ca="1" si="6"/>
        <v xml:space="preserve">      </v>
      </c>
      <c r="E65" s="310"/>
      <c r="F65" s="311" t="str">
        <f t="shared" si="24"/>
        <v/>
      </c>
      <c r="G65" s="310" t="str">
        <f t="shared" ca="1" si="25"/>
        <v/>
      </c>
      <c r="H65" s="309"/>
      <c r="I65" s="312" t="str">
        <f t="shared" ca="1" si="26"/>
        <v/>
      </c>
      <c r="J65" s="313" t="str">
        <f t="shared" ca="1" si="27"/>
        <v/>
      </c>
      <c r="K65" s="313" t="str">
        <f t="shared" ca="1" si="10"/>
        <v xml:space="preserve">  </v>
      </c>
      <c r="L65" s="314" t="str">
        <f>IF(H65="naissance",IF(E65="","",INDEX({"Capricorne";"Verseau";"Poisson";"Bélier";"Taureau";"Gémeaux";"Cancer";"Lion";"Vierge";"Balance";"Scorpion";"Sagittaire";"Capricorne";""},MATCH(DATE(,MONTH(E65),DAY(E65)),{0;20;51;81;111;142;173;205;237;267;297;327;357},1))),"")</f>
        <v/>
      </c>
      <c r="M65" s="315" t="str">
        <f>IF(H65="naissance",IF(F65="","",INDEX({"g";"h";"i";"^";"_";"z";"a";"b";"c";"d";"e";"f";"g";""},MATCH(DATE(,MONTH(F65),DAY(F65)),{0;20;51;81;111;142;173;205;237;267;297;327;357},1))),"")</f>
        <v/>
      </c>
      <c r="N65" s="316" t="str">
        <f t="shared" ca="1" si="28"/>
        <v/>
      </c>
      <c r="R65" s="108">
        <v>22327</v>
      </c>
      <c r="S65" s="108">
        <v>22681</v>
      </c>
      <c r="T65" s="117">
        <v>1962</v>
      </c>
      <c r="U65" s="110" t="s">
        <v>436</v>
      </c>
      <c r="V65" s="331"/>
      <c r="X65" s="75">
        <f t="shared" ca="1" si="30"/>
        <v>42735</v>
      </c>
      <c r="Y65" s="234" t="str">
        <f t="shared" ca="1" si="7"/>
        <v xml:space="preserve">      </v>
      </c>
      <c r="Z65" s="76">
        <f t="shared" si="22"/>
        <v>0</v>
      </c>
    </row>
    <row r="66" spans="1:26" ht="15.75" customHeight="1" thickBot="1" x14ac:dyDescent="0.3">
      <c r="A66" s="298"/>
      <c r="B66" s="299"/>
      <c r="C66" s="299" t="str">
        <f t="shared" si="29"/>
        <v xml:space="preserve">  </v>
      </c>
      <c r="D66" s="300" t="str">
        <f t="shared" ca="1" si="6"/>
        <v xml:space="preserve">      </v>
      </c>
      <c r="E66" s="300"/>
      <c r="F66" s="301" t="str">
        <f t="shared" si="24"/>
        <v/>
      </c>
      <c r="G66" s="302" t="str">
        <f t="shared" ca="1" si="25"/>
        <v/>
      </c>
      <c r="H66" s="299"/>
      <c r="I66" s="303" t="str">
        <f t="shared" ref="I66:I75" ca="1" si="31">IF(E66&gt;$AB$1,"",IF(B66="","",IF(H66&lt;&gt;"naissance",IF(F66&lt;1/1/19000," ",DATEDIF(F66,TODAY(),"y")),"")))</f>
        <v/>
      </c>
      <c r="J66" s="304" t="str">
        <f t="shared" ca="1" si="27"/>
        <v/>
      </c>
      <c r="K66" s="304" t="str">
        <f t="shared" ca="1" si="10"/>
        <v xml:space="preserve">  </v>
      </c>
      <c r="L66" s="305" t="str">
        <f>IF(H66="naissance",IF(E66="","",INDEX({"Capricorne";"Verseau";"Poisson";"Bélier";"Taureau";"Gémeaux";"Cancer";"Lion";"Vierge";"Balance";"Scorpion";"Sagittaire";"Capricorne";""},MATCH(DATE(,MONTH(E66),DAY(E66)),{0;20;51;81;111;142;173;205;237;267;297;327;357},1))),"")</f>
        <v/>
      </c>
      <c r="M66" s="306" t="str">
        <f>IF(H66="naissance",IF(F66="","",INDEX({"g";"h";"i";"^";"_";"z";"a";"b";"c";"d";"e";"f";"g";""},MATCH(DATE(,MONTH(F66),DAY(F66)),{0;20;51;81;111;142;173;205;237;267;297;327;357},1))),"")</f>
        <v/>
      </c>
      <c r="N66" s="307" t="str">
        <f t="shared" ca="1" si="28"/>
        <v/>
      </c>
      <c r="R66" s="108">
        <v>22682</v>
      </c>
      <c r="S66" s="108">
        <v>23035</v>
      </c>
      <c r="T66" s="117">
        <v>1963</v>
      </c>
      <c r="U66" s="110" t="s">
        <v>437</v>
      </c>
      <c r="V66" s="330" t="s">
        <v>438</v>
      </c>
      <c r="X66" s="75">
        <f t="shared" ca="1" si="30"/>
        <v>42735</v>
      </c>
      <c r="Y66" s="234" t="str">
        <f t="shared" ca="1" si="7"/>
        <v xml:space="preserve">      </v>
      </c>
      <c r="Z66" s="76">
        <f t="shared" ref="Z66:Z100" si="32">E66</f>
        <v>0</v>
      </c>
    </row>
    <row r="67" spans="1:26" ht="15.75" customHeight="1" thickBot="1" x14ac:dyDescent="0.3">
      <c r="A67" s="308"/>
      <c r="B67" s="309"/>
      <c r="C67" s="309" t="str">
        <f t="shared" si="29"/>
        <v xml:space="preserve">  </v>
      </c>
      <c r="D67" s="310" t="str">
        <f t="shared" ref="D67:D100" ca="1" si="33">CONCATENATE(C67,"  ",K67)</f>
        <v xml:space="preserve">      </v>
      </c>
      <c r="E67" s="310"/>
      <c r="F67" s="311" t="str">
        <f t="shared" si="24"/>
        <v/>
      </c>
      <c r="G67" s="310" t="str">
        <f t="shared" ca="1" si="25"/>
        <v/>
      </c>
      <c r="H67" s="309"/>
      <c r="I67" s="312" t="str">
        <f t="shared" ca="1" si="31"/>
        <v/>
      </c>
      <c r="J67" s="313" t="str">
        <f t="shared" ref="J67:J100" ca="1" si="34">IF(H67="naissance",IF(F67&lt;1/1/19000," ",DATEDIF(F67,TODAY(),"y")),"")</f>
        <v/>
      </c>
      <c r="K67" s="313" t="str">
        <f t="shared" ca="1" si="10"/>
        <v xml:space="preserve">  </v>
      </c>
      <c r="L67" s="314" t="str">
        <f>IF(H67="naissance",IF(E67="","",INDEX({"Capricorne";"Verseau";"Poisson";"Bélier";"Taureau";"Gémeaux";"Cancer";"Lion";"Vierge";"Balance";"Scorpion";"Sagittaire";"Capricorne";""},MATCH(DATE(,MONTH(E67),DAY(E67)),{0;20;51;81;111;142;173;205;237;267;297;327;357},1))),"")</f>
        <v/>
      </c>
      <c r="M67" s="315" t="str">
        <f>IF(H67="naissance",IF(F67="","",INDEX({"g";"h";"i";"^";"_";"z";"a";"b";"c";"d";"e";"f";"g";""},MATCH(DATE(,MONTH(F67),DAY(F67)),{0;20;51;81;111;142;173;205;237;267;297;327;357},1))),"")</f>
        <v/>
      </c>
      <c r="N67" s="316" t="str">
        <f t="shared" ref="N67:N100" ca="1" si="35">IF(H67="naissance",OFFSET($U$3,MATCH(E67,$S$4:$S$123,1)+1,),"")</f>
        <v/>
      </c>
      <c r="R67" s="108">
        <v>23036</v>
      </c>
      <c r="S67" s="108">
        <v>23419</v>
      </c>
      <c r="T67" s="117">
        <v>1964</v>
      </c>
      <c r="U67" s="110" t="s">
        <v>439</v>
      </c>
      <c r="V67" s="331"/>
      <c r="X67" s="75">
        <f t="shared" ca="1" si="30"/>
        <v>42735</v>
      </c>
      <c r="Y67" s="234" t="str">
        <f t="shared" ref="Y67:Y100" ca="1" si="36">D67</f>
        <v xml:space="preserve">      </v>
      </c>
      <c r="Z67" s="76">
        <f t="shared" si="32"/>
        <v>0</v>
      </c>
    </row>
    <row r="68" spans="1:26" ht="15.75" customHeight="1" thickBot="1" x14ac:dyDescent="0.3">
      <c r="A68" s="298"/>
      <c r="B68" s="299"/>
      <c r="C68" s="299" t="str">
        <f t="shared" si="29"/>
        <v xml:space="preserve">  </v>
      </c>
      <c r="D68" s="300" t="str">
        <f t="shared" ca="1" si="33"/>
        <v xml:space="preserve">      </v>
      </c>
      <c r="E68" s="300"/>
      <c r="F68" s="301" t="str">
        <f t="shared" si="24"/>
        <v/>
      </c>
      <c r="G68" s="302" t="str">
        <f t="shared" ca="1" si="25"/>
        <v/>
      </c>
      <c r="H68" s="299"/>
      <c r="I68" s="303" t="str">
        <f t="shared" ca="1" si="31"/>
        <v/>
      </c>
      <c r="J68" s="304" t="str">
        <f t="shared" ca="1" si="34"/>
        <v/>
      </c>
      <c r="K68" s="304" t="str">
        <f t="shared" ref="K68:K100" ca="1" si="37">CONCATENATE(I68,"  ",J68)</f>
        <v xml:space="preserve">  </v>
      </c>
      <c r="L68" s="305" t="str">
        <f>IF(H68="naissance",IF(E68="","",INDEX({"Capricorne";"Verseau";"Poisson";"Bélier";"Taureau";"Gémeaux";"Cancer";"Lion";"Vierge";"Balance";"Scorpion";"Sagittaire";"Capricorne";""},MATCH(DATE(,MONTH(E68),DAY(E68)),{0;20;51;81;111;142;173;205;237;267;297;327;357},1))),"")</f>
        <v/>
      </c>
      <c r="M68" s="306" t="str">
        <f>IF(H68="naissance",IF(F68="","",INDEX({"g";"h";"i";"^";"_";"z";"a";"b";"c";"d";"e";"f";"g";""},MATCH(DATE(,MONTH(F68),DAY(F68)),{0;20;51;81;111;142;173;205;237;267;297;327;357},1))),"")</f>
        <v/>
      </c>
      <c r="N68" s="307" t="str">
        <f t="shared" ca="1" si="35"/>
        <v/>
      </c>
      <c r="R68" s="108">
        <v>23420</v>
      </c>
      <c r="S68" s="110" t="s">
        <v>440</v>
      </c>
      <c r="T68" s="117">
        <v>1965</v>
      </c>
      <c r="U68" s="110" t="s">
        <v>441</v>
      </c>
      <c r="V68" s="330" t="s">
        <v>442</v>
      </c>
      <c r="X68" s="75">
        <f t="shared" ca="1" si="30"/>
        <v>42735</v>
      </c>
      <c r="Y68" s="234" t="str">
        <f t="shared" ca="1" si="36"/>
        <v xml:space="preserve">      </v>
      </c>
      <c r="Z68" s="76">
        <f t="shared" si="32"/>
        <v>0</v>
      </c>
    </row>
    <row r="69" spans="1:26" ht="15.75" customHeight="1" thickBot="1" x14ac:dyDescent="0.3">
      <c r="A69" s="292"/>
      <c r="B69" s="293"/>
      <c r="C69" s="293" t="str">
        <f t="shared" si="29"/>
        <v xml:space="preserve">  </v>
      </c>
      <c r="D69" s="294" t="str">
        <f t="shared" ca="1" si="33"/>
        <v xml:space="preserve">      </v>
      </c>
      <c r="E69" s="294"/>
      <c r="F69" s="295" t="str">
        <f t="shared" si="24"/>
        <v/>
      </c>
      <c r="G69" s="294" t="str">
        <f t="shared" ca="1" si="25"/>
        <v/>
      </c>
      <c r="H69" s="293"/>
      <c r="I69" s="293" t="str">
        <f t="shared" ca="1" si="31"/>
        <v/>
      </c>
      <c r="J69" s="296" t="str">
        <f t="shared" ca="1" si="34"/>
        <v/>
      </c>
      <c r="K69" s="296" t="str">
        <f t="shared" ca="1" si="37"/>
        <v xml:space="preserve">  </v>
      </c>
      <c r="L69" s="296" t="str">
        <f>IF(H69="naissance",IF(E69="","",INDEX({"Capricorne";"Verseau";"Poisson";"Bélier";"Taureau";"Gémeaux";"Cancer";"Lion";"Vierge";"Balance";"Scorpion";"Sagittaire";"Capricorne";""},MATCH(DATE(,MONTH(E69),DAY(E69)),{0;20;51;81;111;142;173;205;237;267;297;327;357},1))),"")</f>
        <v/>
      </c>
      <c r="M69" s="296" t="str">
        <f>IF(H69="naissance",IF(F69="","",INDEX({"g";"h";"i";"^";"_";"z";"a";"b";"c";"d";"e";"f";"g";""},MATCH(DATE(,MONTH(F69),DAY(F69)),{0;20;51;81;111;142;173;205;237;267;297;327;357},1))),"")</f>
        <v/>
      </c>
      <c r="N69" s="297" t="str">
        <f t="shared" ca="1" si="35"/>
        <v/>
      </c>
      <c r="R69" s="108">
        <v>23775</v>
      </c>
      <c r="S69" s="108">
        <v>24127</v>
      </c>
      <c r="T69" s="117">
        <v>1966</v>
      </c>
      <c r="U69" s="110" t="s">
        <v>443</v>
      </c>
      <c r="V69" s="331"/>
      <c r="X69" s="75">
        <f t="shared" ca="1" si="30"/>
        <v>42735</v>
      </c>
      <c r="Y69" s="234" t="str">
        <f t="shared" ca="1" si="36"/>
        <v xml:space="preserve">      </v>
      </c>
      <c r="Z69" s="76">
        <f t="shared" si="32"/>
        <v>0</v>
      </c>
    </row>
    <row r="70" spans="1:26" ht="15.75" customHeight="1" thickBot="1" x14ac:dyDescent="0.3">
      <c r="A70" s="298"/>
      <c r="B70" s="299"/>
      <c r="C70" s="299" t="str">
        <f t="shared" si="29"/>
        <v xml:space="preserve">  </v>
      </c>
      <c r="D70" s="300" t="str">
        <f t="shared" ca="1" si="33"/>
        <v xml:space="preserve">      </v>
      </c>
      <c r="E70" s="300"/>
      <c r="F70" s="301" t="str">
        <f t="shared" si="24"/>
        <v/>
      </c>
      <c r="G70" s="302" t="str">
        <f t="shared" ca="1" si="25"/>
        <v/>
      </c>
      <c r="H70" s="299"/>
      <c r="I70" s="303" t="str">
        <f t="shared" ca="1" si="31"/>
        <v/>
      </c>
      <c r="J70" s="304" t="str">
        <f t="shared" ca="1" si="34"/>
        <v/>
      </c>
      <c r="K70" s="304" t="str">
        <f t="shared" ca="1" si="37"/>
        <v xml:space="preserve">  </v>
      </c>
      <c r="L70" s="305" t="str">
        <f>IF(H70="naissance",IF(E70="","",INDEX({"Capricorne";"Verseau";"Poisson";"Bélier";"Taureau";"Gémeaux";"Cancer";"Lion";"Vierge";"Balance";"Scorpion";"Sagittaire";"Capricorne";""},MATCH(DATE(,MONTH(E70),DAY(E70)),{0;20;51;81;111;142;173;205;237;267;297;327;357},1))),"")</f>
        <v/>
      </c>
      <c r="M70" s="306" t="str">
        <f>IF(H70="naissance",IF(F70="","",INDEX({"g";"h";"i";"^";"_";"z";"a";"b";"c";"d";"e";"f";"g";""},MATCH(DATE(,MONTH(F70),DAY(F70)),{0;20;51;81;111;142;173;205;237;267;297;327;357},1))),"")</f>
        <v/>
      </c>
      <c r="N70" s="307" t="str">
        <f t="shared" ca="1" si="35"/>
        <v/>
      </c>
      <c r="R70" s="108">
        <v>24128</v>
      </c>
      <c r="S70" s="108">
        <v>24511</v>
      </c>
      <c r="T70" s="117">
        <v>1967</v>
      </c>
      <c r="U70" s="110" t="s">
        <v>444</v>
      </c>
      <c r="V70" s="330" t="s">
        <v>445</v>
      </c>
      <c r="X70" s="75">
        <f t="shared" ca="1" si="30"/>
        <v>42735</v>
      </c>
      <c r="Y70" s="234" t="str">
        <f t="shared" ca="1" si="36"/>
        <v xml:space="preserve">      </v>
      </c>
      <c r="Z70" s="76">
        <f t="shared" si="32"/>
        <v>0</v>
      </c>
    </row>
    <row r="71" spans="1:26" ht="15.75" customHeight="1" thickBot="1" x14ac:dyDescent="0.3">
      <c r="A71" s="308"/>
      <c r="B71" s="309"/>
      <c r="C71" s="309" t="str">
        <f t="shared" si="29"/>
        <v xml:space="preserve">  </v>
      </c>
      <c r="D71" s="310" t="str">
        <f t="shared" ca="1" si="33"/>
        <v xml:space="preserve">      </v>
      </c>
      <c r="E71" s="310"/>
      <c r="F71" s="311" t="str">
        <f t="shared" si="24"/>
        <v/>
      </c>
      <c r="G71" s="310" t="str">
        <f t="shared" ca="1" si="25"/>
        <v/>
      </c>
      <c r="H71" s="309"/>
      <c r="I71" s="312" t="str">
        <f t="shared" ca="1" si="31"/>
        <v/>
      </c>
      <c r="J71" s="313" t="str">
        <f t="shared" ca="1" si="34"/>
        <v/>
      </c>
      <c r="K71" s="313" t="str">
        <f t="shared" ca="1" si="37"/>
        <v xml:space="preserve">  </v>
      </c>
      <c r="L71" s="314" t="str">
        <f>IF(H71="naissance",IF(E71="","",INDEX({"Capricorne";"Verseau";"Poisson";"Bélier";"Taureau";"Gémeaux";"Cancer";"Lion";"Vierge";"Balance";"Scorpion";"Sagittaire";"Capricorne";""},MATCH(DATE(,MONTH(E71),DAY(E71)),{0;20;51;81;111;142;173;205;237;267;297;327;357},1))),"")</f>
        <v/>
      </c>
      <c r="M71" s="315" t="str">
        <f>IF(H71="naissance",IF(F71="","",INDEX({"g";"h";"i";"^";"_";"z";"a";"b";"c";"d";"e";"f";"g";""},MATCH(DATE(,MONTH(F71),DAY(F71)),{0;20;51;81;111;142;173;205;237;267;297;327;357},1))),"")</f>
        <v/>
      </c>
      <c r="N71" s="316" t="str">
        <f t="shared" ca="1" si="35"/>
        <v/>
      </c>
      <c r="R71" s="108">
        <v>24512</v>
      </c>
      <c r="S71" s="108">
        <v>24866</v>
      </c>
      <c r="T71" s="117">
        <v>1968</v>
      </c>
      <c r="U71" s="110" t="s">
        <v>447</v>
      </c>
      <c r="V71" s="331"/>
      <c r="X71" s="75">
        <f t="shared" ca="1" si="30"/>
        <v>42735</v>
      </c>
      <c r="Y71" s="234" t="str">
        <f t="shared" ca="1" si="36"/>
        <v xml:space="preserve">      </v>
      </c>
      <c r="Z71" s="76">
        <f t="shared" si="32"/>
        <v>0</v>
      </c>
    </row>
    <row r="72" spans="1:26" ht="15.75" customHeight="1" thickBot="1" x14ac:dyDescent="0.3">
      <c r="A72" s="298"/>
      <c r="B72" s="299"/>
      <c r="C72" s="299" t="str">
        <f t="shared" si="29"/>
        <v xml:space="preserve">  </v>
      </c>
      <c r="D72" s="300" t="str">
        <f t="shared" ca="1" si="33"/>
        <v xml:space="preserve">      </v>
      </c>
      <c r="E72" s="300"/>
      <c r="F72" s="301" t="str">
        <f t="shared" si="24"/>
        <v/>
      </c>
      <c r="G72" s="302" t="str">
        <f t="shared" ca="1" si="25"/>
        <v/>
      </c>
      <c r="H72" s="299"/>
      <c r="I72" s="303" t="str">
        <f t="shared" ca="1" si="31"/>
        <v/>
      </c>
      <c r="J72" s="304" t="str">
        <f t="shared" ca="1" si="34"/>
        <v/>
      </c>
      <c r="K72" s="304" t="str">
        <f t="shared" ca="1" si="37"/>
        <v xml:space="preserve">  </v>
      </c>
      <c r="L72" s="305" t="str">
        <f>IF(H72="naissance",IF(E72="","",INDEX({"Capricorne";"Verseau";"Poisson";"Bélier";"Taureau";"Gémeaux";"Cancer";"Lion";"Vierge";"Balance";"Scorpion";"Sagittaire";"Capricorne";""},MATCH(DATE(,MONTH(E72),DAY(E72)),{0;20;51;81;111;142;173;205;237;267;297;327;357},1))),"")</f>
        <v/>
      </c>
      <c r="M72" s="306" t="str">
        <f>IF(H72="naissance",IF(F72="","",INDEX({"g";"h";"i";"^";"_";"z";"a";"b";"c";"d";"e";"f";"g";""},MATCH(DATE(,MONTH(F72),DAY(F72)),{0;20;51;81;111;142;173;205;237;267;297;327;357},1))),"")</f>
        <v/>
      </c>
      <c r="N72" s="307" t="str">
        <f t="shared" ca="1" si="35"/>
        <v/>
      </c>
      <c r="R72" s="108">
        <v>24867</v>
      </c>
      <c r="S72" s="108">
        <v>25250</v>
      </c>
      <c r="T72" s="117">
        <v>1969</v>
      </c>
      <c r="U72" s="110" t="s">
        <v>448</v>
      </c>
      <c r="V72" s="330" t="s">
        <v>449</v>
      </c>
      <c r="X72" s="75">
        <f t="shared" ca="1" si="30"/>
        <v>42735</v>
      </c>
      <c r="Y72" s="234" t="str">
        <f t="shared" ca="1" si="36"/>
        <v xml:space="preserve">      </v>
      </c>
      <c r="Z72" s="76">
        <f t="shared" si="32"/>
        <v>0</v>
      </c>
    </row>
    <row r="73" spans="1:26" ht="15.75" customHeight="1" thickBot="1" x14ac:dyDescent="0.3">
      <c r="A73" s="308"/>
      <c r="B73" s="309"/>
      <c r="C73" s="309" t="str">
        <f t="shared" si="29"/>
        <v xml:space="preserve">  </v>
      </c>
      <c r="D73" s="310" t="str">
        <f t="shared" ca="1" si="33"/>
        <v xml:space="preserve">      </v>
      </c>
      <c r="E73" s="310"/>
      <c r="F73" s="311" t="str">
        <f t="shared" si="24"/>
        <v/>
      </c>
      <c r="G73" s="310" t="str">
        <f t="shared" ca="1" si="25"/>
        <v/>
      </c>
      <c r="H73" s="309"/>
      <c r="I73" s="312" t="str">
        <f t="shared" ca="1" si="31"/>
        <v/>
      </c>
      <c r="J73" s="313" t="str">
        <f t="shared" ca="1" si="34"/>
        <v/>
      </c>
      <c r="K73" s="313" t="str">
        <f t="shared" ca="1" si="37"/>
        <v xml:space="preserve">  </v>
      </c>
      <c r="L73" s="314" t="str">
        <f>IF(H73="naissance",IF(E73="","",INDEX({"Capricorne";"Verseau";"Poisson";"Bélier";"Taureau";"Gémeaux";"Cancer";"Lion";"Vierge";"Balance";"Scorpion";"Sagittaire";"Capricorne";""},MATCH(DATE(,MONTH(E73),DAY(E73)),{0;20;51;81;111;142;173;205;237;267;297;327;357},1))),"")</f>
        <v/>
      </c>
      <c r="M73" s="315" t="str">
        <f>IF(H73="naissance",IF(F73="","",INDEX({"g";"h";"i";"^";"_";"z";"a";"b";"c";"d";"e";"f";"g";""},MATCH(DATE(,MONTH(F73),DAY(F73)),{0;20;51;81;111;142;173;205;237;267;297;327;357},1))),"")</f>
        <v/>
      </c>
      <c r="N73" s="316" t="str">
        <f t="shared" ca="1" si="35"/>
        <v/>
      </c>
      <c r="R73" s="108">
        <v>25251</v>
      </c>
      <c r="S73" s="108">
        <v>25604</v>
      </c>
      <c r="T73" s="117">
        <v>1970</v>
      </c>
      <c r="U73" s="110" t="s">
        <v>450</v>
      </c>
      <c r="V73" s="331"/>
      <c r="X73" s="75">
        <f t="shared" ca="1" si="30"/>
        <v>42735</v>
      </c>
      <c r="Y73" s="234" t="str">
        <f t="shared" ca="1" si="36"/>
        <v xml:space="preserve">      </v>
      </c>
      <c r="Z73" s="76">
        <f t="shared" si="32"/>
        <v>0</v>
      </c>
    </row>
    <row r="74" spans="1:26" ht="15.75" customHeight="1" thickBot="1" x14ac:dyDescent="0.3">
      <c r="A74" s="298"/>
      <c r="B74" s="299"/>
      <c r="C74" s="299" t="str">
        <f t="shared" si="29"/>
        <v xml:space="preserve">  </v>
      </c>
      <c r="D74" s="300" t="str">
        <f t="shared" ca="1" si="33"/>
        <v xml:space="preserve">      </v>
      </c>
      <c r="E74" s="300"/>
      <c r="F74" s="301" t="str">
        <f t="shared" si="24"/>
        <v/>
      </c>
      <c r="G74" s="302" t="str">
        <f t="shared" ca="1" si="25"/>
        <v/>
      </c>
      <c r="H74" s="299"/>
      <c r="I74" s="303" t="str">
        <f t="shared" ca="1" si="31"/>
        <v/>
      </c>
      <c r="J74" s="304" t="str">
        <f t="shared" ca="1" si="34"/>
        <v/>
      </c>
      <c r="K74" s="304" t="str">
        <f t="shared" ca="1" si="37"/>
        <v xml:space="preserve">  </v>
      </c>
      <c r="L74" s="305" t="str">
        <f>IF(H74="naissance",IF(E74="","",INDEX({"Capricorne";"Verseau";"Poisson";"Bélier";"Taureau";"Gémeaux";"Cancer";"Lion";"Vierge";"Balance";"Scorpion";"Sagittaire";"Capricorne";""},MATCH(DATE(,MONTH(E74),DAY(E74)),{0;20;51;81;111;142;173;205;237;267;297;327;357},1))),"")</f>
        <v/>
      </c>
      <c r="M74" s="306" t="str">
        <f>IF(H74="naissance",IF(F74="","",INDEX({"g";"h";"i";"^";"_";"z";"a";"b";"c";"d";"e";"f";"g";""},MATCH(DATE(,MONTH(F74),DAY(F74)),{0;20;51;81;111;142;173;205;237;267;297;327;357},1))),"")</f>
        <v/>
      </c>
      <c r="N74" s="307" t="str">
        <f t="shared" ca="1" si="35"/>
        <v/>
      </c>
      <c r="R74" s="108">
        <v>25605</v>
      </c>
      <c r="S74" s="108">
        <v>25959</v>
      </c>
      <c r="T74" s="117">
        <v>1971</v>
      </c>
      <c r="U74" s="110" t="s">
        <v>451</v>
      </c>
      <c r="V74" s="330" t="s">
        <v>435</v>
      </c>
      <c r="X74" s="75">
        <f t="shared" ca="1" si="30"/>
        <v>42735</v>
      </c>
      <c r="Y74" s="234" t="str">
        <f t="shared" ca="1" si="36"/>
        <v xml:space="preserve">      </v>
      </c>
      <c r="Z74" s="76">
        <f t="shared" si="32"/>
        <v>0</v>
      </c>
    </row>
    <row r="75" spans="1:26" ht="15.75" customHeight="1" thickBot="1" x14ac:dyDescent="0.3">
      <c r="A75" s="308"/>
      <c r="B75" s="309"/>
      <c r="C75" s="309" t="str">
        <f t="shared" si="29"/>
        <v xml:space="preserve">  </v>
      </c>
      <c r="D75" s="310" t="str">
        <f t="shared" ca="1" si="33"/>
        <v xml:space="preserve">      </v>
      </c>
      <c r="E75" s="310"/>
      <c r="F75" s="311" t="str">
        <f t="shared" si="24"/>
        <v/>
      </c>
      <c r="G75" s="310" t="str">
        <f t="shared" ca="1" si="25"/>
        <v/>
      </c>
      <c r="H75" s="309"/>
      <c r="I75" s="312" t="str">
        <f t="shared" ca="1" si="31"/>
        <v/>
      </c>
      <c r="J75" s="313" t="str">
        <f t="shared" ca="1" si="34"/>
        <v/>
      </c>
      <c r="K75" s="313" t="str">
        <f t="shared" ca="1" si="37"/>
        <v xml:space="preserve">  </v>
      </c>
      <c r="L75" s="314" t="str">
        <f>IF(H75="naissance",IF(E75="","",INDEX({"Capricorne";"Verseau";"Poisson";"Bélier";"Taureau";"Gémeaux";"Cancer";"Lion";"Vierge";"Balance";"Scorpion";"Sagittaire";"Capricorne";""},MATCH(DATE(,MONTH(E75),DAY(E75)),{0;20;51;81;111;142;173;205;237;267;297;327;357},1))),"")</f>
        <v/>
      </c>
      <c r="M75" s="315" t="str">
        <f>IF(H75="naissance",IF(F75="","",INDEX({"g";"h";"i";"^";"_";"z";"a";"b";"c";"d";"e";"f";"g";""},MATCH(DATE(,MONTH(F75),DAY(F75)),{0;20;51;81;111;142;173;205;237;267;297;327;357},1))),"")</f>
        <v/>
      </c>
      <c r="N75" s="316" t="str">
        <f t="shared" ca="1" si="35"/>
        <v/>
      </c>
      <c r="R75" s="108">
        <v>25960</v>
      </c>
      <c r="S75" s="108">
        <v>26343</v>
      </c>
      <c r="T75" s="117">
        <v>1972</v>
      </c>
      <c r="U75" s="110" t="s">
        <v>452</v>
      </c>
      <c r="V75" s="331"/>
      <c r="X75" s="75">
        <f t="shared" ca="1" si="30"/>
        <v>42735</v>
      </c>
      <c r="Y75" s="234" t="str">
        <f t="shared" ca="1" si="36"/>
        <v xml:space="preserve">      </v>
      </c>
      <c r="Z75" s="76">
        <f t="shared" si="32"/>
        <v>0</v>
      </c>
    </row>
    <row r="76" spans="1:26" ht="15.75" customHeight="1" thickBot="1" x14ac:dyDescent="0.3">
      <c r="A76" s="298"/>
      <c r="B76" s="299"/>
      <c r="C76" s="299" t="str">
        <f t="shared" si="29"/>
        <v xml:space="preserve">  </v>
      </c>
      <c r="D76" s="300" t="str">
        <f t="shared" ca="1" si="33"/>
        <v xml:space="preserve">      </v>
      </c>
      <c r="E76" s="300"/>
      <c r="F76" s="301" t="str">
        <f t="shared" si="24"/>
        <v/>
      </c>
      <c r="G76" s="302" t="str">
        <f t="shared" ca="1" si="25"/>
        <v/>
      </c>
      <c r="H76" s="299"/>
      <c r="I76" s="303" t="str">
        <f t="shared" ref="I76:I100" ca="1" si="38">IF(E76&gt;$AB$1,"",IF(B76="","",IF(H76&lt;&gt;"naissance",IF(F76&lt;1/1/19000," ",DATEDIF(F76,TODAY(),"y")),"")))</f>
        <v/>
      </c>
      <c r="J76" s="304" t="str">
        <f t="shared" ca="1" si="34"/>
        <v/>
      </c>
      <c r="K76" s="304" t="str">
        <f t="shared" ca="1" si="37"/>
        <v xml:space="preserve">  </v>
      </c>
      <c r="L76" s="305" t="str">
        <f>IF(H76="naissance",IF(E76="","",INDEX({"Capricorne";"Verseau";"Poisson";"Bélier";"Taureau";"Gémeaux";"Cancer";"Lion";"Vierge";"Balance";"Scorpion";"Sagittaire";"Capricorne";""},MATCH(DATE(,MONTH(E76),DAY(E76)),{0;20;51;81;111;142;173;205;237;267;297;327;357},1))),"")</f>
        <v/>
      </c>
      <c r="M76" s="306" t="str">
        <f>IF(H76="naissance",IF(F76="","",INDEX({"g";"h";"i";"^";"_";"z";"a";"b";"c";"d";"e";"f";"g";""},MATCH(DATE(,MONTH(F76),DAY(F76)),{0;20;51;81;111;142;173;205;237;267;297;327;357},1))),"")</f>
        <v/>
      </c>
      <c r="N76" s="307" t="str">
        <f t="shared" ca="1" si="35"/>
        <v/>
      </c>
      <c r="R76" s="108">
        <v>26344</v>
      </c>
      <c r="S76" s="108">
        <v>26697</v>
      </c>
      <c r="T76" s="117">
        <v>1973</v>
      </c>
      <c r="U76" s="109" t="s">
        <v>434</v>
      </c>
      <c r="V76" s="330" t="s">
        <v>438</v>
      </c>
      <c r="X76" s="75">
        <f t="shared" ca="1" si="30"/>
        <v>42735</v>
      </c>
      <c r="Y76" s="234" t="str">
        <f t="shared" ca="1" si="36"/>
        <v xml:space="preserve">      </v>
      </c>
      <c r="Z76" s="76">
        <f t="shared" si="32"/>
        <v>0</v>
      </c>
    </row>
    <row r="77" spans="1:26" ht="15.75" customHeight="1" thickBot="1" x14ac:dyDescent="0.3">
      <c r="A77" s="308"/>
      <c r="B77" s="309"/>
      <c r="C77" s="309" t="str">
        <f t="shared" si="29"/>
        <v xml:space="preserve">  </v>
      </c>
      <c r="D77" s="310" t="str">
        <f t="shared" ca="1" si="33"/>
        <v xml:space="preserve">      </v>
      </c>
      <c r="E77" s="310"/>
      <c r="F77" s="311" t="str">
        <f t="shared" si="24"/>
        <v/>
      </c>
      <c r="G77" s="310" t="str">
        <f t="shared" ca="1" si="25"/>
        <v/>
      </c>
      <c r="H77" s="309"/>
      <c r="I77" s="312" t="str">
        <f t="shared" ca="1" si="38"/>
        <v/>
      </c>
      <c r="J77" s="313" t="str">
        <f t="shared" ca="1" si="34"/>
        <v/>
      </c>
      <c r="K77" s="313" t="str">
        <f t="shared" ca="1" si="37"/>
        <v xml:space="preserve">  </v>
      </c>
      <c r="L77" s="314" t="str">
        <f>IF(H77="naissance",IF(E77="","",INDEX({"Capricorne";"Verseau";"Poisson";"Bélier";"Taureau";"Gémeaux";"Cancer";"Lion";"Vierge";"Balance";"Scorpion";"Sagittaire";"Capricorne";""},MATCH(DATE(,MONTH(E77),DAY(E77)),{0;20;51;81;111;142;173;205;237;267;297;327;357},1))),"")</f>
        <v/>
      </c>
      <c r="M77" s="315" t="str">
        <f>IF(H77="naissance",IF(F77="","",INDEX({"g";"h";"i";"^";"_";"z";"a";"b";"c";"d";"e";"f";"g";""},MATCH(DATE(,MONTH(F77),DAY(F77)),{0;20;51;81;111;142;173;205;237;267;297;327;357},1))),"")</f>
        <v/>
      </c>
      <c r="N77" s="316" t="str">
        <f t="shared" ca="1" si="35"/>
        <v/>
      </c>
      <c r="R77" s="108">
        <v>26698</v>
      </c>
      <c r="S77" s="108">
        <v>27051</v>
      </c>
      <c r="T77" s="117">
        <v>1974</v>
      </c>
      <c r="U77" s="110" t="s">
        <v>436</v>
      </c>
      <c r="V77" s="331"/>
      <c r="X77" s="75">
        <f t="shared" ca="1" si="30"/>
        <v>42735</v>
      </c>
      <c r="Y77" s="234" t="str">
        <f t="shared" ca="1" si="36"/>
        <v xml:space="preserve">      </v>
      </c>
      <c r="Z77" s="76">
        <f t="shared" si="32"/>
        <v>0</v>
      </c>
    </row>
    <row r="78" spans="1:26" ht="15.75" customHeight="1" thickBot="1" x14ac:dyDescent="0.3">
      <c r="A78" s="298"/>
      <c r="B78" s="299"/>
      <c r="C78" s="299" t="str">
        <f t="shared" si="29"/>
        <v xml:space="preserve">  </v>
      </c>
      <c r="D78" s="300" t="str">
        <f t="shared" ca="1" si="33"/>
        <v xml:space="preserve">      </v>
      </c>
      <c r="E78" s="300"/>
      <c r="F78" s="301" t="str">
        <f t="shared" si="24"/>
        <v/>
      </c>
      <c r="G78" s="302" t="str">
        <f t="shared" ca="1" si="25"/>
        <v/>
      </c>
      <c r="H78" s="299"/>
      <c r="I78" s="303" t="str">
        <f t="shared" ca="1" si="38"/>
        <v/>
      </c>
      <c r="J78" s="304" t="str">
        <f t="shared" ca="1" si="34"/>
        <v/>
      </c>
      <c r="K78" s="304" t="str">
        <f t="shared" ca="1" si="37"/>
        <v xml:space="preserve">  </v>
      </c>
      <c r="L78" s="305" t="str">
        <f>IF(H78="naissance",IF(E78="","",INDEX({"Capricorne";"Verseau";"Poisson";"Bélier";"Taureau";"Gémeaux";"Cancer";"Lion";"Vierge";"Balance";"Scorpion";"Sagittaire";"Capricorne";""},MATCH(DATE(,MONTH(E78),DAY(E78)),{0;20;51;81;111;142;173;205;237;267;297;327;357},1))),"")</f>
        <v/>
      </c>
      <c r="M78" s="306" t="str">
        <f>IF(H78="naissance",IF(F78="","",INDEX({"g";"h";"i";"^";"_";"z";"a";"b";"c";"d";"e";"f";"g";""},MATCH(DATE(,MONTH(F78),DAY(F78)),{0;20;51;81;111;142;173;205;237;267;297;327;357},1))),"")</f>
        <v/>
      </c>
      <c r="N78" s="307" t="str">
        <f t="shared" ca="1" si="35"/>
        <v/>
      </c>
      <c r="R78" s="108">
        <v>27052</v>
      </c>
      <c r="S78" s="108">
        <v>27435</v>
      </c>
      <c r="T78" s="117">
        <v>1975</v>
      </c>
      <c r="U78" s="110" t="s">
        <v>437</v>
      </c>
      <c r="V78" s="330" t="s">
        <v>442</v>
      </c>
      <c r="X78" s="75">
        <f t="shared" ca="1" si="30"/>
        <v>42735</v>
      </c>
      <c r="Y78" s="234" t="str">
        <f t="shared" ca="1" si="36"/>
        <v xml:space="preserve">      </v>
      </c>
      <c r="Z78" s="76">
        <f t="shared" si="32"/>
        <v>0</v>
      </c>
    </row>
    <row r="79" spans="1:26" ht="15.75" customHeight="1" thickBot="1" x14ac:dyDescent="0.3">
      <c r="A79" s="308"/>
      <c r="B79" s="309"/>
      <c r="C79" s="309" t="str">
        <f t="shared" si="29"/>
        <v xml:space="preserve">  </v>
      </c>
      <c r="D79" s="310" t="str">
        <f t="shared" ca="1" si="33"/>
        <v xml:space="preserve">      </v>
      </c>
      <c r="E79" s="310"/>
      <c r="F79" s="311" t="str">
        <f t="shared" si="24"/>
        <v/>
      </c>
      <c r="G79" s="310" t="str">
        <f t="shared" ca="1" si="25"/>
        <v/>
      </c>
      <c r="H79" s="309"/>
      <c r="I79" s="312" t="str">
        <f t="shared" ca="1" si="38"/>
        <v/>
      </c>
      <c r="J79" s="313" t="str">
        <f t="shared" ca="1" si="34"/>
        <v/>
      </c>
      <c r="K79" s="313" t="str">
        <f t="shared" ca="1" si="37"/>
        <v xml:space="preserve">  </v>
      </c>
      <c r="L79" s="314" t="str">
        <f>IF(H79="naissance",IF(E79="","",INDEX({"Capricorne";"Verseau";"Poisson";"Bélier";"Taureau";"Gémeaux";"Cancer";"Lion";"Vierge";"Balance";"Scorpion";"Sagittaire";"Capricorne";""},MATCH(DATE(,MONTH(E79),DAY(E79)),{0;20;51;81;111;142;173;205;237;267;297;327;357},1))),"")</f>
        <v/>
      </c>
      <c r="M79" s="315" t="str">
        <f>IF(H79="naissance",IF(F79="","",INDEX({"g";"h";"i";"^";"_";"z";"a";"b";"c";"d";"e";"f";"g";""},MATCH(DATE(,MONTH(F79),DAY(F79)),{0;20;51;81;111;142;173;205;237;267;297;327;357},1))),"")</f>
        <v/>
      </c>
      <c r="N79" s="316" t="str">
        <f t="shared" ca="1" si="35"/>
        <v/>
      </c>
      <c r="R79" s="108">
        <v>27436</v>
      </c>
      <c r="S79" s="108">
        <v>27789</v>
      </c>
      <c r="T79" s="117">
        <v>1976</v>
      </c>
      <c r="U79" s="110" t="s">
        <v>439</v>
      </c>
      <c r="V79" s="331"/>
      <c r="X79" s="75">
        <f t="shared" ca="1" si="30"/>
        <v>42735</v>
      </c>
      <c r="Y79" s="234" t="str">
        <f t="shared" ca="1" si="36"/>
        <v xml:space="preserve">      </v>
      </c>
      <c r="Z79" s="76">
        <f t="shared" si="32"/>
        <v>0</v>
      </c>
    </row>
    <row r="80" spans="1:26" ht="15.75" customHeight="1" thickBot="1" x14ac:dyDescent="0.3">
      <c r="A80" s="298"/>
      <c r="B80" s="299"/>
      <c r="C80" s="299" t="str">
        <f t="shared" si="29"/>
        <v xml:space="preserve">  </v>
      </c>
      <c r="D80" s="300" t="str">
        <f t="shared" ca="1" si="33"/>
        <v xml:space="preserve">      </v>
      </c>
      <c r="E80" s="300"/>
      <c r="F80" s="301" t="str">
        <f t="shared" si="24"/>
        <v/>
      </c>
      <c r="G80" s="302" t="str">
        <f t="shared" ca="1" si="25"/>
        <v/>
      </c>
      <c r="H80" s="299"/>
      <c r="I80" s="303" t="str">
        <f t="shared" ca="1" si="38"/>
        <v/>
      </c>
      <c r="J80" s="304" t="str">
        <f t="shared" ca="1" si="34"/>
        <v/>
      </c>
      <c r="K80" s="304" t="str">
        <f t="shared" ca="1" si="37"/>
        <v xml:space="preserve">  </v>
      </c>
      <c r="L80" s="305" t="str">
        <f>IF(H80="naissance",IF(E80="","",INDEX({"Capricorne";"Verseau";"Poisson";"Bélier";"Taureau";"Gémeaux";"Cancer";"Lion";"Vierge";"Balance";"Scorpion";"Sagittaire";"Capricorne";""},MATCH(DATE(,MONTH(E80),DAY(E80)),{0;20;51;81;111;142;173;205;237;267;297;327;357},1))),"")</f>
        <v/>
      </c>
      <c r="M80" s="306" t="str">
        <f>IF(H80="naissance",IF(F80="","",INDEX({"g";"h";"i";"^";"_";"z";"a";"b";"c";"d";"e";"f";"g";""},MATCH(DATE(,MONTH(F80),DAY(F80)),{0;20;51;81;111;142;173;205;237;267;297;327;357},1))),"")</f>
        <v/>
      </c>
      <c r="N80" s="307" t="str">
        <f t="shared" ca="1" si="35"/>
        <v/>
      </c>
      <c r="R80" s="108">
        <v>27790</v>
      </c>
      <c r="S80" s="108">
        <v>28173</v>
      </c>
      <c r="T80" s="117">
        <v>1977</v>
      </c>
      <c r="U80" s="110" t="s">
        <v>441</v>
      </c>
      <c r="V80" s="330" t="s">
        <v>445</v>
      </c>
      <c r="X80" s="75">
        <f t="shared" ca="1" si="30"/>
        <v>42735</v>
      </c>
      <c r="Y80" s="234" t="str">
        <f t="shared" ca="1" si="36"/>
        <v xml:space="preserve">      </v>
      </c>
      <c r="Z80" s="76">
        <f t="shared" si="32"/>
        <v>0</v>
      </c>
    </row>
    <row r="81" spans="1:26" ht="15.75" customHeight="1" thickBot="1" x14ac:dyDescent="0.3">
      <c r="A81" s="308"/>
      <c r="B81" s="309"/>
      <c r="C81" s="309" t="str">
        <f t="shared" si="29"/>
        <v xml:space="preserve">  </v>
      </c>
      <c r="D81" s="310" t="str">
        <f t="shared" ca="1" si="33"/>
        <v xml:space="preserve">      </v>
      </c>
      <c r="E81" s="310"/>
      <c r="F81" s="311" t="str">
        <f t="shared" si="24"/>
        <v/>
      </c>
      <c r="G81" s="310" t="str">
        <f t="shared" ca="1" si="25"/>
        <v/>
      </c>
      <c r="H81" s="309"/>
      <c r="I81" s="312" t="str">
        <f t="shared" ca="1" si="38"/>
        <v/>
      </c>
      <c r="J81" s="313" t="str">
        <f t="shared" ca="1" si="34"/>
        <v/>
      </c>
      <c r="K81" s="313" t="str">
        <f t="shared" ca="1" si="37"/>
        <v xml:space="preserve">  </v>
      </c>
      <c r="L81" s="314" t="str">
        <f>IF(H81="naissance",IF(E81="","",INDEX({"Capricorne";"Verseau";"Poisson";"Bélier";"Taureau";"Gémeaux";"Cancer";"Lion";"Vierge";"Balance";"Scorpion";"Sagittaire";"Capricorne";""},MATCH(DATE(,MONTH(E81),DAY(E81)),{0;20;51;81;111;142;173;205;237;267;297;327;357},1))),"")</f>
        <v/>
      </c>
      <c r="M81" s="315" t="str">
        <f>IF(H81="naissance",IF(F81="","",INDEX({"g";"h";"i";"^";"_";"z";"a";"b";"c";"d";"e";"f";"g";""},MATCH(DATE(,MONTH(F81),DAY(F81)),{0;20;51;81;111;142;173;205;237;267;297;327;357},1))),"")</f>
        <v/>
      </c>
      <c r="N81" s="316" t="str">
        <f t="shared" ca="1" si="35"/>
        <v/>
      </c>
      <c r="R81" s="108">
        <v>28174</v>
      </c>
      <c r="S81" s="108">
        <v>28527</v>
      </c>
      <c r="T81" s="117">
        <v>1978</v>
      </c>
      <c r="U81" s="110" t="s">
        <v>443</v>
      </c>
      <c r="V81" s="331"/>
      <c r="X81" s="75">
        <f t="shared" ca="1" si="30"/>
        <v>42735</v>
      </c>
      <c r="Y81" s="234" t="str">
        <f t="shared" ca="1" si="36"/>
        <v xml:space="preserve">      </v>
      </c>
      <c r="Z81" s="76">
        <f t="shared" si="32"/>
        <v>0</v>
      </c>
    </row>
    <row r="82" spans="1:26" ht="15.75" customHeight="1" thickBot="1" x14ac:dyDescent="0.3">
      <c r="A82" s="298"/>
      <c r="B82" s="299"/>
      <c r="C82" s="299" t="str">
        <f t="shared" si="29"/>
        <v xml:space="preserve">  </v>
      </c>
      <c r="D82" s="300" t="str">
        <f t="shared" ca="1" si="33"/>
        <v xml:space="preserve">      </v>
      </c>
      <c r="E82" s="300"/>
      <c r="F82" s="301" t="str">
        <f t="shared" si="24"/>
        <v/>
      </c>
      <c r="G82" s="302" t="str">
        <f t="shared" ca="1" si="25"/>
        <v/>
      </c>
      <c r="H82" s="299"/>
      <c r="I82" s="303" t="str">
        <f t="shared" ca="1" si="38"/>
        <v/>
      </c>
      <c r="J82" s="304" t="str">
        <f t="shared" ca="1" si="34"/>
        <v/>
      </c>
      <c r="K82" s="304" t="str">
        <f t="shared" ca="1" si="37"/>
        <v xml:space="preserve">  </v>
      </c>
      <c r="L82" s="305" t="str">
        <f>IF(H82="naissance",IF(E82="","",INDEX({"Capricorne";"Verseau";"Poisson";"Bélier";"Taureau";"Gémeaux";"Cancer";"Lion";"Vierge";"Balance";"Scorpion";"Sagittaire";"Capricorne";""},MATCH(DATE(,MONTH(E82),DAY(E82)),{0;20;51;81;111;142;173;205;237;267;297;327;357},1))),"")</f>
        <v/>
      </c>
      <c r="M82" s="306" t="str">
        <f>IF(H82="naissance",IF(F82="","",INDEX({"g";"h";"i";"^";"_";"z";"a";"b";"c";"d";"e";"f";"g";""},MATCH(DATE(,MONTH(F82),DAY(F82)),{0;20;51;81;111;142;173;205;237;267;297;327;357},1))),"")</f>
        <v/>
      </c>
      <c r="N82" s="307" t="str">
        <f t="shared" ca="1" si="35"/>
        <v/>
      </c>
      <c r="R82" s="108">
        <v>28528</v>
      </c>
      <c r="S82" s="108">
        <v>28882</v>
      </c>
      <c r="T82" s="117">
        <v>1979</v>
      </c>
      <c r="U82" s="110" t="s">
        <v>444</v>
      </c>
      <c r="V82" s="330" t="s">
        <v>449</v>
      </c>
      <c r="X82" s="75">
        <f t="shared" ca="1" si="30"/>
        <v>42735</v>
      </c>
      <c r="Y82" s="234" t="str">
        <f t="shared" ca="1" si="36"/>
        <v xml:space="preserve">      </v>
      </c>
      <c r="Z82" s="76">
        <f t="shared" si="32"/>
        <v>0</v>
      </c>
    </row>
    <row r="83" spans="1:26" ht="15.75" customHeight="1" thickBot="1" x14ac:dyDescent="0.3">
      <c r="A83" s="292"/>
      <c r="B83" s="293"/>
      <c r="C83" s="293" t="str">
        <f t="shared" si="29"/>
        <v xml:space="preserve">  </v>
      </c>
      <c r="D83" s="294" t="str">
        <f t="shared" ca="1" si="33"/>
        <v xml:space="preserve">      </v>
      </c>
      <c r="E83" s="294"/>
      <c r="F83" s="295" t="str">
        <f t="shared" si="24"/>
        <v/>
      </c>
      <c r="G83" s="294" t="str">
        <f t="shared" ca="1" si="25"/>
        <v/>
      </c>
      <c r="H83" s="293"/>
      <c r="I83" s="293" t="str">
        <f t="shared" ca="1" si="38"/>
        <v/>
      </c>
      <c r="J83" s="296" t="str">
        <f t="shared" ca="1" si="34"/>
        <v/>
      </c>
      <c r="K83" s="296" t="str">
        <f t="shared" ca="1" si="37"/>
        <v xml:space="preserve">  </v>
      </c>
      <c r="L83" s="296" t="str">
        <f>IF(H83="naissance",IF(E83="","",INDEX({"Capricorne";"Verseau";"Poisson";"Bélier";"Taureau";"Gémeaux";"Cancer";"Lion";"Vierge";"Balance";"Scorpion";"Sagittaire";"Capricorne";""},MATCH(DATE(,MONTH(E83),DAY(E83)),{0;20;51;81;111;142;173;205;237;267;297;327;357},1))),"")</f>
        <v/>
      </c>
      <c r="M83" s="296" t="str">
        <f>IF(H83="naissance",IF(F83="","",INDEX({"g";"h";"i";"^";"_";"z";"a";"b";"c";"d";"e";"f";"g";""},MATCH(DATE(,MONTH(F83),DAY(F83)),{0;20;51;81;111;142;173;205;237;267;297;327;357},1))),"")</f>
        <v/>
      </c>
      <c r="N83" s="297" t="str">
        <f t="shared" ca="1" si="35"/>
        <v/>
      </c>
      <c r="R83" s="108">
        <v>28883</v>
      </c>
      <c r="S83" s="108">
        <v>29266</v>
      </c>
      <c r="T83" s="117">
        <v>1980</v>
      </c>
      <c r="U83" s="110" t="s">
        <v>447</v>
      </c>
      <c r="V83" s="331"/>
      <c r="X83" s="75">
        <f t="shared" ca="1" si="30"/>
        <v>42735</v>
      </c>
      <c r="Y83" s="234" t="str">
        <f t="shared" ca="1" si="36"/>
        <v xml:space="preserve">      </v>
      </c>
      <c r="Z83" s="76">
        <f t="shared" si="32"/>
        <v>0</v>
      </c>
    </row>
    <row r="84" spans="1:26" ht="15.75" customHeight="1" thickBot="1" x14ac:dyDescent="0.3">
      <c r="A84" s="298"/>
      <c r="B84" s="299"/>
      <c r="C84" s="299" t="str">
        <f t="shared" si="29"/>
        <v xml:space="preserve">  </v>
      </c>
      <c r="D84" s="300" t="str">
        <f t="shared" ca="1" si="33"/>
        <v xml:space="preserve">      </v>
      </c>
      <c r="E84" s="300"/>
      <c r="F84" s="301" t="str">
        <f t="shared" si="24"/>
        <v/>
      </c>
      <c r="G84" s="302" t="str">
        <f t="shared" ca="1" si="25"/>
        <v/>
      </c>
      <c r="H84" s="299"/>
      <c r="I84" s="303" t="str">
        <f t="shared" ca="1" si="38"/>
        <v/>
      </c>
      <c r="J84" s="304" t="str">
        <f t="shared" ca="1" si="34"/>
        <v/>
      </c>
      <c r="K84" s="304" t="str">
        <f t="shared" ca="1" si="37"/>
        <v xml:space="preserve">  </v>
      </c>
      <c r="L84" s="305" t="str">
        <f>IF(H84="naissance",IF(E84="","",INDEX({"Capricorne";"Verseau";"Poisson";"Bélier";"Taureau";"Gémeaux";"Cancer";"Lion";"Vierge";"Balance";"Scorpion";"Sagittaire";"Capricorne";""},MATCH(DATE(,MONTH(E84),DAY(E84)),{0;20;51;81;111;142;173;205;237;267;297;327;357},1))),"")</f>
        <v/>
      </c>
      <c r="M84" s="306" t="str">
        <f>IF(H84="naissance",IF(F84="","",INDEX({"g";"h";"i";"^";"_";"z";"a";"b";"c";"d";"e";"f";"g";""},MATCH(DATE(,MONTH(F84),DAY(F84)),{0;20;51;81;111;142;173;205;237;267;297;327;357},1))),"")</f>
        <v/>
      </c>
      <c r="N84" s="307" t="str">
        <f t="shared" ca="1" si="35"/>
        <v/>
      </c>
      <c r="R84" s="108">
        <v>29267</v>
      </c>
      <c r="S84" s="108">
        <v>29621</v>
      </c>
      <c r="T84" s="117">
        <v>1981</v>
      </c>
      <c r="U84" s="110" t="s">
        <v>448</v>
      </c>
      <c r="V84" s="330" t="s">
        <v>435</v>
      </c>
      <c r="X84" s="75">
        <f t="shared" ca="1" si="30"/>
        <v>42735</v>
      </c>
      <c r="Y84" s="234" t="str">
        <f t="shared" ca="1" si="36"/>
        <v xml:space="preserve">      </v>
      </c>
      <c r="Z84" s="76">
        <f t="shared" si="32"/>
        <v>0</v>
      </c>
    </row>
    <row r="85" spans="1:26" ht="15.75" customHeight="1" thickBot="1" x14ac:dyDescent="0.3">
      <c r="A85" s="308"/>
      <c r="B85" s="309"/>
      <c r="C85" s="309" t="str">
        <f t="shared" si="29"/>
        <v xml:space="preserve">  </v>
      </c>
      <c r="D85" s="310" t="str">
        <f t="shared" ca="1" si="33"/>
        <v xml:space="preserve">      </v>
      </c>
      <c r="E85" s="310"/>
      <c r="F85" s="311" t="str">
        <f t="shared" si="24"/>
        <v/>
      </c>
      <c r="G85" s="310" t="str">
        <f t="shared" ca="1" si="25"/>
        <v/>
      </c>
      <c r="H85" s="309"/>
      <c r="I85" s="312" t="str">
        <f t="shared" ca="1" si="38"/>
        <v/>
      </c>
      <c r="J85" s="313" t="str">
        <f t="shared" ca="1" si="34"/>
        <v/>
      </c>
      <c r="K85" s="313" t="str">
        <f t="shared" ca="1" si="37"/>
        <v xml:space="preserve">  </v>
      </c>
      <c r="L85" s="314" t="str">
        <f>IF(H85="naissance",IF(E85="","",INDEX({"Capricorne";"Verseau";"Poisson";"Bélier";"Taureau";"Gémeaux";"Cancer";"Lion";"Vierge";"Balance";"Scorpion";"Sagittaire";"Capricorne";""},MATCH(DATE(,MONTH(E85),DAY(E85)),{0;20;51;81;111;142;173;205;237;267;297;327;357},1))),"")</f>
        <v/>
      </c>
      <c r="M85" s="315" t="str">
        <f>IF(H85="naissance",IF(F85="","",INDEX({"g";"h";"i";"^";"_";"z";"a";"b";"c";"d";"e";"f";"g";""},MATCH(DATE(,MONTH(F85),DAY(F85)),{0;20;51;81;111;142;173;205;237;267;297;327;357},1))),"")</f>
        <v/>
      </c>
      <c r="N85" s="316" t="str">
        <f t="shared" ca="1" si="35"/>
        <v/>
      </c>
      <c r="R85" s="108">
        <v>29622</v>
      </c>
      <c r="S85" s="108">
        <v>29975</v>
      </c>
      <c r="T85" s="117">
        <v>1982</v>
      </c>
      <c r="U85" s="110" t="s">
        <v>450</v>
      </c>
      <c r="V85" s="331"/>
      <c r="X85" s="75">
        <f t="shared" ca="1" si="30"/>
        <v>42735</v>
      </c>
      <c r="Y85" s="234" t="str">
        <f t="shared" ca="1" si="36"/>
        <v xml:space="preserve">      </v>
      </c>
      <c r="Z85" s="76">
        <f t="shared" si="32"/>
        <v>0</v>
      </c>
    </row>
    <row r="86" spans="1:26" ht="15.75" customHeight="1" thickBot="1" x14ac:dyDescent="0.3">
      <c r="A86" s="298"/>
      <c r="B86" s="299"/>
      <c r="C86" s="299" t="str">
        <f t="shared" si="29"/>
        <v xml:space="preserve">  </v>
      </c>
      <c r="D86" s="300" t="str">
        <f t="shared" ca="1" si="33"/>
        <v xml:space="preserve">      </v>
      </c>
      <c r="E86" s="300"/>
      <c r="F86" s="301" t="str">
        <f t="shared" si="24"/>
        <v/>
      </c>
      <c r="G86" s="302" t="str">
        <f t="shared" ca="1" si="25"/>
        <v/>
      </c>
      <c r="H86" s="299"/>
      <c r="I86" s="303" t="str">
        <f t="shared" ca="1" si="38"/>
        <v/>
      </c>
      <c r="J86" s="304" t="str">
        <f t="shared" ca="1" si="34"/>
        <v/>
      </c>
      <c r="K86" s="304" t="str">
        <f t="shared" ca="1" si="37"/>
        <v xml:space="preserve">  </v>
      </c>
      <c r="L86" s="305" t="str">
        <f>IF(H86="naissance",IF(E86="","",INDEX({"Capricorne";"Verseau";"Poisson";"Bélier";"Taureau";"Gémeaux";"Cancer";"Lion";"Vierge";"Balance";"Scorpion";"Sagittaire";"Capricorne";""},MATCH(DATE(,MONTH(E86),DAY(E86)),{0;20;51;81;111;142;173;205;237;267;297;327;357},1))),"")</f>
        <v/>
      </c>
      <c r="M86" s="306" t="str">
        <f>IF(H86="naissance",IF(F86="","",INDEX({"g";"h";"i";"^";"_";"z";"a";"b";"c";"d";"e";"f";"g";""},MATCH(DATE(,MONTH(F86),DAY(F86)),{0;20;51;81;111;142;173;205;237;267;297;327;357},1))),"")</f>
        <v/>
      </c>
      <c r="N86" s="307" t="str">
        <f t="shared" ca="1" si="35"/>
        <v/>
      </c>
      <c r="R86" s="108">
        <v>29976</v>
      </c>
      <c r="S86" s="108">
        <v>30359</v>
      </c>
      <c r="T86" s="117">
        <v>1983</v>
      </c>
      <c r="U86" s="110" t="s">
        <v>451</v>
      </c>
      <c r="V86" s="330" t="s">
        <v>438</v>
      </c>
      <c r="X86" s="75">
        <f t="shared" ca="1" si="30"/>
        <v>42735</v>
      </c>
      <c r="Y86" s="234" t="str">
        <f t="shared" ca="1" si="36"/>
        <v xml:space="preserve">      </v>
      </c>
      <c r="Z86" s="76">
        <f t="shared" si="32"/>
        <v>0</v>
      </c>
    </row>
    <row r="87" spans="1:26" ht="15.75" customHeight="1" thickBot="1" x14ac:dyDescent="0.3">
      <c r="A87" s="308"/>
      <c r="B87" s="309"/>
      <c r="C87" s="309" t="str">
        <f t="shared" si="29"/>
        <v xml:space="preserve">  </v>
      </c>
      <c r="D87" s="310" t="str">
        <f t="shared" ca="1" si="33"/>
        <v xml:space="preserve">      </v>
      </c>
      <c r="E87" s="310"/>
      <c r="F87" s="311" t="str">
        <f t="shared" si="24"/>
        <v/>
      </c>
      <c r="G87" s="310" t="str">
        <f t="shared" ca="1" si="25"/>
        <v/>
      </c>
      <c r="H87" s="309"/>
      <c r="I87" s="312" t="str">
        <f t="shared" ca="1" si="38"/>
        <v/>
      </c>
      <c r="J87" s="313" t="str">
        <f t="shared" ca="1" si="34"/>
        <v/>
      </c>
      <c r="K87" s="313" t="str">
        <f t="shared" ca="1" si="37"/>
        <v xml:space="preserve">  </v>
      </c>
      <c r="L87" s="314" t="str">
        <f>IF(H87="naissance",IF(E87="","",INDEX({"Capricorne";"Verseau";"Poisson";"Bélier";"Taureau";"Gémeaux";"Cancer";"Lion";"Vierge";"Balance";"Scorpion";"Sagittaire";"Capricorne";""},MATCH(DATE(,MONTH(E87),DAY(E87)),{0;20;51;81;111;142;173;205;237;267;297;327;357},1))),"")</f>
        <v/>
      </c>
      <c r="M87" s="315" t="str">
        <f>IF(H87="naissance",IF(F87="","",INDEX({"g";"h";"i";"^";"_";"z";"a";"b";"c";"d";"e";"f";"g";""},MATCH(DATE(,MONTH(F87),DAY(F87)),{0;20;51;81;111;142;173;205;237;267;297;327;357},1))),"")</f>
        <v/>
      </c>
      <c r="N87" s="316" t="str">
        <f t="shared" ca="1" si="35"/>
        <v/>
      </c>
      <c r="R87" s="108">
        <v>30360</v>
      </c>
      <c r="S87" s="110" t="s">
        <v>454</v>
      </c>
      <c r="T87" s="117">
        <v>1984</v>
      </c>
      <c r="U87" s="110" t="s">
        <v>452</v>
      </c>
      <c r="V87" s="331"/>
      <c r="X87" s="75">
        <f t="shared" ca="1" si="30"/>
        <v>42735</v>
      </c>
      <c r="Y87" s="234" t="str">
        <f t="shared" ca="1" si="36"/>
        <v xml:space="preserve">      </v>
      </c>
      <c r="Z87" s="76">
        <f t="shared" si="32"/>
        <v>0</v>
      </c>
    </row>
    <row r="88" spans="1:26" ht="15.75" customHeight="1" thickBot="1" x14ac:dyDescent="0.3">
      <c r="A88" s="298"/>
      <c r="B88" s="299"/>
      <c r="C88" s="299" t="str">
        <f t="shared" si="29"/>
        <v xml:space="preserve">  </v>
      </c>
      <c r="D88" s="300" t="str">
        <f t="shared" ca="1" si="33"/>
        <v xml:space="preserve">      </v>
      </c>
      <c r="E88" s="300"/>
      <c r="F88" s="301" t="str">
        <f t="shared" si="24"/>
        <v/>
      </c>
      <c r="G88" s="302" t="str">
        <f t="shared" ca="1" si="25"/>
        <v/>
      </c>
      <c r="H88" s="299"/>
      <c r="I88" s="303" t="str">
        <f t="shared" ca="1" si="38"/>
        <v/>
      </c>
      <c r="J88" s="304" t="str">
        <f t="shared" ca="1" si="34"/>
        <v/>
      </c>
      <c r="K88" s="304" t="str">
        <f t="shared" ca="1" si="37"/>
        <v xml:space="preserve">  </v>
      </c>
      <c r="L88" s="305" t="str">
        <f>IF(H88="naissance",IF(E88="","",INDEX({"Capricorne";"Verseau";"Poisson";"Bélier";"Taureau";"Gémeaux";"Cancer";"Lion";"Vierge";"Balance";"Scorpion";"Sagittaire";"Capricorne";""},MATCH(DATE(,MONTH(E88),DAY(E88)),{0;20;51;81;111;142;173;205;237;267;297;327;357},1))),"")</f>
        <v/>
      </c>
      <c r="M88" s="306" t="str">
        <f>IF(H88="naissance",IF(F88="","",INDEX({"g";"h";"i";"^";"_";"z";"a";"b";"c";"d";"e";"f";"g";""},MATCH(DATE(,MONTH(F88),DAY(F88)),{0;20;51;81;111;142;173;205;237;267;297;327;357},1))),"")</f>
        <v/>
      </c>
      <c r="N88" s="307" t="str">
        <f t="shared" ca="1" si="35"/>
        <v/>
      </c>
      <c r="R88" s="108">
        <v>30714</v>
      </c>
      <c r="S88" s="108">
        <v>31097</v>
      </c>
      <c r="T88" s="117">
        <v>1985</v>
      </c>
      <c r="U88" s="109" t="s">
        <v>434</v>
      </c>
      <c r="V88" s="330" t="s">
        <v>442</v>
      </c>
      <c r="X88" s="75">
        <f t="shared" ca="1" si="30"/>
        <v>42735</v>
      </c>
      <c r="Y88" s="234" t="str">
        <f t="shared" ca="1" si="36"/>
        <v xml:space="preserve">      </v>
      </c>
      <c r="Z88" s="76">
        <f t="shared" si="32"/>
        <v>0</v>
      </c>
    </row>
    <row r="89" spans="1:26" ht="15.75" customHeight="1" thickBot="1" x14ac:dyDescent="0.3">
      <c r="A89" s="308"/>
      <c r="B89" s="309"/>
      <c r="C89" s="309" t="str">
        <f t="shared" si="29"/>
        <v xml:space="preserve">  </v>
      </c>
      <c r="D89" s="310" t="str">
        <f t="shared" ca="1" si="33"/>
        <v xml:space="preserve">      </v>
      </c>
      <c r="E89" s="310"/>
      <c r="F89" s="311" t="str">
        <f t="shared" si="24"/>
        <v/>
      </c>
      <c r="G89" s="310" t="str">
        <f t="shared" ca="1" si="25"/>
        <v/>
      </c>
      <c r="H89" s="309"/>
      <c r="I89" s="312" t="str">
        <f t="shared" ca="1" si="38"/>
        <v/>
      </c>
      <c r="J89" s="313" t="str">
        <f t="shared" ca="1" si="34"/>
        <v/>
      </c>
      <c r="K89" s="313" t="str">
        <f t="shared" ca="1" si="37"/>
        <v xml:space="preserve">  </v>
      </c>
      <c r="L89" s="314" t="str">
        <f>IF(H89="naissance",IF(E89="","",INDEX({"Capricorne";"Verseau";"Poisson";"Bélier";"Taureau";"Gémeaux";"Cancer";"Lion";"Vierge";"Balance";"Scorpion";"Sagittaire";"Capricorne";""},MATCH(DATE(,MONTH(E89),DAY(E89)),{0;20;51;81;111;142;173;205;237;267;297;327;357},1))),"")</f>
        <v/>
      </c>
      <c r="M89" s="315" t="str">
        <f>IF(H89="naissance",IF(F89="","",INDEX({"g";"h";"i";"^";"_";"z";"a";"b";"c";"d";"e";"f";"g";""},MATCH(DATE(,MONTH(F89),DAY(F89)),{0;20;51;81;111;142;173;205;237;267;297;327;357},1))),"")</f>
        <v/>
      </c>
      <c r="N89" s="316" t="str">
        <f t="shared" ca="1" si="35"/>
        <v/>
      </c>
      <c r="R89" s="108">
        <v>31098</v>
      </c>
      <c r="S89" s="108">
        <v>31451</v>
      </c>
      <c r="T89" s="117">
        <v>1986</v>
      </c>
      <c r="U89" s="110" t="s">
        <v>436</v>
      </c>
      <c r="V89" s="331"/>
      <c r="X89" s="75">
        <f t="shared" ca="1" si="30"/>
        <v>42735</v>
      </c>
      <c r="Y89" s="234" t="str">
        <f t="shared" ca="1" si="36"/>
        <v xml:space="preserve">      </v>
      </c>
      <c r="Z89" s="76">
        <f t="shared" si="32"/>
        <v>0</v>
      </c>
    </row>
    <row r="90" spans="1:26" ht="15.75" customHeight="1" thickBot="1" x14ac:dyDescent="0.3">
      <c r="A90" s="298"/>
      <c r="B90" s="299"/>
      <c r="C90" s="299" t="str">
        <f t="shared" si="29"/>
        <v xml:space="preserve">  </v>
      </c>
      <c r="D90" s="300" t="str">
        <f t="shared" ca="1" si="33"/>
        <v xml:space="preserve">      </v>
      </c>
      <c r="E90" s="300"/>
      <c r="F90" s="301" t="str">
        <f t="shared" si="24"/>
        <v/>
      </c>
      <c r="G90" s="302" t="str">
        <f t="shared" ca="1" si="25"/>
        <v/>
      </c>
      <c r="H90" s="299"/>
      <c r="I90" s="303" t="str">
        <f t="shared" ca="1" si="38"/>
        <v/>
      </c>
      <c r="J90" s="304" t="str">
        <f t="shared" ca="1" si="34"/>
        <v/>
      </c>
      <c r="K90" s="304" t="str">
        <f t="shared" ca="1" si="37"/>
        <v xml:space="preserve">  </v>
      </c>
      <c r="L90" s="305" t="str">
        <f>IF(H90="naissance",IF(E90="","",INDEX({"Capricorne";"Verseau";"Poisson";"Bélier";"Taureau";"Gémeaux";"Cancer";"Lion";"Vierge";"Balance";"Scorpion";"Sagittaire";"Capricorne";""},MATCH(DATE(,MONTH(E90),DAY(E90)),{0;20;51;81;111;142;173;205;237;267;297;327;357},1))),"")</f>
        <v/>
      </c>
      <c r="M90" s="306" t="str">
        <f>IF(H90="naissance",IF(F90="","",INDEX({"g";"h";"i";"^";"_";"z";"a";"b";"c";"d";"e";"f";"g";""},MATCH(DATE(,MONTH(F90),DAY(F90)),{0;20;51;81;111;142;173;205;237;267;297;327;357},1))),"")</f>
        <v/>
      </c>
      <c r="N90" s="307" t="str">
        <f t="shared" ca="1" si="35"/>
        <v/>
      </c>
      <c r="R90" s="108">
        <v>31452</v>
      </c>
      <c r="S90" s="108">
        <v>31805</v>
      </c>
      <c r="T90" s="117">
        <v>1987</v>
      </c>
      <c r="U90" s="110" t="s">
        <v>437</v>
      </c>
      <c r="V90" s="330" t="s">
        <v>445</v>
      </c>
      <c r="X90" s="75">
        <f t="shared" ca="1" si="30"/>
        <v>42735</v>
      </c>
      <c r="Y90" s="234" t="str">
        <f t="shared" ca="1" si="36"/>
        <v xml:space="preserve">      </v>
      </c>
      <c r="Z90" s="76">
        <f t="shared" si="32"/>
        <v>0</v>
      </c>
    </row>
    <row r="91" spans="1:26" ht="15.75" customHeight="1" thickBot="1" x14ac:dyDescent="0.3">
      <c r="A91" s="308"/>
      <c r="B91" s="309"/>
      <c r="C91" s="309" t="str">
        <f t="shared" si="29"/>
        <v xml:space="preserve">  </v>
      </c>
      <c r="D91" s="310" t="str">
        <f t="shared" ca="1" si="33"/>
        <v xml:space="preserve">      </v>
      </c>
      <c r="E91" s="310"/>
      <c r="F91" s="311" t="str">
        <f t="shared" ref="F91:F100" si="39">IF(E91&lt;1/1/1900,"",E91)</f>
        <v/>
      </c>
      <c r="G91" s="310" t="str">
        <f t="shared" ref="G91:G100" ca="1" si="40">IF(E91&lt;1/1/2000,"",DATE(YEAR(TODAY()),MONTH(E91),DAY(F91)))</f>
        <v/>
      </c>
      <c r="H91" s="309"/>
      <c r="I91" s="312" t="str">
        <f t="shared" ca="1" si="38"/>
        <v/>
      </c>
      <c r="J91" s="313" t="str">
        <f t="shared" ca="1" si="34"/>
        <v/>
      </c>
      <c r="K91" s="313" t="str">
        <f t="shared" ca="1" si="37"/>
        <v xml:space="preserve">  </v>
      </c>
      <c r="L91" s="314" t="str">
        <f>IF(H91="naissance",IF(E91="","",INDEX({"Capricorne";"Verseau";"Poisson";"Bélier";"Taureau";"Gémeaux";"Cancer";"Lion";"Vierge";"Balance";"Scorpion";"Sagittaire";"Capricorne";""},MATCH(DATE(,MONTH(E91),DAY(E91)),{0;20;51;81;111;142;173;205;237;267;297;327;357},1))),"")</f>
        <v/>
      </c>
      <c r="M91" s="315" t="str">
        <f>IF(H91="naissance",IF(F91="","",INDEX({"g";"h";"i";"^";"_";"z";"a";"b";"c";"d";"e";"f";"g";""},MATCH(DATE(,MONTH(F91),DAY(F91)),{0;20;51;81;111;142;173;205;237;267;297;327;357},1))),"")</f>
        <v/>
      </c>
      <c r="N91" s="316" t="str">
        <f t="shared" ca="1" si="35"/>
        <v/>
      </c>
      <c r="R91" s="108">
        <v>31806</v>
      </c>
      <c r="S91" s="108">
        <v>32177</v>
      </c>
      <c r="T91" s="117">
        <v>1988</v>
      </c>
      <c r="U91" s="110" t="s">
        <v>439</v>
      </c>
      <c r="V91" s="331"/>
      <c r="X91" s="75">
        <f t="shared" ca="1" si="30"/>
        <v>42735</v>
      </c>
      <c r="Y91" s="234" t="str">
        <f t="shared" ca="1" si="36"/>
        <v xml:space="preserve">      </v>
      </c>
      <c r="Z91" s="76">
        <f t="shared" si="32"/>
        <v>0</v>
      </c>
    </row>
    <row r="92" spans="1:26" ht="15.75" customHeight="1" thickBot="1" x14ac:dyDescent="0.3">
      <c r="A92" s="298"/>
      <c r="B92" s="299"/>
      <c r="C92" s="299" t="str">
        <f t="shared" si="29"/>
        <v xml:space="preserve">  </v>
      </c>
      <c r="D92" s="300" t="str">
        <f t="shared" ca="1" si="33"/>
        <v xml:space="preserve">      </v>
      </c>
      <c r="E92" s="300"/>
      <c r="F92" s="301" t="str">
        <f t="shared" si="39"/>
        <v/>
      </c>
      <c r="G92" s="302" t="str">
        <f t="shared" ca="1" si="40"/>
        <v/>
      </c>
      <c r="H92" s="299"/>
      <c r="I92" s="303" t="str">
        <f t="shared" ca="1" si="38"/>
        <v/>
      </c>
      <c r="J92" s="304" t="str">
        <f t="shared" ca="1" si="34"/>
        <v/>
      </c>
      <c r="K92" s="304" t="str">
        <f t="shared" ca="1" si="37"/>
        <v xml:space="preserve">  </v>
      </c>
      <c r="L92" s="305" t="str">
        <f>IF(H92="naissance",IF(E92="","",INDEX({"Capricorne";"Verseau";"Poisson";"Bélier";"Taureau";"Gémeaux";"Cancer";"Lion";"Vierge";"Balance";"Scorpion";"Sagittaire";"Capricorne";""},MATCH(DATE(,MONTH(E92),DAY(E92)),{0;20;51;81;111;142;173;205;237;267;297;327;357},1))),"")</f>
        <v/>
      </c>
      <c r="M92" s="306" t="str">
        <f>IF(H92="naissance",IF(F92="","",INDEX({"g";"h";"i";"^";"_";"z";"a";"b";"c";"d";"e";"f";"g";""},MATCH(DATE(,MONTH(F92),DAY(F92)),{0;20;51;81;111;142;173;205;237;267;297;327;357},1))),"")</f>
        <v/>
      </c>
      <c r="N92" s="307" t="str">
        <f t="shared" ca="1" si="35"/>
        <v/>
      </c>
      <c r="R92" s="108">
        <v>32177</v>
      </c>
      <c r="S92" s="108">
        <v>32544</v>
      </c>
      <c r="T92" s="117">
        <v>1989</v>
      </c>
      <c r="U92" s="110" t="s">
        <v>441</v>
      </c>
      <c r="V92" s="330" t="s">
        <v>449</v>
      </c>
      <c r="X92" s="75">
        <f t="shared" ca="1" si="30"/>
        <v>42735</v>
      </c>
      <c r="Y92" s="234" t="str">
        <f t="shared" ca="1" si="36"/>
        <v xml:space="preserve">      </v>
      </c>
      <c r="Z92" s="76">
        <f t="shared" si="32"/>
        <v>0</v>
      </c>
    </row>
    <row r="93" spans="1:26" ht="15.75" customHeight="1" thickBot="1" x14ac:dyDescent="0.3">
      <c r="A93" s="308"/>
      <c r="B93" s="309"/>
      <c r="C93" s="309" t="str">
        <f t="shared" si="29"/>
        <v xml:space="preserve">  </v>
      </c>
      <c r="D93" s="310" t="str">
        <f t="shared" ca="1" si="33"/>
        <v xml:space="preserve">      </v>
      </c>
      <c r="E93" s="310"/>
      <c r="F93" s="311" t="str">
        <f t="shared" si="39"/>
        <v/>
      </c>
      <c r="G93" s="310" t="str">
        <f t="shared" ca="1" si="40"/>
        <v/>
      </c>
      <c r="H93" s="309"/>
      <c r="I93" s="312" t="str">
        <f t="shared" ca="1" si="38"/>
        <v/>
      </c>
      <c r="J93" s="313" t="str">
        <f t="shared" ca="1" si="34"/>
        <v/>
      </c>
      <c r="K93" s="313" t="str">
        <f t="shared" ca="1" si="37"/>
        <v xml:space="preserve">  </v>
      </c>
      <c r="L93" s="314" t="str">
        <f>IF(H93="naissance",IF(E93="","",INDEX({"Capricorne";"Verseau";"Poisson";"Bélier";"Taureau";"Gémeaux";"Cancer";"Lion";"Vierge";"Balance";"Scorpion";"Sagittaire";"Capricorne";""},MATCH(DATE(,MONTH(E93),DAY(E93)),{0;20;51;81;111;142;173;205;237;267;297;327;357},1))),"")</f>
        <v/>
      </c>
      <c r="M93" s="315" t="str">
        <f>IF(H93="naissance",IF(F93="","",INDEX({"g";"h";"i";"^";"_";"z";"a";"b";"c";"d";"e";"f";"g";""},MATCH(DATE(,MONTH(F93),DAY(F93)),{0;20;51;81;111;142;173;205;237;267;297;327;357},1))),"")</f>
        <v/>
      </c>
      <c r="N93" s="316" t="str">
        <f t="shared" ca="1" si="35"/>
        <v/>
      </c>
      <c r="R93" s="108">
        <v>32545</v>
      </c>
      <c r="S93" s="108">
        <v>32899</v>
      </c>
      <c r="T93" s="117">
        <v>1990</v>
      </c>
      <c r="U93" s="110" t="s">
        <v>443</v>
      </c>
      <c r="V93" s="331"/>
      <c r="X93" s="75">
        <f t="shared" ca="1" si="30"/>
        <v>42735</v>
      </c>
      <c r="Y93" s="234" t="str">
        <f t="shared" ca="1" si="36"/>
        <v xml:space="preserve">      </v>
      </c>
      <c r="Z93" s="76">
        <f t="shared" si="32"/>
        <v>0</v>
      </c>
    </row>
    <row r="94" spans="1:26" ht="15.75" customHeight="1" thickBot="1" x14ac:dyDescent="0.3">
      <c r="A94" s="298"/>
      <c r="B94" s="299"/>
      <c r="C94" s="299" t="str">
        <f t="shared" si="29"/>
        <v xml:space="preserve">  </v>
      </c>
      <c r="D94" s="300" t="str">
        <f t="shared" ca="1" si="33"/>
        <v xml:space="preserve">      </v>
      </c>
      <c r="E94" s="300"/>
      <c r="F94" s="301" t="str">
        <f t="shared" si="39"/>
        <v/>
      </c>
      <c r="G94" s="302" t="str">
        <f t="shared" ca="1" si="40"/>
        <v/>
      </c>
      <c r="H94" s="299"/>
      <c r="I94" s="303" t="str">
        <f t="shared" ca="1" si="38"/>
        <v/>
      </c>
      <c r="J94" s="304" t="str">
        <f t="shared" ca="1" si="34"/>
        <v/>
      </c>
      <c r="K94" s="304" t="str">
        <f t="shared" ca="1" si="37"/>
        <v xml:space="preserve">  </v>
      </c>
      <c r="L94" s="305" t="str">
        <f>IF(H94="naissance",IF(E94="","",INDEX({"Capricorne";"Verseau";"Poisson";"Bélier";"Taureau";"Gémeaux";"Cancer";"Lion";"Vierge";"Balance";"Scorpion";"Sagittaire";"Capricorne";""},MATCH(DATE(,MONTH(E94),DAY(E94)),{0;20;51;81;111;142;173;205;237;267;297;327;357},1))),"")</f>
        <v/>
      </c>
      <c r="M94" s="306" t="str">
        <f>IF(H94="naissance",IF(F94="","",INDEX({"g";"h";"i";"^";"_";"z";"a";"b";"c";"d";"e";"f";"g";""},MATCH(DATE(,MONTH(F94),DAY(F94)),{0;20;51;81;111;142;173;205;237;267;297;327;357},1))),"")</f>
        <v/>
      </c>
      <c r="N94" s="307" t="str">
        <f t="shared" ca="1" si="35"/>
        <v/>
      </c>
      <c r="R94" s="108">
        <v>32900</v>
      </c>
      <c r="S94" s="108">
        <v>33283</v>
      </c>
      <c r="T94" s="117">
        <v>1991</v>
      </c>
      <c r="U94" s="110" t="s">
        <v>444</v>
      </c>
      <c r="V94" s="330" t="s">
        <v>435</v>
      </c>
      <c r="X94" s="75">
        <f t="shared" ca="1" si="30"/>
        <v>42735</v>
      </c>
      <c r="Y94" s="234" t="str">
        <f t="shared" ca="1" si="36"/>
        <v xml:space="preserve">      </v>
      </c>
      <c r="Z94" s="76">
        <f t="shared" si="32"/>
        <v>0</v>
      </c>
    </row>
    <row r="95" spans="1:26" ht="15.75" customHeight="1" thickBot="1" x14ac:dyDescent="0.3">
      <c r="A95" s="308"/>
      <c r="B95" s="309"/>
      <c r="C95" s="309" t="str">
        <f t="shared" si="29"/>
        <v xml:space="preserve">  </v>
      </c>
      <c r="D95" s="310" t="str">
        <f t="shared" ca="1" si="33"/>
        <v xml:space="preserve">      </v>
      </c>
      <c r="E95" s="310"/>
      <c r="F95" s="311" t="str">
        <f t="shared" si="39"/>
        <v/>
      </c>
      <c r="G95" s="310" t="str">
        <f t="shared" ca="1" si="40"/>
        <v/>
      </c>
      <c r="H95" s="309"/>
      <c r="I95" s="312" t="str">
        <f t="shared" ca="1" si="38"/>
        <v/>
      </c>
      <c r="J95" s="313" t="str">
        <f t="shared" ca="1" si="34"/>
        <v/>
      </c>
      <c r="K95" s="313" t="str">
        <f t="shared" ca="1" si="37"/>
        <v xml:space="preserve">  </v>
      </c>
      <c r="L95" s="314" t="str">
        <f>IF(H95="naissance",IF(E95="","",INDEX({"Capricorne";"Verseau";"Poisson";"Bélier";"Taureau";"Gémeaux";"Cancer";"Lion";"Vierge";"Balance";"Scorpion";"Sagittaire";"Capricorne";""},MATCH(DATE(,MONTH(E95),DAY(E95)),{0;20;51;81;111;142;173;205;237;267;297;327;357},1))),"")</f>
        <v/>
      </c>
      <c r="M95" s="315" t="str">
        <f>IF(H95="naissance",IF(F95="","",INDEX({"g";"h";"i";"^";"_";"z";"a";"b";"c";"d";"e";"f";"g";""},MATCH(DATE(,MONTH(F95),DAY(F95)),{0;20;51;81;111;142;173;205;237;267;297;327;357},1))),"")</f>
        <v/>
      </c>
      <c r="N95" s="316" t="str">
        <f t="shared" ca="1" si="35"/>
        <v/>
      </c>
      <c r="R95" s="108">
        <v>33284</v>
      </c>
      <c r="S95" s="108">
        <v>33637</v>
      </c>
      <c r="T95" s="117">
        <v>1992</v>
      </c>
      <c r="U95" s="110" t="s">
        <v>447</v>
      </c>
      <c r="V95" s="331"/>
      <c r="X95" s="75">
        <f t="shared" ca="1" si="30"/>
        <v>42735</v>
      </c>
      <c r="Y95" s="234" t="str">
        <f t="shared" ca="1" si="36"/>
        <v xml:space="preserve">      </v>
      </c>
      <c r="Z95" s="76">
        <f t="shared" si="32"/>
        <v>0</v>
      </c>
    </row>
    <row r="96" spans="1:26" ht="15.75" customHeight="1" thickBot="1" x14ac:dyDescent="0.3">
      <c r="A96" s="298"/>
      <c r="B96" s="299"/>
      <c r="C96" s="299" t="str">
        <f t="shared" si="29"/>
        <v xml:space="preserve">  </v>
      </c>
      <c r="D96" s="300" t="str">
        <f t="shared" ca="1" si="33"/>
        <v xml:space="preserve">      </v>
      </c>
      <c r="E96" s="300"/>
      <c r="F96" s="301" t="str">
        <f t="shared" si="39"/>
        <v/>
      </c>
      <c r="G96" s="302" t="str">
        <f t="shared" ca="1" si="40"/>
        <v/>
      </c>
      <c r="H96" s="299"/>
      <c r="I96" s="303" t="str">
        <f t="shared" ca="1" si="38"/>
        <v/>
      </c>
      <c r="J96" s="304" t="str">
        <f t="shared" ca="1" si="34"/>
        <v/>
      </c>
      <c r="K96" s="304" t="str">
        <f t="shared" ca="1" si="37"/>
        <v xml:space="preserve">  </v>
      </c>
      <c r="L96" s="305" t="str">
        <f>IF(H96="naissance",IF(E96="","",INDEX({"Capricorne";"Verseau";"Poisson";"Bélier";"Taureau";"Gémeaux";"Cancer";"Lion";"Vierge";"Balance";"Scorpion";"Sagittaire";"Capricorne";""},MATCH(DATE(,MONTH(E96),DAY(E96)),{0;20;51;81;111;142;173;205;237;267;297;327;357},1))),"")</f>
        <v/>
      </c>
      <c r="M96" s="306" t="str">
        <f>IF(H96="naissance",IF(F96="","",INDEX({"g";"h";"i";"^";"_";"z";"a";"b";"c";"d";"e";"f";"g";""},MATCH(DATE(,MONTH(F96),DAY(F96)),{0;20;51;81;111;142;173;205;237;267;297;327;357},1))),"")</f>
        <v/>
      </c>
      <c r="N96" s="307" t="str">
        <f t="shared" ca="1" si="35"/>
        <v/>
      </c>
      <c r="R96" s="108">
        <v>33638</v>
      </c>
      <c r="S96" s="108">
        <v>33991</v>
      </c>
      <c r="T96" s="117">
        <v>1993</v>
      </c>
      <c r="U96" s="110" t="s">
        <v>448</v>
      </c>
      <c r="V96" s="330" t="s">
        <v>438</v>
      </c>
      <c r="X96" s="75">
        <f t="shared" ca="1" si="30"/>
        <v>42735</v>
      </c>
      <c r="Y96" s="234" t="str">
        <f t="shared" ca="1" si="36"/>
        <v xml:space="preserve">      </v>
      </c>
      <c r="Z96" s="76">
        <f t="shared" si="32"/>
        <v>0</v>
      </c>
    </row>
    <row r="97" spans="1:26" ht="15.75" customHeight="1" thickBot="1" x14ac:dyDescent="0.3">
      <c r="A97" s="292"/>
      <c r="B97" s="293"/>
      <c r="C97" s="293" t="str">
        <f t="shared" si="29"/>
        <v xml:space="preserve">  </v>
      </c>
      <c r="D97" s="294" t="str">
        <f t="shared" ca="1" si="33"/>
        <v xml:space="preserve">      </v>
      </c>
      <c r="E97" s="294"/>
      <c r="F97" s="295" t="str">
        <f t="shared" si="39"/>
        <v/>
      </c>
      <c r="G97" s="294" t="str">
        <f t="shared" ca="1" si="40"/>
        <v/>
      </c>
      <c r="H97" s="293"/>
      <c r="I97" s="293" t="str">
        <f t="shared" ca="1" si="38"/>
        <v/>
      </c>
      <c r="J97" s="296" t="str">
        <f t="shared" ca="1" si="34"/>
        <v/>
      </c>
      <c r="K97" s="296" t="str">
        <f t="shared" ca="1" si="37"/>
        <v xml:space="preserve">  </v>
      </c>
      <c r="L97" s="296" t="str">
        <f>IF(H97="naissance",IF(E97="","",INDEX({"Capricorne";"Verseau";"Poisson";"Bélier";"Taureau";"Gémeaux";"Cancer";"Lion";"Vierge";"Balance";"Scorpion";"Sagittaire";"Capricorne";""},MATCH(DATE(,MONTH(E97),DAY(E97)),{0;20;51;81;111;142;173;205;237;267;297;327;357},1))),"")</f>
        <v/>
      </c>
      <c r="M97" s="296" t="str">
        <f>IF(H97="naissance",IF(F97="","",INDEX({"g";"h";"i";"^";"_";"z";"a";"b";"c";"d";"e";"f";"g";""},MATCH(DATE(,MONTH(F97),DAY(F97)),{0;20;51;81;111;142;173;205;237;267;297;327;357},1))),"")</f>
        <v/>
      </c>
      <c r="N97" s="297" t="str">
        <f t="shared" ca="1" si="35"/>
        <v/>
      </c>
      <c r="R97" s="108">
        <v>33992</v>
      </c>
      <c r="S97" s="108">
        <v>34374</v>
      </c>
      <c r="T97" s="117">
        <v>1994</v>
      </c>
      <c r="U97" s="110" t="s">
        <v>450</v>
      </c>
      <c r="V97" s="331"/>
      <c r="X97" s="75">
        <f t="shared" ca="1" si="30"/>
        <v>42735</v>
      </c>
      <c r="Y97" s="234" t="str">
        <f t="shared" ca="1" si="36"/>
        <v xml:space="preserve">      </v>
      </c>
      <c r="Z97" s="76">
        <f t="shared" si="32"/>
        <v>0</v>
      </c>
    </row>
    <row r="98" spans="1:26" ht="15.75" customHeight="1" thickBot="1" x14ac:dyDescent="0.3">
      <c r="A98" s="298"/>
      <c r="B98" s="299"/>
      <c r="C98" s="299" t="str">
        <f t="shared" si="29"/>
        <v xml:space="preserve">  </v>
      </c>
      <c r="D98" s="300" t="str">
        <f t="shared" ca="1" si="33"/>
        <v xml:space="preserve">      </v>
      </c>
      <c r="E98" s="300"/>
      <c r="F98" s="301" t="str">
        <f t="shared" si="39"/>
        <v/>
      </c>
      <c r="G98" s="302" t="str">
        <f t="shared" ca="1" si="40"/>
        <v/>
      </c>
      <c r="H98" s="299"/>
      <c r="I98" s="303" t="str">
        <f t="shared" ca="1" si="38"/>
        <v/>
      </c>
      <c r="J98" s="304" t="str">
        <f t="shared" ca="1" si="34"/>
        <v/>
      </c>
      <c r="K98" s="304" t="str">
        <f t="shared" ca="1" si="37"/>
        <v xml:space="preserve">  </v>
      </c>
      <c r="L98" s="305" t="str">
        <f>IF(H98="naissance",IF(E98="","",INDEX({"Capricorne";"Verseau";"Poisson";"Bélier";"Taureau";"Gémeaux";"Cancer";"Lion";"Vierge";"Balance";"Scorpion";"Sagittaire";"Capricorne";""},MATCH(DATE(,MONTH(E98),DAY(E98)),{0;20;51;81;111;142;173;205;237;267;297;327;357},1))),"")</f>
        <v/>
      </c>
      <c r="M98" s="306" t="str">
        <f>IF(H98="naissance",IF(F98="","",INDEX({"g";"h";"i";"^";"_";"z";"a";"b";"c";"d";"e";"f";"g";""},MATCH(DATE(,MONTH(F98),DAY(F98)),{0;20;51;81;111;142;173;205;237;267;297;327;357},1))),"")</f>
        <v/>
      </c>
      <c r="N98" s="307" t="str">
        <f t="shared" ca="1" si="35"/>
        <v/>
      </c>
      <c r="R98" s="108">
        <v>34375</v>
      </c>
      <c r="S98" s="108">
        <v>34729</v>
      </c>
      <c r="T98" s="117">
        <v>1995</v>
      </c>
      <c r="U98" s="110" t="s">
        <v>451</v>
      </c>
      <c r="V98" s="330" t="s">
        <v>442</v>
      </c>
      <c r="X98" s="75">
        <f t="shared" ca="1" si="30"/>
        <v>42735</v>
      </c>
      <c r="Y98" s="234" t="str">
        <f t="shared" ca="1" si="36"/>
        <v xml:space="preserve">      </v>
      </c>
      <c r="Z98" s="76">
        <f t="shared" si="32"/>
        <v>0</v>
      </c>
    </row>
    <row r="99" spans="1:26" ht="15.75" customHeight="1" thickBot="1" x14ac:dyDescent="0.3">
      <c r="A99" s="308"/>
      <c r="B99" s="309"/>
      <c r="C99" s="309" t="str">
        <f t="shared" si="29"/>
        <v xml:space="preserve">  </v>
      </c>
      <c r="D99" s="310" t="str">
        <f t="shared" ca="1" si="33"/>
        <v xml:space="preserve">      </v>
      </c>
      <c r="E99" s="310"/>
      <c r="F99" s="311" t="str">
        <f t="shared" si="39"/>
        <v/>
      </c>
      <c r="G99" s="310" t="str">
        <f t="shared" ca="1" si="40"/>
        <v/>
      </c>
      <c r="H99" s="309"/>
      <c r="I99" s="312" t="str">
        <f t="shared" ca="1" si="38"/>
        <v/>
      </c>
      <c r="J99" s="313" t="str">
        <f t="shared" ca="1" si="34"/>
        <v/>
      </c>
      <c r="K99" s="313" t="str">
        <f t="shared" ca="1" si="37"/>
        <v xml:space="preserve">  </v>
      </c>
      <c r="L99" s="314" t="str">
        <f>IF(H99="naissance",IF(E99="","",INDEX({"Capricorne";"Verseau";"Poisson";"Bélier";"Taureau";"Gémeaux";"Cancer";"Lion";"Vierge";"Balance";"Scorpion";"Sagittaire";"Capricorne";""},MATCH(DATE(,MONTH(E99),DAY(E99)),{0;20;51;81;111;142;173;205;237;267;297;327;357},1))),"")</f>
        <v/>
      </c>
      <c r="M99" s="315" t="str">
        <f>IF(H99="naissance",IF(F99="","",INDEX({"g";"h";"i";"^";"_";"z";"a";"b";"c";"d";"e";"f";"g";""},MATCH(DATE(,MONTH(F99),DAY(F99)),{0;20;51;81;111;142;173;205;237;267;297;327;357},1))),"")</f>
        <v/>
      </c>
      <c r="N99" s="316" t="str">
        <f t="shared" ca="1" si="35"/>
        <v/>
      </c>
      <c r="R99" s="108">
        <v>34730</v>
      </c>
      <c r="S99" s="108">
        <v>35113</v>
      </c>
      <c r="T99" s="117">
        <v>1996</v>
      </c>
      <c r="U99" s="110" t="s">
        <v>452</v>
      </c>
      <c r="V99" s="331"/>
      <c r="X99" s="75">
        <f t="shared" ca="1" si="30"/>
        <v>42735</v>
      </c>
      <c r="Y99" s="234" t="str">
        <f t="shared" ca="1" si="36"/>
        <v xml:space="preserve">      </v>
      </c>
      <c r="Z99" s="76">
        <f t="shared" si="32"/>
        <v>0</v>
      </c>
    </row>
    <row r="100" spans="1:26" ht="15.75" customHeight="1" thickBot="1" x14ac:dyDescent="0.3">
      <c r="A100" s="298"/>
      <c r="B100" s="299"/>
      <c r="C100" s="299" t="str">
        <f t="shared" si="29"/>
        <v xml:space="preserve">  </v>
      </c>
      <c r="D100" s="300" t="str">
        <f t="shared" ca="1" si="33"/>
        <v xml:space="preserve">      </v>
      </c>
      <c r="E100" s="300"/>
      <c r="F100" s="301" t="str">
        <f t="shared" si="39"/>
        <v/>
      </c>
      <c r="G100" s="302" t="str">
        <f t="shared" ca="1" si="40"/>
        <v/>
      </c>
      <c r="H100" s="299"/>
      <c r="I100" s="303" t="str">
        <f t="shared" ca="1" si="38"/>
        <v/>
      </c>
      <c r="J100" s="304" t="str">
        <f t="shared" ca="1" si="34"/>
        <v/>
      </c>
      <c r="K100" s="304" t="str">
        <f t="shared" ca="1" si="37"/>
        <v xml:space="preserve">  </v>
      </c>
      <c r="L100" s="305" t="str">
        <f>IF(H100="naissance",IF(E100="","",INDEX({"Capricorne";"Verseau";"Poisson";"Bélier";"Taureau";"Gémeaux";"Cancer";"Lion";"Vierge";"Balance";"Scorpion";"Sagittaire";"Capricorne";""},MATCH(DATE(,MONTH(E100),DAY(E100)),{0;20;51;81;111;142;173;205;237;267;297;327;357},1))),"")</f>
        <v/>
      </c>
      <c r="M100" s="306" t="str">
        <f>IF(H100="naissance",IF(F100="","",INDEX({"g";"h";"i";"^";"_";"z";"a";"b";"c";"d";"e";"f";"g";""},MATCH(DATE(,MONTH(F100),DAY(F100)),{0;20;51;81;111;142;173;205;237;267;297;327;357},1))),"")</f>
        <v/>
      </c>
      <c r="N100" s="307" t="str">
        <f t="shared" ca="1" si="35"/>
        <v/>
      </c>
      <c r="R100" s="108">
        <v>35114</v>
      </c>
      <c r="S100" s="108">
        <v>35467</v>
      </c>
      <c r="T100" s="117">
        <v>1997</v>
      </c>
      <c r="U100" s="109" t="s">
        <v>434</v>
      </c>
      <c r="V100" s="330" t="s">
        <v>445</v>
      </c>
      <c r="X100" s="75">
        <f t="shared" ca="1" si="30"/>
        <v>42735</v>
      </c>
      <c r="Y100" s="234" t="str">
        <f t="shared" ca="1" si="36"/>
        <v xml:space="preserve">      </v>
      </c>
      <c r="Z100" s="76">
        <f t="shared" si="32"/>
        <v>0</v>
      </c>
    </row>
    <row r="101" spans="1:26" ht="15.75" customHeight="1" thickBot="1" x14ac:dyDescent="0.3">
      <c r="R101" s="108">
        <v>35468</v>
      </c>
      <c r="S101" s="108">
        <v>35822</v>
      </c>
      <c r="T101" s="117">
        <v>1998</v>
      </c>
      <c r="U101" s="110" t="s">
        <v>436</v>
      </c>
      <c r="V101" s="331"/>
    </row>
    <row r="102" spans="1:26" ht="15.75" customHeight="1" thickBot="1" x14ac:dyDescent="0.3">
      <c r="R102" s="108">
        <v>35823</v>
      </c>
      <c r="S102" s="108">
        <v>36206</v>
      </c>
      <c r="T102" s="117">
        <v>1999</v>
      </c>
      <c r="U102" s="110" t="s">
        <v>437</v>
      </c>
      <c r="V102" s="330" t="s">
        <v>449</v>
      </c>
    </row>
    <row r="103" spans="1:26" ht="15.75" customHeight="1" thickBot="1" x14ac:dyDescent="0.3">
      <c r="R103" s="108">
        <v>36207</v>
      </c>
      <c r="S103" s="108">
        <v>36560</v>
      </c>
      <c r="T103" s="117">
        <v>2000</v>
      </c>
      <c r="U103" s="110" t="s">
        <v>439</v>
      </c>
      <c r="V103" s="331"/>
    </row>
    <row r="104" spans="1:26" ht="15.75" customHeight="1" thickBot="1" x14ac:dyDescent="0.3">
      <c r="R104" s="108">
        <v>36561</v>
      </c>
      <c r="S104" s="108">
        <v>36914</v>
      </c>
      <c r="T104" s="117">
        <v>2001</v>
      </c>
      <c r="U104" s="110" t="s">
        <v>441</v>
      </c>
      <c r="V104" s="330" t="s">
        <v>435</v>
      </c>
    </row>
    <row r="105" spans="1:26" ht="15.75" customHeight="1" thickBot="1" x14ac:dyDescent="0.3">
      <c r="R105" s="108">
        <v>36915</v>
      </c>
      <c r="S105" s="108">
        <v>37298</v>
      </c>
      <c r="T105" s="117">
        <v>2002</v>
      </c>
      <c r="U105" s="110" t="s">
        <v>443</v>
      </c>
      <c r="V105" s="331"/>
    </row>
    <row r="106" spans="1:26" ht="15.75" customHeight="1" thickBot="1" x14ac:dyDescent="0.3">
      <c r="R106" s="108">
        <v>37299</v>
      </c>
      <c r="S106" s="108">
        <v>37652</v>
      </c>
      <c r="T106" s="117">
        <v>2003</v>
      </c>
      <c r="U106" s="110" t="s">
        <v>444</v>
      </c>
      <c r="V106" s="330" t="s">
        <v>438</v>
      </c>
    </row>
    <row r="107" spans="1:26" ht="15.75" customHeight="1" thickBot="1" x14ac:dyDescent="0.3">
      <c r="R107" s="108" t="s">
        <v>456</v>
      </c>
      <c r="S107" s="108">
        <v>38007</v>
      </c>
      <c r="T107" s="117">
        <v>2004</v>
      </c>
      <c r="U107" s="110" t="s">
        <v>447</v>
      </c>
      <c r="V107" s="331"/>
    </row>
    <row r="108" spans="1:26" ht="15.75" customHeight="1" thickBot="1" x14ac:dyDescent="0.3">
      <c r="R108" s="108">
        <v>38008</v>
      </c>
      <c r="S108" s="108">
        <v>38391</v>
      </c>
      <c r="T108" s="117">
        <v>2005</v>
      </c>
      <c r="U108" s="110" t="s">
        <v>448</v>
      </c>
      <c r="V108" s="330" t="s">
        <v>442</v>
      </c>
    </row>
    <row r="109" spans="1:26" ht="15.75" customHeight="1" thickBot="1" x14ac:dyDescent="0.3">
      <c r="R109" s="108">
        <v>38392</v>
      </c>
      <c r="S109" s="108">
        <v>38745</v>
      </c>
      <c r="T109" s="117">
        <v>2006</v>
      </c>
      <c r="U109" s="110" t="s">
        <v>450</v>
      </c>
      <c r="V109" s="331"/>
    </row>
    <row r="110" spans="1:26" ht="15.75" customHeight="1" thickBot="1" x14ac:dyDescent="0.3">
      <c r="R110" s="108">
        <v>38746</v>
      </c>
      <c r="S110" s="108">
        <v>39130</v>
      </c>
      <c r="T110" s="117">
        <v>2007</v>
      </c>
      <c r="U110" s="110" t="s">
        <v>451</v>
      </c>
      <c r="V110" s="330" t="s">
        <v>445</v>
      </c>
    </row>
    <row r="111" spans="1:26" ht="15.75" customHeight="1" thickBot="1" x14ac:dyDescent="0.3">
      <c r="R111" s="108">
        <v>39131</v>
      </c>
      <c r="S111" s="108">
        <v>39484</v>
      </c>
      <c r="T111" s="117">
        <v>2008</v>
      </c>
      <c r="U111" s="110" t="s">
        <v>452</v>
      </c>
      <c r="V111" s="331"/>
    </row>
    <row r="112" spans="1:26" ht="15.75" customHeight="1" thickBot="1" x14ac:dyDescent="0.3">
      <c r="R112" s="108">
        <v>39485</v>
      </c>
      <c r="S112" s="108">
        <v>39838</v>
      </c>
      <c r="T112" s="117">
        <v>2009</v>
      </c>
      <c r="U112" s="109" t="s">
        <v>434</v>
      </c>
      <c r="V112" s="330" t="s">
        <v>449</v>
      </c>
    </row>
    <row r="113" spans="18:22" ht="15.75" customHeight="1" thickBot="1" x14ac:dyDescent="0.3">
      <c r="R113" s="108">
        <v>39839</v>
      </c>
      <c r="S113" s="108">
        <v>40222</v>
      </c>
      <c r="T113" s="117">
        <v>2010</v>
      </c>
      <c r="U113" s="110" t="s">
        <v>436</v>
      </c>
      <c r="V113" s="331"/>
    </row>
    <row r="114" spans="18:22" ht="15.75" customHeight="1" thickBot="1" x14ac:dyDescent="0.3">
      <c r="R114" s="108">
        <v>40223</v>
      </c>
      <c r="S114" s="108">
        <v>40576</v>
      </c>
      <c r="T114" s="117">
        <v>2011</v>
      </c>
      <c r="U114" s="110" t="s">
        <v>437</v>
      </c>
      <c r="V114" s="330" t="s">
        <v>435</v>
      </c>
    </row>
    <row r="115" spans="18:22" ht="15.75" customHeight="1" thickBot="1" x14ac:dyDescent="0.3">
      <c r="R115" s="108">
        <v>40577</v>
      </c>
      <c r="S115" s="108">
        <v>40930</v>
      </c>
      <c r="T115" s="117">
        <v>2012</v>
      </c>
      <c r="U115" s="110" t="s">
        <v>439</v>
      </c>
      <c r="V115" s="331"/>
    </row>
    <row r="116" spans="18:22" ht="15.75" customHeight="1" thickBot="1" x14ac:dyDescent="0.3">
      <c r="R116" s="108">
        <v>40931</v>
      </c>
      <c r="S116" s="108">
        <v>41314</v>
      </c>
      <c r="T116" s="117">
        <v>2013</v>
      </c>
      <c r="U116" s="110" t="s">
        <v>441</v>
      </c>
      <c r="V116" s="330" t="s">
        <v>438</v>
      </c>
    </row>
    <row r="117" spans="18:22" ht="15.75" customHeight="1" thickBot="1" x14ac:dyDescent="0.3">
      <c r="R117" s="108">
        <v>41315</v>
      </c>
      <c r="S117" s="108">
        <v>41669</v>
      </c>
      <c r="T117" s="117">
        <v>2014</v>
      </c>
      <c r="U117" s="110" t="s">
        <v>443</v>
      </c>
      <c r="V117" s="331"/>
    </row>
    <row r="118" spans="18:22" ht="15.75" customHeight="1" thickBot="1" x14ac:dyDescent="0.3">
      <c r="R118" s="108">
        <v>41670</v>
      </c>
      <c r="S118" s="108">
        <v>42053</v>
      </c>
      <c r="T118" s="117">
        <v>2015</v>
      </c>
      <c r="U118" s="110" t="s">
        <v>444</v>
      </c>
      <c r="V118" s="330" t="s">
        <v>442</v>
      </c>
    </row>
    <row r="119" spans="18:22" ht="15.75" customHeight="1" thickBot="1" x14ac:dyDescent="0.3">
      <c r="R119" s="108">
        <v>42054</v>
      </c>
      <c r="S119" s="108">
        <v>42407</v>
      </c>
      <c r="T119" s="117">
        <v>2016</v>
      </c>
      <c r="U119" s="110" t="s">
        <v>447</v>
      </c>
      <c r="V119" s="331"/>
    </row>
    <row r="120" spans="18:22" ht="15.75" customHeight="1" thickBot="1" x14ac:dyDescent="0.3">
      <c r="R120" s="108">
        <v>42408</v>
      </c>
      <c r="S120" s="108">
        <v>42762</v>
      </c>
      <c r="T120" s="117">
        <v>2017</v>
      </c>
      <c r="U120" s="110" t="s">
        <v>448</v>
      </c>
      <c r="V120" s="330" t="s">
        <v>445</v>
      </c>
    </row>
    <row r="121" spans="18:22" ht="15.75" customHeight="1" thickBot="1" x14ac:dyDescent="0.3">
      <c r="R121" s="108">
        <v>42763</v>
      </c>
      <c r="S121" s="108">
        <v>43146</v>
      </c>
      <c r="T121" s="117">
        <v>2018</v>
      </c>
      <c r="U121" s="110" t="s">
        <v>450</v>
      </c>
      <c r="V121" s="331"/>
    </row>
    <row r="122" spans="18:22" ht="15.75" customHeight="1" thickBot="1" x14ac:dyDescent="0.3">
      <c r="R122" s="108">
        <v>43147</v>
      </c>
      <c r="S122" s="108">
        <v>43500</v>
      </c>
      <c r="T122" s="117">
        <v>2019</v>
      </c>
      <c r="U122" s="110" t="s">
        <v>451</v>
      </c>
      <c r="V122" s="330" t="s">
        <v>449</v>
      </c>
    </row>
    <row r="123" spans="18:22" ht="15.75" customHeight="1" thickBot="1" x14ac:dyDescent="0.3">
      <c r="R123" s="108">
        <v>43501</v>
      </c>
      <c r="S123" s="108">
        <v>43854</v>
      </c>
      <c r="T123" s="117">
        <v>2020</v>
      </c>
      <c r="U123" s="110" t="s">
        <v>452</v>
      </c>
      <c r="V123" s="331"/>
    </row>
    <row r="124" spans="18:22" ht="15.75" customHeight="1" x14ac:dyDescent="0.25"/>
    <row r="125" spans="18:22" ht="15.75" customHeight="1" x14ac:dyDescent="0.25"/>
    <row r="126" spans="18:22" ht="15.75" customHeight="1" x14ac:dyDescent="0.25"/>
    <row r="127" spans="18:22" ht="15.75" customHeight="1" x14ac:dyDescent="0.25"/>
    <row r="128" spans="18:22" ht="15.75" customHeight="1" x14ac:dyDescent="0.25"/>
  </sheetData>
  <mergeCells count="59">
    <mergeCell ref="V122:V123"/>
    <mergeCell ref="V100:V101"/>
    <mergeCell ref="V102:V103"/>
    <mergeCell ref="V104:V105"/>
    <mergeCell ref="V106:V107"/>
    <mergeCell ref="V108:V109"/>
    <mergeCell ref="V110:V111"/>
    <mergeCell ref="V112:V113"/>
    <mergeCell ref="V114:V115"/>
    <mergeCell ref="V116:V117"/>
    <mergeCell ref="V118:V119"/>
    <mergeCell ref="V120:V121"/>
    <mergeCell ref="V98:V99"/>
    <mergeCell ref="V76:V77"/>
    <mergeCell ref="V78:V79"/>
    <mergeCell ref="V80:V81"/>
    <mergeCell ref="V82:V83"/>
    <mergeCell ref="V84:V85"/>
    <mergeCell ref="V86:V87"/>
    <mergeCell ref="V88:V89"/>
    <mergeCell ref="V52:V53"/>
    <mergeCell ref="V54:V55"/>
    <mergeCell ref="V56:V57"/>
    <mergeCell ref="V58:V59"/>
    <mergeCell ref="V60:V61"/>
    <mergeCell ref="V72:V73"/>
    <mergeCell ref="V90:V91"/>
    <mergeCell ref="V92:V93"/>
    <mergeCell ref="V94:V95"/>
    <mergeCell ref="V96:V97"/>
    <mergeCell ref="V74:V75"/>
    <mergeCell ref="V62:V63"/>
    <mergeCell ref="V64:V65"/>
    <mergeCell ref="V66:V67"/>
    <mergeCell ref="V68:V69"/>
    <mergeCell ref="V70:V71"/>
    <mergeCell ref="V24:V25"/>
    <mergeCell ref="V50:V51"/>
    <mergeCell ref="V28:V29"/>
    <mergeCell ref="V30:V31"/>
    <mergeCell ref="V32:V33"/>
    <mergeCell ref="V34:V35"/>
    <mergeCell ref="V36:V37"/>
    <mergeCell ref="V38:V39"/>
    <mergeCell ref="V40:V41"/>
    <mergeCell ref="V42:V43"/>
    <mergeCell ref="V44:V45"/>
    <mergeCell ref="V48:V49"/>
    <mergeCell ref="V46:V47"/>
    <mergeCell ref="V14:V15"/>
    <mergeCell ref="V16:V17"/>
    <mergeCell ref="V18:V19"/>
    <mergeCell ref="V20:V21"/>
    <mergeCell ref="V22:V23"/>
    <mergeCell ref="V4:V5"/>
    <mergeCell ref="V6:V7"/>
    <mergeCell ref="V8:V9"/>
    <mergeCell ref="V10:V11"/>
    <mergeCell ref="V12:V1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Q190"/>
  <sheetViews>
    <sheetView topLeftCell="C1" zoomScale="85" zoomScaleNormal="85" workbookViewId="0">
      <selection activeCell="K17" sqref="K17"/>
    </sheetView>
  </sheetViews>
  <sheetFormatPr baseColWidth="10" defaultRowHeight="15" x14ac:dyDescent="0.25"/>
  <cols>
    <col min="1" max="1" width="27.42578125" style="74" bestFit="1" customWidth="1"/>
    <col min="2" max="2" width="25.5703125" style="74" bestFit="1" customWidth="1"/>
    <col min="3" max="3" width="21.85546875" style="99" customWidth="1"/>
    <col min="4" max="4" width="31.42578125" customWidth="1"/>
    <col min="5" max="5" width="19.7109375" customWidth="1"/>
    <col min="6" max="7" width="11.5703125" style="74" hidden="1" customWidth="1"/>
    <col min="8" max="9" width="11.5703125" style="319" customWidth="1"/>
    <col min="11" max="13" width="11.42578125" customWidth="1"/>
    <col min="14" max="14" width="15.140625" customWidth="1"/>
    <col min="15" max="15" width="27.5703125" customWidth="1"/>
    <col min="16" max="18" width="11.42578125" customWidth="1"/>
  </cols>
  <sheetData>
    <row r="2" spans="1:17" ht="21.75" customHeight="1" thickBot="1" x14ac:dyDescent="0.4">
      <c r="A2" s="249" t="s">
        <v>618</v>
      </c>
      <c r="B2" s="258" t="s">
        <v>619</v>
      </c>
      <c r="C2" s="317" t="s">
        <v>627</v>
      </c>
      <c r="D2" s="250" t="s">
        <v>596</v>
      </c>
      <c r="E2" s="258" t="s">
        <v>622</v>
      </c>
      <c r="F2" s="261" t="s">
        <v>636</v>
      </c>
      <c r="G2" s="261" t="s">
        <v>635</v>
      </c>
      <c r="H2" s="261" t="s">
        <v>28</v>
      </c>
      <c r="I2" s="261" t="s">
        <v>639</v>
      </c>
      <c r="J2" s="277"/>
    </row>
    <row r="3" spans="1:17" x14ac:dyDescent="0.25">
      <c r="A3" s="278">
        <v>42786</v>
      </c>
      <c r="B3" s="279">
        <v>42839</v>
      </c>
      <c r="C3" s="99">
        <f ca="1">IF(Tableau1[[#This Row],[date fin]]&lt;&gt;0,Tableau1[[#This Row],[date fin]],IF(Tableau1[[#This Row],[type]]="travail",TODAY(),""))</f>
        <v>42839</v>
      </c>
      <c r="D3" s="248" t="s">
        <v>617</v>
      </c>
      <c r="E3" s="259" t="s">
        <v>623</v>
      </c>
      <c r="F3" s="70">
        <f ca="1">IF(Tableau1[[#This Row],[date debut]]=0,"",IF(Tableau1[[#This Row],[date fin]]=0,"",Tableau1[[#This Row],[Colonne1]]-Tableau1[[#This Row],[date debut]]+1))</f>
        <v>54</v>
      </c>
      <c r="G3" s="70" t="str">
        <f>IF(Tableau1[[#This Row],[date debut]]=0,"",IF(Tableau1[[#This Row],[date fin]]=0,IF(Tableau1[[#This Row],[type]]="travail",Tableau1[[#This Row],[Colonne1]]-Tableau1[[#This Row],[date debut]]+1,""),""))</f>
        <v/>
      </c>
      <c r="H3" s="318" t="str">
        <f ca="1">CONCATENATE(Tableau1[[#This Row],[Jours1]],"",Tableau1[[#This Row],[jours2]])</f>
        <v>54</v>
      </c>
      <c r="I3" s="97">
        <f ca="1">IF(C3="","",NETWORKDAYS(A3,C3))</f>
        <v>40</v>
      </c>
      <c r="J3">
        <f>IF(ISERROR(VLOOKUP(E3,$M$3:$N$25,2,0)),"",VLOOKUP(E3,$M$3:$N$25,2,0))</f>
        <v>7</v>
      </c>
      <c r="M3" s="285" t="s">
        <v>624</v>
      </c>
      <c r="N3" s="285">
        <v>1</v>
      </c>
    </row>
    <row r="4" spans="1:17" x14ac:dyDescent="0.25">
      <c r="A4" s="278">
        <v>42811</v>
      </c>
      <c r="B4" s="279"/>
      <c r="C4" s="99" t="str">
        <f ca="1">IF(Tableau1[[#This Row],[date fin]]&lt;&gt;0,Tableau1[[#This Row],[date fin]],IF(Tableau1[[#This Row],[type]]="travail",TODAY(),""))</f>
        <v/>
      </c>
      <c r="D4" s="248" t="s">
        <v>600</v>
      </c>
      <c r="E4" s="259" t="s">
        <v>625</v>
      </c>
      <c r="F4" s="70" t="str">
        <f>IF(Tableau1[[#This Row],[date debut]]=0,"",IF(Tableau1[[#This Row],[date fin]]=0,"",Tableau1[[#This Row],[Colonne1]]-Tableau1[[#This Row],[date debut]]+1))</f>
        <v/>
      </c>
      <c r="G4" s="70" t="str">
        <f>IF(Tableau1[[#This Row],[date debut]]=0,"",IF(Tableau1[[#This Row],[date fin]]=0,IF(Tableau1[[#This Row],[type]]="travail",Tableau1[[#This Row],[Colonne1]]-Tableau1[[#This Row],[date debut]]+1,""),""))</f>
        <v/>
      </c>
      <c r="H4" s="318" t="str">
        <f>CONCATENATE(Tableau1[[#This Row],[Jours1]],"",Tableau1[[#This Row],[jours2]])</f>
        <v/>
      </c>
      <c r="I4" s="318" t="str">
        <f ca="1">IF(C4="","",NETWORKDAYS(A4,C4))</f>
        <v/>
      </c>
      <c r="J4">
        <f t="shared" ref="J4:J67" si="0">IF(ISERROR(VLOOKUP(E4,$M$3:$N$25,2,0)),"",VLOOKUP(E4,$M$3:$N$25,2,0))</f>
        <v>3</v>
      </c>
      <c r="M4" s="290" t="s">
        <v>637</v>
      </c>
      <c r="N4" s="290">
        <v>2</v>
      </c>
    </row>
    <row r="5" spans="1:17" x14ac:dyDescent="0.25">
      <c r="A5" s="280">
        <v>42825</v>
      </c>
      <c r="B5" s="281"/>
      <c r="C5" s="99" t="str">
        <f ca="1">IF(Tableau1[[#This Row],[date fin]]&lt;&gt;0,Tableau1[[#This Row],[date fin]],IF(Tableau1[[#This Row],[type]]="travail",TODAY(),""))</f>
        <v/>
      </c>
      <c r="D5" s="248" t="s">
        <v>599</v>
      </c>
      <c r="E5" s="259" t="s">
        <v>624</v>
      </c>
      <c r="F5" s="70" t="str">
        <f>IF(Tableau1[[#This Row],[date debut]]=0,"",IF(Tableau1[[#This Row],[date fin]]=0,"",Tableau1[[#This Row],[Colonne1]]-Tableau1[[#This Row],[date debut]]+1))</f>
        <v/>
      </c>
      <c r="G5" s="70" t="str">
        <f>IF(Tableau1[[#This Row],[date debut]]=0,"",IF(Tableau1[[#This Row],[date fin]]=0,IF(Tableau1[[#This Row],[type]]="travail",Tableau1[[#This Row],[Colonne1]]-Tableau1[[#This Row],[date debut]]+1,""),""))</f>
        <v/>
      </c>
      <c r="H5" s="318" t="str">
        <f>CONCATENATE(Tableau1[[#This Row],[Jours1]],"",Tableau1[[#This Row],[jours2]])</f>
        <v/>
      </c>
      <c r="I5" s="318" t="str">
        <f ca="1">IF(C5="","",NETWORKDAYS(A5,C5))</f>
        <v/>
      </c>
      <c r="J5">
        <f t="shared" si="0"/>
        <v>1</v>
      </c>
      <c r="M5" s="284" t="s">
        <v>625</v>
      </c>
      <c r="N5" s="284">
        <v>3</v>
      </c>
    </row>
    <row r="6" spans="1:17" x14ac:dyDescent="0.25">
      <c r="A6" s="280">
        <v>42849</v>
      </c>
      <c r="B6" s="281"/>
      <c r="C6" s="99">
        <f ca="1">IF(Tableau1[[#This Row],[date fin]]&lt;&gt;0,Tableau1[[#This Row],[date fin]],IF(Tableau1[[#This Row],[type]]="travail",TODAY(),""))</f>
        <v>42887</v>
      </c>
      <c r="D6" s="248" t="s">
        <v>620</v>
      </c>
      <c r="E6" s="259" t="s">
        <v>623</v>
      </c>
      <c r="F6" s="70" t="str">
        <f>IF(Tableau1[[#This Row],[date debut]]=0,"",IF(Tableau1[[#This Row],[date fin]]=0,"",Tableau1[[#This Row],[Colonne1]]-Tableau1[[#This Row],[date debut]]+1))</f>
        <v/>
      </c>
      <c r="G6" s="70">
        <f ca="1">IF(Tableau1[[#This Row],[date debut]]=0,"",IF(Tableau1[[#This Row],[date fin]]=0,IF(Tableau1[[#This Row],[type]]="travail",Tableau1[[#This Row],[Colonne1]]-Tableau1[[#This Row],[date debut]]+1,""),""))</f>
        <v>39</v>
      </c>
      <c r="H6" s="318" t="str">
        <f ca="1">CONCATENATE(Tableau1[[#This Row],[Jours1]],"",Tableau1[[#This Row],[jours2]])</f>
        <v>39</v>
      </c>
      <c r="I6" s="318">
        <f ca="1">IF(C6="","",NETWORKDAYS(A6,C6))</f>
        <v>29</v>
      </c>
      <c r="J6">
        <f t="shared" si="0"/>
        <v>7</v>
      </c>
      <c r="M6" s="287" t="s">
        <v>634</v>
      </c>
      <c r="N6" s="287">
        <v>4</v>
      </c>
    </row>
    <row r="7" spans="1:17" x14ac:dyDescent="0.25">
      <c r="A7" s="280">
        <v>42860</v>
      </c>
      <c r="B7" s="281">
        <v>42895</v>
      </c>
      <c r="C7" s="99">
        <f ca="1">IF(Tableau1[[#This Row],[date fin]]&lt;&gt;0,Tableau1[[#This Row],[date fin]],IF(Tableau1[[#This Row],[type]]="travail",TODAY(),""))</f>
        <v>42895</v>
      </c>
      <c r="D7" s="248" t="s">
        <v>621</v>
      </c>
      <c r="E7" s="259" t="s">
        <v>634</v>
      </c>
      <c r="F7" s="70">
        <f ca="1">IF(Tableau1[[#This Row],[date debut]]=0,"",IF(Tableau1[[#This Row],[date fin]]=0,"",Tableau1[[#This Row],[Colonne1]]-Tableau1[[#This Row],[date debut]]+1))</f>
        <v>36</v>
      </c>
      <c r="G7" s="70" t="str">
        <f>IF(Tableau1[[#This Row],[date debut]]=0,"",IF(Tableau1[[#This Row],[date fin]]=0,IF(Tableau1[[#This Row],[type]]="travail",Tableau1[[#This Row],[Colonne1]]-Tableau1[[#This Row],[date debut]]+1,""),""))</f>
        <v/>
      </c>
      <c r="H7" s="318" t="str">
        <f ca="1">CONCATENATE(Tableau1[[#This Row],[Jours1]],"",Tableau1[[#This Row],[jours2]])</f>
        <v>36</v>
      </c>
      <c r="I7" s="318">
        <f ca="1">IF(C7="","",NETWORKDAYS(A7,C7))</f>
        <v>26</v>
      </c>
      <c r="J7">
        <f t="shared" si="0"/>
        <v>4</v>
      </c>
      <c r="M7" s="291" t="s">
        <v>638</v>
      </c>
      <c r="N7" s="291">
        <v>5</v>
      </c>
    </row>
    <row r="8" spans="1:17" x14ac:dyDescent="0.25">
      <c r="A8" s="280">
        <v>42869</v>
      </c>
      <c r="B8" s="281"/>
      <c r="C8" s="99" t="str">
        <f ca="1">IF(Tableau1[[#This Row],[date fin]]&lt;&gt;0,Tableau1[[#This Row],[date fin]],IF(Tableau1[[#This Row],[type]]="travail",TODAY(),""))</f>
        <v/>
      </c>
      <c r="D8" s="248" t="s">
        <v>598</v>
      </c>
      <c r="E8" s="259" t="s">
        <v>624</v>
      </c>
      <c r="F8" s="70" t="str">
        <f>IF(Tableau1[[#This Row],[date debut]]=0,"",IF(Tableau1[[#This Row],[date fin]]=0,"",Tableau1[[#This Row],[Colonne1]]-Tableau1[[#This Row],[date debut]]+1))</f>
        <v/>
      </c>
      <c r="G8" s="70" t="str">
        <f>IF(Tableau1[[#This Row],[date debut]]=0,"",IF(Tableau1[[#This Row],[date fin]]=0,IF(Tableau1[[#This Row],[type]]="travail",Tableau1[[#This Row],[Colonne1]]-Tableau1[[#This Row],[date debut]]+1,""),""))</f>
        <v/>
      </c>
      <c r="H8" s="318" t="str">
        <f>CONCATENATE(Tableau1[[#This Row],[Jours1]],"",Tableau1[[#This Row],[jours2]])</f>
        <v/>
      </c>
      <c r="I8" s="318" t="str">
        <f ca="1">IF(C8="","",NETWORKDAYS(A8,C8))</f>
        <v/>
      </c>
      <c r="J8">
        <f t="shared" si="0"/>
        <v>1</v>
      </c>
      <c r="M8" s="286" t="s">
        <v>626</v>
      </c>
      <c r="N8" s="286">
        <v>6</v>
      </c>
    </row>
    <row r="9" spans="1:17" x14ac:dyDescent="0.25">
      <c r="A9" s="280">
        <v>42871</v>
      </c>
      <c r="B9" s="281"/>
      <c r="C9" s="99" t="str">
        <f ca="1">IF(Tableau1[[#This Row],[date fin]]&lt;&gt;0,Tableau1[[#This Row],[date fin]],IF(Tableau1[[#This Row],[type]]="travail",TODAY(),""))</f>
        <v/>
      </c>
      <c r="D9" s="248" t="s">
        <v>597</v>
      </c>
      <c r="E9" s="259" t="s">
        <v>624</v>
      </c>
      <c r="F9" s="70" t="str">
        <f>IF(Tableau1[[#This Row],[date debut]]=0,"",IF(Tableau1[[#This Row],[date fin]]=0,"",Tableau1[[#This Row],[Colonne1]]-Tableau1[[#This Row],[date debut]]+1))</f>
        <v/>
      </c>
      <c r="G9" s="70" t="str">
        <f>IF(Tableau1[[#This Row],[date debut]]=0,"",IF(Tableau1[[#This Row],[date fin]]=0,IF(Tableau1[[#This Row],[type]]="travail",Tableau1[[#This Row],[Colonne1]]-Tableau1[[#This Row],[date debut]]+1,""),""))</f>
        <v/>
      </c>
      <c r="H9" s="318" t="str">
        <f>CONCATENATE(Tableau1[[#This Row],[Jours1]],"",Tableau1[[#This Row],[jours2]])</f>
        <v/>
      </c>
      <c r="I9" s="318" t="str">
        <f ca="1">IF(C9="","",NETWORKDAYS(A9,C9))</f>
        <v/>
      </c>
      <c r="J9">
        <f t="shared" si="0"/>
        <v>1</v>
      </c>
      <c r="M9" s="288" t="s">
        <v>623</v>
      </c>
      <c r="N9" s="288">
        <v>7</v>
      </c>
    </row>
    <row r="10" spans="1:17" x14ac:dyDescent="0.25">
      <c r="A10" s="280">
        <v>42875</v>
      </c>
      <c r="B10" s="281"/>
      <c r="C10" s="99" t="str">
        <f ca="1">IF(Tableau1[[#This Row],[date fin]]&lt;&gt;0,Tableau1[[#This Row],[date fin]],IF(Tableau1[[#This Row],[type]]="travail",TODAY(),""))</f>
        <v/>
      </c>
      <c r="D10" s="248" t="s">
        <v>601</v>
      </c>
      <c r="E10" s="259" t="s">
        <v>626</v>
      </c>
      <c r="F10" s="70" t="str">
        <f>IF(Tableau1[[#This Row],[date debut]]=0,"",IF(Tableau1[[#This Row],[date fin]]=0,"",Tableau1[[#This Row],[Colonne1]]-Tableau1[[#This Row],[date debut]]+1))</f>
        <v/>
      </c>
      <c r="G10" s="70" t="str">
        <f>IF(Tableau1[[#This Row],[date debut]]=0,"",IF(Tableau1[[#This Row],[date fin]]=0,IF(Tableau1[[#This Row],[type]]="travail",Tableau1[[#This Row],[Colonne1]]-Tableau1[[#This Row],[date debut]]+1,""),""))</f>
        <v/>
      </c>
      <c r="H10" s="318" t="str">
        <f>CONCATENATE(Tableau1[[#This Row],[Jours1]],"",Tableau1[[#This Row],[jours2]])</f>
        <v/>
      </c>
      <c r="I10" s="318" t="str">
        <f ca="1">IF(C10="","",NETWORKDAYS(A10,C10))</f>
        <v/>
      </c>
      <c r="J10">
        <f t="shared" si="0"/>
        <v>6</v>
      </c>
      <c r="M10" s="289" t="s">
        <v>633</v>
      </c>
      <c r="N10" s="289">
        <v>8</v>
      </c>
      <c r="O10" s="159"/>
      <c r="P10" s="159"/>
      <c r="Q10" s="159"/>
    </row>
    <row r="11" spans="1:17" x14ac:dyDescent="0.25">
      <c r="A11" s="280"/>
      <c r="B11" s="281"/>
      <c r="C11" s="99" t="str">
        <f ca="1">IF(Tableau1[[#This Row],[date fin]]&lt;&gt;0,Tableau1[[#This Row],[date fin]],IF(Tableau1[[#This Row],[type]]="travail",TODAY(),""))</f>
        <v/>
      </c>
      <c r="D11" s="248"/>
      <c r="E11" s="259"/>
      <c r="F11" s="70" t="str">
        <f>IF(Tableau1[[#This Row],[date debut]]=0,"",IF(Tableau1[[#This Row],[date fin]]=0,"",Tableau1[[#This Row],[Colonne1]]-Tableau1[[#This Row],[date debut]]+1))</f>
        <v/>
      </c>
      <c r="G11" s="70" t="str">
        <f>IF(Tableau1[[#This Row],[date debut]]=0,"",IF(Tableau1[[#This Row],[date fin]]=0,IF(Tableau1[[#This Row],[type]]="travail",Tableau1[[#This Row],[Colonne1]]-Tableau1[[#This Row],[date debut]]+1,""),""))</f>
        <v/>
      </c>
      <c r="H11" s="318" t="str">
        <f>CONCATENATE(Tableau1[[#This Row],[Jours1]],"",Tableau1[[#This Row],[jours2]])</f>
        <v/>
      </c>
      <c r="I11" s="318" t="str">
        <f ca="1">IF(C11="","",NETWORKDAYS(A11,C11))</f>
        <v/>
      </c>
      <c r="J11" t="str">
        <f t="shared" si="0"/>
        <v/>
      </c>
      <c r="M11" s="265"/>
      <c r="N11" s="265">
        <v>9</v>
      </c>
      <c r="O11" s="159"/>
      <c r="P11" s="159"/>
      <c r="Q11" s="159"/>
    </row>
    <row r="12" spans="1:17" x14ac:dyDescent="0.25">
      <c r="A12" s="280"/>
      <c r="B12" s="281"/>
      <c r="C12" s="99" t="str">
        <f ca="1">IF(Tableau1[[#This Row],[date fin]]&lt;&gt;0,Tableau1[[#This Row],[date fin]],IF(Tableau1[[#This Row],[type]]="travail",TODAY(),""))</f>
        <v/>
      </c>
      <c r="D12" s="248"/>
      <c r="E12" s="259"/>
      <c r="F12" s="70" t="str">
        <f>IF(Tableau1[[#This Row],[date debut]]=0,"",IF(Tableau1[[#This Row],[date fin]]=0,"",Tableau1[[#This Row],[Colonne1]]-Tableau1[[#This Row],[date debut]]+1))</f>
        <v/>
      </c>
      <c r="G12" s="70" t="str">
        <f>IF(Tableau1[[#This Row],[date debut]]=0,"",IF(Tableau1[[#This Row],[date fin]]=0,IF(Tableau1[[#This Row],[type]]="travail",Tableau1[[#This Row],[Colonne1]]-Tableau1[[#This Row],[date debut]]+1,""),""))</f>
        <v/>
      </c>
      <c r="H12" s="318" t="str">
        <f>CONCATENATE(Tableau1[[#This Row],[Jours1]],"",Tableau1[[#This Row],[jours2]])</f>
        <v/>
      </c>
      <c r="I12" s="318" t="str">
        <f ca="1">IF(C12="","",NETWORKDAYS(A12,C12))</f>
        <v/>
      </c>
      <c r="J12" t="str">
        <f t="shared" si="0"/>
        <v/>
      </c>
      <c r="M12" s="264"/>
      <c r="N12" s="264">
        <v>10</v>
      </c>
      <c r="O12" s="159"/>
      <c r="P12" s="159"/>
      <c r="Q12" s="159"/>
    </row>
    <row r="13" spans="1:17" x14ac:dyDescent="0.25">
      <c r="A13" s="280"/>
      <c r="B13" s="281"/>
      <c r="C13" s="99" t="str">
        <f ca="1">IF(Tableau1[[#This Row],[date fin]]&lt;&gt;0,Tableau1[[#This Row],[date fin]],IF(Tableau1[[#This Row],[type]]="travail",TODAY(),""))</f>
        <v/>
      </c>
      <c r="D13" s="248"/>
      <c r="E13" s="259"/>
      <c r="F13" s="70" t="str">
        <f>IF(Tableau1[[#This Row],[date debut]]=0,"",IF(Tableau1[[#This Row],[date fin]]=0,"",Tableau1[[#This Row],[Colonne1]]-Tableau1[[#This Row],[date debut]]+1))</f>
        <v/>
      </c>
      <c r="G13" s="70" t="str">
        <f>IF(Tableau1[[#This Row],[date debut]]=0,"",IF(Tableau1[[#This Row],[date fin]]=0,IF(Tableau1[[#This Row],[type]]="travail",Tableau1[[#This Row],[Colonne1]]-Tableau1[[#This Row],[date debut]]+1,""),""))</f>
        <v/>
      </c>
      <c r="H13" s="318" t="str">
        <f>CONCATENATE(Tableau1[[#This Row],[Jours1]],"",Tableau1[[#This Row],[jours2]])</f>
        <v/>
      </c>
      <c r="I13" s="318" t="str">
        <f ca="1">IF(C13="","",NETWORKDAYS(A13,C13))</f>
        <v/>
      </c>
      <c r="J13" t="str">
        <f t="shared" si="0"/>
        <v/>
      </c>
      <c r="K13" t="str">
        <f t="shared" ref="K13:K31" si="1">IF(ISERROR(VLOOKUP(E13,$M$3:$N$25,2,0)),"",VLOOKUP(E13,$M$3:$N$25,2,0))</f>
        <v/>
      </c>
      <c r="M13" s="266"/>
      <c r="N13" s="266">
        <v>11</v>
      </c>
      <c r="O13" s="159"/>
      <c r="P13" s="159"/>
      <c r="Q13" s="159"/>
    </row>
    <row r="14" spans="1:17" x14ac:dyDescent="0.25">
      <c r="A14" s="280"/>
      <c r="B14" s="281"/>
      <c r="C14" s="99" t="str">
        <f ca="1">IF(Tableau1[[#This Row],[date fin]]&lt;&gt;0,Tableau1[[#This Row],[date fin]],IF(Tableau1[[#This Row],[type]]="travail",TODAY(),""))</f>
        <v/>
      </c>
      <c r="D14" s="248"/>
      <c r="E14" s="259"/>
      <c r="F14" s="70" t="str">
        <f>IF(Tableau1[[#This Row],[date debut]]=0,"",IF(Tableau1[[#This Row],[date fin]]=0,"",Tableau1[[#This Row],[Colonne1]]-Tableau1[[#This Row],[date debut]]+1))</f>
        <v/>
      </c>
      <c r="G14" s="70" t="str">
        <f>IF(Tableau1[[#This Row],[date debut]]=0,"",IF(Tableau1[[#This Row],[date fin]]=0,IF(Tableau1[[#This Row],[type]]="travail",Tableau1[[#This Row],[Colonne1]]-Tableau1[[#This Row],[date debut]]+1,""),""))</f>
        <v/>
      </c>
      <c r="H14" s="318" t="str">
        <f>CONCATENATE(Tableau1[[#This Row],[Jours1]],"",Tableau1[[#This Row],[jours2]])</f>
        <v/>
      </c>
      <c r="I14" s="318" t="str">
        <f ca="1">IF(C14="","",NETWORKDAYS(A14,C14))</f>
        <v/>
      </c>
      <c r="J14" t="str">
        <f t="shared" si="0"/>
        <v/>
      </c>
      <c r="K14" t="str">
        <f t="shared" si="1"/>
        <v/>
      </c>
      <c r="M14" s="271"/>
      <c r="N14" s="271">
        <v>12</v>
      </c>
      <c r="O14" s="159"/>
      <c r="P14" s="159"/>
      <c r="Q14" s="159"/>
    </row>
    <row r="15" spans="1:17" x14ac:dyDescent="0.25">
      <c r="A15" s="280"/>
      <c r="B15" s="281"/>
      <c r="C15" s="99" t="str">
        <f ca="1">IF(Tableau1[[#This Row],[date fin]]&lt;&gt;0,Tableau1[[#This Row],[date fin]],IF(Tableau1[[#This Row],[type]]="travail",TODAY(),""))</f>
        <v/>
      </c>
      <c r="D15" s="248"/>
      <c r="E15" s="259"/>
      <c r="F15" s="70" t="str">
        <f>IF(Tableau1[[#This Row],[date debut]]=0,"",IF(Tableau1[[#This Row],[date fin]]=0,"",Tableau1[[#This Row],[Colonne1]]-Tableau1[[#This Row],[date debut]]+1))</f>
        <v/>
      </c>
      <c r="G15" s="70" t="str">
        <f>IF(Tableau1[[#This Row],[date debut]]=0,"",IF(Tableau1[[#This Row],[date fin]]=0,IF(Tableau1[[#This Row],[type]]="travail",Tableau1[[#This Row],[Colonne1]]-Tableau1[[#This Row],[date debut]]+1,""),""))</f>
        <v/>
      </c>
      <c r="H15" s="318" t="str">
        <f>CONCATENATE(Tableau1[[#This Row],[Jours1]],"",Tableau1[[#This Row],[jours2]])</f>
        <v/>
      </c>
      <c r="I15" s="318" t="str">
        <f ca="1">IF(C15="","",NETWORKDAYS(A15,C15))</f>
        <v/>
      </c>
      <c r="J15" t="str">
        <f t="shared" si="0"/>
        <v/>
      </c>
      <c r="K15" t="str">
        <f t="shared" si="1"/>
        <v/>
      </c>
      <c r="M15" s="273"/>
      <c r="N15" s="273">
        <v>13</v>
      </c>
      <c r="O15" s="159"/>
      <c r="P15" s="159"/>
      <c r="Q15" s="159"/>
    </row>
    <row r="16" spans="1:17" x14ac:dyDescent="0.25">
      <c r="A16" s="280"/>
      <c r="B16" s="281"/>
      <c r="C16" s="99" t="str">
        <f ca="1">IF(Tableau1[[#This Row],[date fin]]&lt;&gt;0,Tableau1[[#This Row],[date fin]],IF(Tableau1[[#This Row],[type]]="travail",TODAY(),""))</f>
        <v/>
      </c>
      <c r="D16" s="248"/>
      <c r="E16" s="259"/>
      <c r="F16" s="70" t="str">
        <f>IF(Tableau1[[#This Row],[date debut]]=0,"",IF(Tableau1[[#This Row],[date fin]]=0,"",Tableau1[[#This Row],[Colonne1]]-Tableau1[[#This Row],[date debut]]+1))</f>
        <v/>
      </c>
      <c r="G16" s="70" t="str">
        <f>IF(Tableau1[[#This Row],[date debut]]=0,"",IF(Tableau1[[#This Row],[date fin]]=0,IF(Tableau1[[#This Row],[type]]="travail",Tableau1[[#This Row],[Colonne1]]-Tableau1[[#This Row],[date debut]]+1,""),""))</f>
        <v/>
      </c>
      <c r="H16" s="318" t="str">
        <f>CONCATENATE(Tableau1[[#This Row],[Jours1]],"",Tableau1[[#This Row],[jours2]])</f>
        <v/>
      </c>
      <c r="I16" s="318" t="str">
        <f ca="1">IF(C16="","",NETWORKDAYS(A16,C16))</f>
        <v/>
      </c>
      <c r="J16" t="str">
        <f t="shared" si="0"/>
        <v/>
      </c>
      <c r="K16" t="str">
        <f t="shared" si="1"/>
        <v/>
      </c>
      <c r="M16" s="263"/>
      <c r="N16" s="263">
        <v>14</v>
      </c>
      <c r="O16" s="159"/>
      <c r="P16" s="159"/>
      <c r="Q16" s="159"/>
    </row>
    <row r="17" spans="1:17" x14ac:dyDescent="0.25">
      <c r="A17" s="280"/>
      <c r="B17" s="281"/>
      <c r="C17" s="99" t="str">
        <f ca="1">IF(Tableau1[[#This Row],[date fin]]&lt;&gt;0,Tableau1[[#This Row],[date fin]],IF(Tableau1[[#This Row],[type]]="travail",TODAY(),""))</f>
        <v/>
      </c>
      <c r="D17" s="248"/>
      <c r="E17" s="259"/>
      <c r="F17" s="70" t="str">
        <f>IF(Tableau1[[#This Row],[date debut]]=0,"",IF(Tableau1[[#This Row],[date fin]]=0,"",Tableau1[[#This Row],[Colonne1]]-Tableau1[[#This Row],[date debut]]+1))</f>
        <v/>
      </c>
      <c r="G17" s="70" t="str">
        <f>IF(Tableau1[[#This Row],[date debut]]=0,"",IF(Tableau1[[#This Row],[date fin]]=0,IF(Tableau1[[#This Row],[type]]="travail",Tableau1[[#This Row],[Colonne1]]-Tableau1[[#This Row],[date debut]]+1,""),""))</f>
        <v/>
      </c>
      <c r="H17" s="318" t="str">
        <f>CONCATENATE(Tableau1[[#This Row],[Jours1]],"",Tableau1[[#This Row],[jours2]])</f>
        <v/>
      </c>
      <c r="I17" s="318" t="str">
        <f ca="1">IF(C17="","",NETWORKDAYS(A17,C17))</f>
        <v/>
      </c>
      <c r="J17" t="str">
        <f t="shared" si="0"/>
        <v/>
      </c>
      <c r="K17" t="str">
        <f t="shared" si="1"/>
        <v/>
      </c>
      <c r="M17" s="274"/>
      <c r="N17" s="274">
        <v>15</v>
      </c>
      <c r="O17" s="159"/>
      <c r="P17" s="159"/>
      <c r="Q17" s="159"/>
    </row>
    <row r="18" spans="1:17" x14ac:dyDescent="0.25">
      <c r="A18" s="280"/>
      <c r="B18" s="281"/>
      <c r="C18" s="99" t="str">
        <f ca="1">IF(Tableau1[[#This Row],[date fin]]&lt;&gt;0,Tableau1[[#This Row],[date fin]],IF(Tableau1[[#This Row],[type]]="travail",TODAY(),""))</f>
        <v/>
      </c>
      <c r="D18" s="248"/>
      <c r="E18" s="259"/>
      <c r="F18" s="70" t="str">
        <f>IF(Tableau1[[#This Row],[date debut]]=0,"",IF(Tableau1[[#This Row],[date fin]]=0,"",Tableau1[[#This Row],[Colonne1]]-Tableau1[[#This Row],[date debut]]+1))</f>
        <v/>
      </c>
      <c r="G18" s="70" t="str">
        <f>IF(Tableau1[[#This Row],[date debut]]=0,"",IF(Tableau1[[#This Row],[date fin]]=0,IF(Tableau1[[#This Row],[type]]="travail",Tableau1[[#This Row],[Colonne1]]-Tableau1[[#This Row],[date debut]]+1,""),""))</f>
        <v/>
      </c>
      <c r="H18" s="318" t="str">
        <f>CONCATENATE(Tableau1[[#This Row],[Jours1]],"",Tableau1[[#This Row],[jours2]])</f>
        <v/>
      </c>
      <c r="I18" s="318" t="str">
        <f ca="1">IF(C18="","",NETWORKDAYS(A18,C18))</f>
        <v/>
      </c>
      <c r="J18" t="str">
        <f t="shared" si="0"/>
        <v/>
      </c>
      <c r="K18" t="str">
        <f t="shared" si="1"/>
        <v/>
      </c>
      <c r="M18" s="276"/>
      <c r="N18" s="276">
        <v>16</v>
      </c>
      <c r="O18" s="159"/>
      <c r="P18" s="159"/>
      <c r="Q18" s="159"/>
    </row>
    <row r="19" spans="1:17" x14ac:dyDescent="0.25">
      <c r="A19" s="280"/>
      <c r="B19" s="281"/>
      <c r="C19" s="99" t="str">
        <f ca="1">IF(Tableau1[[#This Row],[date fin]]&lt;&gt;0,Tableau1[[#This Row],[date fin]],IF(Tableau1[[#This Row],[type]]="travail",TODAY(),""))</f>
        <v/>
      </c>
      <c r="D19" s="248"/>
      <c r="E19" s="259"/>
      <c r="F19" s="70" t="str">
        <f>IF(Tableau1[[#This Row],[date debut]]=0,"",IF(Tableau1[[#This Row],[date fin]]=0,"",Tableau1[[#This Row],[Colonne1]]-Tableau1[[#This Row],[date debut]]+1))</f>
        <v/>
      </c>
      <c r="G19" s="70" t="str">
        <f>IF(Tableau1[[#This Row],[date debut]]=0,"",IF(Tableau1[[#This Row],[date fin]]=0,IF(Tableau1[[#This Row],[type]]="travail",Tableau1[[#This Row],[Colonne1]]-Tableau1[[#This Row],[date debut]]+1,""),""))</f>
        <v/>
      </c>
      <c r="H19" s="318" t="str">
        <f>CONCATENATE(Tableau1[[#This Row],[Jours1]],"",Tableau1[[#This Row],[jours2]])</f>
        <v/>
      </c>
      <c r="I19" s="318" t="str">
        <f ca="1">IF(C19="","",NETWORKDAYS(A19,C19))</f>
        <v/>
      </c>
      <c r="J19" t="str">
        <f t="shared" si="0"/>
        <v/>
      </c>
      <c r="K19" t="str">
        <f t="shared" si="1"/>
        <v/>
      </c>
      <c r="M19" s="262"/>
      <c r="N19" s="262">
        <v>17</v>
      </c>
      <c r="O19" s="159"/>
      <c r="P19" s="159"/>
      <c r="Q19" s="159"/>
    </row>
    <row r="20" spans="1:17" x14ac:dyDescent="0.25">
      <c r="A20" s="280"/>
      <c r="B20" s="281"/>
      <c r="C20" s="99" t="str">
        <f ca="1">IF(Tableau1[[#This Row],[date fin]]&lt;&gt;0,Tableau1[[#This Row],[date fin]],IF(Tableau1[[#This Row],[type]]="travail",TODAY(),""))</f>
        <v/>
      </c>
      <c r="D20" s="248"/>
      <c r="E20" s="259"/>
      <c r="F20" s="70" t="str">
        <f>IF(Tableau1[[#This Row],[date debut]]=0,"",IF(Tableau1[[#This Row],[date fin]]=0,"",Tableau1[[#This Row],[Colonne1]]-Tableau1[[#This Row],[date debut]]+1))</f>
        <v/>
      </c>
      <c r="G20" s="70" t="str">
        <f>IF(Tableau1[[#This Row],[date debut]]=0,"",IF(Tableau1[[#This Row],[date fin]]=0,IF(Tableau1[[#This Row],[type]]="travail",Tableau1[[#This Row],[Colonne1]]-Tableau1[[#This Row],[date debut]]+1,""),""))</f>
        <v/>
      </c>
      <c r="H20" s="318" t="str">
        <f>CONCATENATE(Tableau1[[#This Row],[Jours1]],"",Tableau1[[#This Row],[jours2]])</f>
        <v/>
      </c>
      <c r="I20" s="318" t="str">
        <f ca="1">IF(C20="","",NETWORKDAYS(A20,C20))</f>
        <v/>
      </c>
      <c r="J20" t="str">
        <f t="shared" si="0"/>
        <v/>
      </c>
      <c r="K20" t="str">
        <f t="shared" si="1"/>
        <v/>
      </c>
      <c r="M20" s="275"/>
      <c r="N20" s="275">
        <v>18</v>
      </c>
      <c r="O20" s="159"/>
      <c r="P20" s="159"/>
      <c r="Q20" s="159"/>
    </row>
    <row r="21" spans="1:17" x14ac:dyDescent="0.25">
      <c r="A21" s="280"/>
      <c r="B21" s="281"/>
      <c r="C21" s="99" t="str">
        <f ca="1">IF(Tableau1[[#This Row],[date fin]]&lt;&gt;0,Tableau1[[#This Row],[date fin]],IF(Tableau1[[#This Row],[type]]="travail",TODAY(),""))</f>
        <v/>
      </c>
      <c r="D21" s="248"/>
      <c r="E21" s="259"/>
      <c r="F21" s="70" t="str">
        <f>IF(Tableau1[[#This Row],[date debut]]=0,"",IF(Tableau1[[#This Row],[date fin]]=0,"",Tableau1[[#This Row],[Colonne1]]-Tableau1[[#This Row],[date debut]]+1))</f>
        <v/>
      </c>
      <c r="G21" s="70" t="str">
        <f>IF(Tableau1[[#This Row],[date debut]]=0,"",IF(Tableau1[[#This Row],[date fin]]=0,IF(Tableau1[[#This Row],[type]]="travail",Tableau1[[#This Row],[Colonne1]]-Tableau1[[#This Row],[date debut]]+1,""),""))</f>
        <v/>
      </c>
      <c r="H21" s="318" t="str">
        <f>CONCATENATE(Tableau1[[#This Row],[Jours1]],"",Tableau1[[#This Row],[jours2]])</f>
        <v/>
      </c>
      <c r="I21" s="318" t="str">
        <f ca="1">IF(C21="","",NETWORKDAYS(A21,C21))</f>
        <v/>
      </c>
      <c r="J21" t="str">
        <f t="shared" si="0"/>
        <v/>
      </c>
      <c r="K21" t="str">
        <f t="shared" si="1"/>
        <v/>
      </c>
      <c r="M21" s="267"/>
      <c r="N21" s="267">
        <v>19</v>
      </c>
      <c r="O21" s="159"/>
      <c r="P21" s="159"/>
      <c r="Q21" s="159"/>
    </row>
    <row r="22" spans="1:17" x14ac:dyDescent="0.25">
      <c r="A22" s="280"/>
      <c r="B22" s="281"/>
      <c r="C22" s="99" t="str">
        <f ca="1">IF(Tableau1[[#This Row],[date fin]]&lt;&gt;0,Tableau1[[#This Row],[date fin]],IF(Tableau1[[#This Row],[type]]="travail",TODAY(),""))</f>
        <v/>
      </c>
      <c r="D22" s="248"/>
      <c r="E22" s="259"/>
      <c r="F22" s="70" t="str">
        <f>IF(Tableau1[[#This Row],[date debut]]=0,"",IF(Tableau1[[#This Row],[date fin]]=0,"",Tableau1[[#This Row],[Colonne1]]-Tableau1[[#This Row],[date debut]]+1))</f>
        <v/>
      </c>
      <c r="G22" s="70" t="str">
        <f>IF(Tableau1[[#This Row],[date debut]]=0,"",IF(Tableau1[[#This Row],[date fin]]=0,IF(Tableau1[[#This Row],[type]]="travail",Tableau1[[#This Row],[Colonne1]]-Tableau1[[#This Row],[date debut]]+1,""),""))</f>
        <v/>
      </c>
      <c r="H22" s="318" t="str">
        <f>CONCATENATE(Tableau1[[#This Row],[Jours1]],"",Tableau1[[#This Row],[jours2]])</f>
        <v/>
      </c>
      <c r="I22" s="318" t="str">
        <f ca="1">IF(C22="","",NETWORKDAYS(A22,C22))</f>
        <v/>
      </c>
      <c r="J22" t="str">
        <f t="shared" si="0"/>
        <v/>
      </c>
      <c r="K22" t="str">
        <f t="shared" si="1"/>
        <v/>
      </c>
      <c r="M22" s="268"/>
      <c r="N22" s="268">
        <v>20</v>
      </c>
      <c r="O22" s="159"/>
      <c r="P22" s="159"/>
      <c r="Q22" s="159"/>
    </row>
    <row r="23" spans="1:17" x14ac:dyDescent="0.25">
      <c r="A23" s="280"/>
      <c r="B23" s="281"/>
      <c r="C23" s="99" t="str">
        <f ca="1">IF(Tableau1[[#This Row],[date fin]]&lt;&gt;0,Tableau1[[#This Row],[date fin]],IF(Tableau1[[#This Row],[type]]="travail",TODAY(),""))</f>
        <v/>
      </c>
      <c r="D23" s="248"/>
      <c r="E23" s="259"/>
      <c r="F23" s="70" t="str">
        <f>IF(Tableau1[[#This Row],[date debut]]=0,"",IF(Tableau1[[#This Row],[date fin]]=0,"",Tableau1[[#This Row],[Colonne1]]-Tableau1[[#This Row],[date debut]]+1))</f>
        <v/>
      </c>
      <c r="G23" s="70" t="str">
        <f>IF(Tableau1[[#This Row],[date debut]]=0,"",IF(Tableau1[[#This Row],[date fin]]=0,IF(Tableau1[[#This Row],[type]]="travail",Tableau1[[#This Row],[Colonne1]]-Tableau1[[#This Row],[date debut]]+1,""),""))</f>
        <v/>
      </c>
      <c r="H23" s="318" t="str">
        <f>CONCATENATE(Tableau1[[#This Row],[Jours1]],"",Tableau1[[#This Row],[jours2]])</f>
        <v/>
      </c>
      <c r="I23" s="318" t="str">
        <f ca="1">IF(C23="","",NETWORKDAYS(A23,C23))</f>
        <v/>
      </c>
      <c r="J23" t="str">
        <f t="shared" si="0"/>
        <v/>
      </c>
      <c r="K23" t="str">
        <f t="shared" si="1"/>
        <v/>
      </c>
      <c r="M23" s="269"/>
      <c r="N23" s="269">
        <v>21</v>
      </c>
      <c r="O23" s="159"/>
      <c r="P23" s="159"/>
      <c r="Q23" s="159"/>
    </row>
    <row r="24" spans="1:17" x14ac:dyDescent="0.25">
      <c r="A24" s="280"/>
      <c r="B24" s="281"/>
      <c r="C24" s="99" t="str">
        <f ca="1">IF(Tableau1[[#This Row],[date fin]]&lt;&gt;0,Tableau1[[#This Row],[date fin]],IF(Tableau1[[#This Row],[type]]="travail",TODAY(),""))</f>
        <v/>
      </c>
      <c r="D24" s="248"/>
      <c r="E24" s="259"/>
      <c r="F24" s="70" t="str">
        <f>IF(Tableau1[[#This Row],[date debut]]=0,"",IF(Tableau1[[#This Row],[date fin]]=0,"",Tableau1[[#This Row],[Colonne1]]-Tableau1[[#This Row],[date debut]]+1))</f>
        <v/>
      </c>
      <c r="G24" s="70" t="str">
        <f>IF(Tableau1[[#This Row],[date debut]]=0,"",IF(Tableau1[[#This Row],[date fin]]=0,IF(Tableau1[[#This Row],[type]]="travail",Tableau1[[#This Row],[Colonne1]]-Tableau1[[#This Row],[date debut]]+1,""),""))</f>
        <v/>
      </c>
      <c r="H24" s="318" t="str">
        <f>CONCATENATE(Tableau1[[#This Row],[Jours1]],"",Tableau1[[#This Row],[jours2]])</f>
        <v/>
      </c>
      <c r="I24" s="318" t="str">
        <f ca="1">IF(C24="","",NETWORKDAYS(A24,C24))</f>
        <v/>
      </c>
      <c r="J24" t="str">
        <f t="shared" si="0"/>
        <v/>
      </c>
      <c r="K24" t="str">
        <f t="shared" si="1"/>
        <v/>
      </c>
      <c r="M24" s="270"/>
      <c r="N24" s="270">
        <v>22</v>
      </c>
      <c r="O24" s="159"/>
      <c r="P24" s="159"/>
      <c r="Q24" s="159"/>
    </row>
    <row r="25" spans="1:17" x14ac:dyDescent="0.25">
      <c r="A25" s="280"/>
      <c r="B25" s="281"/>
      <c r="C25" s="99" t="str">
        <f ca="1">IF(Tableau1[[#This Row],[date fin]]&lt;&gt;0,Tableau1[[#This Row],[date fin]],IF(Tableau1[[#This Row],[type]]="travail",TODAY(),""))</f>
        <v/>
      </c>
      <c r="D25" s="248"/>
      <c r="E25" s="259"/>
      <c r="F25" s="70" t="str">
        <f>IF(Tableau1[[#This Row],[date debut]]=0,"",IF(Tableau1[[#This Row],[date fin]]=0,"",Tableau1[[#This Row],[Colonne1]]-Tableau1[[#This Row],[date debut]]+1))</f>
        <v/>
      </c>
      <c r="G25" s="70" t="str">
        <f>IF(Tableau1[[#This Row],[date debut]]=0,"",IF(Tableau1[[#This Row],[date fin]]=0,IF(Tableau1[[#This Row],[type]]="travail",Tableau1[[#This Row],[Colonne1]]-Tableau1[[#This Row],[date debut]]+1,""),""))</f>
        <v/>
      </c>
      <c r="H25" s="318" t="str">
        <f>CONCATENATE(Tableau1[[#This Row],[Jours1]],"",Tableau1[[#This Row],[jours2]])</f>
        <v/>
      </c>
      <c r="I25" s="318" t="str">
        <f ca="1">IF(C25="","",NETWORKDAYS(A25,C25))</f>
        <v/>
      </c>
      <c r="J25" t="str">
        <f t="shared" si="0"/>
        <v/>
      </c>
      <c r="K25" t="str">
        <f t="shared" si="1"/>
        <v/>
      </c>
      <c r="M25" s="272"/>
      <c r="N25" s="272">
        <v>23</v>
      </c>
      <c r="O25" s="159"/>
      <c r="P25" s="159"/>
      <c r="Q25" s="159"/>
    </row>
    <row r="26" spans="1:17" x14ac:dyDescent="0.25">
      <c r="A26" s="280"/>
      <c r="B26" s="281"/>
      <c r="C26" s="99" t="str">
        <f ca="1">IF(Tableau1[[#This Row],[date fin]]&lt;&gt;0,Tableau1[[#This Row],[date fin]],IF(Tableau1[[#This Row],[type]]="travail",TODAY(),""))</f>
        <v/>
      </c>
      <c r="D26" s="248"/>
      <c r="E26" s="259"/>
      <c r="F26" s="70" t="str">
        <f>IF(Tableau1[[#This Row],[date debut]]=0,"",IF(Tableau1[[#This Row],[date fin]]=0,"",Tableau1[[#This Row],[Colonne1]]-Tableau1[[#This Row],[date debut]]+1))</f>
        <v/>
      </c>
      <c r="G26" s="70" t="str">
        <f>IF(Tableau1[[#This Row],[date debut]]=0,"",IF(Tableau1[[#This Row],[date fin]]=0,IF(Tableau1[[#This Row],[type]]="travail",Tableau1[[#This Row],[Colonne1]]-Tableau1[[#This Row],[date debut]]+1,""),""))</f>
        <v/>
      </c>
      <c r="H26" s="318" t="str">
        <f>CONCATENATE(Tableau1[[#This Row],[Jours1]],"",Tableau1[[#This Row],[jours2]])</f>
        <v/>
      </c>
      <c r="I26" s="318" t="str">
        <f ca="1">IF(C26="","",NETWORKDAYS(A26,C26))</f>
        <v/>
      </c>
      <c r="J26" t="str">
        <f t="shared" si="0"/>
        <v/>
      </c>
      <c r="K26" t="str">
        <f t="shared" si="1"/>
        <v/>
      </c>
      <c r="M26" s="159"/>
      <c r="N26" s="159"/>
      <c r="O26" s="159"/>
      <c r="P26" s="159"/>
      <c r="Q26" s="159"/>
    </row>
    <row r="27" spans="1:17" x14ac:dyDescent="0.25">
      <c r="A27" s="280"/>
      <c r="B27" s="281"/>
      <c r="C27" s="99" t="str">
        <f ca="1">IF(Tableau1[[#This Row],[date fin]]&lt;&gt;0,Tableau1[[#This Row],[date fin]],IF(Tableau1[[#This Row],[type]]="travail",TODAY(),""))</f>
        <v/>
      </c>
      <c r="D27" s="248"/>
      <c r="E27" s="259"/>
      <c r="F27" s="70" t="str">
        <f>IF(Tableau1[[#This Row],[date debut]]=0,"",IF(Tableau1[[#This Row],[date fin]]=0,"",Tableau1[[#This Row],[Colonne1]]-Tableau1[[#This Row],[date debut]]+1))</f>
        <v/>
      </c>
      <c r="G27" s="70" t="str">
        <f>IF(Tableau1[[#This Row],[date debut]]=0,"",IF(Tableau1[[#This Row],[date fin]]=0,IF(Tableau1[[#This Row],[type]]="travail",Tableau1[[#This Row],[Colonne1]]-Tableau1[[#This Row],[date debut]]+1,""),""))</f>
        <v/>
      </c>
      <c r="H27" s="318" t="str">
        <f>CONCATENATE(Tableau1[[#This Row],[Jours1]],"",Tableau1[[#This Row],[jours2]])</f>
        <v/>
      </c>
      <c r="I27" s="318" t="str">
        <f ca="1">IF(C27="","",NETWORKDAYS(A27,C27))</f>
        <v/>
      </c>
      <c r="J27" t="str">
        <f t="shared" si="0"/>
        <v/>
      </c>
      <c r="K27" t="str">
        <f t="shared" si="1"/>
        <v/>
      </c>
      <c r="M27" s="159"/>
      <c r="N27" s="159"/>
      <c r="O27" s="159"/>
      <c r="P27" s="159"/>
      <c r="Q27" s="159"/>
    </row>
    <row r="28" spans="1:17" x14ac:dyDescent="0.25">
      <c r="A28" s="280"/>
      <c r="B28" s="281"/>
      <c r="C28" s="99" t="str">
        <f ca="1">IF(Tableau1[[#This Row],[date fin]]&lt;&gt;0,Tableau1[[#This Row],[date fin]],IF(Tableau1[[#This Row],[type]]="travail",TODAY(),""))</f>
        <v/>
      </c>
      <c r="D28" s="248"/>
      <c r="E28" s="259"/>
      <c r="F28" s="70" t="str">
        <f>IF(Tableau1[[#This Row],[date debut]]=0,"",IF(Tableau1[[#This Row],[date fin]]=0,"",Tableau1[[#This Row],[Colonne1]]-Tableau1[[#This Row],[date debut]]+1))</f>
        <v/>
      </c>
      <c r="G28" s="70" t="str">
        <f>IF(Tableau1[[#This Row],[date debut]]=0,"",IF(Tableau1[[#This Row],[date fin]]=0,IF(Tableau1[[#This Row],[type]]="travail",Tableau1[[#This Row],[Colonne1]]-Tableau1[[#This Row],[date debut]]+1,""),""))</f>
        <v/>
      </c>
      <c r="H28" s="318" t="str">
        <f>CONCATENATE(Tableau1[[#This Row],[Jours1]],"",Tableau1[[#This Row],[jours2]])</f>
        <v/>
      </c>
      <c r="I28" s="318" t="str">
        <f ca="1">IF(C28="","",NETWORKDAYS(A28,C28))</f>
        <v/>
      </c>
      <c r="J28" t="str">
        <f t="shared" si="0"/>
        <v/>
      </c>
      <c r="K28" t="str">
        <f t="shared" si="1"/>
        <v/>
      </c>
      <c r="M28" s="159"/>
      <c r="N28" s="159"/>
    </row>
    <row r="29" spans="1:17" x14ac:dyDescent="0.25">
      <c r="A29" s="280"/>
      <c r="B29" s="281"/>
      <c r="C29" s="99" t="str">
        <f ca="1">IF(Tableau1[[#This Row],[date fin]]&lt;&gt;0,Tableau1[[#This Row],[date fin]],IF(Tableau1[[#This Row],[type]]="travail",TODAY(),""))</f>
        <v/>
      </c>
      <c r="D29" s="248"/>
      <c r="E29" s="259"/>
      <c r="F29" s="70" t="str">
        <f>IF(Tableau1[[#This Row],[date debut]]=0,"",IF(Tableau1[[#This Row],[date fin]]=0,"",Tableau1[[#This Row],[Colonne1]]-Tableau1[[#This Row],[date debut]]+1))</f>
        <v/>
      </c>
      <c r="G29" s="70" t="str">
        <f>IF(Tableau1[[#This Row],[date debut]]=0,"",IF(Tableau1[[#This Row],[date fin]]=0,IF(Tableau1[[#This Row],[type]]="travail",Tableau1[[#This Row],[Colonne1]]-Tableau1[[#This Row],[date debut]]+1,""),""))</f>
        <v/>
      </c>
      <c r="H29" s="318" t="str">
        <f>CONCATENATE(Tableau1[[#This Row],[Jours1]],"",Tableau1[[#This Row],[jours2]])</f>
        <v/>
      </c>
      <c r="I29" s="318" t="str">
        <f ca="1">IF(C29="","",NETWORKDAYS(A29,C29))</f>
        <v/>
      </c>
      <c r="J29" t="str">
        <f t="shared" si="0"/>
        <v/>
      </c>
      <c r="K29" t="str">
        <f t="shared" si="1"/>
        <v/>
      </c>
      <c r="M29" s="159"/>
      <c r="N29" s="159"/>
    </row>
    <row r="30" spans="1:17" x14ac:dyDescent="0.25">
      <c r="A30" s="280"/>
      <c r="B30" s="281"/>
      <c r="C30" s="99" t="str">
        <f ca="1">IF(Tableau1[[#This Row],[date fin]]&lt;&gt;0,Tableau1[[#This Row],[date fin]],IF(Tableau1[[#This Row],[type]]="travail",TODAY(),""))</f>
        <v/>
      </c>
      <c r="D30" s="248"/>
      <c r="E30" s="259"/>
      <c r="F30" s="70" t="str">
        <f>IF(Tableau1[[#This Row],[date debut]]=0,"",IF(Tableau1[[#This Row],[date fin]]=0,"",Tableau1[[#This Row],[Colonne1]]-Tableau1[[#This Row],[date debut]]+1))</f>
        <v/>
      </c>
      <c r="G30" s="70" t="str">
        <f>IF(Tableau1[[#This Row],[date debut]]=0,"",IF(Tableau1[[#This Row],[date fin]]=0,IF(Tableau1[[#This Row],[type]]="travail",Tableau1[[#This Row],[Colonne1]]-Tableau1[[#This Row],[date debut]]+1,""),""))</f>
        <v/>
      </c>
      <c r="H30" s="318" t="str">
        <f>CONCATENATE(Tableau1[[#This Row],[Jours1]],"",Tableau1[[#This Row],[jours2]])</f>
        <v/>
      </c>
      <c r="I30" s="318" t="str">
        <f ca="1">IF(C30="","",NETWORKDAYS(A30,C30))</f>
        <v/>
      </c>
      <c r="J30" t="str">
        <f t="shared" si="0"/>
        <v/>
      </c>
      <c r="K30" t="str">
        <f t="shared" si="1"/>
        <v/>
      </c>
      <c r="M30" s="159"/>
      <c r="N30" s="159"/>
    </row>
    <row r="31" spans="1:17" x14ac:dyDescent="0.25">
      <c r="A31" s="280"/>
      <c r="B31" s="281"/>
      <c r="C31" s="99" t="str">
        <f ca="1">IF(Tableau1[[#This Row],[date fin]]&lt;&gt;0,Tableau1[[#This Row],[date fin]],IF(Tableau1[[#This Row],[type]]="travail",TODAY(),""))</f>
        <v/>
      </c>
      <c r="D31" s="248"/>
      <c r="E31" s="259"/>
      <c r="F31" s="70" t="str">
        <f>IF(Tableau1[[#This Row],[date debut]]=0,"",IF(Tableau1[[#This Row],[date fin]]=0,"",Tableau1[[#This Row],[Colonne1]]-Tableau1[[#This Row],[date debut]]+1))</f>
        <v/>
      </c>
      <c r="G31" s="70" t="str">
        <f>IF(Tableau1[[#This Row],[date debut]]=0,"",IF(Tableau1[[#This Row],[date fin]]=0,IF(Tableau1[[#This Row],[type]]="travail",Tableau1[[#This Row],[Colonne1]]-Tableau1[[#This Row],[date debut]]+1,""),""))</f>
        <v/>
      </c>
      <c r="H31" s="318" t="str">
        <f>CONCATENATE(Tableau1[[#This Row],[Jours1]],"",Tableau1[[#This Row],[jours2]])</f>
        <v/>
      </c>
      <c r="I31" s="318" t="str">
        <f ca="1">IF(C31="","",NETWORKDAYS(A31,C31))</f>
        <v/>
      </c>
      <c r="J31" t="str">
        <f t="shared" si="0"/>
        <v/>
      </c>
      <c r="K31" t="str">
        <f t="shared" si="1"/>
        <v/>
      </c>
      <c r="M31" s="159"/>
      <c r="N31" s="159"/>
    </row>
    <row r="32" spans="1:17" x14ac:dyDescent="0.25">
      <c r="A32" s="280"/>
      <c r="B32" s="281"/>
      <c r="C32" s="99" t="str">
        <f ca="1">IF(Tableau1[[#This Row],[date fin]]&lt;&gt;0,Tableau1[[#This Row],[date fin]],IF(Tableau1[[#This Row],[type]]="travail",TODAY(),""))</f>
        <v/>
      </c>
      <c r="D32" s="248"/>
      <c r="E32" s="259"/>
      <c r="F32" s="70" t="str">
        <f>IF(Tableau1[[#This Row],[date debut]]=0,"",IF(Tableau1[[#This Row],[date fin]]=0,"",Tableau1[[#This Row],[Colonne1]]-Tableau1[[#This Row],[date debut]]+1))</f>
        <v/>
      </c>
      <c r="G32" s="70" t="str">
        <f>IF(Tableau1[[#This Row],[date debut]]=0,"",IF(Tableau1[[#This Row],[date fin]]=0,IF(Tableau1[[#This Row],[type]]="travail",Tableau1[[#This Row],[Colonne1]]-Tableau1[[#This Row],[date debut]]+1,""),""))</f>
        <v/>
      </c>
      <c r="H32" s="318" t="str">
        <f>CONCATENATE(Tableau1[[#This Row],[Jours1]],"",Tableau1[[#This Row],[jours2]])</f>
        <v/>
      </c>
      <c r="I32" s="318" t="str">
        <f ca="1">IF(C32="","",NETWORKDAYS(A32,C32))</f>
        <v/>
      </c>
      <c r="J32" t="str">
        <f t="shared" si="0"/>
        <v/>
      </c>
      <c r="M32" s="159"/>
      <c r="N32" s="159"/>
    </row>
    <row r="33" spans="1:14" x14ac:dyDescent="0.25">
      <c r="A33" s="280"/>
      <c r="B33" s="281"/>
      <c r="C33" s="99" t="str">
        <f ca="1">IF(Tableau1[[#This Row],[date fin]]&lt;&gt;0,Tableau1[[#This Row],[date fin]],IF(Tableau1[[#This Row],[type]]="travail",TODAY(),""))</f>
        <v/>
      </c>
      <c r="D33" s="248"/>
      <c r="E33" s="259"/>
      <c r="F33" s="70" t="str">
        <f>IF(Tableau1[[#This Row],[date debut]]=0,"",IF(Tableau1[[#This Row],[date fin]]=0,"",Tableau1[[#This Row],[Colonne1]]-Tableau1[[#This Row],[date debut]]+1))</f>
        <v/>
      </c>
      <c r="G33" s="70" t="str">
        <f>IF(Tableau1[[#This Row],[date debut]]=0,"",IF(Tableau1[[#This Row],[date fin]]=0,IF(Tableau1[[#This Row],[type]]="travail",Tableau1[[#This Row],[Colonne1]]-Tableau1[[#This Row],[date debut]]+1,""),""))</f>
        <v/>
      </c>
      <c r="H33" s="318" t="str">
        <f>CONCATENATE(Tableau1[[#This Row],[Jours1]],"",Tableau1[[#This Row],[jours2]])</f>
        <v/>
      </c>
      <c r="I33" s="318" t="str">
        <f ca="1">IF(C33="","",NETWORKDAYS(A33,C33))</f>
        <v/>
      </c>
      <c r="J33" t="str">
        <f t="shared" si="0"/>
        <v/>
      </c>
      <c r="M33" s="159"/>
      <c r="N33" s="159"/>
    </row>
    <row r="34" spans="1:14" x14ac:dyDescent="0.25">
      <c r="A34" s="280"/>
      <c r="B34" s="281"/>
      <c r="C34" s="99" t="str">
        <f ca="1">IF(Tableau1[[#This Row],[date fin]]&lt;&gt;0,Tableau1[[#This Row],[date fin]],IF(Tableau1[[#This Row],[type]]="travail",TODAY(),""))</f>
        <v/>
      </c>
      <c r="D34" s="248"/>
      <c r="E34" s="259"/>
      <c r="F34" s="70" t="str">
        <f>IF(Tableau1[[#This Row],[date debut]]=0,"",IF(Tableau1[[#This Row],[date fin]]=0,"",Tableau1[[#This Row],[Colonne1]]-Tableau1[[#This Row],[date debut]]+1))</f>
        <v/>
      </c>
      <c r="G34" s="70" t="str">
        <f>IF(Tableau1[[#This Row],[date debut]]=0,"",IF(Tableau1[[#This Row],[date fin]]=0,IF(Tableau1[[#This Row],[type]]="travail",Tableau1[[#This Row],[Colonne1]]-Tableau1[[#This Row],[date debut]]+1,""),""))</f>
        <v/>
      </c>
      <c r="H34" s="318" t="str">
        <f>CONCATENATE(Tableau1[[#This Row],[Jours1]],"",Tableau1[[#This Row],[jours2]])</f>
        <v/>
      </c>
      <c r="I34" s="318" t="str">
        <f ca="1">IF(C34="","",NETWORKDAYS(A34,C34))</f>
        <v/>
      </c>
      <c r="J34" t="str">
        <f t="shared" si="0"/>
        <v/>
      </c>
      <c r="M34" s="159"/>
      <c r="N34" s="159"/>
    </row>
    <row r="35" spans="1:14" x14ac:dyDescent="0.25">
      <c r="A35" s="280"/>
      <c r="B35" s="281"/>
      <c r="C35" s="99" t="str">
        <f ca="1">IF(Tableau1[[#This Row],[date fin]]&lt;&gt;0,Tableau1[[#This Row],[date fin]],IF(Tableau1[[#This Row],[type]]="travail",TODAY(),""))</f>
        <v/>
      </c>
      <c r="D35" s="248"/>
      <c r="E35" s="259"/>
      <c r="F35" s="70" t="str">
        <f>IF(Tableau1[[#This Row],[date debut]]=0,"",IF(Tableau1[[#This Row],[date fin]]=0,"",Tableau1[[#This Row],[Colonne1]]-Tableau1[[#This Row],[date debut]]+1))</f>
        <v/>
      </c>
      <c r="G35" s="70" t="str">
        <f>IF(Tableau1[[#This Row],[date debut]]=0,"",IF(Tableau1[[#This Row],[date fin]]=0,IF(Tableau1[[#This Row],[type]]="travail",Tableau1[[#This Row],[Colonne1]]-Tableau1[[#This Row],[date debut]]+1,""),""))</f>
        <v/>
      </c>
      <c r="H35" s="318" t="str">
        <f>CONCATENATE(Tableau1[[#This Row],[Jours1]],"",Tableau1[[#This Row],[jours2]])</f>
        <v/>
      </c>
      <c r="I35" s="318" t="str">
        <f ca="1">IF(C35="","",NETWORKDAYS(A35,C35))</f>
        <v/>
      </c>
      <c r="J35" t="str">
        <f t="shared" si="0"/>
        <v/>
      </c>
      <c r="M35" s="159"/>
      <c r="N35" s="159"/>
    </row>
    <row r="36" spans="1:14" x14ac:dyDescent="0.25">
      <c r="A36" s="280"/>
      <c r="B36" s="281"/>
      <c r="C36" s="99" t="str">
        <f ca="1">IF(Tableau1[[#This Row],[date fin]]&lt;&gt;0,Tableau1[[#This Row],[date fin]],IF(Tableau1[[#This Row],[type]]="travail",TODAY(),""))</f>
        <v/>
      </c>
      <c r="D36" s="248"/>
      <c r="E36" s="259"/>
      <c r="F36" s="70" t="str">
        <f>IF(Tableau1[[#This Row],[date debut]]=0,"",IF(Tableau1[[#This Row],[date fin]]=0,"",Tableau1[[#This Row],[Colonne1]]-Tableau1[[#This Row],[date debut]]+1))</f>
        <v/>
      </c>
      <c r="G36" s="70" t="str">
        <f>IF(Tableau1[[#This Row],[date debut]]=0,"",IF(Tableau1[[#This Row],[date fin]]=0,IF(Tableau1[[#This Row],[type]]="travail",Tableau1[[#This Row],[Colonne1]]-Tableau1[[#This Row],[date debut]]+1,""),""))</f>
        <v/>
      </c>
      <c r="H36" s="318" t="str">
        <f>CONCATENATE(Tableau1[[#This Row],[Jours1]],"",Tableau1[[#This Row],[jours2]])</f>
        <v/>
      </c>
      <c r="I36" s="318" t="str">
        <f ca="1">IF(C36="","",NETWORKDAYS(A36,C36))</f>
        <v/>
      </c>
      <c r="J36" t="str">
        <f t="shared" si="0"/>
        <v/>
      </c>
      <c r="M36" s="159"/>
      <c r="N36" s="159"/>
    </row>
    <row r="37" spans="1:14" x14ac:dyDescent="0.25">
      <c r="A37" s="280"/>
      <c r="B37" s="281"/>
      <c r="C37" s="99" t="str">
        <f ca="1">IF(Tableau1[[#This Row],[date fin]]&lt;&gt;0,Tableau1[[#This Row],[date fin]],IF(Tableau1[[#This Row],[type]]="travail",TODAY(),""))</f>
        <v/>
      </c>
      <c r="D37" s="248"/>
      <c r="E37" s="259"/>
      <c r="F37" s="70" t="str">
        <f>IF(Tableau1[[#This Row],[date debut]]=0,"",IF(Tableau1[[#This Row],[date fin]]=0,"",Tableau1[[#This Row],[Colonne1]]-Tableau1[[#This Row],[date debut]]+1))</f>
        <v/>
      </c>
      <c r="G37" s="70" t="str">
        <f>IF(Tableau1[[#This Row],[date debut]]=0,"",IF(Tableau1[[#This Row],[date fin]]=0,IF(Tableau1[[#This Row],[type]]="travail",Tableau1[[#This Row],[Colonne1]]-Tableau1[[#This Row],[date debut]]+1,""),""))</f>
        <v/>
      </c>
      <c r="H37" s="318" t="str">
        <f>CONCATENATE(Tableau1[[#This Row],[Jours1]],"",Tableau1[[#This Row],[jours2]])</f>
        <v/>
      </c>
      <c r="I37" s="318" t="str">
        <f ca="1">IF(C37="","",NETWORKDAYS(A37,C37))</f>
        <v/>
      </c>
      <c r="J37" t="str">
        <f t="shared" si="0"/>
        <v/>
      </c>
      <c r="M37" s="159"/>
      <c r="N37" s="159"/>
    </row>
    <row r="38" spans="1:14" x14ac:dyDescent="0.25">
      <c r="A38" s="280"/>
      <c r="B38" s="281"/>
      <c r="C38" s="99" t="str">
        <f ca="1">IF(Tableau1[[#This Row],[date fin]]&lt;&gt;0,Tableau1[[#This Row],[date fin]],IF(Tableau1[[#This Row],[type]]="travail",TODAY(),""))</f>
        <v/>
      </c>
      <c r="D38" s="248"/>
      <c r="E38" s="259"/>
      <c r="F38" s="70" t="str">
        <f>IF(Tableau1[[#This Row],[date debut]]=0,"",IF(Tableau1[[#This Row],[date fin]]=0,"",Tableau1[[#This Row],[Colonne1]]-Tableau1[[#This Row],[date debut]]+1))</f>
        <v/>
      </c>
      <c r="G38" s="70" t="str">
        <f>IF(Tableau1[[#This Row],[date debut]]=0,"",IF(Tableau1[[#This Row],[date fin]]=0,IF(Tableau1[[#This Row],[type]]="travail",Tableau1[[#This Row],[Colonne1]]-Tableau1[[#This Row],[date debut]]+1,""),""))</f>
        <v/>
      </c>
      <c r="H38" s="318" t="str">
        <f>CONCATENATE(Tableau1[[#This Row],[Jours1]],"",Tableau1[[#This Row],[jours2]])</f>
        <v/>
      </c>
      <c r="I38" s="318" t="str">
        <f ca="1">IF(C38="","",NETWORKDAYS(A38,C38))</f>
        <v/>
      </c>
      <c r="J38" t="str">
        <f t="shared" si="0"/>
        <v/>
      </c>
      <c r="M38" s="159"/>
      <c r="N38" s="159"/>
    </row>
    <row r="39" spans="1:14" x14ac:dyDescent="0.25">
      <c r="A39" s="280"/>
      <c r="B39" s="281"/>
      <c r="C39" s="99" t="str">
        <f ca="1">IF(Tableau1[[#This Row],[date fin]]&lt;&gt;0,Tableau1[[#This Row],[date fin]],IF(Tableau1[[#This Row],[type]]="travail",TODAY(),""))</f>
        <v/>
      </c>
      <c r="D39" s="248"/>
      <c r="E39" s="259"/>
      <c r="F39" s="70" t="str">
        <f>IF(Tableau1[[#This Row],[date debut]]=0,"",IF(Tableau1[[#This Row],[date fin]]=0,"",Tableau1[[#This Row],[Colonne1]]-Tableau1[[#This Row],[date debut]]+1))</f>
        <v/>
      </c>
      <c r="G39" s="70" t="str">
        <f>IF(Tableau1[[#This Row],[date debut]]=0,"",IF(Tableau1[[#This Row],[date fin]]=0,IF(Tableau1[[#This Row],[type]]="travail",Tableau1[[#This Row],[Colonne1]]-Tableau1[[#This Row],[date debut]]+1,""),""))</f>
        <v/>
      </c>
      <c r="H39" s="318" t="str">
        <f>CONCATENATE(Tableau1[[#This Row],[Jours1]],"",Tableau1[[#This Row],[jours2]])</f>
        <v/>
      </c>
      <c r="I39" s="318" t="str">
        <f ca="1">IF(C39="","",NETWORKDAYS(A39,C39))</f>
        <v/>
      </c>
      <c r="J39" t="str">
        <f t="shared" si="0"/>
        <v/>
      </c>
      <c r="M39" s="159"/>
      <c r="N39" s="159"/>
    </row>
    <row r="40" spans="1:14" x14ac:dyDescent="0.25">
      <c r="A40" s="280"/>
      <c r="B40" s="281"/>
      <c r="C40" s="99" t="str">
        <f ca="1">IF(Tableau1[[#This Row],[date fin]]&lt;&gt;0,Tableau1[[#This Row],[date fin]],IF(Tableau1[[#This Row],[type]]="travail",TODAY(),""))</f>
        <v/>
      </c>
      <c r="D40" s="248"/>
      <c r="E40" s="259"/>
      <c r="F40" s="70" t="str">
        <f>IF(Tableau1[[#This Row],[date debut]]=0,"",IF(Tableau1[[#This Row],[date fin]]=0,"",Tableau1[[#This Row],[Colonne1]]-Tableau1[[#This Row],[date debut]]+1))</f>
        <v/>
      </c>
      <c r="G40" s="70" t="str">
        <f>IF(Tableau1[[#This Row],[date debut]]=0,"",IF(Tableau1[[#This Row],[date fin]]=0,IF(Tableau1[[#This Row],[type]]="travail",Tableau1[[#This Row],[Colonne1]]-Tableau1[[#This Row],[date debut]]+1,""),""))</f>
        <v/>
      </c>
      <c r="H40" s="318" t="str">
        <f>CONCATENATE(Tableau1[[#This Row],[Jours1]],"",Tableau1[[#This Row],[jours2]])</f>
        <v/>
      </c>
      <c r="I40" s="318" t="str">
        <f ca="1">IF(C40="","",NETWORKDAYS(A40,C40))</f>
        <v/>
      </c>
      <c r="J40" t="str">
        <f t="shared" si="0"/>
        <v/>
      </c>
      <c r="M40" s="159"/>
      <c r="N40" s="159"/>
    </row>
    <row r="41" spans="1:14" x14ac:dyDescent="0.25">
      <c r="A41" s="280"/>
      <c r="B41" s="281"/>
      <c r="C41" s="99" t="str">
        <f ca="1">IF(Tableau1[[#This Row],[date fin]]&lt;&gt;0,Tableau1[[#This Row],[date fin]],IF(Tableau1[[#This Row],[type]]="travail",TODAY(),""))</f>
        <v/>
      </c>
      <c r="D41" s="248"/>
      <c r="E41" s="259"/>
      <c r="F41" s="70" t="str">
        <f>IF(Tableau1[[#This Row],[date debut]]=0,"",IF(Tableau1[[#This Row],[date fin]]=0,"",Tableau1[[#This Row],[Colonne1]]-Tableau1[[#This Row],[date debut]]+1))</f>
        <v/>
      </c>
      <c r="G41" s="70" t="str">
        <f>IF(Tableau1[[#This Row],[date debut]]=0,"",IF(Tableau1[[#This Row],[date fin]]=0,IF(Tableau1[[#This Row],[type]]="travail",Tableau1[[#This Row],[Colonne1]]-Tableau1[[#This Row],[date debut]]+1,""),""))</f>
        <v/>
      </c>
      <c r="H41" s="318" t="str">
        <f>CONCATENATE(Tableau1[[#This Row],[Jours1]],"",Tableau1[[#This Row],[jours2]])</f>
        <v/>
      </c>
      <c r="I41" s="318" t="str">
        <f ca="1">IF(C41="","",NETWORKDAYS(A41,C41))</f>
        <v/>
      </c>
      <c r="J41" t="str">
        <f t="shared" si="0"/>
        <v/>
      </c>
    </row>
    <row r="42" spans="1:14" x14ac:dyDescent="0.25">
      <c r="A42" s="280"/>
      <c r="B42" s="281"/>
      <c r="C42" s="99" t="str">
        <f ca="1">IF(Tableau1[[#This Row],[date fin]]&lt;&gt;0,Tableau1[[#This Row],[date fin]],IF(Tableau1[[#This Row],[type]]="travail",TODAY(),""))</f>
        <v/>
      </c>
      <c r="D42" s="248"/>
      <c r="E42" s="259"/>
      <c r="F42" s="70" t="str">
        <f>IF(Tableau1[[#This Row],[date debut]]=0,"",IF(Tableau1[[#This Row],[date fin]]=0,"",Tableau1[[#This Row],[Colonne1]]-Tableau1[[#This Row],[date debut]]+1))</f>
        <v/>
      </c>
      <c r="G42" s="70" t="str">
        <f>IF(Tableau1[[#This Row],[date debut]]=0,"",IF(Tableau1[[#This Row],[date fin]]=0,IF(Tableau1[[#This Row],[type]]="travail",Tableau1[[#This Row],[Colonne1]]-Tableau1[[#This Row],[date debut]]+1,""),""))</f>
        <v/>
      </c>
      <c r="H42" s="318" t="str">
        <f>CONCATENATE(Tableau1[[#This Row],[Jours1]],"",Tableau1[[#This Row],[jours2]])</f>
        <v/>
      </c>
      <c r="I42" s="318" t="str">
        <f ca="1">IF(C42="","",NETWORKDAYS(A42,C42))</f>
        <v/>
      </c>
      <c r="J42" t="str">
        <f t="shared" si="0"/>
        <v/>
      </c>
    </row>
    <row r="43" spans="1:14" x14ac:dyDescent="0.25">
      <c r="A43" s="280"/>
      <c r="B43" s="281"/>
      <c r="C43" s="99" t="str">
        <f ca="1">IF(Tableau1[[#This Row],[date fin]]&lt;&gt;0,Tableau1[[#This Row],[date fin]],IF(Tableau1[[#This Row],[type]]="travail",TODAY(),""))</f>
        <v/>
      </c>
      <c r="D43" s="248"/>
      <c r="E43" s="259"/>
      <c r="F43" s="70" t="str">
        <f>IF(Tableau1[[#This Row],[date debut]]=0,"",IF(Tableau1[[#This Row],[date fin]]=0,"",Tableau1[[#This Row],[Colonne1]]-Tableau1[[#This Row],[date debut]]+1))</f>
        <v/>
      </c>
      <c r="G43" s="70" t="str">
        <f>IF(Tableau1[[#This Row],[date debut]]=0,"",IF(Tableau1[[#This Row],[date fin]]=0,IF(Tableau1[[#This Row],[type]]="travail",Tableau1[[#This Row],[Colonne1]]-Tableau1[[#This Row],[date debut]]+1,""),""))</f>
        <v/>
      </c>
      <c r="H43" s="318" t="str">
        <f>CONCATENATE(Tableau1[[#This Row],[Jours1]],"",Tableau1[[#This Row],[jours2]])</f>
        <v/>
      </c>
      <c r="I43" s="318" t="str">
        <f ca="1">IF(C43="","",NETWORKDAYS(A43,C43))</f>
        <v/>
      </c>
      <c r="J43" t="str">
        <f t="shared" si="0"/>
        <v/>
      </c>
    </row>
    <row r="44" spans="1:14" x14ac:dyDescent="0.25">
      <c r="A44" s="280"/>
      <c r="B44" s="281"/>
      <c r="C44" s="99" t="str">
        <f ca="1">IF(Tableau1[[#This Row],[date fin]]&lt;&gt;0,Tableau1[[#This Row],[date fin]],IF(Tableau1[[#This Row],[type]]="travail",TODAY(),""))</f>
        <v/>
      </c>
      <c r="D44" s="248"/>
      <c r="E44" s="259"/>
      <c r="F44" s="70" t="str">
        <f>IF(Tableau1[[#This Row],[date debut]]=0,"",IF(Tableau1[[#This Row],[date fin]]=0,"",Tableau1[[#This Row],[Colonne1]]-Tableau1[[#This Row],[date debut]]+1))</f>
        <v/>
      </c>
      <c r="G44" s="70" t="str">
        <f>IF(Tableau1[[#This Row],[date debut]]=0,"",IF(Tableau1[[#This Row],[date fin]]=0,IF(Tableau1[[#This Row],[type]]="travail",Tableau1[[#This Row],[Colonne1]]-Tableau1[[#This Row],[date debut]]+1,""),""))</f>
        <v/>
      </c>
      <c r="H44" s="318" t="str">
        <f>CONCATENATE(Tableau1[[#This Row],[Jours1]],"",Tableau1[[#This Row],[jours2]])</f>
        <v/>
      </c>
      <c r="I44" s="318" t="str">
        <f ca="1">IF(C44="","",NETWORKDAYS(A44,C44))</f>
        <v/>
      </c>
      <c r="J44" t="str">
        <f t="shared" si="0"/>
        <v/>
      </c>
    </row>
    <row r="45" spans="1:14" x14ac:dyDescent="0.25">
      <c r="A45" s="280"/>
      <c r="B45" s="281"/>
      <c r="C45" s="99" t="str">
        <f ca="1">IF(Tableau1[[#This Row],[date fin]]&lt;&gt;0,Tableau1[[#This Row],[date fin]],IF(Tableau1[[#This Row],[type]]="travail",TODAY(),""))</f>
        <v/>
      </c>
      <c r="D45" s="248"/>
      <c r="E45" s="259"/>
      <c r="F45" s="70" t="str">
        <f>IF(Tableau1[[#This Row],[date debut]]=0,"",IF(Tableau1[[#This Row],[date fin]]=0,"",Tableau1[[#This Row],[Colonne1]]-Tableau1[[#This Row],[date debut]]+1))</f>
        <v/>
      </c>
      <c r="G45" s="70" t="str">
        <f>IF(Tableau1[[#This Row],[date debut]]=0,"",IF(Tableau1[[#This Row],[date fin]]=0,IF(Tableau1[[#This Row],[type]]="travail",Tableau1[[#This Row],[Colonne1]]-Tableau1[[#This Row],[date debut]]+1,""),""))</f>
        <v/>
      </c>
      <c r="H45" s="318" t="str">
        <f>CONCATENATE(Tableau1[[#This Row],[Jours1]],"",Tableau1[[#This Row],[jours2]])</f>
        <v/>
      </c>
      <c r="I45" s="318" t="str">
        <f ca="1">IF(C45="","",NETWORKDAYS(A45,C45))</f>
        <v/>
      </c>
      <c r="J45" t="str">
        <f t="shared" si="0"/>
        <v/>
      </c>
    </row>
    <row r="46" spans="1:14" x14ac:dyDescent="0.25">
      <c r="A46" s="280"/>
      <c r="B46" s="281"/>
      <c r="C46" s="99" t="str">
        <f ca="1">IF(Tableau1[[#This Row],[date fin]]&lt;&gt;0,Tableau1[[#This Row],[date fin]],IF(Tableau1[[#This Row],[type]]="travail",TODAY(),""))</f>
        <v/>
      </c>
      <c r="D46" s="248"/>
      <c r="E46" s="259"/>
      <c r="F46" s="70" t="str">
        <f>IF(Tableau1[[#This Row],[date debut]]=0,"",IF(Tableau1[[#This Row],[date fin]]=0,"",Tableau1[[#This Row],[Colonne1]]-Tableau1[[#This Row],[date debut]]+1))</f>
        <v/>
      </c>
      <c r="G46" s="70" t="str">
        <f>IF(Tableau1[[#This Row],[date debut]]=0,"",IF(Tableau1[[#This Row],[date fin]]=0,IF(Tableau1[[#This Row],[type]]="travail",Tableau1[[#This Row],[Colonne1]]-Tableau1[[#This Row],[date debut]]+1,""),""))</f>
        <v/>
      </c>
      <c r="H46" s="318" t="str">
        <f>CONCATENATE(Tableau1[[#This Row],[Jours1]],"",Tableau1[[#This Row],[jours2]])</f>
        <v/>
      </c>
      <c r="I46" s="318" t="str">
        <f ca="1">IF(C46="","",NETWORKDAYS(A46,C46))</f>
        <v/>
      </c>
      <c r="J46" t="str">
        <f t="shared" si="0"/>
        <v/>
      </c>
    </row>
    <row r="47" spans="1:14" x14ac:dyDescent="0.25">
      <c r="A47" s="280"/>
      <c r="B47" s="281"/>
      <c r="C47" s="99" t="str">
        <f ca="1">IF(Tableau1[[#This Row],[date fin]]&lt;&gt;0,Tableau1[[#This Row],[date fin]],IF(Tableau1[[#This Row],[type]]="travail",TODAY(),""))</f>
        <v/>
      </c>
      <c r="D47" s="248"/>
      <c r="E47" s="259"/>
      <c r="F47" s="70" t="str">
        <f>IF(Tableau1[[#This Row],[date debut]]=0,"",IF(Tableau1[[#This Row],[date fin]]=0,"",Tableau1[[#This Row],[Colonne1]]-Tableau1[[#This Row],[date debut]]+1))</f>
        <v/>
      </c>
      <c r="G47" s="70" t="str">
        <f>IF(Tableau1[[#This Row],[date debut]]=0,"",IF(Tableau1[[#This Row],[date fin]]=0,IF(Tableau1[[#This Row],[type]]="travail",Tableau1[[#This Row],[Colonne1]]-Tableau1[[#This Row],[date debut]]+1,""),""))</f>
        <v/>
      </c>
      <c r="H47" s="318" t="str">
        <f>CONCATENATE(Tableau1[[#This Row],[Jours1]],"",Tableau1[[#This Row],[jours2]])</f>
        <v/>
      </c>
      <c r="I47" s="318" t="str">
        <f ca="1">IF(C47="","",NETWORKDAYS(A47,C47))</f>
        <v/>
      </c>
      <c r="J47" t="str">
        <f t="shared" si="0"/>
        <v/>
      </c>
    </row>
    <row r="48" spans="1:14" x14ac:dyDescent="0.25">
      <c r="A48" s="280"/>
      <c r="B48" s="281"/>
      <c r="C48" s="99" t="str">
        <f ca="1">IF(Tableau1[[#This Row],[date fin]]&lt;&gt;0,Tableau1[[#This Row],[date fin]],IF(Tableau1[[#This Row],[type]]="travail",TODAY(),""))</f>
        <v/>
      </c>
      <c r="D48" s="248"/>
      <c r="E48" s="259"/>
      <c r="F48" s="70" t="str">
        <f>IF(Tableau1[[#This Row],[date debut]]=0,"",IF(Tableau1[[#This Row],[date fin]]=0,"",Tableau1[[#This Row],[Colonne1]]-Tableau1[[#This Row],[date debut]]+1))</f>
        <v/>
      </c>
      <c r="G48" s="70" t="str">
        <f>IF(Tableau1[[#This Row],[date debut]]=0,"",IF(Tableau1[[#This Row],[date fin]]=0,IF(Tableau1[[#This Row],[type]]="travail",Tableau1[[#This Row],[Colonne1]]-Tableau1[[#This Row],[date debut]]+1,""),""))</f>
        <v/>
      </c>
      <c r="H48" s="318" t="str">
        <f>CONCATENATE(Tableau1[[#This Row],[Jours1]],"",Tableau1[[#This Row],[jours2]])</f>
        <v/>
      </c>
      <c r="I48" s="318" t="str">
        <f ca="1">IF(C48="","",NETWORKDAYS(A48,C48))</f>
        <v/>
      </c>
      <c r="J48" t="str">
        <f t="shared" si="0"/>
        <v/>
      </c>
    </row>
    <row r="49" spans="1:10" x14ac:dyDescent="0.25">
      <c r="A49" s="280"/>
      <c r="B49" s="281"/>
      <c r="C49" s="99" t="str">
        <f ca="1">IF(Tableau1[[#This Row],[date fin]]&lt;&gt;0,Tableau1[[#This Row],[date fin]],IF(Tableau1[[#This Row],[type]]="travail",TODAY(),""))</f>
        <v/>
      </c>
      <c r="D49" s="248"/>
      <c r="E49" s="259"/>
      <c r="F49" s="70" t="str">
        <f>IF(Tableau1[[#This Row],[date debut]]=0,"",IF(Tableau1[[#This Row],[date fin]]=0,"",Tableau1[[#This Row],[Colonne1]]-Tableau1[[#This Row],[date debut]]+1))</f>
        <v/>
      </c>
      <c r="G49" s="70" t="str">
        <f>IF(Tableau1[[#This Row],[date debut]]=0,"",IF(Tableau1[[#This Row],[date fin]]=0,IF(Tableau1[[#This Row],[type]]="travail",Tableau1[[#This Row],[Colonne1]]-Tableau1[[#This Row],[date debut]]+1,""),""))</f>
        <v/>
      </c>
      <c r="H49" s="318" t="str">
        <f>CONCATENATE(Tableau1[[#This Row],[Jours1]],"",Tableau1[[#This Row],[jours2]])</f>
        <v/>
      </c>
      <c r="I49" s="318" t="str">
        <f ca="1">IF(C49="","",NETWORKDAYS(A49,C49))</f>
        <v/>
      </c>
      <c r="J49" t="str">
        <f t="shared" si="0"/>
        <v/>
      </c>
    </row>
    <row r="50" spans="1:10" x14ac:dyDescent="0.25">
      <c r="A50" s="280"/>
      <c r="B50" s="281"/>
      <c r="C50" s="99" t="str">
        <f ca="1">IF(Tableau1[[#This Row],[date fin]]&lt;&gt;0,Tableau1[[#This Row],[date fin]],IF(Tableau1[[#This Row],[type]]="travail",TODAY(),""))</f>
        <v/>
      </c>
      <c r="D50" s="248"/>
      <c r="E50" s="259"/>
      <c r="F50" s="70" t="str">
        <f>IF(Tableau1[[#This Row],[date debut]]=0,"",IF(Tableau1[[#This Row],[date fin]]=0,"",Tableau1[[#This Row],[Colonne1]]-Tableau1[[#This Row],[date debut]]+1))</f>
        <v/>
      </c>
      <c r="G50" s="70" t="str">
        <f>IF(Tableau1[[#This Row],[date debut]]=0,"",IF(Tableau1[[#This Row],[date fin]]=0,IF(Tableau1[[#This Row],[type]]="travail",Tableau1[[#This Row],[Colonne1]]-Tableau1[[#This Row],[date debut]]+1,""),""))</f>
        <v/>
      </c>
      <c r="H50" s="318" t="str">
        <f>CONCATENATE(Tableau1[[#This Row],[Jours1]],"",Tableau1[[#This Row],[jours2]])</f>
        <v/>
      </c>
      <c r="I50" s="318" t="str">
        <f ca="1">IF(C50="","",NETWORKDAYS(A50,C50))</f>
        <v/>
      </c>
      <c r="J50" t="str">
        <f t="shared" si="0"/>
        <v/>
      </c>
    </row>
    <row r="51" spans="1:10" x14ac:dyDescent="0.25">
      <c r="A51" s="280"/>
      <c r="B51" s="281"/>
      <c r="C51" s="99" t="str">
        <f ca="1">IF(Tableau1[[#This Row],[date fin]]&lt;&gt;0,Tableau1[[#This Row],[date fin]],IF(Tableau1[[#This Row],[type]]="travail",TODAY(),""))</f>
        <v/>
      </c>
      <c r="D51" s="248"/>
      <c r="E51" s="259"/>
      <c r="F51" s="70" t="str">
        <f>IF(Tableau1[[#This Row],[date debut]]=0,"",IF(Tableau1[[#This Row],[date fin]]=0,"",Tableau1[[#This Row],[Colonne1]]-Tableau1[[#This Row],[date debut]]+1))</f>
        <v/>
      </c>
      <c r="G51" s="70" t="str">
        <f>IF(Tableau1[[#This Row],[date debut]]=0,"",IF(Tableau1[[#This Row],[date fin]]=0,IF(Tableau1[[#This Row],[type]]="travail",Tableau1[[#This Row],[Colonne1]]-Tableau1[[#This Row],[date debut]]+1,""),""))</f>
        <v/>
      </c>
      <c r="H51" s="318" t="str">
        <f>CONCATENATE(Tableau1[[#This Row],[Jours1]],"",Tableau1[[#This Row],[jours2]])</f>
        <v/>
      </c>
      <c r="I51" s="318" t="str">
        <f ca="1">IF(C51="","",NETWORKDAYS(A51,C51))</f>
        <v/>
      </c>
      <c r="J51" t="str">
        <f t="shared" si="0"/>
        <v/>
      </c>
    </row>
    <row r="52" spans="1:10" x14ac:dyDescent="0.25">
      <c r="A52" s="280"/>
      <c r="B52" s="281"/>
      <c r="C52" s="99" t="str">
        <f ca="1">IF(Tableau1[[#This Row],[date fin]]&lt;&gt;0,Tableau1[[#This Row],[date fin]],IF(Tableau1[[#This Row],[type]]="travail",TODAY(),""))</f>
        <v/>
      </c>
      <c r="D52" s="248"/>
      <c r="E52" s="259"/>
      <c r="F52" s="70" t="str">
        <f>IF(Tableau1[[#This Row],[date debut]]=0,"",IF(Tableau1[[#This Row],[date fin]]=0,"",Tableau1[[#This Row],[Colonne1]]-Tableau1[[#This Row],[date debut]]+1))</f>
        <v/>
      </c>
      <c r="G52" s="70" t="str">
        <f>IF(Tableau1[[#This Row],[date debut]]=0,"",IF(Tableau1[[#This Row],[date fin]]=0,IF(Tableau1[[#This Row],[type]]="travail",Tableau1[[#This Row],[Colonne1]]-Tableau1[[#This Row],[date debut]]+1,""),""))</f>
        <v/>
      </c>
      <c r="H52" s="318" t="str">
        <f>CONCATENATE(Tableau1[[#This Row],[Jours1]],"",Tableau1[[#This Row],[jours2]])</f>
        <v/>
      </c>
      <c r="I52" s="318" t="str">
        <f ca="1">IF(C52="","",NETWORKDAYS(A52,C52))</f>
        <v/>
      </c>
      <c r="J52" t="str">
        <f t="shared" si="0"/>
        <v/>
      </c>
    </row>
    <row r="53" spans="1:10" x14ac:dyDescent="0.25">
      <c r="A53" s="280"/>
      <c r="B53" s="281"/>
      <c r="C53" s="99" t="str">
        <f ca="1">IF(Tableau1[[#This Row],[date fin]]&lt;&gt;0,Tableau1[[#This Row],[date fin]],IF(Tableau1[[#This Row],[type]]="travail",TODAY(),""))</f>
        <v/>
      </c>
      <c r="D53" s="248"/>
      <c r="E53" s="259"/>
      <c r="F53" s="70" t="str">
        <f>IF(Tableau1[[#This Row],[date debut]]=0,"",IF(Tableau1[[#This Row],[date fin]]=0,"",Tableau1[[#This Row],[Colonne1]]-Tableau1[[#This Row],[date debut]]+1))</f>
        <v/>
      </c>
      <c r="G53" s="70" t="str">
        <f>IF(Tableau1[[#This Row],[date debut]]=0,"",IF(Tableau1[[#This Row],[date fin]]=0,IF(Tableau1[[#This Row],[type]]="travail",Tableau1[[#This Row],[Colonne1]]-Tableau1[[#This Row],[date debut]]+1,""),""))</f>
        <v/>
      </c>
      <c r="H53" s="318" t="str">
        <f>CONCATENATE(Tableau1[[#This Row],[Jours1]],"",Tableau1[[#This Row],[jours2]])</f>
        <v/>
      </c>
      <c r="I53" s="318" t="str">
        <f ca="1">IF(C53="","",NETWORKDAYS(A53,C53))</f>
        <v/>
      </c>
      <c r="J53" t="str">
        <f t="shared" si="0"/>
        <v/>
      </c>
    </row>
    <row r="54" spans="1:10" x14ac:dyDescent="0.25">
      <c r="A54" s="280"/>
      <c r="B54" s="281"/>
      <c r="C54" s="99" t="str">
        <f ca="1">IF(Tableau1[[#This Row],[date fin]]&lt;&gt;0,Tableau1[[#This Row],[date fin]],IF(Tableau1[[#This Row],[type]]="travail",TODAY(),""))</f>
        <v/>
      </c>
      <c r="D54" s="248"/>
      <c r="E54" s="259"/>
      <c r="F54" s="70" t="str">
        <f>IF(Tableau1[[#This Row],[date debut]]=0,"",IF(Tableau1[[#This Row],[date fin]]=0,"",Tableau1[[#This Row],[Colonne1]]-Tableau1[[#This Row],[date debut]]+1))</f>
        <v/>
      </c>
      <c r="G54" s="70" t="str">
        <f>IF(Tableau1[[#This Row],[date debut]]=0,"",IF(Tableau1[[#This Row],[date fin]]=0,IF(Tableau1[[#This Row],[type]]="travail",Tableau1[[#This Row],[Colonne1]]-Tableau1[[#This Row],[date debut]]+1,""),""))</f>
        <v/>
      </c>
      <c r="H54" s="318" t="str">
        <f>CONCATENATE(Tableau1[[#This Row],[Jours1]],"",Tableau1[[#This Row],[jours2]])</f>
        <v/>
      </c>
      <c r="I54" s="318" t="str">
        <f ca="1">IF(C54="","",NETWORKDAYS(A54,C54))</f>
        <v/>
      </c>
      <c r="J54" t="str">
        <f t="shared" si="0"/>
        <v/>
      </c>
    </row>
    <row r="55" spans="1:10" x14ac:dyDescent="0.25">
      <c r="A55" s="280"/>
      <c r="B55" s="281"/>
      <c r="C55" s="99" t="str">
        <f ca="1">IF(Tableau1[[#This Row],[date fin]]&lt;&gt;0,Tableau1[[#This Row],[date fin]],IF(Tableau1[[#This Row],[type]]="travail",TODAY(),""))</f>
        <v/>
      </c>
      <c r="D55" s="248"/>
      <c r="E55" s="259"/>
      <c r="F55" s="70" t="str">
        <f>IF(Tableau1[[#This Row],[date debut]]=0,"",IF(Tableau1[[#This Row],[date fin]]=0,"",Tableau1[[#This Row],[Colonne1]]-Tableau1[[#This Row],[date debut]]+1))</f>
        <v/>
      </c>
      <c r="G55" s="70" t="str">
        <f>IF(Tableau1[[#This Row],[date debut]]=0,"",IF(Tableau1[[#This Row],[date fin]]=0,IF(Tableau1[[#This Row],[type]]="travail",Tableau1[[#This Row],[Colonne1]]-Tableau1[[#This Row],[date debut]]+1,""),""))</f>
        <v/>
      </c>
      <c r="H55" s="318" t="str">
        <f>CONCATENATE(Tableau1[[#This Row],[Jours1]],"",Tableau1[[#This Row],[jours2]])</f>
        <v/>
      </c>
      <c r="I55" s="318" t="str">
        <f ca="1">IF(C55="","",NETWORKDAYS(A55,C55))</f>
        <v/>
      </c>
      <c r="J55" t="str">
        <f t="shared" si="0"/>
        <v/>
      </c>
    </row>
    <row r="56" spans="1:10" x14ac:dyDescent="0.25">
      <c r="A56" s="280"/>
      <c r="B56" s="281"/>
      <c r="C56" s="99" t="str">
        <f ca="1">IF(Tableau1[[#This Row],[date fin]]&lt;&gt;0,Tableau1[[#This Row],[date fin]],IF(Tableau1[[#This Row],[type]]="travail",TODAY(),""))</f>
        <v/>
      </c>
      <c r="D56" s="248"/>
      <c r="E56" s="259"/>
      <c r="F56" s="70" t="str">
        <f>IF(Tableau1[[#This Row],[date debut]]=0,"",IF(Tableau1[[#This Row],[date fin]]=0,"",Tableau1[[#This Row],[Colonne1]]-Tableau1[[#This Row],[date debut]]+1))</f>
        <v/>
      </c>
      <c r="G56" s="70" t="str">
        <f>IF(Tableau1[[#This Row],[date debut]]=0,"",IF(Tableau1[[#This Row],[date fin]]=0,IF(Tableau1[[#This Row],[type]]="travail",Tableau1[[#This Row],[Colonne1]]-Tableau1[[#This Row],[date debut]]+1,""),""))</f>
        <v/>
      </c>
      <c r="H56" s="318" t="str">
        <f>CONCATENATE(Tableau1[[#This Row],[Jours1]],"",Tableau1[[#This Row],[jours2]])</f>
        <v/>
      </c>
      <c r="I56" s="318" t="str">
        <f ca="1">IF(C56="","",NETWORKDAYS(A56,C56))</f>
        <v/>
      </c>
      <c r="J56" t="str">
        <f t="shared" si="0"/>
        <v/>
      </c>
    </row>
    <row r="57" spans="1:10" x14ac:dyDescent="0.25">
      <c r="A57" s="280"/>
      <c r="B57" s="281"/>
      <c r="C57" s="99" t="str">
        <f ca="1">IF(Tableau1[[#This Row],[date fin]]&lt;&gt;0,Tableau1[[#This Row],[date fin]],IF(Tableau1[[#This Row],[type]]="travail",TODAY(),""))</f>
        <v/>
      </c>
      <c r="D57" s="248"/>
      <c r="E57" s="259"/>
      <c r="F57" s="70" t="str">
        <f>IF(Tableau1[[#This Row],[date debut]]=0,"",IF(Tableau1[[#This Row],[date fin]]=0,"",Tableau1[[#This Row],[Colonne1]]-Tableau1[[#This Row],[date debut]]+1))</f>
        <v/>
      </c>
      <c r="G57" s="70" t="str">
        <f>IF(Tableau1[[#This Row],[date debut]]=0,"",IF(Tableau1[[#This Row],[date fin]]=0,IF(Tableau1[[#This Row],[type]]="travail",Tableau1[[#This Row],[Colonne1]]-Tableau1[[#This Row],[date debut]]+1,""),""))</f>
        <v/>
      </c>
      <c r="H57" s="318" t="str">
        <f>CONCATENATE(Tableau1[[#This Row],[Jours1]],"",Tableau1[[#This Row],[jours2]])</f>
        <v/>
      </c>
      <c r="I57" s="318" t="str">
        <f ca="1">IF(C57="","",NETWORKDAYS(A57,C57))</f>
        <v/>
      </c>
      <c r="J57" t="str">
        <f t="shared" si="0"/>
        <v/>
      </c>
    </row>
    <row r="58" spans="1:10" x14ac:dyDescent="0.25">
      <c r="A58" s="280"/>
      <c r="B58" s="281"/>
      <c r="C58" s="99" t="str">
        <f ca="1">IF(Tableau1[[#This Row],[date fin]]&lt;&gt;0,Tableau1[[#This Row],[date fin]],IF(Tableau1[[#This Row],[type]]="travail",TODAY(),""))</f>
        <v/>
      </c>
      <c r="D58" s="248"/>
      <c r="E58" s="259"/>
      <c r="F58" s="70" t="str">
        <f>IF(Tableau1[[#This Row],[date debut]]=0,"",IF(Tableau1[[#This Row],[date fin]]=0,"",Tableau1[[#This Row],[Colonne1]]-Tableau1[[#This Row],[date debut]]+1))</f>
        <v/>
      </c>
      <c r="G58" s="70" t="str">
        <f>IF(Tableau1[[#This Row],[date debut]]=0,"",IF(Tableau1[[#This Row],[date fin]]=0,IF(Tableau1[[#This Row],[type]]="travail",Tableau1[[#This Row],[Colonne1]]-Tableau1[[#This Row],[date debut]]+1,""),""))</f>
        <v/>
      </c>
      <c r="H58" s="318" t="str">
        <f>CONCATENATE(Tableau1[[#This Row],[Jours1]],"",Tableau1[[#This Row],[jours2]])</f>
        <v/>
      </c>
      <c r="I58" s="318" t="str">
        <f ca="1">IF(C58="","",NETWORKDAYS(A58,C58))</f>
        <v/>
      </c>
      <c r="J58" t="str">
        <f t="shared" si="0"/>
        <v/>
      </c>
    </row>
    <row r="59" spans="1:10" x14ac:dyDescent="0.25">
      <c r="A59" s="280"/>
      <c r="B59" s="281"/>
      <c r="C59" s="99" t="str">
        <f ca="1">IF(Tableau1[[#This Row],[date fin]]&lt;&gt;0,Tableau1[[#This Row],[date fin]],IF(Tableau1[[#This Row],[type]]="travail",TODAY(),""))</f>
        <v/>
      </c>
      <c r="D59" s="248"/>
      <c r="E59" s="259"/>
      <c r="F59" s="70" t="str">
        <f>IF(Tableau1[[#This Row],[date debut]]=0,"",IF(Tableau1[[#This Row],[date fin]]=0,"",Tableau1[[#This Row],[Colonne1]]-Tableau1[[#This Row],[date debut]]+1))</f>
        <v/>
      </c>
      <c r="G59" s="70" t="str">
        <f>IF(Tableau1[[#This Row],[date debut]]=0,"",IF(Tableau1[[#This Row],[date fin]]=0,IF(Tableau1[[#This Row],[type]]="travail",Tableau1[[#This Row],[Colonne1]]-Tableau1[[#This Row],[date debut]]+1,""),""))</f>
        <v/>
      </c>
      <c r="H59" s="318" t="str">
        <f>CONCATENATE(Tableau1[[#This Row],[Jours1]],"",Tableau1[[#This Row],[jours2]])</f>
        <v/>
      </c>
      <c r="I59" s="318" t="str">
        <f ca="1">IF(C59="","",NETWORKDAYS(A59,C59))</f>
        <v/>
      </c>
      <c r="J59" t="str">
        <f t="shared" si="0"/>
        <v/>
      </c>
    </row>
    <row r="60" spans="1:10" x14ac:dyDescent="0.25">
      <c r="A60" s="280"/>
      <c r="B60" s="281"/>
      <c r="C60" s="99" t="str">
        <f ca="1">IF(Tableau1[[#This Row],[date fin]]&lt;&gt;0,Tableau1[[#This Row],[date fin]],IF(Tableau1[[#This Row],[type]]="travail",TODAY(),""))</f>
        <v/>
      </c>
      <c r="D60" s="248"/>
      <c r="E60" s="259"/>
      <c r="F60" s="70" t="str">
        <f>IF(Tableau1[[#This Row],[date debut]]=0,"",IF(Tableau1[[#This Row],[date fin]]=0,"",Tableau1[[#This Row],[Colonne1]]-Tableau1[[#This Row],[date debut]]+1))</f>
        <v/>
      </c>
      <c r="G60" s="70" t="str">
        <f>IF(Tableau1[[#This Row],[date debut]]=0,"",IF(Tableau1[[#This Row],[date fin]]=0,IF(Tableau1[[#This Row],[type]]="travail",Tableau1[[#This Row],[Colonne1]]-Tableau1[[#This Row],[date debut]]+1,""),""))</f>
        <v/>
      </c>
      <c r="H60" s="318" t="str">
        <f>CONCATENATE(Tableau1[[#This Row],[Jours1]],"",Tableau1[[#This Row],[jours2]])</f>
        <v/>
      </c>
      <c r="I60" s="318" t="str">
        <f ca="1">IF(C60="","",NETWORKDAYS(A60,C60))</f>
        <v/>
      </c>
      <c r="J60" t="str">
        <f t="shared" si="0"/>
        <v/>
      </c>
    </row>
    <row r="61" spans="1:10" x14ac:dyDescent="0.25">
      <c r="A61" s="280"/>
      <c r="B61" s="281"/>
      <c r="C61" s="99" t="str">
        <f ca="1">IF(Tableau1[[#This Row],[date fin]]&lt;&gt;0,Tableau1[[#This Row],[date fin]],IF(Tableau1[[#This Row],[type]]="travail",TODAY(),""))</f>
        <v/>
      </c>
      <c r="D61" s="248"/>
      <c r="E61" s="259"/>
      <c r="F61" s="70" t="str">
        <f>IF(Tableau1[[#This Row],[date debut]]=0,"",IF(Tableau1[[#This Row],[date fin]]=0,"",Tableau1[[#This Row],[Colonne1]]-Tableau1[[#This Row],[date debut]]+1))</f>
        <v/>
      </c>
      <c r="G61" s="70" t="str">
        <f>IF(Tableau1[[#This Row],[date debut]]=0,"",IF(Tableau1[[#This Row],[date fin]]=0,IF(Tableau1[[#This Row],[type]]="travail",Tableau1[[#This Row],[Colonne1]]-Tableau1[[#This Row],[date debut]]+1,""),""))</f>
        <v/>
      </c>
      <c r="H61" s="318" t="str">
        <f>CONCATENATE(Tableau1[[#This Row],[Jours1]],"",Tableau1[[#This Row],[jours2]])</f>
        <v/>
      </c>
      <c r="I61" s="318" t="str">
        <f ca="1">IF(C61="","",NETWORKDAYS(A61,C61))</f>
        <v/>
      </c>
      <c r="J61" t="str">
        <f t="shared" si="0"/>
        <v/>
      </c>
    </row>
    <row r="62" spans="1:10" x14ac:dyDescent="0.25">
      <c r="A62" s="280"/>
      <c r="B62" s="281"/>
      <c r="C62" s="99" t="str">
        <f ca="1">IF(Tableau1[[#This Row],[date fin]]&lt;&gt;0,Tableau1[[#This Row],[date fin]],IF(Tableau1[[#This Row],[type]]="travail",TODAY(),""))</f>
        <v/>
      </c>
      <c r="D62" s="248"/>
      <c r="E62" s="259"/>
      <c r="F62" s="70" t="str">
        <f>IF(Tableau1[[#This Row],[date debut]]=0,"",IF(Tableau1[[#This Row],[date fin]]=0,"",Tableau1[[#This Row],[Colonne1]]-Tableau1[[#This Row],[date debut]]+1))</f>
        <v/>
      </c>
      <c r="G62" s="70" t="str">
        <f>IF(Tableau1[[#This Row],[date debut]]=0,"",IF(Tableau1[[#This Row],[date fin]]=0,IF(Tableau1[[#This Row],[type]]="travail",Tableau1[[#This Row],[Colonne1]]-Tableau1[[#This Row],[date debut]]+1,""),""))</f>
        <v/>
      </c>
      <c r="H62" s="318" t="str">
        <f>CONCATENATE(Tableau1[[#This Row],[Jours1]],"",Tableau1[[#This Row],[jours2]])</f>
        <v/>
      </c>
      <c r="I62" s="318" t="str">
        <f ca="1">IF(C62="","",NETWORKDAYS(A62,C62))</f>
        <v/>
      </c>
      <c r="J62" t="str">
        <f t="shared" si="0"/>
        <v/>
      </c>
    </row>
    <row r="63" spans="1:10" x14ac:dyDescent="0.25">
      <c r="A63" s="280"/>
      <c r="B63" s="281"/>
      <c r="C63" s="99" t="str">
        <f ca="1">IF(Tableau1[[#This Row],[date fin]]&lt;&gt;0,Tableau1[[#This Row],[date fin]],IF(Tableau1[[#This Row],[type]]="travail",TODAY(),""))</f>
        <v/>
      </c>
      <c r="D63" s="248"/>
      <c r="E63" s="259"/>
      <c r="F63" s="70" t="str">
        <f>IF(Tableau1[[#This Row],[date debut]]=0,"",IF(Tableau1[[#This Row],[date fin]]=0,"",Tableau1[[#This Row],[Colonne1]]-Tableau1[[#This Row],[date debut]]+1))</f>
        <v/>
      </c>
      <c r="G63" s="70" t="str">
        <f>IF(Tableau1[[#This Row],[date debut]]=0,"",IF(Tableau1[[#This Row],[date fin]]=0,IF(Tableau1[[#This Row],[type]]="travail",Tableau1[[#This Row],[Colonne1]]-Tableau1[[#This Row],[date debut]]+1,""),""))</f>
        <v/>
      </c>
      <c r="H63" s="318" t="str">
        <f>CONCATENATE(Tableau1[[#This Row],[Jours1]],"",Tableau1[[#This Row],[jours2]])</f>
        <v/>
      </c>
      <c r="I63" s="318" t="str">
        <f ca="1">IF(C63="","",NETWORKDAYS(A63,C63))</f>
        <v/>
      </c>
      <c r="J63" t="str">
        <f t="shared" si="0"/>
        <v/>
      </c>
    </row>
    <row r="64" spans="1:10" x14ac:dyDescent="0.25">
      <c r="A64" s="280"/>
      <c r="B64" s="281"/>
      <c r="C64" s="99" t="str">
        <f ca="1">IF(Tableau1[[#This Row],[date fin]]&lt;&gt;0,Tableau1[[#This Row],[date fin]],IF(Tableau1[[#This Row],[type]]="travail",TODAY(),""))</f>
        <v/>
      </c>
      <c r="D64" s="248"/>
      <c r="E64" s="259"/>
      <c r="F64" s="70" t="str">
        <f>IF(Tableau1[[#This Row],[date debut]]=0,"",IF(Tableau1[[#This Row],[date fin]]=0,"",Tableau1[[#This Row],[Colonne1]]-Tableau1[[#This Row],[date debut]]+1))</f>
        <v/>
      </c>
      <c r="G64" s="70" t="str">
        <f>IF(Tableau1[[#This Row],[date debut]]=0,"",IF(Tableau1[[#This Row],[date fin]]=0,IF(Tableau1[[#This Row],[type]]="travail",Tableau1[[#This Row],[Colonne1]]-Tableau1[[#This Row],[date debut]]+1,""),""))</f>
        <v/>
      </c>
      <c r="H64" s="318" t="str">
        <f>CONCATENATE(Tableau1[[#This Row],[Jours1]],"",Tableau1[[#This Row],[jours2]])</f>
        <v/>
      </c>
      <c r="I64" s="318" t="str">
        <f ca="1">IF(C64="","",NETWORKDAYS(A64,C64))</f>
        <v/>
      </c>
      <c r="J64" t="str">
        <f t="shared" si="0"/>
        <v/>
      </c>
    </row>
    <row r="65" spans="1:10" x14ac:dyDescent="0.25">
      <c r="A65" s="280"/>
      <c r="B65" s="281"/>
      <c r="C65" s="99" t="str">
        <f ca="1">IF(Tableau1[[#This Row],[date fin]]&lt;&gt;0,Tableau1[[#This Row],[date fin]],IF(Tableau1[[#This Row],[type]]="travail",TODAY(),""))</f>
        <v/>
      </c>
      <c r="D65" s="248"/>
      <c r="E65" s="259"/>
      <c r="F65" s="70" t="str">
        <f>IF(Tableau1[[#This Row],[date debut]]=0,"",IF(Tableau1[[#This Row],[date fin]]=0,"",Tableau1[[#This Row],[Colonne1]]-Tableau1[[#This Row],[date debut]]+1))</f>
        <v/>
      </c>
      <c r="G65" s="70" t="str">
        <f>IF(Tableau1[[#This Row],[date debut]]=0,"",IF(Tableau1[[#This Row],[date fin]]=0,IF(Tableau1[[#This Row],[type]]="travail",Tableau1[[#This Row],[Colonne1]]-Tableau1[[#This Row],[date debut]]+1,""),""))</f>
        <v/>
      </c>
      <c r="H65" s="318" t="str">
        <f>CONCATENATE(Tableau1[[#This Row],[Jours1]],"",Tableau1[[#This Row],[jours2]])</f>
        <v/>
      </c>
      <c r="I65" s="318" t="str">
        <f ca="1">IF(C65="","",NETWORKDAYS(A65,C65))</f>
        <v/>
      </c>
      <c r="J65" t="str">
        <f t="shared" si="0"/>
        <v/>
      </c>
    </row>
    <row r="66" spans="1:10" x14ac:dyDescent="0.25">
      <c r="A66" s="280"/>
      <c r="B66" s="281"/>
      <c r="C66" s="99" t="str">
        <f ca="1">IF(Tableau1[[#This Row],[date fin]]&lt;&gt;0,Tableau1[[#This Row],[date fin]],IF(Tableau1[[#This Row],[type]]="travail",TODAY(),""))</f>
        <v/>
      </c>
      <c r="D66" s="248"/>
      <c r="E66" s="259"/>
      <c r="F66" s="70" t="str">
        <f>IF(Tableau1[[#This Row],[date debut]]=0,"",IF(Tableau1[[#This Row],[date fin]]=0,"",Tableau1[[#This Row],[Colonne1]]-Tableau1[[#This Row],[date debut]]+1))</f>
        <v/>
      </c>
      <c r="G66" s="70" t="str">
        <f>IF(Tableau1[[#This Row],[date debut]]=0,"",IF(Tableau1[[#This Row],[date fin]]=0,IF(Tableau1[[#This Row],[type]]="travail",Tableau1[[#This Row],[Colonne1]]-Tableau1[[#This Row],[date debut]]+1,""),""))</f>
        <v/>
      </c>
      <c r="H66" s="318" t="str">
        <f>CONCATENATE(Tableau1[[#This Row],[Jours1]],"",Tableau1[[#This Row],[jours2]])</f>
        <v/>
      </c>
      <c r="I66" s="318" t="str">
        <f ca="1">IF(C66="","",NETWORKDAYS(A66,C66))</f>
        <v/>
      </c>
      <c r="J66" t="str">
        <f t="shared" si="0"/>
        <v/>
      </c>
    </row>
    <row r="67" spans="1:10" x14ac:dyDescent="0.25">
      <c r="A67" s="280"/>
      <c r="B67" s="281"/>
      <c r="C67" s="99" t="str">
        <f ca="1">IF(Tableau1[[#This Row],[date fin]]&lt;&gt;0,Tableau1[[#This Row],[date fin]],IF(Tableau1[[#This Row],[type]]="travail",TODAY(),""))</f>
        <v/>
      </c>
      <c r="D67" s="248"/>
      <c r="E67" s="259"/>
      <c r="F67" s="70" t="str">
        <f>IF(Tableau1[[#This Row],[date debut]]=0,"",IF(Tableau1[[#This Row],[date fin]]=0,"",Tableau1[[#This Row],[Colonne1]]-Tableau1[[#This Row],[date debut]]+1))</f>
        <v/>
      </c>
      <c r="G67" s="70" t="str">
        <f>IF(Tableau1[[#This Row],[date debut]]=0,"",IF(Tableau1[[#This Row],[date fin]]=0,IF(Tableau1[[#This Row],[type]]="travail",Tableau1[[#This Row],[Colonne1]]-Tableau1[[#This Row],[date debut]]+1,""),""))</f>
        <v/>
      </c>
      <c r="H67" s="318" t="str">
        <f>CONCATENATE(Tableau1[[#This Row],[Jours1]],"",Tableau1[[#This Row],[jours2]])</f>
        <v/>
      </c>
      <c r="I67" s="318" t="str">
        <f ca="1">IF(C67="","",NETWORKDAYS(A67,C67))</f>
        <v/>
      </c>
      <c r="J67" t="str">
        <f t="shared" si="0"/>
        <v/>
      </c>
    </row>
    <row r="68" spans="1:10" x14ac:dyDescent="0.25">
      <c r="A68" s="280"/>
      <c r="B68" s="281"/>
      <c r="C68" s="99" t="str">
        <f ca="1">IF(Tableau1[[#This Row],[date fin]]&lt;&gt;0,Tableau1[[#This Row],[date fin]],IF(Tableau1[[#This Row],[type]]="travail",TODAY(),""))</f>
        <v/>
      </c>
      <c r="D68" s="248"/>
      <c r="E68" s="259"/>
      <c r="F68" s="70" t="str">
        <f>IF(Tableau1[[#This Row],[date debut]]=0,"",IF(Tableau1[[#This Row],[date fin]]=0,"",Tableau1[[#This Row],[Colonne1]]-Tableau1[[#This Row],[date debut]]+1))</f>
        <v/>
      </c>
      <c r="G68" s="70" t="str">
        <f>IF(Tableau1[[#This Row],[date debut]]=0,"",IF(Tableau1[[#This Row],[date fin]]=0,IF(Tableau1[[#This Row],[type]]="travail",Tableau1[[#This Row],[Colonne1]]-Tableau1[[#This Row],[date debut]]+1,""),""))</f>
        <v/>
      </c>
      <c r="H68" s="318" t="str">
        <f>CONCATENATE(Tableau1[[#This Row],[Jours1]],"",Tableau1[[#This Row],[jours2]])</f>
        <v/>
      </c>
      <c r="I68" s="318" t="str">
        <f ca="1">IF(C68="","",NETWORKDAYS(A68,C68))</f>
        <v/>
      </c>
      <c r="J68" t="str">
        <f t="shared" ref="J68:J131" si="2">IF(ISERROR(VLOOKUP(E68,$M$3:$N$25,2,0)),"",VLOOKUP(E68,$M$3:$N$25,2,0))</f>
        <v/>
      </c>
    </row>
    <row r="69" spans="1:10" x14ac:dyDescent="0.25">
      <c r="A69" s="280"/>
      <c r="B69" s="281"/>
      <c r="C69" s="99" t="str">
        <f ca="1">IF(Tableau1[[#This Row],[date fin]]&lt;&gt;0,Tableau1[[#This Row],[date fin]],IF(Tableau1[[#This Row],[type]]="travail",TODAY(),""))</f>
        <v/>
      </c>
      <c r="D69" s="248"/>
      <c r="E69" s="259"/>
      <c r="F69" s="70" t="str">
        <f>IF(Tableau1[[#This Row],[date debut]]=0,"",IF(Tableau1[[#This Row],[date fin]]=0,"",Tableau1[[#This Row],[Colonne1]]-Tableau1[[#This Row],[date debut]]+1))</f>
        <v/>
      </c>
      <c r="G69" s="70" t="str">
        <f>IF(Tableau1[[#This Row],[date debut]]=0,"",IF(Tableau1[[#This Row],[date fin]]=0,IF(Tableau1[[#This Row],[type]]="travail",Tableau1[[#This Row],[Colonne1]]-Tableau1[[#This Row],[date debut]]+1,""),""))</f>
        <v/>
      </c>
      <c r="H69" s="318" t="str">
        <f>CONCATENATE(Tableau1[[#This Row],[Jours1]],"",Tableau1[[#This Row],[jours2]])</f>
        <v/>
      </c>
      <c r="I69" s="318" t="str">
        <f ca="1">IF(C69="","",NETWORKDAYS(A69,C69))</f>
        <v/>
      </c>
      <c r="J69" t="str">
        <f t="shared" si="2"/>
        <v/>
      </c>
    </row>
    <row r="70" spans="1:10" x14ac:dyDescent="0.25">
      <c r="A70" s="280"/>
      <c r="B70" s="281"/>
      <c r="C70" s="99" t="str">
        <f ca="1">IF(Tableau1[[#This Row],[date fin]]&lt;&gt;0,Tableau1[[#This Row],[date fin]],IF(Tableau1[[#This Row],[type]]="travail",TODAY(),""))</f>
        <v/>
      </c>
      <c r="D70" s="248"/>
      <c r="E70" s="259"/>
      <c r="F70" s="70" t="str">
        <f>IF(Tableau1[[#This Row],[date debut]]=0,"",IF(Tableau1[[#This Row],[date fin]]=0,"",Tableau1[[#This Row],[Colonne1]]-Tableau1[[#This Row],[date debut]]+1))</f>
        <v/>
      </c>
      <c r="G70" s="70" t="str">
        <f>IF(Tableau1[[#This Row],[date debut]]=0,"",IF(Tableau1[[#This Row],[date fin]]=0,IF(Tableau1[[#This Row],[type]]="travail",Tableau1[[#This Row],[Colonne1]]-Tableau1[[#This Row],[date debut]]+1,""),""))</f>
        <v/>
      </c>
      <c r="H70" s="318" t="str">
        <f>CONCATENATE(Tableau1[[#This Row],[Jours1]],"",Tableau1[[#This Row],[jours2]])</f>
        <v/>
      </c>
      <c r="I70" s="318" t="str">
        <f ca="1">IF(C70="","",NETWORKDAYS(A70,C70))</f>
        <v/>
      </c>
      <c r="J70" t="str">
        <f t="shared" si="2"/>
        <v/>
      </c>
    </row>
    <row r="71" spans="1:10" x14ac:dyDescent="0.25">
      <c r="A71" s="280"/>
      <c r="B71" s="281"/>
      <c r="C71" s="99" t="str">
        <f ca="1">IF(Tableau1[[#This Row],[date fin]]&lt;&gt;0,Tableau1[[#This Row],[date fin]],IF(Tableau1[[#This Row],[type]]="travail",TODAY(),""))</f>
        <v/>
      </c>
      <c r="D71" s="248"/>
      <c r="E71" s="259"/>
      <c r="F71" s="70" t="str">
        <f>IF(Tableau1[[#This Row],[date debut]]=0,"",IF(Tableau1[[#This Row],[date fin]]=0,"",Tableau1[[#This Row],[Colonne1]]-Tableau1[[#This Row],[date debut]]+1))</f>
        <v/>
      </c>
      <c r="G71" s="70" t="str">
        <f>IF(Tableau1[[#This Row],[date debut]]=0,"",IF(Tableau1[[#This Row],[date fin]]=0,IF(Tableau1[[#This Row],[type]]="travail",Tableau1[[#This Row],[Colonne1]]-Tableau1[[#This Row],[date debut]]+1,""),""))</f>
        <v/>
      </c>
      <c r="H71" s="318" t="str">
        <f>CONCATENATE(Tableau1[[#This Row],[Jours1]],"",Tableau1[[#This Row],[jours2]])</f>
        <v/>
      </c>
      <c r="I71" s="318" t="str">
        <f ca="1">IF(C71="","",NETWORKDAYS(A71,C71))</f>
        <v/>
      </c>
      <c r="J71" t="str">
        <f t="shared" si="2"/>
        <v/>
      </c>
    </row>
    <row r="72" spans="1:10" x14ac:dyDescent="0.25">
      <c r="A72" s="280"/>
      <c r="B72" s="281"/>
      <c r="C72" s="99" t="str">
        <f ca="1">IF(Tableau1[[#This Row],[date fin]]&lt;&gt;0,Tableau1[[#This Row],[date fin]],IF(Tableau1[[#This Row],[type]]="travail",TODAY(),""))</f>
        <v/>
      </c>
      <c r="D72" s="248"/>
      <c r="E72" s="259"/>
      <c r="F72" s="70" t="str">
        <f>IF(Tableau1[[#This Row],[date debut]]=0,"",IF(Tableau1[[#This Row],[date fin]]=0,"",Tableau1[[#This Row],[Colonne1]]-Tableau1[[#This Row],[date debut]]+1))</f>
        <v/>
      </c>
      <c r="G72" s="70" t="str">
        <f>IF(Tableau1[[#This Row],[date debut]]=0,"",IF(Tableau1[[#This Row],[date fin]]=0,IF(Tableau1[[#This Row],[type]]="travail",Tableau1[[#This Row],[Colonne1]]-Tableau1[[#This Row],[date debut]]+1,""),""))</f>
        <v/>
      </c>
      <c r="H72" s="318" t="str">
        <f>CONCATENATE(Tableau1[[#This Row],[Jours1]],"",Tableau1[[#This Row],[jours2]])</f>
        <v/>
      </c>
      <c r="I72" s="318" t="str">
        <f ca="1">IF(C72="","",NETWORKDAYS(A72,C72))</f>
        <v/>
      </c>
      <c r="J72" t="str">
        <f t="shared" si="2"/>
        <v/>
      </c>
    </row>
    <row r="73" spans="1:10" x14ac:dyDescent="0.25">
      <c r="A73" s="280"/>
      <c r="B73" s="281"/>
      <c r="C73" s="99" t="str">
        <f ca="1">IF(Tableau1[[#This Row],[date fin]]&lt;&gt;0,Tableau1[[#This Row],[date fin]],IF(Tableau1[[#This Row],[type]]="travail",TODAY(),""))</f>
        <v/>
      </c>
      <c r="D73" s="248"/>
      <c r="E73" s="259"/>
      <c r="F73" s="70" t="str">
        <f>IF(Tableau1[[#This Row],[date debut]]=0,"",IF(Tableau1[[#This Row],[date fin]]=0,"",Tableau1[[#This Row],[Colonne1]]-Tableau1[[#This Row],[date debut]]+1))</f>
        <v/>
      </c>
      <c r="G73" s="70" t="str">
        <f>IF(Tableau1[[#This Row],[date debut]]=0,"",IF(Tableau1[[#This Row],[date fin]]=0,IF(Tableau1[[#This Row],[type]]="travail",Tableau1[[#This Row],[Colonne1]]-Tableau1[[#This Row],[date debut]]+1,""),""))</f>
        <v/>
      </c>
      <c r="H73" s="318" t="str">
        <f>CONCATENATE(Tableau1[[#This Row],[Jours1]],"",Tableau1[[#This Row],[jours2]])</f>
        <v/>
      </c>
      <c r="I73" s="318" t="str">
        <f ca="1">IF(C73="","",NETWORKDAYS(A73,C73))</f>
        <v/>
      </c>
      <c r="J73" t="str">
        <f t="shared" si="2"/>
        <v/>
      </c>
    </row>
    <row r="74" spans="1:10" x14ac:dyDescent="0.25">
      <c r="A74" s="280"/>
      <c r="B74" s="281"/>
      <c r="C74" s="99" t="str">
        <f ca="1">IF(Tableau1[[#This Row],[date fin]]&lt;&gt;0,Tableau1[[#This Row],[date fin]],IF(Tableau1[[#This Row],[type]]="travail",TODAY(),""))</f>
        <v/>
      </c>
      <c r="D74" s="248"/>
      <c r="E74" s="259"/>
      <c r="F74" s="70" t="str">
        <f>IF(Tableau1[[#This Row],[date debut]]=0,"",IF(Tableau1[[#This Row],[date fin]]=0,"",Tableau1[[#This Row],[Colonne1]]-Tableau1[[#This Row],[date debut]]+1))</f>
        <v/>
      </c>
      <c r="G74" s="70" t="str">
        <f>IF(Tableau1[[#This Row],[date debut]]=0,"",IF(Tableau1[[#This Row],[date fin]]=0,IF(Tableau1[[#This Row],[type]]="travail",Tableau1[[#This Row],[Colonne1]]-Tableau1[[#This Row],[date debut]]+1,""),""))</f>
        <v/>
      </c>
      <c r="H74" s="318" t="str">
        <f>CONCATENATE(Tableau1[[#This Row],[Jours1]],"",Tableau1[[#This Row],[jours2]])</f>
        <v/>
      </c>
      <c r="I74" s="318" t="str">
        <f ca="1">IF(C74="","",NETWORKDAYS(A74,C74))</f>
        <v/>
      </c>
      <c r="J74" t="str">
        <f t="shared" si="2"/>
        <v/>
      </c>
    </row>
    <row r="75" spans="1:10" x14ac:dyDescent="0.25">
      <c r="A75" s="280"/>
      <c r="B75" s="281"/>
      <c r="C75" s="99" t="str">
        <f ca="1">IF(Tableau1[[#This Row],[date fin]]&lt;&gt;0,Tableau1[[#This Row],[date fin]],IF(Tableau1[[#This Row],[type]]="travail",TODAY(),""))</f>
        <v/>
      </c>
      <c r="D75" s="248"/>
      <c r="E75" s="259"/>
      <c r="F75" s="70" t="str">
        <f>IF(Tableau1[[#This Row],[date debut]]=0,"",IF(Tableau1[[#This Row],[date fin]]=0,"",Tableau1[[#This Row],[Colonne1]]-Tableau1[[#This Row],[date debut]]+1))</f>
        <v/>
      </c>
      <c r="G75" s="70" t="str">
        <f>IF(Tableau1[[#This Row],[date debut]]=0,"",IF(Tableau1[[#This Row],[date fin]]=0,IF(Tableau1[[#This Row],[type]]="travail",Tableau1[[#This Row],[Colonne1]]-Tableau1[[#This Row],[date debut]]+1,""),""))</f>
        <v/>
      </c>
      <c r="H75" s="318" t="str">
        <f>CONCATENATE(Tableau1[[#This Row],[Jours1]],"",Tableau1[[#This Row],[jours2]])</f>
        <v/>
      </c>
      <c r="I75" s="318" t="str">
        <f ca="1">IF(C75="","",NETWORKDAYS(A75,C75))</f>
        <v/>
      </c>
      <c r="J75" t="str">
        <f t="shared" si="2"/>
        <v/>
      </c>
    </row>
    <row r="76" spans="1:10" x14ac:dyDescent="0.25">
      <c r="A76" s="280"/>
      <c r="B76" s="281"/>
      <c r="C76" s="99" t="str">
        <f ca="1">IF(Tableau1[[#This Row],[date fin]]&lt;&gt;0,Tableau1[[#This Row],[date fin]],IF(Tableau1[[#This Row],[type]]="travail",TODAY(),""))</f>
        <v/>
      </c>
      <c r="D76" s="248"/>
      <c r="E76" s="259"/>
      <c r="F76" s="70" t="str">
        <f>IF(Tableau1[[#This Row],[date debut]]=0,"",IF(Tableau1[[#This Row],[date fin]]=0,"",Tableau1[[#This Row],[Colonne1]]-Tableau1[[#This Row],[date debut]]+1))</f>
        <v/>
      </c>
      <c r="G76" s="70" t="str">
        <f>IF(Tableau1[[#This Row],[date debut]]=0,"",IF(Tableau1[[#This Row],[date fin]]=0,IF(Tableau1[[#This Row],[type]]="travail",Tableau1[[#This Row],[Colonne1]]-Tableau1[[#This Row],[date debut]]+1,""),""))</f>
        <v/>
      </c>
      <c r="H76" s="318" t="str">
        <f>CONCATENATE(Tableau1[[#This Row],[Jours1]],"",Tableau1[[#This Row],[jours2]])</f>
        <v/>
      </c>
      <c r="I76" s="318" t="str">
        <f ca="1">IF(C76="","",NETWORKDAYS(A76,C76))</f>
        <v/>
      </c>
      <c r="J76" t="str">
        <f t="shared" si="2"/>
        <v/>
      </c>
    </row>
    <row r="77" spans="1:10" x14ac:dyDescent="0.25">
      <c r="A77" s="280"/>
      <c r="B77" s="281"/>
      <c r="C77" s="99" t="str">
        <f ca="1">IF(Tableau1[[#This Row],[date fin]]&lt;&gt;0,Tableau1[[#This Row],[date fin]],IF(Tableau1[[#This Row],[type]]="travail",TODAY(),""))</f>
        <v/>
      </c>
      <c r="D77" s="248"/>
      <c r="E77" s="259"/>
      <c r="F77" s="70" t="str">
        <f>IF(Tableau1[[#This Row],[date debut]]=0,"",IF(Tableau1[[#This Row],[date fin]]=0,"",Tableau1[[#This Row],[Colonne1]]-Tableau1[[#This Row],[date debut]]+1))</f>
        <v/>
      </c>
      <c r="G77" s="70" t="str">
        <f>IF(Tableau1[[#This Row],[date debut]]=0,"",IF(Tableau1[[#This Row],[date fin]]=0,IF(Tableau1[[#This Row],[type]]="travail",Tableau1[[#This Row],[Colonne1]]-Tableau1[[#This Row],[date debut]]+1,""),""))</f>
        <v/>
      </c>
      <c r="H77" s="318" t="str">
        <f>CONCATENATE(Tableau1[[#This Row],[Jours1]],"",Tableau1[[#This Row],[jours2]])</f>
        <v/>
      </c>
      <c r="I77" s="318" t="str">
        <f ca="1">IF(C77="","",NETWORKDAYS(A77,C77))</f>
        <v/>
      </c>
      <c r="J77" t="str">
        <f t="shared" si="2"/>
        <v/>
      </c>
    </row>
    <row r="78" spans="1:10" x14ac:dyDescent="0.25">
      <c r="A78" s="280"/>
      <c r="B78" s="281"/>
      <c r="C78" s="99" t="str">
        <f ca="1">IF(Tableau1[[#This Row],[date fin]]&lt;&gt;0,Tableau1[[#This Row],[date fin]],IF(Tableau1[[#This Row],[type]]="travail",TODAY(),""))</f>
        <v/>
      </c>
      <c r="D78" s="248"/>
      <c r="E78" s="259"/>
      <c r="F78" s="70" t="str">
        <f>IF(Tableau1[[#This Row],[date debut]]=0,"",IF(Tableau1[[#This Row],[date fin]]=0,"",Tableau1[[#This Row],[Colonne1]]-Tableau1[[#This Row],[date debut]]+1))</f>
        <v/>
      </c>
      <c r="G78" s="70" t="str">
        <f>IF(Tableau1[[#This Row],[date debut]]=0,"",IF(Tableau1[[#This Row],[date fin]]=0,IF(Tableau1[[#This Row],[type]]="travail",Tableau1[[#This Row],[Colonne1]]-Tableau1[[#This Row],[date debut]]+1,""),""))</f>
        <v/>
      </c>
      <c r="H78" s="318" t="str">
        <f>CONCATENATE(Tableau1[[#This Row],[Jours1]],"",Tableau1[[#This Row],[jours2]])</f>
        <v/>
      </c>
      <c r="I78" s="318" t="str">
        <f ca="1">IF(C78="","",NETWORKDAYS(A78,C78))</f>
        <v/>
      </c>
      <c r="J78" t="str">
        <f t="shared" si="2"/>
        <v/>
      </c>
    </row>
    <row r="79" spans="1:10" x14ac:dyDescent="0.25">
      <c r="A79" s="280"/>
      <c r="B79" s="281"/>
      <c r="C79" s="99" t="str">
        <f ca="1">IF(Tableau1[[#This Row],[date fin]]&lt;&gt;0,Tableau1[[#This Row],[date fin]],IF(Tableau1[[#This Row],[type]]="travail",TODAY(),""))</f>
        <v/>
      </c>
      <c r="D79" s="248"/>
      <c r="E79" s="259"/>
      <c r="F79" s="70" t="str">
        <f>IF(Tableau1[[#This Row],[date debut]]=0,"",IF(Tableau1[[#This Row],[date fin]]=0,"",Tableau1[[#This Row],[Colonne1]]-Tableau1[[#This Row],[date debut]]+1))</f>
        <v/>
      </c>
      <c r="G79" s="70" t="str">
        <f>IF(Tableau1[[#This Row],[date debut]]=0,"",IF(Tableau1[[#This Row],[date fin]]=0,IF(Tableau1[[#This Row],[type]]="travail",Tableau1[[#This Row],[Colonne1]]-Tableau1[[#This Row],[date debut]]+1,""),""))</f>
        <v/>
      </c>
      <c r="H79" s="318" t="str">
        <f>CONCATENATE(Tableau1[[#This Row],[Jours1]],"",Tableau1[[#This Row],[jours2]])</f>
        <v/>
      </c>
      <c r="I79" s="318" t="str">
        <f ca="1">IF(C79="","",NETWORKDAYS(A79,C79))</f>
        <v/>
      </c>
      <c r="J79" t="str">
        <f t="shared" si="2"/>
        <v/>
      </c>
    </row>
    <row r="80" spans="1:10" x14ac:dyDescent="0.25">
      <c r="A80" s="280"/>
      <c r="B80" s="281"/>
      <c r="C80" s="99" t="str">
        <f ca="1">IF(Tableau1[[#This Row],[date fin]]&lt;&gt;0,Tableau1[[#This Row],[date fin]],IF(Tableau1[[#This Row],[type]]="travail",TODAY(),""))</f>
        <v/>
      </c>
      <c r="D80" s="248"/>
      <c r="E80" s="259"/>
      <c r="F80" s="70" t="str">
        <f>IF(Tableau1[[#This Row],[date debut]]=0,"",IF(Tableau1[[#This Row],[date fin]]=0,"",Tableau1[[#This Row],[Colonne1]]-Tableau1[[#This Row],[date debut]]+1))</f>
        <v/>
      </c>
      <c r="G80" s="70" t="str">
        <f>IF(Tableau1[[#This Row],[date debut]]=0,"",IF(Tableau1[[#This Row],[date fin]]=0,IF(Tableau1[[#This Row],[type]]="travail",Tableau1[[#This Row],[Colonne1]]-Tableau1[[#This Row],[date debut]]+1,""),""))</f>
        <v/>
      </c>
      <c r="H80" s="318" t="str">
        <f>CONCATENATE(Tableau1[[#This Row],[Jours1]],"",Tableau1[[#This Row],[jours2]])</f>
        <v/>
      </c>
      <c r="I80" s="318" t="str">
        <f ca="1">IF(C80="","",NETWORKDAYS(A80,C80))</f>
        <v/>
      </c>
      <c r="J80" t="str">
        <f t="shared" si="2"/>
        <v/>
      </c>
    </row>
    <row r="81" spans="1:10" x14ac:dyDescent="0.25">
      <c r="A81" s="280"/>
      <c r="B81" s="281"/>
      <c r="C81" s="99" t="str">
        <f ca="1">IF(Tableau1[[#This Row],[date fin]]&lt;&gt;0,Tableau1[[#This Row],[date fin]],IF(Tableau1[[#This Row],[type]]="travail",TODAY(),""))</f>
        <v/>
      </c>
      <c r="D81" s="248"/>
      <c r="E81" s="259"/>
      <c r="F81" s="70" t="str">
        <f>IF(Tableau1[[#This Row],[date debut]]=0,"",IF(Tableau1[[#This Row],[date fin]]=0,"",Tableau1[[#This Row],[Colonne1]]-Tableau1[[#This Row],[date debut]]+1))</f>
        <v/>
      </c>
      <c r="G81" s="70" t="str">
        <f>IF(Tableau1[[#This Row],[date debut]]=0,"",IF(Tableau1[[#This Row],[date fin]]=0,IF(Tableau1[[#This Row],[type]]="travail",Tableau1[[#This Row],[Colonne1]]-Tableau1[[#This Row],[date debut]]+1,""),""))</f>
        <v/>
      </c>
      <c r="H81" s="318" t="str">
        <f>CONCATENATE(Tableau1[[#This Row],[Jours1]],"",Tableau1[[#This Row],[jours2]])</f>
        <v/>
      </c>
      <c r="I81" s="318" t="str">
        <f ca="1">IF(C81="","",NETWORKDAYS(A81,C81))</f>
        <v/>
      </c>
      <c r="J81" t="str">
        <f t="shared" si="2"/>
        <v/>
      </c>
    </row>
    <row r="82" spans="1:10" x14ac:dyDescent="0.25">
      <c r="A82" s="280"/>
      <c r="B82" s="281"/>
      <c r="C82" s="99" t="str">
        <f ca="1">IF(Tableau1[[#This Row],[date fin]]&lt;&gt;0,Tableau1[[#This Row],[date fin]],IF(Tableau1[[#This Row],[type]]="travail",TODAY(),""))</f>
        <v/>
      </c>
      <c r="D82" s="248"/>
      <c r="E82" s="259"/>
      <c r="F82" s="70" t="str">
        <f>IF(Tableau1[[#This Row],[date debut]]=0,"",IF(Tableau1[[#This Row],[date fin]]=0,"",Tableau1[[#This Row],[Colonne1]]-Tableau1[[#This Row],[date debut]]+1))</f>
        <v/>
      </c>
      <c r="G82" s="70" t="str">
        <f>IF(Tableau1[[#This Row],[date debut]]=0,"",IF(Tableau1[[#This Row],[date fin]]=0,IF(Tableau1[[#This Row],[type]]="travail",Tableau1[[#This Row],[Colonne1]]-Tableau1[[#This Row],[date debut]]+1,""),""))</f>
        <v/>
      </c>
      <c r="H82" s="318" t="str">
        <f>CONCATENATE(Tableau1[[#This Row],[Jours1]],"",Tableau1[[#This Row],[jours2]])</f>
        <v/>
      </c>
      <c r="I82" s="318" t="str">
        <f ca="1">IF(C82="","",NETWORKDAYS(A82,C82))</f>
        <v/>
      </c>
      <c r="J82" t="str">
        <f t="shared" si="2"/>
        <v/>
      </c>
    </row>
    <row r="83" spans="1:10" x14ac:dyDescent="0.25">
      <c r="A83" s="280"/>
      <c r="B83" s="281"/>
      <c r="C83" s="99" t="str">
        <f ca="1">IF(Tableau1[[#This Row],[date fin]]&lt;&gt;0,Tableau1[[#This Row],[date fin]],IF(Tableau1[[#This Row],[type]]="travail",TODAY(),""))</f>
        <v/>
      </c>
      <c r="D83" s="248"/>
      <c r="E83" s="259"/>
      <c r="F83" s="70" t="str">
        <f>IF(Tableau1[[#This Row],[date debut]]=0,"",IF(Tableau1[[#This Row],[date fin]]=0,"",Tableau1[[#This Row],[Colonne1]]-Tableau1[[#This Row],[date debut]]+1))</f>
        <v/>
      </c>
      <c r="G83" s="70" t="str">
        <f>IF(Tableau1[[#This Row],[date debut]]=0,"",IF(Tableau1[[#This Row],[date fin]]=0,IF(Tableau1[[#This Row],[type]]="travail",Tableau1[[#This Row],[Colonne1]]-Tableau1[[#This Row],[date debut]]+1,""),""))</f>
        <v/>
      </c>
      <c r="H83" s="318" t="str">
        <f>CONCATENATE(Tableau1[[#This Row],[Jours1]],"",Tableau1[[#This Row],[jours2]])</f>
        <v/>
      </c>
      <c r="I83" s="318" t="str">
        <f ca="1">IF(C83="","",NETWORKDAYS(A83,C83))</f>
        <v/>
      </c>
      <c r="J83" t="str">
        <f t="shared" si="2"/>
        <v/>
      </c>
    </row>
    <row r="84" spans="1:10" x14ac:dyDescent="0.25">
      <c r="A84" s="280"/>
      <c r="B84" s="281"/>
      <c r="C84" s="99" t="str">
        <f ca="1">IF(Tableau1[[#This Row],[date fin]]&lt;&gt;0,Tableau1[[#This Row],[date fin]],IF(Tableau1[[#This Row],[type]]="travail",TODAY(),""))</f>
        <v/>
      </c>
      <c r="D84" s="248"/>
      <c r="E84" s="259"/>
      <c r="F84" s="70" t="str">
        <f>IF(Tableau1[[#This Row],[date debut]]=0,"",IF(Tableau1[[#This Row],[date fin]]=0,"",Tableau1[[#This Row],[Colonne1]]-Tableau1[[#This Row],[date debut]]+1))</f>
        <v/>
      </c>
      <c r="G84" s="70" t="str">
        <f>IF(Tableau1[[#This Row],[date debut]]=0,"",IF(Tableau1[[#This Row],[date fin]]=0,IF(Tableau1[[#This Row],[type]]="travail",Tableau1[[#This Row],[Colonne1]]-Tableau1[[#This Row],[date debut]]+1,""),""))</f>
        <v/>
      </c>
      <c r="H84" s="318" t="str">
        <f>CONCATENATE(Tableau1[[#This Row],[Jours1]],"",Tableau1[[#This Row],[jours2]])</f>
        <v/>
      </c>
      <c r="I84" s="318" t="str">
        <f ca="1">IF(C84="","",NETWORKDAYS(A84,C84))</f>
        <v/>
      </c>
      <c r="J84" t="str">
        <f t="shared" si="2"/>
        <v/>
      </c>
    </row>
    <row r="85" spans="1:10" x14ac:dyDescent="0.25">
      <c r="A85" s="280"/>
      <c r="B85" s="281"/>
      <c r="C85" s="99" t="str">
        <f ca="1">IF(Tableau1[[#This Row],[date fin]]&lt;&gt;0,Tableau1[[#This Row],[date fin]],IF(Tableau1[[#This Row],[type]]="travail",TODAY(),""))</f>
        <v/>
      </c>
      <c r="D85" s="248"/>
      <c r="E85" s="259"/>
      <c r="F85" s="70" t="str">
        <f>IF(Tableau1[[#This Row],[date debut]]=0,"",IF(Tableau1[[#This Row],[date fin]]=0,"",Tableau1[[#This Row],[Colonne1]]-Tableau1[[#This Row],[date debut]]+1))</f>
        <v/>
      </c>
      <c r="G85" s="70" t="str">
        <f>IF(Tableau1[[#This Row],[date debut]]=0,"",IF(Tableau1[[#This Row],[date fin]]=0,IF(Tableau1[[#This Row],[type]]="travail",Tableau1[[#This Row],[Colonne1]]-Tableau1[[#This Row],[date debut]]+1,""),""))</f>
        <v/>
      </c>
      <c r="H85" s="318" t="str">
        <f>CONCATENATE(Tableau1[[#This Row],[Jours1]],"",Tableau1[[#This Row],[jours2]])</f>
        <v/>
      </c>
      <c r="I85" s="318" t="str">
        <f ca="1">IF(C85="","",NETWORKDAYS(A85,C85))</f>
        <v/>
      </c>
      <c r="J85" t="str">
        <f t="shared" si="2"/>
        <v/>
      </c>
    </row>
    <row r="86" spans="1:10" x14ac:dyDescent="0.25">
      <c r="A86" s="280"/>
      <c r="B86" s="281"/>
      <c r="C86" s="99" t="str">
        <f ca="1">IF(Tableau1[[#This Row],[date fin]]&lt;&gt;0,Tableau1[[#This Row],[date fin]],IF(Tableau1[[#This Row],[type]]="travail",TODAY(),""))</f>
        <v/>
      </c>
      <c r="D86" s="248"/>
      <c r="E86" s="259"/>
      <c r="F86" s="70" t="str">
        <f>IF(Tableau1[[#This Row],[date debut]]=0,"",IF(Tableau1[[#This Row],[date fin]]=0,"",Tableau1[[#This Row],[Colonne1]]-Tableau1[[#This Row],[date debut]]+1))</f>
        <v/>
      </c>
      <c r="G86" s="70" t="str">
        <f>IF(Tableau1[[#This Row],[date debut]]=0,"",IF(Tableau1[[#This Row],[date fin]]=0,IF(Tableau1[[#This Row],[type]]="travail",Tableau1[[#This Row],[Colonne1]]-Tableau1[[#This Row],[date debut]]+1,""),""))</f>
        <v/>
      </c>
      <c r="H86" s="318" t="str">
        <f>CONCATENATE(Tableau1[[#This Row],[Jours1]],"",Tableau1[[#This Row],[jours2]])</f>
        <v/>
      </c>
      <c r="I86" s="318" t="str">
        <f ca="1">IF(C86="","",NETWORKDAYS(A86,C86))</f>
        <v/>
      </c>
      <c r="J86" t="str">
        <f t="shared" si="2"/>
        <v/>
      </c>
    </row>
    <row r="87" spans="1:10" x14ac:dyDescent="0.25">
      <c r="A87" s="280"/>
      <c r="B87" s="281"/>
      <c r="C87" s="99" t="str">
        <f ca="1">IF(Tableau1[[#This Row],[date fin]]&lt;&gt;0,Tableau1[[#This Row],[date fin]],IF(Tableau1[[#This Row],[type]]="travail",TODAY(),""))</f>
        <v/>
      </c>
      <c r="D87" s="248"/>
      <c r="E87" s="259"/>
      <c r="F87" s="70" t="str">
        <f>IF(Tableau1[[#This Row],[date debut]]=0,"",IF(Tableau1[[#This Row],[date fin]]=0,"",Tableau1[[#This Row],[Colonne1]]-Tableau1[[#This Row],[date debut]]+1))</f>
        <v/>
      </c>
      <c r="G87" s="70" t="str">
        <f>IF(Tableau1[[#This Row],[date debut]]=0,"",IF(Tableau1[[#This Row],[date fin]]=0,IF(Tableau1[[#This Row],[type]]="travail",Tableau1[[#This Row],[Colonne1]]-Tableau1[[#This Row],[date debut]]+1,""),""))</f>
        <v/>
      </c>
      <c r="H87" s="318" t="str">
        <f>CONCATENATE(Tableau1[[#This Row],[Jours1]],"",Tableau1[[#This Row],[jours2]])</f>
        <v/>
      </c>
      <c r="I87" s="318" t="str">
        <f ca="1">IF(C87="","",NETWORKDAYS(A87,C87))</f>
        <v/>
      </c>
      <c r="J87" t="str">
        <f t="shared" si="2"/>
        <v/>
      </c>
    </row>
    <row r="88" spans="1:10" x14ac:dyDescent="0.25">
      <c r="A88" s="280"/>
      <c r="B88" s="281"/>
      <c r="C88" s="99" t="str">
        <f ca="1">IF(Tableau1[[#This Row],[date fin]]&lt;&gt;0,Tableau1[[#This Row],[date fin]],IF(Tableau1[[#This Row],[type]]="travail",TODAY(),""))</f>
        <v/>
      </c>
      <c r="D88" s="248"/>
      <c r="E88" s="259"/>
      <c r="F88" s="70" t="str">
        <f>IF(Tableau1[[#This Row],[date debut]]=0,"",IF(Tableau1[[#This Row],[date fin]]=0,"",Tableau1[[#This Row],[Colonne1]]-Tableau1[[#This Row],[date debut]]+1))</f>
        <v/>
      </c>
      <c r="G88" s="70" t="str">
        <f>IF(Tableau1[[#This Row],[date debut]]=0,"",IF(Tableau1[[#This Row],[date fin]]=0,IF(Tableau1[[#This Row],[type]]="travail",Tableau1[[#This Row],[Colonne1]]-Tableau1[[#This Row],[date debut]]+1,""),""))</f>
        <v/>
      </c>
      <c r="H88" s="318" t="str">
        <f>CONCATENATE(Tableau1[[#This Row],[Jours1]],"",Tableau1[[#This Row],[jours2]])</f>
        <v/>
      </c>
      <c r="I88" s="318" t="str">
        <f ca="1">IF(C88="","",NETWORKDAYS(A88,C88))</f>
        <v/>
      </c>
      <c r="J88" t="str">
        <f t="shared" si="2"/>
        <v/>
      </c>
    </row>
    <row r="89" spans="1:10" x14ac:dyDescent="0.25">
      <c r="A89" s="280"/>
      <c r="B89" s="281"/>
      <c r="C89" s="99" t="str">
        <f ca="1">IF(Tableau1[[#This Row],[date fin]]&lt;&gt;0,Tableau1[[#This Row],[date fin]],IF(Tableau1[[#This Row],[type]]="travail",TODAY(),""))</f>
        <v/>
      </c>
      <c r="D89" s="248"/>
      <c r="E89" s="259"/>
      <c r="F89" s="70" t="str">
        <f>IF(Tableau1[[#This Row],[date debut]]=0,"",IF(Tableau1[[#This Row],[date fin]]=0,"",Tableau1[[#This Row],[Colonne1]]-Tableau1[[#This Row],[date debut]]+1))</f>
        <v/>
      </c>
      <c r="G89" s="70" t="str">
        <f>IF(Tableau1[[#This Row],[date debut]]=0,"",IF(Tableau1[[#This Row],[date fin]]=0,IF(Tableau1[[#This Row],[type]]="travail",Tableau1[[#This Row],[Colonne1]]-Tableau1[[#This Row],[date debut]]+1,""),""))</f>
        <v/>
      </c>
      <c r="H89" s="318" t="str">
        <f>CONCATENATE(Tableau1[[#This Row],[Jours1]],"",Tableau1[[#This Row],[jours2]])</f>
        <v/>
      </c>
      <c r="I89" s="318" t="str">
        <f ca="1">IF(C89="","",NETWORKDAYS(A89,C89))</f>
        <v/>
      </c>
      <c r="J89" t="str">
        <f t="shared" si="2"/>
        <v/>
      </c>
    </row>
    <row r="90" spans="1:10" x14ac:dyDescent="0.25">
      <c r="A90" s="280"/>
      <c r="B90" s="281"/>
      <c r="C90" s="99" t="str">
        <f ca="1">IF(Tableau1[[#This Row],[date fin]]&lt;&gt;0,Tableau1[[#This Row],[date fin]],IF(Tableau1[[#This Row],[type]]="travail",TODAY(),""))</f>
        <v/>
      </c>
      <c r="D90" s="248"/>
      <c r="E90" s="259"/>
      <c r="F90" s="70" t="str">
        <f>IF(Tableau1[[#This Row],[date debut]]=0,"",IF(Tableau1[[#This Row],[date fin]]=0,"",Tableau1[[#This Row],[Colonne1]]-Tableau1[[#This Row],[date debut]]+1))</f>
        <v/>
      </c>
      <c r="G90" s="70" t="str">
        <f>IF(Tableau1[[#This Row],[date debut]]=0,"",IF(Tableau1[[#This Row],[date fin]]=0,IF(Tableau1[[#This Row],[type]]="travail",Tableau1[[#This Row],[Colonne1]]-Tableau1[[#This Row],[date debut]]+1,""),""))</f>
        <v/>
      </c>
      <c r="H90" s="318" t="str">
        <f>CONCATENATE(Tableau1[[#This Row],[Jours1]],"",Tableau1[[#This Row],[jours2]])</f>
        <v/>
      </c>
      <c r="I90" s="318" t="str">
        <f ca="1">IF(C90="","",NETWORKDAYS(A90,C90))</f>
        <v/>
      </c>
      <c r="J90" t="str">
        <f t="shared" si="2"/>
        <v/>
      </c>
    </row>
    <row r="91" spans="1:10" x14ac:dyDescent="0.25">
      <c r="A91" s="280"/>
      <c r="B91" s="281"/>
      <c r="C91" s="99" t="str">
        <f ca="1">IF(Tableau1[[#This Row],[date fin]]&lt;&gt;0,Tableau1[[#This Row],[date fin]],IF(Tableau1[[#This Row],[type]]="travail",TODAY(),""))</f>
        <v/>
      </c>
      <c r="D91" s="248"/>
      <c r="E91" s="259"/>
      <c r="F91" s="70" t="str">
        <f>IF(Tableau1[[#This Row],[date debut]]=0,"",IF(Tableau1[[#This Row],[date fin]]=0,"",Tableau1[[#This Row],[Colonne1]]-Tableau1[[#This Row],[date debut]]+1))</f>
        <v/>
      </c>
      <c r="G91" s="70" t="str">
        <f>IF(Tableau1[[#This Row],[date debut]]=0,"",IF(Tableau1[[#This Row],[date fin]]=0,IF(Tableau1[[#This Row],[type]]="travail",Tableau1[[#This Row],[Colonne1]]-Tableau1[[#This Row],[date debut]]+1,""),""))</f>
        <v/>
      </c>
      <c r="H91" s="318" t="str">
        <f>CONCATENATE(Tableau1[[#This Row],[Jours1]],"",Tableau1[[#This Row],[jours2]])</f>
        <v/>
      </c>
      <c r="I91" s="318" t="str">
        <f ca="1">IF(C91="","",NETWORKDAYS(A91,C91))</f>
        <v/>
      </c>
      <c r="J91" t="str">
        <f t="shared" si="2"/>
        <v/>
      </c>
    </row>
    <row r="92" spans="1:10" x14ac:dyDescent="0.25">
      <c r="A92" s="280"/>
      <c r="B92" s="281"/>
      <c r="C92" s="99" t="str">
        <f ca="1">IF(Tableau1[[#This Row],[date fin]]&lt;&gt;0,Tableau1[[#This Row],[date fin]],IF(Tableau1[[#This Row],[type]]="travail",TODAY(),""))</f>
        <v/>
      </c>
      <c r="D92" s="248"/>
      <c r="E92" s="259"/>
      <c r="F92" s="70" t="str">
        <f>IF(Tableau1[[#This Row],[date debut]]=0,"",IF(Tableau1[[#This Row],[date fin]]=0,"",Tableau1[[#This Row],[Colonne1]]-Tableau1[[#This Row],[date debut]]+1))</f>
        <v/>
      </c>
      <c r="G92" s="70" t="str">
        <f>IF(Tableau1[[#This Row],[date debut]]=0,"",IF(Tableau1[[#This Row],[date fin]]=0,IF(Tableau1[[#This Row],[type]]="travail",Tableau1[[#This Row],[Colonne1]]-Tableau1[[#This Row],[date debut]]+1,""),""))</f>
        <v/>
      </c>
      <c r="H92" s="318" t="str">
        <f>CONCATENATE(Tableau1[[#This Row],[Jours1]],"",Tableau1[[#This Row],[jours2]])</f>
        <v/>
      </c>
      <c r="I92" s="318" t="str">
        <f ca="1">IF(C92="","",NETWORKDAYS(A92,C92))</f>
        <v/>
      </c>
      <c r="J92" t="str">
        <f t="shared" si="2"/>
        <v/>
      </c>
    </row>
    <row r="93" spans="1:10" x14ac:dyDescent="0.25">
      <c r="A93" s="280"/>
      <c r="B93" s="281"/>
      <c r="C93" s="99" t="str">
        <f ca="1">IF(Tableau1[[#This Row],[date fin]]&lt;&gt;0,Tableau1[[#This Row],[date fin]],IF(Tableau1[[#This Row],[type]]="travail",TODAY(),""))</f>
        <v/>
      </c>
      <c r="D93" s="248"/>
      <c r="E93" s="259"/>
      <c r="F93" s="70" t="str">
        <f>IF(Tableau1[[#This Row],[date debut]]=0,"",IF(Tableau1[[#This Row],[date fin]]=0,"",Tableau1[[#This Row],[Colonne1]]-Tableau1[[#This Row],[date debut]]+1))</f>
        <v/>
      </c>
      <c r="G93" s="70" t="str">
        <f>IF(Tableau1[[#This Row],[date debut]]=0,"",IF(Tableau1[[#This Row],[date fin]]=0,IF(Tableau1[[#This Row],[type]]="travail",Tableau1[[#This Row],[Colonne1]]-Tableau1[[#This Row],[date debut]]+1,""),""))</f>
        <v/>
      </c>
      <c r="H93" s="318" t="str">
        <f>CONCATENATE(Tableau1[[#This Row],[Jours1]],"",Tableau1[[#This Row],[jours2]])</f>
        <v/>
      </c>
      <c r="I93" s="318" t="str">
        <f ca="1">IF(C93="","",NETWORKDAYS(A93,C93))</f>
        <v/>
      </c>
      <c r="J93" t="str">
        <f t="shared" si="2"/>
        <v/>
      </c>
    </row>
    <row r="94" spans="1:10" x14ac:dyDescent="0.25">
      <c r="A94" s="280"/>
      <c r="B94" s="281"/>
      <c r="C94" s="99" t="str">
        <f ca="1">IF(Tableau1[[#This Row],[date fin]]&lt;&gt;0,Tableau1[[#This Row],[date fin]],IF(Tableau1[[#This Row],[type]]="travail",TODAY(),""))</f>
        <v/>
      </c>
      <c r="D94" s="248"/>
      <c r="E94" s="259"/>
      <c r="F94" s="70" t="str">
        <f>IF(Tableau1[[#This Row],[date debut]]=0,"",IF(Tableau1[[#This Row],[date fin]]=0,"",Tableau1[[#This Row],[Colonne1]]-Tableau1[[#This Row],[date debut]]+1))</f>
        <v/>
      </c>
      <c r="G94" s="70" t="str">
        <f>IF(Tableau1[[#This Row],[date debut]]=0,"",IF(Tableau1[[#This Row],[date fin]]=0,IF(Tableau1[[#This Row],[type]]="travail",Tableau1[[#This Row],[Colonne1]]-Tableau1[[#This Row],[date debut]]+1,""),""))</f>
        <v/>
      </c>
      <c r="H94" s="318" t="str">
        <f>CONCATENATE(Tableau1[[#This Row],[Jours1]],"",Tableau1[[#This Row],[jours2]])</f>
        <v/>
      </c>
      <c r="I94" s="318" t="str">
        <f ca="1">IF(C94="","",NETWORKDAYS(A94,C94))</f>
        <v/>
      </c>
      <c r="J94" t="str">
        <f t="shared" si="2"/>
        <v/>
      </c>
    </row>
    <row r="95" spans="1:10" x14ac:dyDescent="0.25">
      <c r="A95" s="280"/>
      <c r="B95" s="281"/>
      <c r="C95" s="99" t="str">
        <f ca="1">IF(Tableau1[[#This Row],[date fin]]&lt;&gt;0,Tableau1[[#This Row],[date fin]],IF(Tableau1[[#This Row],[type]]="travail",TODAY(),""))</f>
        <v/>
      </c>
      <c r="D95" s="248"/>
      <c r="E95" s="259"/>
      <c r="F95" s="70" t="str">
        <f>IF(Tableau1[[#This Row],[date debut]]=0,"",IF(Tableau1[[#This Row],[date fin]]=0,"",Tableau1[[#This Row],[Colonne1]]-Tableau1[[#This Row],[date debut]]+1))</f>
        <v/>
      </c>
      <c r="G95" s="70" t="str">
        <f>IF(Tableau1[[#This Row],[date debut]]=0,"",IF(Tableau1[[#This Row],[date fin]]=0,IF(Tableau1[[#This Row],[type]]="travail",Tableau1[[#This Row],[Colonne1]]-Tableau1[[#This Row],[date debut]]+1,""),""))</f>
        <v/>
      </c>
      <c r="H95" s="318" t="str">
        <f>CONCATENATE(Tableau1[[#This Row],[Jours1]],"",Tableau1[[#This Row],[jours2]])</f>
        <v/>
      </c>
      <c r="I95" s="318" t="str">
        <f ca="1">IF(C95="","",NETWORKDAYS(A95,C95))</f>
        <v/>
      </c>
      <c r="J95" t="str">
        <f t="shared" si="2"/>
        <v/>
      </c>
    </row>
    <row r="96" spans="1:10" x14ac:dyDescent="0.25">
      <c r="A96" s="280"/>
      <c r="B96" s="281"/>
      <c r="C96" s="99" t="str">
        <f ca="1">IF(Tableau1[[#This Row],[date fin]]&lt;&gt;0,Tableau1[[#This Row],[date fin]],IF(Tableau1[[#This Row],[type]]="travail",TODAY(),""))</f>
        <v/>
      </c>
      <c r="D96" s="248"/>
      <c r="E96" s="259"/>
      <c r="F96" s="70" t="str">
        <f>IF(Tableau1[[#This Row],[date debut]]=0,"",IF(Tableau1[[#This Row],[date fin]]=0,"",Tableau1[[#This Row],[Colonne1]]-Tableau1[[#This Row],[date debut]]+1))</f>
        <v/>
      </c>
      <c r="G96" s="70" t="str">
        <f>IF(Tableau1[[#This Row],[date debut]]=0,"",IF(Tableau1[[#This Row],[date fin]]=0,IF(Tableau1[[#This Row],[type]]="travail",Tableau1[[#This Row],[Colonne1]]-Tableau1[[#This Row],[date debut]]+1,""),""))</f>
        <v/>
      </c>
      <c r="H96" s="318" t="str">
        <f>CONCATENATE(Tableau1[[#This Row],[Jours1]],"",Tableau1[[#This Row],[jours2]])</f>
        <v/>
      </c>
      <c r="I96" s="318" t="str">
        <f ca="1">IF(C96="","",NETWORKDAYS(A96,C96))</f>
        <v/>
      </c>
      <c r="J96" t="str">
        <f t="shared" si="2"/>
        <v/>
      </c>
    </row>
    <row r="97" spans="1:10" x14ac:dyDescent="0.25">
      <c r="A97" s="280"/>
      <c r="B97" s="281"/>
      <c r="C97" s="99" t="str">
        <f ca="1">IF(Tableau1[[#This Row],[date fin]]&lt;&gt;0,Tableau1[[#This Row],[date fin]],IF(Tableau1[[#This Row],[type]]="travail",TODAY(),""))</f>
        <v/>
      </c>
      <c r="D97" s="248"/>
      <c r="E97" s="259"/>
      <c r="F97" s="70" t="str">
        <f>IF(Tableau1[[#This Row],[date debut]]=0,"",IF(Tableau1[[#This Row],[date fin]]=0,"",Tableau1[[#This Row],[Colonne1]]-Tableau1[[#This Row],[date debut]]+1))</f>
        <v/>
      </c>
      <c r="G97" s="70" t="str">
        <f>IF(Tableau1[[#This Row],[date debut]]=0,"",IF(Tableau1[[#This Row],[date fin]]=0,IF(Tableau1[[#This Row],[type]]="travail",Tableau1[[#This Row],[Colonne1]]-Tableau1[[#This Row],[date debut]]+1,""),""))</f>
        <v/>
      </c>
      <c r="H97" s="318" t="str">
        <f>CONCATENATE(Tableau1[[#This Row],[Jours1]],"",Tableau1[[#This Row],[jours2]])</f>
        <v/>
      </c>
      <c r="I97" s="318" t="str">
        <f ca="1">IF(C97="","",NETWORKDAYS(A97,C97))</f>
        <v/>
      </c>
      <c r="J97" t="str">
        <f t="shared" si="2"/>
        <v/>
      </c>
    </row>
    <row r="98" spans="1:10" x14ac:dyDescent="0.25">
      <c r="A98" s="280"/>
      <c r="B98" s="281"/>
      <c r="C98" s="99" t="str">
        <f ca="1">IF(Tableau1[[#This Row],[date fin]]&lt;&gt;0,Tableau1[[#This Row],[date fin]],IF(Tableau1[[#This Row],[type]]="travail",TODAY(),""))</f>
        <v/>
      </c>
      <c r="D98" s="248"/>
      <c r="E98" s="259"/>
      <c r="F98" s="70" t="str">
        <f>IF(Tableau1[[#This Row],[date debut]]=0,"",IF(Tableau1[[#This Row],[date fin]]=0,"",Tableau1[[#This Row],[Colonne1]]-Tableau1[[#This Row],[date debut]]+1))</f>
        <v/>
      </c>
      <c r="G98" s="70" t="str">
        <f>IF(Tableau1[[#This Row],[date debut]]=0,"",IF(Tableau1[[#This Row],[date fin]]=0,IF(Tableau1[[#This Row],[type]]="travail",Tableau1[[#This Row],[Colonne1]]-Tableau1[[#This Row],[date debut]]+1,""),""))</f>
        <v/>
      </c>
      <c r="H98" s="318" t="str">
        <f>CONCATENATE(Tableau1[[#This Row],[Jours1]],"",Tableau1[[#This Row],[jours2]])</f>
        <v/>
      </c>
      <c r="I98" s="318" t="str">
        <f ca="1">IF(C98="","",NETWORKDAYS(A98,C98))</f>
        <v/>
      </c>
      <c r="J98" t="str">
        <f t="shared" si="2"/>
        <v/>
      </c>
    </row>
    <row r="99" spans="1:10" x14ac:dyDescent="0.25">
      <c r="A99" s="280"/>
      <c r="B99" s="281"/>
      <c r="C99" s="99" t="str">
        <f ca="1">IF(Tableau1[[#This Row],[date fin]]&lt;&gt;0,Tableau1[[#This Row],[date fin]],IF(Tableau1[[#This Row],[type]]="travail",TODAY(),""))</f>
        <v/>
      </c>
      <c r="D99" s="248"/>
      <c r="E99" s="259"/>
      <c r="F99" s="70" t="str">
        <f>IF(Tableau1[[#This Row],[date debut]]=0,"",IF(Tableau1[[#This Row],[date fin]]=0,"",Tableau1[[#This Row],[Colonne1]]-Tableau1[[#This Row],[date debut]]+1))</f>
        <v/>
      </c>
      <c r="G99" s="70" t="str">
        <f>IF(Tableau1[[#This Row],[date debut]]=0,"",IF(Tableau1[[#This Row],[date fin]]=0,IF(Tableau1[[#This Row],[type]]="travail",Tableau1[[#This Row],[Colonne1]]-Tableau1[[#This Row],[date debut]]+1,""),""))</f>
        <v/>
      </c>
      <c r="H99" s="318" t="str">
        <f>CONCATENATE(Tableau1[[#This Row],[Jours1]],"",Tableau1[[#This Row],[jours2]])</f>
        <v/>
      </c>
      <c r="I99" s="318" t="str">
        <f ca="1">IF(C99="","",NETWORKDAYS(A99,C99))</f>
        <v/>
      </c>
      <c r="J99" t="str">
        <f t="shared" si="2"/>
        <v/>
      </c>
    </row>
    <row r="100" spans="1:10" x14ac:dyDescent="0.25">
      <c r="A100" s="280"/>
      <c r="B100" s="281"/>
      <c r="C100" s="99" t="str">
        <f ca="1">IF(Tableau1[[#This Row],[date fin]]&lt;&gt;0,Tableau1[[#This Row],[date fin]],IF(Tableau1[[#This Row],[type]]="travail",TODAY(),""))</f>
        <v/>
      </c>
      <c r="D100" s="248"/>
      <c r="E100" s="259"/>
      <c r="F100" s="70" t="str">
        <f>IF(Tableau1[[#This Row],[date debut]]=0,"",IF(Tableau1[[#This Row],[date fin]]=0,"",Tableau1[[#This Row],[Colonne1]]-Tableau1[[#This Row],[date debut]]+1))</f>
        <v/>
      </c>
      <c r="G100" s="70" t="str">
        <f>IF(Tableau1[[#This Row],[date debut]]=0,"",IF(Tableau1[[#This Row],[date fin]]=0,IF(Tableau1[[#This Row],[type]]="travail",Tableau1[[#This Row],[Colonne1]]-Tableau1[[#This Row],[date debut]]+1,""),""))</f>
        <v/>
      </c>
      <c r="H100" s="318" t="str">
        <f>CONCATENATE(Tableau1[[#This Row],[Jours1]],"",Tableau1[[#This Row],[jours2]])</f>
        <v/>
      </c>
      <c r="I100" s="318" t="str">
        <f ca="1">IF(C100="","",NETWORKDAYS(A100,C100))</f>
        <v/>
      </c>
      <c r="J100" t="str">
        <f t="shared" si="2"/>
        <v/>
      </c>
    </row>
    <row r="101" spans="1:10" x14ac:dyDescent="0.25">
      <c r="A101" s="280"/>
      <c r="B101" s="281"/>
      <c r="C101" s="99" t="str">
        <f ca="1">IF(Tableau1[[#This Row],[date fin]]&lt;&gt;0,Tableau1[[#This Row],[date fin]],IF(Tableau1[[#This Row],[type]]="travail",TODAY(),""))</f>
        <v/>
      </c>
      <c r="D101" s="248"/>
      <c r="E101" s="259"/>
      <c r="F101" s="70" t="str">
        <f>IF(Tableau1[[#This Row],[date debut]]=0,"",IF(Tableau1[[#This Row],[date fin]]=0,"",Tableau1[[#This Row],[Colonne1]]-Tableau1[[#This Row],[date debut]]+1))</f>
        <v/>
      </c>
      <c r="G101" s="70" t="str">
        <f>IF(Tableau1[[#This Row],[date debut]]=0,"",IF(Tableau1[[#This Row],[date fin]]=0,IF(Tableau1[[#This Row],[type]]="travail",Tableau1[[#This Row],[Colonne1]]-Tableau1[[#This Row],[date debut]]+1,""),""))</f>
        <v/>
      </c>
      <c r="H101" s="318" t="str">
        <f>CONCATENATE(Tableau1[[#This Row],[Jours1]],"",Tableau1[[#This Row],[jours2]])</f>
        <v/>
      </c>
      <c r="I101" s="318" t="str">
        <f ca="1">IF(C101="","",NETWORKDAYS(A101,C101))</f>
        <v/>
      </c>
      <c r="J101" t="str">
        <f t="shared" si="2"/>
        <v/>
      </c>
    </row>
    <row r="102" spans="1:10" x14ac:dyDescent="0.25">
      <c r="A102" s="280"/>
      <c r="B102" s="281"/>
      <c r="C102" s="99" t="str">
        <f ca="1">IF(Tableau1[[#This Row],[date fin]]&lt;&gt;0,Tableau1[[#This Row],[date fin]],IF(Tableau1[[#This Row],[type]]="travail",TODAY(),""))</f>
        <v/>
      </c>
      <c r="D102" s="248"/>
      <c r="E102" s="259"/>
      <c r="F102" s="70" t="str">
        <f>IF(Tableau1[[#This Row],[date debut]]=0,"",IF(Tableau1[[#This Row],[date fin]]=0,"",Tableau1[[#This Row],[Colonne1]]-Tableau1[[#This Row],[date debut]]+1))</f>
        <v/>
      </c>
      <c r="G102" s="70" t="str">
        <f>IF(Tableau1[[#This Row],[date debut]]=0,"",IF(Tableau1[[#This Row],[date fin]]=0,IF(Tableau1[[#This Row],[type]]="travail",Tableau1[[#This Row],[Colonne1]]-Tableau1[[#This Row],[date debut]]+1,""),""))</f>
        <v/>
      </c>
      <c r="H102" s="318" t="str">
        <f>CONCATENATE(Tableau1[[#This Row],[Jours1]],"",Tableau1[[#This Row],[jours2]])</f>
        <v/>
      </c>
      <c r="I102" s="318" t="str">
        <f ca="1">IF(C102="","",NETWORKDAYS(A102,C102))</f>
        <v/>
      </c>
      <c r="J102" t="str">
        <f t="shared" si="2"/>
        <v/>
      </c>
    </row>
    <row r="103" spans="1:10" x14ac:dyDescent="0.25">
      <c r="A103" s="280"/>
      <c r="B103" s="281"/>
      <c r="C103" s="99" t="str">
        <f ca="1">IF(Tableau1[[#This Row],[date fin]]&lt;&gt;0,Tableau1[[#This Row],[date fin]],IF(Tableau1[[#This Row],[type]]="travail",TODAY(),""))</f>
        <v/>
      </c>
      <c r="D103" s="248"/>
      <c r="E103" s="259"/>
      <c r="F103" s="70" t="str">
        <f>IF(Tableau1[[#This Row],[date debut]]=0,"",IF(Tableau1[[#This Row],[date fin]]=0,"",Tableau1[[#This Row],[Colonne1]]-Tableau1[[#This Row],[date debut]]+1))</f>
        <v/>
      </c>
      <c r="G103" s="70" t="str">
        <f>IF(Tableau1[[#This Row],[date debut]]=0,"",IF(Tableau1[[#This Row],[date fin]]=0,IF(Tableau1[[#This Row],[type]]="travail",Tableau1[[#This Row],[Colonne1]]-Tableau1[[#This Row],[date debut]]+1,""),""))</f>
        <v/>
      </c>
      <c r="H103" s="318" t="str">
        <f>CONCATENATE(Tableau1[[#This Row],[Jours1]],"",Tableau1[[#This Row],[jours2]])</f>
        <v/>
      </c>
      <c r="I103" s="318" t="str">
        <f ca="1">IF(C103="","",NETWORKDAYS(A103,C103))</f>
        <v/>
      </c>
      <c r="J103" t="str">
        <f t="shared" si="2"/>
        <v/>
      </c>
    </row>
    <row r="104" spans="1:10" x14ac:dyDescent="0.25">
      <c r="A104" s="280"/>
      <c r="B104" s="281"/>
      <c r="C104" s="99" t="str">
        <f ca="1">IF(Tableau1[[#This Row],[date fin]]&lt;&gt;0,Tableau1[[#This Row],[date fin]],IF(Tableau1[[#This Row],[type]]="travail",TODAY(),""))</f>
        <v/>
      </c>
      <c r="D104" s="248"/>
      <c r="E104" s="259"/>
      <c r="F104" s="70" t="str">
        <f>IF(Tableau1[[#This Row],[date debut]]=0,"",IF(Tableau1[[#This Row],[date fin]]=0,"",Tableau1[[#This Row],[Colonne1]]-Tableau1[[#This Row],[date debut]]+1))</f>
        <v/>
      </c>
      <c r="G104" s="70" t="str">
        <f>IF(Tableau1[[#This Row],[date debut]]=0,"",IF(Tableau1[[#This Row],[date fin]]=0,IF(Tableau1[[#This Row],[type]]="travail",Tableau1[[#This Row],[Colonne1]]-Tableau1[[#This Row],[date debut]]+1,""),""))</f>
        <v/>
      </c>
      <c r="H104" s="318" t="str">
        <f>CONCATENATE(Tableau1[[#This Row],[Jours1]],"",Tableau1[[#This Row],[jours2]])</f>
        <v/>
      </c>
      <c r="I104" s="318" t="str">
        <f ca="1">IF(C104="","",NETWORKDAYS(A104,C104))</f>
        <v/>
      </c>
      <c r="J104" t="str">
        <f t="shared" si="2"/>
        <v/>
      </c>
    </row>
    <row r="105" spans="1:10" x14ac:dyDescent="0.25">
      <c r="A105" s="280"/>
      <c r="B105" s="281"/>
      <c r="C105" s="99" t="str">
        <f ca="1">IF(Tableau1[[#This Row],[date fin]]&lt;&gt;0,Tableau1[[#This Row],[date fin]],IF(Tableau1[[#This Row],[type]]="travail",TODAY(),""))</f>
        <v/>
      </c>
      <c r="D105" s="248"/>
      <c r="E105" s="259"/>
      <c r="F105" s="70" t="str">
        <f>IF(Tableau1[[#This Row],[date debut]]=0,"",IF(Tableau1[[#This Row],[date fin]]=0,"",Tableau1[[#This Row],[Colonne1]]-Tableau1[[#This Row],[date debut]]+1))</f>
        <v/>
      </c>
      <c r="G105" s="70" t="str">
        <f>IF(Tableau1[[#This Row],[date debut]]=0,"",IF(Tableau1[[#This Row],[date fin]]=0,IF(Tableau1[[#This Row],[type]]="travail",Tableau1[[#This Row],[Colonne1]]-Tableau1[[#This Row],[date debut]]+1,""),""))</f>
        <v/>
      </c>
      <c r="H105" s="318" t="str">
        <f>CONCATENATE(Tableau1[[#This Row],[Jours1]],"",Tableau1[[#This Row],[jours2]])</f>
        <v/>
      </c>
      <c r="I105" s="318" t="str">
        <f ca="1">IF(C105="","",NETWORKDAYS(A105,C105))</f>
        <v/>
      </c>
      <c r="J105" t="str">
        <f t="shared" si="2"/>
        <v/>
      </c>
    </row>
    <row r="106" spans="1:10" x14ac:dyDescent="0.25">
      <c r="A106" s="280"/>
      <c r="B106" s="281"/>
      <c r="C106" s="99" t="str">
        <f ca="1">IF(Tableau1[[#This Row],[date fin]]&lt;&gt;0,Tableau1[[#This Row],[date fin]],IF(Tableau1[[#This Row],[type]]="travail",TODAY(),""))</f>
        <v/>
      </c>
      <c r="D106" s="248"/>
      <c r="E106" s="259"/>
      <c r="F106" s="70" t="str">
        <f>IF(Tableau1[[#This Row],[date debut]]=0,"",IF(Tableau1[[#This Row],[date fin]]=0,"",Tableau1[[#This Row],[Colonne1]]-Tableau1[[#This Row],[date debut]]+1))</f>
        <v/>
      </c>
      <c r="G106" s="70" t="str">
        <f>IF(Tableau1[[#This Row],[date debut]]=0,"",IF(Tableau1[[#This Row],[date fin]]=0,IF(Tableau1[[#This Row],[type]]="travail",Tableau1[[#This Row],[Colonne1]]-Tableau1[[#This Row],[date debut]]+1,""),""))</f>
        <v/>
      </c>
      <c r="H106" s="318" t="str">
        <f>CONCATENATE(Tableau1[[#This Row],[Jours1]],"",Tableau1[[#This Row],[jours2]])</f>
        <v/>
      </c>
      <c r="I106" s="318" t="str">
        <f ca="1">IF(C106="","",NETWORKDAYS(A106,C106))</f>
        <v/>
      </c>
      <c r="J106" t="str">
        <f t="shared" si="2"/>
        <v/>
      </c>
    </row>
    <row r="107" spans="1:10" x14ac:dyDescent="0.25">
      <c r="A107" s="280"/>
      <c r="B107" s="281"/>
      <c r="C107" s="99" t="str">
        <f ca="1">IF(Tableau1[[#This Row],[date fin]]&lt;&gt;0,Tableau1[[#This Row],[date fin]],IF(Tableau1[[#This Row],[type]]="travail",TODAY(),""))</f>
        <v/>
      </c>
      <c r="D107" s="248"/>
      <c r="E107" s="259"/>
      <c r="F107" s="70" t="str">
        <f>IF(Tableau1[[#This Row],[date debut]]=0,"",IF(Tableau1[[#This Row],[date fin]]=0,"",Tableau1[[#This Row],[Colonne1]]-Tableau1[[#This Row],[date debut]]+1))</f>
        <v/>
      </c>
      <c r="G107" s="70" t="str">
        <f>IF(Tableau1[[#This Row],[date debut]]=0,"",IF(Tableau1[[#This Row],[date fin]]=0,IF(Tableau1[[#This Row],[type]]="travail",Tableau1[[#This Row],[Colonne1]]-Tableau1[[#This Row],[date debut]]+1,""),""))</f>
        <v/>
      </c>
      <c r="H107" s="318" t="str">
        <f>CONCATENATE(Tableau1[[#This Row],[Jours1]],"",Tableau1[[#This Row],[jours2]])</f>
        <v/>
      </c>
      <c r="I107" s="318" t="str">
        <f ca="1">IF(C107="","",NETWORKDAYS(A107,C107))</f>
        <v/>
      </c>
      <c r="J107" t="str">
        <f t="shared" si="2"/>
        <v/>
      </c>
    </row>
    <row r="108" spans="1:10" x14ac:dyDescent="0.25">
      <c r="A108" s="280"/>
      <c r="B108" s="281"/>
      <c r="C108" s="99" t="str">
        <f ca="1">IF(Tableau1[[#This Row],[date fin]]&lt;&gt;0,Tableau1[[#This Row],[date fin]],IF(Tableau1[[#This Row],[type]]="travail",TODAY(),""))</f>
        <v/>
      </c>
      <c r="D108" s="248"/>
      <c r="E108" s="259"/>
      <c r="F108" s="70" t="str">
        <f>IF(Tableau1[[#This Row],[date debut]]=0,"",IF(Tableau1[[#This Row],[date fin]]=0,"",Tableau1[[#This Row],[Colonne1]]-Tableau1[[#This Row],[date debut]]+1))</f>
        <v/>
      </c>
      <c r="G108" s="70" t="str">
        <f>IF(Tableau1[[#This Row],[date debut]]=0,"",IF(Tableau1[[#This Row],[date fin]]=0,IF(Tableau1[[#This Row],[type]]="travail",Tableau1[[#This Row],[Colonne1]]-Tableau1[[#This Row],[date debut]]+1,""),""))</f>
        <v/>
      </c>
      <c r="H108" s="318" t="str">
        <f>CONCATENATE(Tableau1[[#This Row],[Jours1]],"",Tableau1[[#This Row],[jours2]])</f>
        <v/>
      </c>
      <c r="I108" s="318" t="str">
        <f ca="1">IF(C108="","",NETWORKDAYS(A108,C108))</f>
        <v/>
      </c>
      <c r="J108" t="str">
        <f t="shared" si="2"/>
        <v/>
      </c>
    </row>
    <row r="109" spans="1:10" x14ac:dyDescent="0.25">
      <c r="A109" s="280"/>
      <c r="B109" s="281"/>
      <c r="C109" s="99" t="str">
        <f ca="1">IF(Tableau1[[#This Row],[date fin]]&lt;&gt;0,Tableau1[[#This Row],[date fin]],IF(Tableau1[[#This Row],[type]]="travail",TODAY(),""))</f>
        <v/>
      </c>
      <c r="D109" s="248"/>
      <c r="E109" s="259"/>
      <c r="F109" s="70" t="str">
        <f>IF(Tableau1[[#This Row],[date debut]]=0,"",IF(Tableau1[[#This Row],[date fin]]=0,"",Tableau1[[#This Row],[Colonne1]]-Tableau1[[#This Row],[date debut]]+1))</f>
        <v/>
      </c>
      <c r="G109" s="70" t="str">
        <f>IF(Tableau1[[#This Row],[date debut]]=0,"",IF(Tableau1[[#This Row],[date fin]]=0,IF(Tableau1[[#This Row],[type]]="travail",Tableau1[[#This Row],[Colonne1]]-Tableau1[[#This Row],[date debut]]+1,""),""))</f>
        <v/>
      </c>
      <c r="H109" s="318" t="str">
        <f>CONCATENATE(Tableau1[[#This Row],[Jours1]],"",Tableau1[[#This Row],[jours2]])</f>
        <v/>
      </c>
      <c r="I109" s="318" t="str">
        <f ca="1">IF(C109="","",NETWORKDAYS(A109,C109))</f>
        <v/>
      </c>
      <c r="J109" t="str">
        <f t="shared" si="2"/>
        <v/>
      </c>
    </row>
    <row r="110" spans="1:10" x14ac:dyDescent="0.25">
      <c r="A110" s="280"/>
      <c r="B110" s="281"/>
      <c r="C110" s="99" t="str">
        <f ca="1">IF(Tableau1[[#This Row],[date fin]]&lt;&gt;0,Tableau1[[#This Row],[date fin]],IF(Tableau1[[#This Row],[type]]="travail",TODAY(),""))</f>
        <v/>
      </c>
      <c r="D110" s="248"/>
      <c r="E110" s="259"/>
      <c r="F110" s="70" t="str">
        <f>IF(Tableau1[[#This Row],[date debut]]=0,"",IF(Tableau1[[#This Row],[date fin]]=0,"",Tableau1[[#This Row],[Colonne1]]-Tableau1[[#This Row],[date debut]]+1))</f>
        <v/>
      </c>
      <c r="G110" s="70" t="str">
        <f>IF(Tableau1[[#This Row],[date debut]]=0,"",IF(Tableau1[[#This Row],[date fin]]=0,IF(Tableau1[[#This Row],[type]]="travail",Tableau1[[#This Row],[Colonne1]]-Tableau1[[#This Row],[date debut]]+1,""),""))</f>
        <v/>
      </c>
      <c r="H110" s="318" t="str">
        <f>CONCATENATE(Tableau1[[#This Row],[Jours1]],"",Tableau1[[#This Row],[jours2]])</f>
        <v/>
      </c>
      <c r="I110" s="318" t="str">
        <f ca="1">IF(C110="","",NETWORKDAYS(A110,C110))</f>
        <v/>
      </c>
      <c r="J110" t="str">
        <f t="shared" si="2"/>
        <v/>
      </c>
    </row>
    <row r="111" spans="1:10" x14ac:dyDescent="0.25">
      <c r="A111" s="280"/>
      <c r="B111" s="281"/>
      <c r="C111" s="99" t="str">
        <f ca="1">IF(Tableau1[[#This Row],[date fin]]&lt;&gt;0,Tableau1[[#This Row],[date fin]],IF(Tableau1[[#This Row],[type]]="travail",TODAY(),""))</f>
        <v/>
      </c>
      <c r="D111" s="248"/>
      <c r="E111" s="259"/>
      <c r="F111" s="70" t="str">
        <f>IF(Tableau1[[#This Row],[date debut]]=0,"",IF(Tableau1[[#This Row],[date fin]]=0,"",Tableau1[[#This Row],[Colonne1]]-Tableau1[[#This Row],[date debut]]+1))</f>
        <v/>
      </c>
      <c r="G111" s="70" t="str">
        <f>IF(Tableau1[[#This Row],[date debut]]=0,"",IF(Tableau1[[#This Row],[date fin]]=0,IF(Tableau1[[#This Row],[type]]="travail",Tableau1[[#This Row],[Colonne1]]-Tableau1[[#This Row],[date debut]]+1,""),""))</f>
        <v/>
      </c>
      <c r="H111" s="318" t="str">
        <f>CONCATENATE(Tableau1[[#This Row],[Jours1]],"",Tableau1[[#This Row],[jours2]])</f>
        <v/>
      </c>
      <c r="I111" s="318" t="str">
        <f ca="1">IF(C111="","",NETWORKDAYS(A111,C111))</f>
        <v/>
      </c>
      <c r="J111" t="str">
        <f t="shared" si="2"/>
        <v/>
      </c>
    </row>
    <row r="112" spans="1:10" x14ac:dyDescent="0.25">
      <c r="A112" s="280"/>
      <c r="B112" s="281"/>
      <c r="C112" s="99" t="str">
        <f ca="1">IF(Tableau1[[#This Row],[date fin]]&lt;&gt;0,Tableau1[[#This Row],[date fin]],IF(Tableau1[[#This Row],[type]]="travail",TODAY(),""))</f>
        <v/>
      </c>
      <c r="D112" s="248"/>
      <c r="E112" s="259"/>
      <c r="F112" s="70" t="str">
        <f>IF(Tableau1[[#This Row],[date debut]]=0,"",IF(Tableau1[[#This Row],[date fin]]=0,"",Tableau1[[#This Row],[Colonne1]]-Tableau1[[#This Row],[date debut]]+1))</f>
        <v/>
      </c>
      <c r="G112" s="70" t="str">
        <f>IF(Tableau1[[#This Row],[date debut]]=0,"",IF(Tableau1[[#This Row],[date fin]]=0,IF(Tableau1[[#This Row],[type]]="travail",Tableau1[[#This Row],[Colonne1]]-Tableau1[[#This Row],[date debut]]+1,""),""))</f>
        <v/>
      </c>
      <c r="H112" s="318" t="str">
        <f>CONCATENATE(Tableau1[[#This Row],[Jours1]],"",Tableau1[[#This Row],[jours2]])</f>
        <v/>
      </c>
      <c r="I112" s="318" t="str">
        <f ca="1">IF(C112="","",NETWORKDAYS(A112,C112))</f>
        <v/>
      </c>
      <c r="J112" t="str">
        <f t="shared" si="2"/>
        <v/>
      </c>
    </row>
    <row r="113" spans="1:10" x14ac:dyDescent="0.25">
      <c r="A113" s="280"/>
      <c r="B113" s="281"/>
      <c r="C113" s="99" t="str">
        <f ca="1">IF(Tableau1[[#This Row],[date fin]]&lt;&gt;0,Tableau1[[#This Row],[date fin]],IF(Tableau1[[#This Row],[type]]="travail",TODAY(),""))</f>
        <v/>
      </c>
      <c r="D113" s="248"/>
      <c r="E113" s="259"/>
      <c r="F113" s="70" t="str">
        <f>IF(Tableau1[[#This Row],[date debut]]=0,"",IF(Tableau1[[#This Row],[date fin]]=0,"",Tableau1[[#This Row],[Colonne1]]-Tableau1[[#This Row],[date debut]]+1))</f>
        <v/>
      </c>
      <c r="G113" s="70" t="str">
        <f>IF(Tableau1[[#This Row],[date debut]]=0,"",IF(Tableau1[[#This Row],[date fin]]=0,IF(Tableau1[[#This Row],[type]]="travail",Tableau1[[#This Row],[Colonne1]]-Tableau1[[#This Row],[date debut]]+1,""),""))</f>
        <v/>
      </c>
      <c r="H113" s="318" t="str">
        <f>CONCATENATE(Tableau1[[#This Row],[Jours1]],"",Tableau1[[#This Row],[jours2]])</f>
        <v/>
      </c>
      <c r="I113" s="318" t="str">
        <f ca="1">IF(C113="","",NETWORKDAYS(A113,C113))</f>
        <v/>
      </c>
      <c r="J113" t="str">
        <f t="shared" si="2"/>
        <v/>
      </c>
    </row>
    <row r="114" spans="1:10" x14ac:dyDescent="0.25">
      <c r="A114" s="280"/>
      <c r="B114" s="281"/>
      <c r="C114" s="99" t="str">
        <f ca="1">IF(Tableau1[[#This Row],[date fin]]&lt;&gt;0,Tableau1[[#This Row],[date fin]],IF(Tableau1[[#This Row],[type]]="travail",TODAY(),""))</f>
        <v/>
      </c>
      <c r="D114" s="248"/>
      <c r="E114" s="259"/>
      <c r="F114" s="70" t="str">
        <f>IF(Tableau1[[#This Row],[date debut]]=0,"",IF(Tableau1[[#This Row],[date fin]]=0,"",Tableau1[[#This Row],[Colonne1]]-Tableau1[[#This Row],[date debut]]+1))</f>
        <v/>
      </c>
      <c r="G114" s="70" t="str">
        <f>IF(Tableau1[[#This Row],[date debut]]=0,"",IF(Tableau1[[#This Row],[date fin]]=0,IF(Tableau1[[#This Row],[type]]="travail",Tableau1[[#This Row],[Colonne1]]-Tableau1[[#This Row],[date debut]]+1,""),""))</f>
        <v/>
      </c>
      <c r="H114" s="318" t="str">
        <f>CONCATENATE(Tableau1[[#This Row],[Jours1]],"",Tableau1[[#This Row],[jours2]])</f>
        <v/>
      </c>
      <c r="I114" s="318" t="str">
        <f ca="1">IF(C114="","",NETWORKDAYS(A114,C114))</f>
        <v/>
      </c>
      <c r="J114" t="str">
        <f t="shared" si="2"/>
        <v/>
      </c>
    </row>
    <row r="115" spans="1:10" x14ac:dyDescent="0.25">
      <c r="A115" s="280"/>
      <c r="B115" s="281"/>
      <c r="C115" s="99" t="str">
        <f ca="1">IF(Tableau1[[#This Row],[date fin]]&lt;&gt;0,Tableau1[[#This Row],[date fin]],IF(Tableau1[[#This Row],[type]]="travail",TODAY(),""))</f>
        <v/>
      </c>
      <c r="D115" s="248"/>
      <c r="E115" s="259"/>
      <c r="F115" s="70" t="str">
        <f>IF(Tableau1[[#This Row],[date debut]]=0,"",IF(Tableau1[[#This Row],[date fin]]=0,"",Tableau1[[#This Row],[Colonne1]]-Tableau1[[#This Row],[date debut]]+1))</f>
        <v/>
      </c>
      <c r="G115" s="70" t="str">
        <f>IF(Tableau1[[#This Row],[date debut]]=0,"",IF(Tableau1[[#This Row],[date fin]]=0,IF(Tableau1[[#This Row],[type]]="travail",Tableau1[[#This Row],[Colonne1]]-Tableau1[[#This Row],[date debut]]+1,""),""))</f>
        <v/>
      </c>
      <c r="H115" s="318" t="str">
        <f>CONCATENATE(Tableau1[[#This Row],[Jours1]],"",Tableau1[[#This Row],[jours2]])</f>
        <v/>
      </c>
      <c r="I115" s="318" t="str">
        <f ca="1">IF(C115="","",NETWORKDAYS(A115,C115))</f>
        <v/>
      </c>
      <c r="J115" t="str">
        <f t="shared" si="2"/>
        <v/>
      </c>
    </row>
    <row r="116" spans="1:10" x14ac:dyDescent="0.25">
      <c r="A116" s="280"/>
      <c r="B116" s="281"/>
      <c r="C116" s="99" t="str">
        <f ca="1">IF(Tableau1[[#This Row],[date fin]]&lt;&gt;0,Tableau1[[#This Row],[date fin]],IF(Tableau1[[#This Row],[type]]="travail",TODAY(),""))</f>
        <v/>
      </c>
      <c r="D116" s="248"/>
      <c r="E116" s="259"/>
      <c r="F116" s="70" t="str">
        <f>IF(Tableau1[[#This Row],[date debut]]=0,"",IF(Tableau1[[#This Row],[date fin]]=0,"",Tableau1[[#This Row],[Colonne1]]-Tableau1[[#This Row],[date debut]]+1))</f>
        <v/>
      </c>
      <c r="G116" s="70" t="str">
        <f>IF(Tableau1[[#This Row],[date debut]]=0,"",IF(Tableau1[[#This Row],[date fin]]=0,IF(Tableau1[[#This Row],[type]]="travail",Tableau1[[#This Row],[Colonne1]]-Tableau1[[#This Row],[date debut]]+1,""),""))</f>
        <v/>
      </c>
      <c r="H116" s="318" t="str">
        <f>CONCATENATE(Tableau1[[#This Row],[Jours1]],"",Tableau1[[#This Row],[jours2]])</f>
        <v/>
      </c>
      <c r="I116" s="318" t="str">
        <f ca="1">IF(C116="","",NETWORKDAYS(A116,C116))</f>
        <v/>
      </c>
      <c r="J116" t="str">
        <f t="shared" si="2"/>
        <v/>
      </c>
    </row>
    <row r="117" spans="1:10" x14ac:dyDescent="0.25">
      <c r="A117" s="280"/>
      <c r="B117" s="281"/>
      <c r="C117" s="99" t="str">
        <f ca="1">IF(Tableau1[[#This Row],[date fin]]&lt;&gt;0,Tableau1[[#This Row],[date fin]],IF(Tableau1[[#This Row],[type]]="travail",TODAY(),""))</f>
        <v/>
      </c>
      <c r="D117" s="248"/>
      <c r="E117" s="259"/>
      <c r="F117" s="70" t="str">
        <f>IF(Tableau1[[#This Row],[date debut]]=0,"",IF(Tableau1[[#This Row],[date fin]]=0,"",Tableau1[[#This Row],[Colonne1]]-Tableau1[[#This Row],[date debut]]+1))</f>
        <v/>
      </c>
      <c r="G117" s="70" t="str">
        <f>IF(Tableau1[[#This Row],[date debut]]=0,"",IF(Tableau1[[#This Row],[date fin]]=0,IF(Tableau1[[#This Row],[type]]="travail",Tableau1[[#This Row],[Colonne1]]-Tableau1[[#This Row],[date debut]]+1,""),""))</f>
        <v/>
      </c>
      <c r="H117" s="318" t="str">
        <f>CONCATENATE(Tableau1[[#This Row],[Jours1]],"",Tableau1[[#This Row],[jours2]])</f>
        <v/>
      </c>
      <c r="I117" s="318" t="str">
        <f ca="1">IF(C117="","",NETWORKDAYS(A117,C117))</f>
        <v/>
      </c>
      <c r="J117" t="str">
        <f t="shared" si="2"/>
        <v/>
      </c>
    </row>
    <row r="118" spans="1:10" x14ac:dyDescent="0.25">
      <c r="A118" s="280"/>
      <c r="B118" s="281"/>
      <c r="C118" s="99" t="str">
        <f ca="1">IF(Tableau1[[#This Row],[date fin]]&lt;&gt;0,Tableau1[[#This Row],[date fin]],IF(Tableau1[[#This Row],[type]]="travail",TODAY(),""))</f>
        <v/>
      </c>
      <c r="D118" s="248"/>
      <c r="E118" s="259"/>
      <c r="F118" s="70" t="str">
        <f>IF(Tableau1[[#This Row],[date debut]]=0,"",IF(Tableau1[[#This Row],[date fin]]=0,"",Tableau1[[#This Row],[Colonne1]]-Tableau1[[#This Row],[date debut]]+1))</f>
        <v/>
      </c>
      <c r="G118" s="70" t="str">
        <f>IF(Tableau1[[#This Row],[date debut]]=0,"",IF(Tableau1[[#This Row],[date fin]]=0,IF(Tableau1[[#This Row],[type]]="travail",Tableau1[[#This Row],[Colonne1]]-Tableau1[[#This Row],[date debut]]+1,""),""))</f>
        <v/>
      </c>
      <c r="H118" s="318" t="str">
        <f>CONCATENATE(Tableau1[[#This Row],[Jours1]],"",Tableau1[[#This Row],[jours2]])</f>
        <v/>
      </c>
      <c r="I118" s="318" t="str">
        <f ca="1">IF(C118="","",NETWORKDAYS(A118,C118))</f>
        <v/>
      </c>
      <c r="J118" t="str">
        <f t="shared" si="2"/>
        <v/>
      </c>
    </row>
    <row r="119" spans="1:10" x14ac:dyDescent="0.25">
      <c r="A119" s="280"/>
      <c r="B119" s="281"/>
      <c r="C119" s="99" t="str">
        <f ca="1">IF(Tableau1[[#This Row],[date fin]]&lt;&gt;0,Tableau1[[#This Row],[date fin]],IF(Tableau1[[#This Row],[type]]="travail",TODAY(),""))</f>
        <v/>
      </c>
      <c r="D119" s="248"/>
      <c r="E119" s="259"/>
      <c r="F119" s="70" t="str">
        <f>IF(Tableau1[[#This Row],[date debut]]=0,"",IF(Tableau1[[#This Row],[date fin]]=0,"",Tableau1[[#This Row],[Colonne1]]-Tableau1[[#This Row],[date debut]]+1))</f>
        <v/>
      </c>
      <c r="G119" s="70" t="str">
        <f>IF(Tableau1[[#This Row],[date debut]]=0,"",IF(Tableau1[[#This Row],[date fin]]=0,IF(Tableau1[[#This Row],[type]]="travail",Tableau1[[#This Row],[Colonne1]]-Tableau1[[#This Row],[date debut]]+1,""),""))</f>
        <v/>
      </c>
      <c r="H119" s="318" t="str">
        <f>CONCATENATE(Tableau1[[#This Row],[Jours1]],"",Tableau1[[#This Row],[jours2]])</f>
        <v/>
      </c>
      <c r="I119" s="318" t="str">
        <f ca="1">IF(C119="","",NETWORKDAYS(A119,C119))</f>
        <v/>
      </c>
      <c r="J119" t="str">
        <f t="shared" si="2"/>
        <v/>
      </c>
    </row>
    <row r="120" spans="1:10" x14ac:dyDescent="0.25">
      <c r="A120" s="280"/>
      <c r="B120" s="281"/>
      <c r="C120" s="99" t="str">
        <f ca="1">IF(Tableau1[[#This Row],[date fin]]&lt;&gt;0,Tableau1[[#This Row],[date fin]],IF(Tableau1[[#This Row],[type]]="travail",TODAY(),""))</f>
        <v/>
      </c>
      <c r="D120" s="248"/>
      <c r="E120" s="259"/>
      <c r="F120" s="70" t="str">
        <f>IF(Tableau1[[#This Row],[date debut]]=0,"",IF(Tableau1[[#This Row],[date fin]]=0,"",Tableau1[[#This Row],[Colonne1]]-Tableau1[[#This Row],[date debut]]+1))</f>
        <v/>
      </c>
      <c r="G120" s="70" t="str">
        <f>IF(Tableau1[[#This Row],[date debut]]=0,"",IF(Tableau1[[#This Row],[date fin]]=0,IF(Tableau1[[#This Row],[type]]="travail",Tableau1[[#This Row],[Colonne1]]-Tableau1[[#This Row],[date debut]]+1,""),""))</f>
        <v/>
      </c>
      <c r="H120" s="318" t="str">
        <f>CONCATENATE(Tableau1[[#This Row],[Jours1]],"",Tableau1[[#This Row],[jours2]])</f>
        <v/>
      </c>
      <c r="I120" s="318" t="str">
        <f ca="1">IF(C120="","",NETWORKDAYS(A120,C120))</f>
        <v/>
      </c>
      <c r="J120" t="str">
        <f t="shared" si="2"/>
        <v/>
      </c>
    </row>
    <row r="121" spans="1:10" x14ac:dyDescent="0.25">
      <c r="A121" s="280"/>
      <c r="B121" s="281"/>
      <c r="C121" s="99" t="str">
        <f ca="1">IF(Tableau1[[#This Row],[date fin]]&lt;&gt;0,Tableau1[[#This Row],[date fin]],IF(Tableau1[[#This Row],[type]]="travail",TODAY(),""))</f>
        <v/>
      </c>
      <c r="D121" s="248"/>
      <c r="E121" s="259"/>
      <c r="F121" s="70" t="str">
        <f>IF(Tableau1[[#This Row],[date debut]]=0,"",IF(Tableau1[[#This Row],[date fin]]=0,"",Tableau1[[#This Row],[Colonne1]]-Tableau1[[#This Row],[date debut]]+1))</f>
        <v/>
      </c>
      <c r="G121" s="70" t="str">
        <f>IF(Tableau1[[#This Row],[date debut]]=0,"",IF(Tableau1[[#This Row],[date fin]]=0,IF(Tableau1[[#This Row],[type]]="travail",Tableau1[[#This Row],[Colonne1]]-Tableau1[[#This Row],[date debut]]+1,""),""))</f>
        <v/>
      </c>
      <c r="H121" s="318" t="str">
        <f>CONCATENATE(Tableau1[[#This Row],[Jours1]],"",Tableau1[[#This Row],[jours2]])</f>
        <v/>
      </c>
      <c r="I121" s="318" t="str">
        <f ca="1">IF(C121="","",NETWORKDAYS(A121,C121))</f>
        <v/>
      </c>
      <c r="J121" t="str">
        <f t="shared" si="2"/>
        <v/>
      </c>
    </row>
    <row r="122" spans="1:10" x14ac:dyDescent="0.25">
      <c r="A122" s="280"/>
      <c r="B122" s="281"/>
      <c r="C122" s="99" t="str">
        <f ca="1">IF(Tableau1[[#This Row],[date fin]]&lt;&gt;0,Tableau1[[#This Row],[date fin]],IF(Tableau1[[#This Row],[type]]="travail",TODAY(),""))</f>
        <v/>
      </c>
      <c r="D122" s="248"/>
      <c r="E122" s="259"/>
      <c r="F122" s="70" t="str">
        <f>IF(Tableau1[[#This Row],[date debut]]=0,"",IF(Tableau1[[#This Row],[date fin]]=0,"",Tableau1[[#This Row],[Colonne1]]-Tableau1[[#This Row],[date debut]]+1))</f>
        <v/>
      </c>
      <c r="G122" s="70" t="str">
        <f>IF(Tableau1[[#This Row],[date debut]]=0,"",IF(Tableau1[[#This Row],[date fin]]=0,IF(Tableau1[[#This Row],[type]]="travail",Tableau1[[#This Row],[Colonne1]]-Tableau1[[#This Row],[date debut]]+1,""),""))</f>
        <v/>
      </c>
      <c r="H122" s="318" t="str">
        <f>CONCATENATE(Tableau1[[#This Row],[Jours1]],"",Tableau1[[#This Row],[jours2]])</f>
        <v/>
      </c>
      <c r="I122" s="318" t="str">
        <f ca="1">IF(C122="","",NETWORKDAYS(A122,C122))</f>
        <v/>
      </c>
      <c r="J122" t="str">
        <f t="shared" si="2"/>
        <v/>
      </c>
    </row>
    <row r="123" spans="1:10" x14ac:dyDescent="0.25">
      <c r="A123" s="280"/>
      <c r="B123" s="281"/>
      <c r="C123" s="99" t="str">
        <f ca="1">IF(Tableau1[[#This Row],[date fin]]&lt;&gt;0,Tableau1[[#This Row],[date fin]],IF(Tableau1[[#This Row],[type]]="travail",TODAY(),""))</f>
        <v/>
      </c>
      <c r="D123" s="248"/>
      <c r="E123" s="259"/>
      <c r="F123" s="70" t="str">
        <f>IF(Tableau1[[#This Row],[date debut]]=0,"",IF(Tableau1[[#This Row],[date fin]]=0,"",Tableau1[[#This Row],[Colonne1]]-Tableau1[[#This Row],[date debut]]+1))</f>
        <v/>
      </c>
      <c r="G123" s="70" t="str">
        <f>IF(Tableau1[[#This Row],[date debut]]=0,"",IF(Tableau1[[#This Row],[date fin]]=0,IF(Tableau1[[#This Row],[type]]="travail",Tableau1[[#This Row],[Colonne1]]-Tableau1[[#This Row],[date debut]]+1,""),""))</f>
        <v/>
      </c>
      <c r="H123" s="318" t="str">
        <f>CONCATENATE(Tableau1[[#This Row],[Jours1]],"",Tableau1[[#This Row],[jours2]])</f>
        <v/>
      </c>
      <c r="I123" s="318" t="str">
        <f ca="1">IF(C123="","",NETWORKDAYS(A123,C123))</f>
        <v/>
      </c>
      <c r="J123" t="str">
        <f t="shared" si="2"/>
        <v/>
      </c>
    </row>
    <row r="124" spans="1:10" x14ac:dyDescent="0.25">
      <c r="A124" s="280"/>
      <c r="B124" s="281"/>
      <c r="C124" s="99" t="str">
        <f ca="1">IF(Tableau1[[#This Row],[date fin]]&lt;&gt;0,Tableau1[[#This Row],[date fin]],IF(Tableau1[[#This Row],[type]]="travail",TODAY(),""))</f>
        <v/>
      </c>
      <c r="D124" s="248"/>
      <c r="E124" s="259"/>
      <c r="F124" s="70" t="str">
        <f>IF(Tableau1[[#This Row],[date debut]]=0,"",IF(Tableau1[[#This Row],[date fin]]=0,"",Tableau1[[#This Row],[Colonne1]]-Tableau1[[#This Row],[date debut]]+1))</f>
        <v/>
      </c>
      <c r="G124" s="70" t="str">
        <f>IF(Tableau1[[#This Row],[date debut]]=0,"",IF(Tableau1[[#This Row],[date fin]]=0,IF(Tableau1[[#This Row],[type]]="travail",Tableau1[[#This Row],[Colonne1]]-Tableau1[[#This Row],[date debut]]+1,""),""))</f>
        <v/>
      </c>
      <c r="H124" s="318" t="str">
        <f>CONCATENATE(Tableau1[[#This Row],[Jours1]],"",Tableau1[[#This Row],[jours2]])</f>
        <v/>
      </c>
      <c r="I124" s="318" t="str">
        <f ca="1">IF(C124="","",NETWORKDAYS(A124,C124))</f>
        <v/>
      </c>
      <c r="J124" t="str">
        <f t="shared" si="2"/>
        <v/>
      </c>
    </row>
    <row r="125" spans="1:10" x14ac:dyDescent="0.25">
      <c r="A125" s="280"/>
      <c r="B125" s="281"/>
      <c r="C125" s="99" t="str">
        <f ca="1">IF(Tableau1[[#This Row],[date fin]]&lt;&gt;0,Tableau1[[#This Row],[date fin]],IF(Tableau1[[#This Row],[type]]="travail",TODAY(),""))</f>
        <v/>
      </c>
      <c r="D125" s="248"/>
      <c r="E125" s="259"/>
      <c r="F125" s="70" t="str">
        <f>IF(Tableau1[[#This Row],[date debut]]=0,"",IF(Tableau1[[#This Row],[date fin]]=0,"",Tableau1[[#This Row],[Colonne1]]-Tableau1[[#This Row],[date debut]]+1))</f>
        <v/>
      </c>
      <c r="G125" s="70" t="str">
        <f>IF(Tableau1[[#This Row],[date debut]]=0,"",IF(Tableau1[[#This Row],[date fin]]=0,IF(Tableau1[[#This Row],[type]]="travail",Tableau1[[#This Row],[Colonne1]]-Tableau1[[#This Row],[date debut]]+1,""),""))</f>
        <v/>
      </c>
      <c r="H125" s="318" t="str">
        <f>CONCATENATE(Tableau1[[#This Row],[Jours1]],"",Tableau1[[#This Row],[jours2]])</f>
        <v/>
      </c>
      <c r="I125" s="318" t="str">
        <f ca="1">IF(C125="","",NETWORKDAYS(A125,C125))</f>
        <v/>
      </c>
      <c r="J125" t="str">
        <f t="shared" si="2"/>
        <v/>
      </c>
    </row>
    <row r="126" spans="1:10" x14ac:dyDescent="0.25">
      <c r="A126" s="280"/>
      <c r="B126" s="281"/>
      <c r="C126" s="99" t="str">
        <f ca="1">IF(Tableau1[[#This Row],[date fin]]&lt;&gt;0,Tableau1[[#This Row],[date fin]],IF(Tableau1[[#This Row],[type]]="travail",TODAY(),""))</f>
        <v/>
      </c>
      <c r="D126" s="248"/>
      <c r="E126" s="259"/>
      <c r="F126" s="70" t="str">
        <f>IF(Tableau1[[#This Row],[date debut]]=0,"",IF(Tableau1[[#This Row],[date fin]]=0,"",Tableau1[[#This Row],[Colonne1]]-Tableau1[[#This Row],[date debut]]+1))</f>
        <v/>
      </c>
      <c r="G126" s="70" t="str">
        <f>IF(Tableau1[[#This Row],[date debut]]=0,"",IF(Tableau1[[#This Row],[date fin]]=0,IF(Tableau1[[#This Row],[type]]="travail",Tableau1[[#This Row],[Colonne1]]-Tableau1[[#This Row],[date debut]]+1,""),""))</f>
        <v/>
      </c>
      <c r="H126" s="318" t="str">
        <f>CONCATENATE(Tableau1[[#This Row],[Jours1]],"",Tableau1[[#This Row],[jours2]])</f>
        <v/>
      </c>
      <c r="I126" s="318" t="str">
        <f ca="1">IF(C126="","",NETWORKDAYS(A126,C126))</f>
        <v/>
      </c>
      <c r="J126" t="str">
        <f t="shared" si="2"/>
        <v/>
      </c>
    </row>
    <row r="127" spans="1:10" x14ac:dyDescent="0.25">
      <c r="A127" s="280"/>
      <c r="B127" s="281"/>
      <c r="C127" s="99" t="str">
        <f ca="1">IF(Tableau1[[#This Row],[date fin]]&lt;&gt;0,Tableau1[[#This Row],[date fin]],IF(Tableau1[[#This Row],[type]]="travail",TODAY(),""))</f>
        <v/>
      </c>
      <c r="D127" s="248"/>
      <c r="E127" s="259"/>
      <c r="F127" s="70" t="str">
        <f>IF(Tableau1[[#This Row],[date debut]]=0,"",IF(Tableau1[[#This Row],[date fin]]=0,"",Tableau1[[#This Row],[Colonne1]]-Tableau1[[#This Row],[date debut]]+1))</f>
        <v/>
      </c>
      <c r="G127" s="70" t="str">
        <f>IF(Tableau1[[#This Row],[date debut]]=0,"",IF(Tableau1[[#This Row],[date fin]]=0,IF(Tableau1[[#This Row],[type]]="travail",Tableau1[[#This Row],[Colonne1]]-Tableau1[[#This Row],[date debut]]+1,""),""))</f>
        <v/>
      </c>
      <c r="H127" s="318" t="str">
        <f>CONCATENATE(Tableau1[[#This Row],[Jours1]],"",Tableau1[[#This Row],[jours2]])</f>
        <v/>
      </c>
      <c r="I127" s="318" t="str">
        <f ca="1">IF(C127="","",NETWORKDAYS(A127,C127))</f>
        <v/>
      </c>
      <c r="J127" t="str">
        <f t="shared" si="2"/>
        <v/>
      </c>
    </row>
    <row r="128" spans="1:10" x14ac:dyDescent="0.25">
      <c r="A128" s="280"/>
      <c r="B128" s="281"/>
      <c r="C128" s="99" t="str">
        <f ca="1">IF(Tableau1[[#This Row],[date fin]]&lt;&gt;0,Tableau1[[#This Row],[date fin]],IF(Tableau1[[#This Row],[type]]="travail",TODAY(),""))</f>
        <v/>
      </c>
      <c r="D128" s="248"/>
      <c r="E128" s="259"/>
      <c r="F128" s="70" t="str">
        <f>IF(Tableau1[[#This Row],[date debut]]=0,"",IF(Tableau1[[#This Row],[date fin]]=0,"",Tableau1[[#This Row],[Colonne1]]-Tableau1[[#This Row],[date debut]]+1))</f>
        <v/>
      </c>
      <c r="G128" s="70" t="str">
        <f>IF(Tableau1[[#This Row],[date debut]]=0,"",IF(Tableau1[[#This Row],[date fin]]=0,IF(Tableau1[[#This Row],[type]]="travail",Tableau1[[#This Row],[Colonne1]]-Tableau1[[#This Row],[date debut]]+1,""),""))</f>
        <v/>
      </c>
      <c r="H128" s="318" t="str">
        <f>CONCATENATE(Tableau1[[#This Row],[Jours1]],"",Tableau1[[#This Row],[jours2]])</f>
        <v/>
      </c>
      <c r="I128" s="318" t="str">
        <f ca="1">IF(C128="","",NETWORKDAYS(A128,C128))</f>
        <v/>
      </c>
      <c r="J128" t="str">
        <f t="shared" si="2"/>
        <v/>
      </c>
    </row>
    <row r="129" spans="1:10" x14ac:dyDescent="0.25">
      <c r="A129" s="280"/>
      <c r="B129" s="281"/>
      <c r="C129" s="99" t="str">
        <f ca="1">IF(Tableau1[[#This Row],[date fin]]&lt;&gt;0,Tableau1[[#This Row],[date fin]],IF(Tableau1[[#This Row],[type]]="travail",TODAY(),""))</f>
        <v/>
      </c>
      <c r="D129" s="248"/>
      <c r="E129" s="259"/>
      <c r="F129" s="70" t="str">
        <f>IF(Tableau1[[#This Row],[date debut]]=0,"",IF(Tableau1[[#This Row],[date fin]]=0,"",Tableau1[[#This Row],[Colonne1]]-Tableau1[[#This Row],[date debut]]+1))</f>
        <v/>
      </c>
      <c r="G129" s="70" t="str">
        <f>IF(Tableau1[[#This Row],[date debut]]=0,"",IF(Tableau1[[#This Row],[date fin]]=0,IF(Tableau1[[#This Row],[type]]="travail",Tableau1[[#This Row],[Colonne1]]-Tableau1[[#This Row],[date debut]]+1,""),""))</f>
        <v/>
      </c>
      <c r="H129" s="318" t="str">
        <f>CONCATENATE(Tableau1[[#This Row],[Jours1]],"",Tableau1[[#This Row],[jours2]])</f>
        <v/>
      </c>
      <c r="I129" s="318" t="str">
        <f ca="1">IF(C129="","",NETWORKDAYS(A129,C129))</f>
        <v/>
      </c>
      <c r="J129" t="str">
        <f t="shared" si="2"/>
        <v/>
      </c>
    </row>
    <row r="130" spans="1:10" x14ac:dyDescent="0.25">
      <c r="A130" s="280"/>
      <c r="B130" s="281"/>
      <c r="C130" s="99" t="str">
        <f ca="1">IF(Tableau1[[#This Row],[date fin]]&lt;&gt;0,Tableau1[[#This Row],[date fin]],IF(Tableau1[[#This Row],[type]]="travail",TODAY(),""))</f>
        <v/>
      </c>
      <c r="D130" s="248"/>
      <c r="E130" s="259"/>
      <c r="F130" s="70" t="str">
        <f>IF(Tableau1[[#This Row],[date debut]]=0,"",IF(Tableau1[[#This Row],[date fin]]=0,"",Tableau1[[#This Row],[Colonne1]]-Tableau1[[#This Row],[date debut]]+1))</f>
        <v/>
      </c>
      <c r="G130" s="70" t="str">
        <f>IF(Tableau1[[#This Row],[date debut]]=0,"",IF(Tableau1[[#This Row],[date fin]]=0,IF(Tableau1[[#This Row],[type]]="travail",Tableau1[[#This Row],[Colonne1]]-Tableau1[[#This Row],[date debut]]+1,""),""))</f>
        <v/>
      </c>
      <c r="H130" s="318" t="str">
        <f>CONCATENATE(Tableau1[[#This Row],[Jours1]],"",Tableau1[[#This Row],[jours2]])</f>
        <v/>
      </c>
      <c r="I130" s="318" t="str">
        <f ca="1">IF(C130="","",NETWORKDAYS(A130,C130))</f>
        <v/>
      </c>
      <c r="J130" t="str">
        <f t="shared" si="2"/>
        <v/>
      </c>
    </row>
    <row r="131" spans="1:10" x14ac:dyDescent="0.25">
      <c r="A131" s="280"/>
      <c r="B131" s="281"/>
      <c r="C131" s="99" t="str">
        <f ca="1">IF(Tableau1[[#This Row],[date fin]]&lt;&gt;0,Tableau1[[#This Row],[date fin]],IF(Tableau1[[#This Row],[type]]="travail",TODAY(),""))</f>
        <v/>
      </c>
      <c r="D131" s="248"/>
      <c r="E131" s="259"/>
      <c r="F131" s="70" t="str">
        <f>IF(Tableau1[[#This Row],[date debut]]=0,"",IF(Tableau1[[#This Row],[date fin]]=0,"",Tableau1[[#This Row],[Colonne1]]-Tableau1[[#This Row],[date debut]]+1))</f>
        <v/>
      </c>
      <c r="G131" s="70" t="str">
        <f>IF(Tableau1[[#This Row],[date debut]]=0,"",IF(Tableau1[[#This Row],[date fin]]=0,IF(Tableau1[[#This Row],[type]]="travail",Tableau1[[#This Row],[Colonne1]]-Tableau1[[#This Row],[date debut]]+1,""),""))</f>
        <v/>
      </c>
      <c r="H131" s="318" t="str">
        <f>CONCATENATE(Tableau1[[#This Row],[Jours1]],"",Tableau1[[#This Row],[jours2]])</f>
        <v/>
      </c>
      <c r="I131" s="318" t="str">
        <f ca="1">IF(C131="","",NETWORKDAYS(A131,C131))</f>
        <v/>
      </c>
      <c r="J131" t="str">
        <f t="shared" si="2"/>
        <v/>
      </c>
    </row>
    <row r="132" spans="1:10" x14ac:dyDescent="0.25">
      <c r="A132" s="280"/>
      <c r="B132" s="281"/>
      <c r="C132" s="99" t="str">
        <f ca="1">IF(Tableau1[[#This Row],[date fin]]&lt;&gt;0,Tableau1[[#This Row],[date fin]],IF(Tableau1[[#This Row],[type]]="travail",TODAY(),""))</f>
        <v/>
      </c>
      <c r="D132" s="248"/>
      <c r="E132" s="259"/>
      <c r="F132" s="70" t="str">
        <f>IF(Tableau1[[#This Row],[date debut]]=0,"",IF(Tableau1[[#This Row],[date fin]]=0,"",Tableau1[[#This Row],[Colonne1]]-Tableau1[[#This Row],[date debut]]+1))</f>
        <v/>
      </c>
      <c r="G132" s="70" t="str">
        <f>IF(Tableau1[[#This Row],[date debut]]=0,"",IF(Tableau1[[#This Row],[date fin]]=0,IF(Tableau1[[#This Row],[type]]="travail",Tableau1[[#This Row],[Colonne1]]-Tableau1[[#This Row],[date debut]]+1,""),""))</f>
        <v/>
      </c>
      <c r="H132" s="318" t="str">
        <f>CONCATENATE(Tableau1[[#This Row],[Jours1]],"",Tableau1[[#This Row],[jours2]])</f>
        <v/>
      </c>
      <c r="I132" s="318" t="str">
        <f ca="1">IF(C132="","",NETWORKDAYS(A132,C132))</f>
        <v/>
      </c>
      <c r="J132" t="str">
        <f t="shared" ref="J132:J190" si="3">IF(ISERROR(VLOOKUP(E132,$M$3:$N$25,2,0)),"",VLOOKUP(E132,$M$3:$N$25,2,0))</f>
        <v/>
      </c>
    </row>
    <row r="133" spans="1:10" x14ac:dyDescent="0.25">
      <c r="A133" s="280"/>
      <c r="B133" s="281"/>
      <c r="C133" s="99" t="str">
        <f ca="1">IF(Tableau1[[#This Row],[date fin]]&lt;&gt;0,Tableau1[[#This Row],[date fin]],IF(Tableau1[[#This Row],[type]]="travail",TODAY(),""))</f>
        <v/>
      </c>
      <c r="D133" s="248"/>
      <c r="E133" s="259"/>
      <c r="F133" s="70" t="str">
        <f>IF(Tableau1[[#This Row],[date debut]]=0,"",IF(Tableau1[[#This Row],[date fin]]=0,"",Tableau1[[#This Row],[Colonne1]]-Tableau1[[#This Row],[date debut]]+1))</f>
        <v/>
      </c>
      <c r="G133" s="70" t="str">
        <f>IF(Tableau1[[#This Row],[date debut]]=0,"",IF(Tableau1[[#This Row],[date fin]]=0,IF(Tableau1[[#This Row],[type]]="travail",Tableau1[[#This Row],[Colonne1]]-Tableau1[[#This Row],[date debut]]+1,""),""))</f>
        <v/>
      </c>
      <c r="H133" s="318" t="str">
        <f>CONCATENATE(Tableau1[[#This Row],[Jours1]],"",Tableau1[[#This Row],[jours2]])</f>
        <v/>
      </c>
      <c r="I133" s="318" t="str">
        <f ca="1">IF(C133="","",NETWORKDAYS(A133,C133))</f>
        <v/>
      </c>
      <c r="J133" t="str">
        <f t="shared" si="3"/>
        <v/>
      </c>
    </row>
    <row r="134" spans="1:10" x14ac:dyDescent="0.25">
      <c r="A134" s="280"/>
      <c r="B134" s="281"/>
      <c r="C134" s="99" t="str">
        <f ca="1">IF(Tableau1[[#This Row],[date fin]]&lt;&gt;0,Tableau1[[#This Row],[date fin]],IF(Tableau1[[#This Row],[type]]="travail",TODAY(),""))</f>
        <v/>
      </c>
      <c r="D134" s="248"/>
      <c r="E134" s="259"/>
      <c r="F134" s="70" t="str">
        <f>IF(Tableau1[[#This Row],[date debut]]=0,"",IF(Tableau1[[#This Row],[date fin]]=0,"",Tableau1[[#This Row],[Colonne1]]-Tableau1[[#This Row],[date debut]]+1))</f>
        <v/>
      </c>
      <c r="G134" s="70" t="str">
        <f>IF(Tableau1[[#This Row],[date debut]]=0,"",IF(Tableau1[[#This Row],[date fin]]=0,IF(Tableau1[[#This Row],[type]]="travail",Tableau1[[#This Row],[Colonne1]]-Tableau1[[#This Row],[date debut]]+1,""),""))</f>
        <v/>
      </c>
      <c r="H134" s="318" t="str">
        <f>CONCATENATE(Tableau1[[#This Row],[Jours1]],"",Tableau1[[#This Row],[jours2]])</f>
        <v/>
      </c>
      <c r="I134" s="318" t="str">
        <f ca="1">IF(C134="","",NETWORKDAYS(A134,C134))</f>
        <v/>
      </c>
      <c r="J134" t="str">
        <f t="shared" si="3"/>
        <v/>
      </c>
    </row>
    <row r="135" spans="1:10" x14ac:dyDescent="0.25">
      <c r="A135" s="280"/>
      <c r="B135" s="281"/>
      <c r="C135" s="99" t="str">
        <f ca="1">IF(Tableau1[[#This Row],[date fin]]&lt;&gt;0,Tableau1[[#This Row],[date fin]],IF(Tableau1[[#This Row],[type]]="travail",TODAY(),""))</f>
        <v/>
      </c>
      <c r="D135" s="248"/>
      <c r="E135" s="259"/>
      <c r="F135" s="70" t="str">
        <f>IF(Tableau1[[#This Row],[date debut]]=0,"",IF(Tableau1[[#This Row],[date fin]]=0,"",Tableau1[[#This Row],[Colonne1]]-Tableau1[[#This Row],[date debut]]+1))</f>
        <v/>
      </c>
      <c r="G135" s="70" t="str">
        <f>IF(Tableau1[[#This Row],[date debut]]=0,"",IF(Tableau1[[#This Row],[date fin]]=0,IF(Tableau1[[#This Row],[type]]="travail",Tableau1[[#This Row],[Colonne1]]-Tableau1[[#This Row],[date debut]]+1,""),""))</f>
        <v/>
      </c>
      <c r="H135" s="318" t="str">
        <f>CONCATENATE(Tableau1[[#This Row],[Jours1]],"",Tableau1[[#This Row],[jours2]])</f>
        <v/>
      </c>
      <c r="I135" s="318" t="str">
        <f ca="1">IF(C135="","",NETWORKDAYS(A135,C135))</f>
        <v/>
      </c>
      <c r="J135" t="str">
        <f t="shared" si="3"/>
        <v/>
      </c>
    </row>
    <row r="136" spans="1:10" x14ac:dyDescent="0.25">
      <c r="A136" s="280"/>
      <c r="B136" s="281"/>
      <c r="C136" s="99" t="str">
        <f ca="1">IF(Tableau1[[#This Row],[date fin]]&lt;&gt;0,Tableau1[[#This Row],[date fin]],IF(Tableau1[[#This Row],[type]]="travail",TODAY(),""))</f>
        <v/>
      </c>
      <c r="D136" s="248"/>
      <c r="E136" s="259"/>
      <c r="F136" s="70" t="str">
        <f>IF(Tableau1[[#This Row],[date debut]]=0,"",IF(Tableau1[[#This Row],[date fin]]=0,"",Tableau1[[#This Row],[Colonne1]]-Tableau1[[#This Row],[date debut]]+1))</f>
        <v/>
      </c>
      <c r="G136" s="70" t="str">
        <f>IF(Tableau1[[#This Row],[date debut]]=0,"",IF(Tableau1[[#This Row],[date fin]]=0,IF(Tableau1[[#This Row],[type]]="travail",Tableau1[[#This Row],[Colonne1]]-Tableau1[[#This Row],[date debut]]+1,""),""))</f>
        <v/>
      </c>
      <c r="H136" s="318" t="str">
        <f>CONCATENATE(Tableau1[[#This Row],[Jours1]],"",Tableau1[[#This Row],[jours2]])</f>
        <v/>
      </c>
      <c r="I136" s="318" t="str">
        <f ca="1">IF(C136="","",NETWORKDAYS(A136,C136))</f>
        <v/>
      </c>
      <c r="J136" t="str">
        <f t="shared" si="3"/>
        <v/>
      </c>
    </row>
    <row r="137" spans="1:10" x14ac:dyDescent="0.25">
      <c r="A137" s="280"/>
      <c r="B137" s="281"/>
      <c r="C137" s="99" t="str">
        <f ca="1">IF(Tableau1[[#This Row],[date fin]]&lt;&gt;0,Tableau1[[#This Row],[date fin]],IF(Tableau1[[#This Row],[type]]="travail",TODAY(),""))</f>
        <v/>
      </c>
      <c r="D137" s="248"/>
      <c r="E137" s="259"/>
      <c r="F137" s="70" t="str">
        <f>IF(Tableau1[[#This Row],[date debut]]=0,"",IF(Tableau1[[#This Row],[date fin]]=0,"",Tableau1[[#This Row],[Colonne1]]-Tableau1[[#This Row],[date debut]]+1))</f>
        <v/>
      </c>
      <c r="G137" s="70" t="str">
        <f>IF(Tableau1[[#This Row],[date debut]]=0,"",IF(Tableau1[[#This Row],[date fin]]=0,IF(Tableau1[[#This Row],[type]]="travail",Tableau1[[#This Row],[Colonne1]]-Tableau1[[#This Row],[date debut]]+1,""),""))</f>
        <v/>
      </c>
      <c r="H137" s="318" t="str">
        <f>CONCATENATE(Tableau1[[#This Row],[Jours1]],"",Tableau1[[#This Row],[jours2]])</f>
        <v/>
      </c>
      <c r="I137" s="318" t="str">
        <f ca="1">IF(C137="","",NETWORKDAYS(A137,C137))</f>
        <v/>
      </c>
      <c r="J137" t="str">
        <f t="shared" si="3"/>
        <v/>
      </c>
    </row>
    <row r="138" spans="1:10" x14ac:dyDescent="0.25">
      <c r="A138" s="280"/>
      <c r="B138" s="281"/>
      <c r="C138" s="99" t="str">
        <f ca="1">IF(Tableau1[[#This Row],[date fin]]&lt;&gt;0,Tableau1[[#This Row],[date fin]],IF(Tableau1[[#This Row],[type]]="travail",TODAY(),""))</f>
        <v/>
      </c>
      <c r="D138" s="248"/>
      <c r="E138" s="259"/>
      <c r="F138" s="70" t="str">
        <f>IF(Tableau1[[#This Row],[date debut]]=0,"",IF(Tableau1[[#This Row],[date fin]]=0,"",Tableau1[[#This Row],[Colonne1]]-Tableau1[[#This Row],[date debut]]+1))</f>
        <v/>
      </c>
      <c r="G138" s="70" t="str">
        <f>IF(Tableau1[[#This Row],[date debut]]=0,"",IF(Tableau1[[#This Row],[date fin]]=0,IF(Tableau1[[#This Row],[type]]="travail",Tableau1[[#This Row],[Colonne1]]-Tableau1[[#This Row],[date debut]]+1,""),""))</f>
        <v/>
      </c>
      <c r="H138" s="318" t="str">
        <f>CONCATENATE(Tableau1[[#This Row],[Jours1]],"",Tableau1[[#This Row],[jours2]])</f>
        <v/>
      </c>
      <c r="I138" s="318" t="str">
        <f ca="1">IF(C138="","",NETWORKDAYS(A138,C138))</f>
        <v/>
      </c>
      <c r="J138" t="str">
        <f t="shared" si="3"/>
        <v/>
      </c>
    </row>
    <row r="139" spans="1:10" x14ac:dyDescent="0.25">
      <c r="A139" s="280"/>
      <c r="B139" s="281"/>
      <c r="C139" s="99" t="str">
        <f ca="1">IF(Tableau1[[#This Row],[date fin]]&lt;&gt;0,Tableau1[[#This Row],[date fin]],IF(Tableau1[[#This Row],[type]]="travail",TODAY(),""))</f>
        <v/>
      </c>
      <c r="D139" s="248"/>
      <c r="E139" s="259"/>
      <c r="F139" s="70" t="str">
        <f>IF(Tableau1[[#This Row],[date debut]]=0,"",IF(Tableau1[[#This Row],[date fin]]=0,"",Tableau1[[#This Row],[Colonne1]]-Tableau1[[#This Row],[date debut]]+1))</f>
        <v/>
      </c>
      <c r="G139" s="70" t="str">
        <f>IF(Tableau1[[#This Row],[date debut]]=0,"",IF(Tableau1[[#This Row],[date fin]]=0,IF(Tableau1[[#This Row],[type]]="travail",Tableau1[[#This Row],[Colonne1]]-Tableau1[[#This Row],[date debut]]+1,""),""))</f>
        <v/>
      </c>
      <c r="H139" s="318" t="str">
        <f>CONCATENATE(Tableau1[[#This Row],[Jours1]],"",Tableau1[[#This Row],[jours2]])</f>
        <v/>
      </c>
      <c r="I139" s="318" t="str">
        <f ca="1">IF(C139="","",NETWORKDAYS(A139,C139))</f>
        <v/>
      </c>
      <c r="J139" t="str">
        <f t="shared" si="3"/>
        <v/>
      </c>
    </row>
    <row r="140" spans="1:10" x14ac:dyDescent="0.25">
      <c r="A140" s="280"/>
      <c r="B140" s="281"/>
      <c r="C140" s="99" t="str">
        <f ca="1">IF(Tableau1[[#This Row],[date fin]]&lt;&gt;0,Tableau1[[#This Row],[date fin]],IF(Tableau1[[#This Row],[type]]="travail",TODAY(),""))</f>
        <v/>
      </c>
      <c r="D140" s="248"/>
      <c r="E140" s="259"/>
      <c r="F140" s="70" t="str">
        <f>IF(Tableau1[[#This Row],[date debut]]=0,"",IF(Tableau1[[#This Row],[date fin]]=0,"",Tableau1[[#This Row],[Colonne1]]-Tableau1[[#This Row],[date debut]]+1))</f>
        <v/>
      </c>
      <c r="G140" s="70" t="str">
        <f>IF(Tableau1[[#This Row],[date debut]]=0,"",IF(Tableau1[[#This Row],[date fin]]=0,IF(Tableau1[[#This Row],[type]]="travail",Tableau1[[#This Row],[Colonne1]]-Tableau1[[#This Row],[date debut]]+1,""),""))</f>
        <v/>
      </c>
      <c r="H140" s="318" t="str">
        <f>CONCATENATE(Tableau1[[#This Row],[Jours1]],"",Tableau1[[#This Row],[jours2]])</f>
        <v/>
      </c>
      <c r="I140" s="318" t="str">
        <f ca="1">IF(C140="","",NETWORKDAYS(A140,C140))</f>
        <v/>
      </c>
      <c r="J140" t="str">
        <f t="shared" si="3"/>
        <v/>
      </c>
    </row>
    <row r="141" spans="1:10" x14ac:dyDescent="0.25">
      <c r="A141" s="280"/>
      <c r="B141" s="281"/>
      <c r="C141" s="99" t="str">
        <f ca="1">IF(Tableau1[[#This Row],[date fin]]&lt;&gt;0,Tableau1[[#This Row],[date fin]],IF(Tableau1[[#This Row],[type]]="travail",TODAY(),""))</f>
        <v/>
      </c>
      <c r="D141" s="248"/>
      <c r="E141" s="259"/>
      <c r="F141" s="70" t="str">
        <f>IF(Tableau1[[#This Row],[date debut]]=0,"",IF(Tableau1[[#This Row],[date fin]]=0,"",Tableau1[[#This Row],[Colonne1]]-Tableau1[[#This Row],[date debut]]+1))</f>
        <v/>
      </c>
      <c r="G141" s="70" t="str">
        <f>IF(Tableau1[[#This Row],[date debut]]=0,"",IF(Tableau1[[#This Row],[date fin]]=0,IF(Tableau1[[#This Row],[type]]="travail",Tableau1[[#This Row],[Colonne1]]-Tableau1[[#This Row],[date debut]]+1,""),""))</f>
        <v/>
      </c>
      <c r="H141" s="318" t="str">
        <f>CONCATENATE(Tableau1[[#This Row],[Jours1]],"",Tableau1[[#This Row],[jours2]])</f>
        <v/>
      </c>
      <c r="I141" s="318" t="str">
        <f ca="1">IF(C141="","",NETWORKDAYS(A141,C141))</f>
        <v/>
      </c>
      <c r="J141" t="str">
        <f t="shared" si="3"/>
        <v/>
      </c>
    </row>
    <row r="142" spans="1:10" x14ac:dyDescent="0.25">
      <c r="A142" s="280"/>
      <c r="B142" s="281"/>
      <c r="C142" s="99" t="str">
        <f ca="1">IF(Tableau1[[#This Row],[date fin]]&lt;&gt;0,Tableau1[[#This Row],[date fin]],IF(Tableau1[[#This Row],[type]]="travail",TODAY(),""))</f>
        <v/>
      </c>
      <c r="D142" s="248"/>
      <c r="E142" s="259"/>
      <c r="F142" s="70" t="str">
        <f>IF(Tableau1[[#This Row],[date debut]]=0,"",IF(Tableau1[[#This Row],[date fin]]=0,"",Tableau1[[#This Row],[Colonne1]]-Tableau1[[#This Row],[date debut]]+1))</f>
        <v/>
      </c>
      <c r="G142" s="70" t="str">
        <f>IF(Tableau1[[#This Row],[date debut]]=0,"",IF(Tableau1[[#This Row],[date fin]]=0,IF(Tableau1[[#This Row],[type]]="travail",Tableau1[[#This Row],[Colonne1]]-Tableau1[[#This Row],[date debut]]+1,""),""))</f>
        <v/>
      </c>
      <c r="H142" s="318" t="str">
        <f>CONCATENATE(Tableau1[[#This Row],[Jours1]],"",Tableau1[[#This Row],[jours2]])</f>
        <v/>
      </c>
      <c r="I142" s="318" t="str">
        <f ca="1">IF(C142="","",NETWORKDAYS(A142,C142))</f>
        <v/>
      </c>
      <c r="J142" t="str">
        <f t="shared" si="3"/>
        <v/>
      </c>
    </row>
    <row r="143" spans="1:10" x14ac:dyDescent="0.25">
      <c r="A143" s="280"/>
      <c r="B143" s="281"/>
      <c r="C143" s="99" t="str">
        <f ca="1">IF(Tableau1[[#This Row],[date fin]]&lt;&gt;0,Tableau1[[#This Row],[date fin]],IF(Tableau1[[#This Row],[type]]="travail",TODAY(),""))</f>
        <v/>
      </c>
      <c r="D143" s="248"/>
      <c r="E143" s="259"/>
      <c r="F143" s="70" t="str">
        <f>IF(Tableau1[[#This Row],[date debut]]=0,"",IF(Tableau1[[#This Row],[date fin]]=0,"",Tableau1[[#This Row],[Colonne1]]-Tableau1[[#This Row],[date debut]]+1))</f>
        <v/>
      </c>
      <c r="G143" s="70" t="str">
        <f>IF(Tableau1[[#This Row],[date debut]]=0,"",IF(Tableau1[[#This Row],[date fin]]=0,IF(Tableau1[[#This Row],[type]]="travail",Tableau1[[#This Row],[Colonne1]]-Tableau1[[#This Row],[date debut]]+1,""),""))</f>
        <v/>
      </c>
      <c r="H143" s="318" t="str">
        <f>CONCATENATE(Tableau1[[#This Row],[Jours1]],"",Tableau1[[#This Row],[jours2]])</f>
        <v/>
      </c>
      <c r="I143" s="318" t="str">
        <f ca="1">IF(C143="","",NETWORKDAYS(A143,C143))</f>
        <v/>
      </c>
      <c r="J143" t="str">
        <f t="shared" si="3"/>
        <v/>
      </c>
    </row>
    <row r="144" spans="1:10" x14ac:dyDescent="0.25">
      <c r="A144" s="280"/>
      <c r="B144" s="281"/>
      <c r="C144" s="99" t="str">
        <f ca="1">IF(Tableau1[[#This Row],[date fin]]&lt;&gt;0,Tableau1[[#This Row],[date fin]],IF(Tableau1[[#This Row],[type]]="travail",TODAY(),""))</f>
        <v/>
      </c>
      <c r="D144" s="248"/>
      <c r="E144" s="259"/>
      <c r="F144" s="70" t="str">
        <f>IF(Tableau1[[#This Row],[date debut]]=0,"",IF(Tableau1[[#This Row],[date fin]]=0,"",Tableau1[[#This Row],[Colonne1]]-Tableau1[[#This Row],[date debut]]+1))</f>
        <v/>
      </c>
      <c r="G144" s="70" t="str">
        <f>IF(Tableau1[[#This Row],[date debut]]=0,"",IF(Tableau1[[#This Row],[date fin]]=0,IF(Tableau1[[#This Row],[type]]="travail",Tableau1[[#This Row],[Colonne1]]-Tableau1[[#This Row],[date debut]]+1,""),""))</f>
        <v/>
      </c>
      <c r="H144" s="318" t="str">
        <f>CONCATENATE(Tableau1[[#This Row],[Jours1]],"",Tableau1[[#This Row],[jours2]])</f>
        <v/>
      </c>
      <c r="I144" s="318" t="str">
        <f ca="1">IF(C144="","",NETWORKDAYS(A144,C144))</f>
        <v/>
      </c>
      <c r="J144" t="str">
        <f t="shared" si="3"/>
        <v/>
      </c>
    </row>
    <row r="145" spans="1:10" x14ac:dyDescent="0.25">
      <c r="A145" s="280"/>
      <c r="B145" s="281"/>
      <c r="C145" s="99" t="str">
        <f ca="1">IF(Tableau1[[#This Row],[date fin]]&lt;&gt;0,Tableau1[[#This Row],[date fin]],IF(Tableau1[[#This Row],[type]]="travail",TODAY(),""))</f>
        <v/>
      </c>
      <c r="D145" s="248"/>
      <c r="E145" s="259"/>
      <c r="F145" s="70" t="str">
        <f>IF(Tableau1[[#This Row],[date debut]]=0,"",IF(Tableau1[[#This Row],[date fin]]=0,"",Tableau1[[#This Row],[Colonne1]]-Tableau1[[#This Row],[date debut]]+1))</f>
        <v/>
      </c>
      <c r="G145" s="70" t="str">
        <f>IF(Tableau1[[#This Row],[date debut]]=0,"",IF(Tableau1[[#This Row],[date fin]]=0,IF(Tableau1[[#This Row],[type]]="travail",Tableau1[[#This Row],[Colonne1]]-Tableau1[[#This Row],[date debut]]+1,""),""))</f>
        <v/>
      </c>
      <c r="H145" s="318" t="str">
        <f>CONCATENATE(Tableau1[[#This Row],[Jours1]],"",Tableau1[[#This Row],[jours2]])</f>
        <v/>
      </c>
      <c r="I145" s="318" t="str">
        <f ca="1">IF(C145="","",NETWORKDAYS(A145,C145))</f>
        <v/>
      </c>
      <c r="J145" t="str">
        <f t="shared" si="3"/>
        <v/>
      </c>
    </row>
    <row r="146" spans="1:10" x14ac:dyDescent="0.25">
      <c r="A146" s="280"/>
      <c r="B146" s="281"/>
      <c r="C146" s="99" t="str">
        <f ca="1">IF(Tableau1[[#This Row],[date fin]]&lt;&gt;0,Tableau1[[#This Row],[date fin]],IF(Tableau1[[#This Row],[type]]="travail",TODAY(),""))</f>
        <v/>
      </c>
      <c r="D146" s="248"/>
      <c r="E146" s="259"/>
      <c r="F146" s="70" t="str">
        <f>IF(Tableau1[[#This Row],[date debut]]=0,"",IF(Tableau1[[#This Row],[date fin]]=0,"",Tableau1[[#This Row],[Colonne1]]-Tableau1[[#This Row],[date debut]]+1))</f>
        <v/>
      </c>
      <c r="G146" s="70" t="str">
        <f>IF(Tableau1[[#This Row],[date debut]]=0,"",IF(Tableau1[[#This Row],[date fin]]=0,IF(Tableau1[[#This Row],[type]]="travail",Tableau1[[#This Row],[Colonne1]]-Tableau1[[#This Row],[date debut]]+1,""),""))</f>
        <v/>
      </c>
      <c r="H146" s="318" t="str">
        <f>CONCATENATE(Tableau1[[#This Row],[Jours1]],"",Tableau1[[#This Row],[jours2]])</f>
        <v/>
      </c>
      <c r="I146" s="318" t="str">
        <f ca="1">IF(C146="","",NETWORKDAYS(A146,C146))</f>
        <v/>
      </c>
      <c r="J146" t="str">
        <f t="shared" si="3"/>
        <v/>
      </c>
    </row>
    <row r="147" spans="1:10" x14ac:dyDescent="0.25">
      <c r="A147" s="280"/>
      <c r="B147" s="281"/>
      <c r="C147" s="99" t="str">
        <f ca="1">IF(Tableau1[[#This Row],[date fin]]&lt;&gt;0,Tableau1[[#This Row],[date fin]],IF(Tableau1[[#This Row],[type]]="travail",TODAY(),""))</f>
        <v/>
      </c>
      <c r="D147" s="248"/>
      <c r="E147" s="259"/>
      <c r="F147" s="70" t="str">
        <f>IF(Tableau1[[#This Row],[date debut]]=0,"",IF(Tableau1[[#This Row],[date fin]]=0,"",Tableau1[[#This Row],[Colonne1]]-Tableau1[[#This Row],[date debut]]+1))</f>
        <v/>
      </c>
      <c r="G147" s="70" t="str">
        <f>IF(Tableau1[[#This Row],[date debut]]=0,"",IF(Tableau1[[#This Row],[date fin]]=0,IF(Tableau1[[#This Row],[type]]="travail",Tableau1[[#This Row],[Colonne1]]-Tableau1[[#This Row],[date debut]]+1,""),""))</f>
        <v/>
      </c>
      <c r="H147" s="318" t="str">
        <f>CONCATENATE(Tableau1[[#This Row],[Jours1]],"",Tableau1[[#This Row],[jours2]])</f>
        <v/>
      </c>
      <c r="I147" s="318" t="str">
        <f ca="1">IF(C147="","",NETWORKDAYS(A147,C147))</f>
        <v/>
      </c>
      <c r="J147" t="str">
        <f t="shared" si="3"/>
        <v/>
      </c>
    </row>
    <row r="148" spans="1:10" x14ac:dyDescent="0.25">
      <c r="A148" s="280"/>
      <c r="B148" s="281"/>
      <c r="C148" s="99" t="str">
        <f ca="1">IF(Tableau1[[#This Row],[date fin]]&lt;&gt;0,Tableau1[[#This Row],[date fin]],IF(Tableau1[[#This Row],[type]]="travail",TODAY(),""))</f>
        <v/>
      </c>
      <c r="D148" s="248"/>
      <c r="E148" s="259"/>
      <c r="F148" s="70" t="str">
        <f>IF(Tableau1[[#This Row],[date debut]]=0,"",IF(Tableau1[[#This Row],[date fin]]=0,"",Tableau1[[#This Row],[Colonne1]]-Tableau1[[#This Row],[date debut]]+1))</f>
        <v/>
      </c>
      <c r="G148" s="70" t="str">
        <f>IF(Tableau1[[#This Row],[date debut]]=0,"",IF(Tableau1[[#This Row],[date fin]]=0,IF(Tableau1[[#This Row],[type]]="travail",Tableau1[[#This Row],[Colonne1]]-Tableau1[[#This Row],[date debut]]+1,""),""))</f>
        <v/>
      </c>
      <c r="H148" s="318" t="str">
        <f>CONCATENATE(Tableau1[[#This Row],[Jours1]],"",Tableau1[[#This Row],[jours2]])</f>
        <v/>
      </c>
      <c r="I148" s="318" t="str">
        <f ca="1">IF(C148="","",NETWORKDAYS(A148,C148))</f>
        <v/>
      </c>
      <c r="J148" t="str">
        <f t="shared" si="3"/>
        <v/>
      </c>
    </row>
    <row r="149" spans="1:10" x14ac:dyDescent="0.25">
      <c r="A149" s="280"/>
      <c r="B149" s="281"/>
      <c r="C149" s="99" t="str">
        <f ca="1">IF(Tableau1[[#This Row],[date fin]]&lt;&gt;0,Tableau1[[#This Row],[date fin]],IF(Tableau1[[#This Row],[type]]="travail",TODAY(),""))</f>
        <v/>
      </c>
      <c r="D149" s="248"/>
      <c r="E149" s="259"/>
      <c r="F149" s="70" t="str">
        <f>IF(Tableau1[[#This Row],[date debut]]=0,"",IF(Tableau1[[#This Row],[date fin]]=0,"",Tableau1[[#This Row],[Colonne1]]-Tableau1[[#This Row],[date debut]]+1))</f>
        <v/>
      </c>
      <c r="G149" s="70" t="str">
        <f>IF(Tableau1[[#This Row],[date debut]]=0,"",IF(Tableau1[[#This Row],[date fin]]=0,IF(Tableau1[[#This Row],[type]]="travail",Tableau1[[#This Row],[Colonne1]]-Tableau1[[#This Row],[date debut]]+1,""),""))</f>
        <v/>
      </c>
      <c r="H149" s="318" t="str">
        <f>CONCATENATE(Tableau1[[#This Row],[Jours1]],"",Tableau1[[#This Row],[jours2]])</f>
        <v/>
      </c>
      <c r="I149" s="318" t="str">
        <f ca="1">IF(C149="","",NETWORKDAYS(A149,C149))</f>
        <v/>
      </c>
      <c r="J149" t="str">
        <f t="shared" si="3"/>
        <v/>
      </c>
    </row>
    <row r="150" spans="1:10" x14ac:dyDescent="0.25">
      <c r="A150" s="280"/>
      <c r="B150" s="281"/>
      <c r="C150" s="99" t="str">
        <f ca="1">IF(Tableau1[[#This Row],[date fin]]&lt;&gt;0,Tableau1[[#This Row],[date fin]],IF(Tableau1[[#This Row],[type]]="travail",TODAY(),""))</f>
        <v/>
      </c>
      <c r="D150" s="248"/>
      <c r="E150" s="259"/>
      <c r="F150" s="70" t="str">
        <f>IF(Tableau1[[#This Row],[date debut]]=0,"",IF(Tableau1[[#This Row],[date fin]]=0,"",Tableau1[[#This Row],[Colonne1]]-Tableau1[[#This Row],[date debut]]+1))</f>
        <v/>
      </c>
      <c r="G150" s="70" t="str">
        <f>IF(Tableau1[[#This Row],[date debut]]=0,"",IF(Tableau1[[#This Row],[date fin]]=0,IF(Tableau1[[#This Row],[type]]="travail",Tableau1[[#This Row],[Colonne1]]-Tableau1[[#This Row],[date debut]]+1,""),""))</f>
        <v/>
      </c>
      <c r="H150" s="318" t="str">
        <f>CONCATENATE(Tableau1[[#This Row],[Jours1]],"",Tableau1[[#This Row],[jours2]])</f>
        <v/>
      </c>
      <c r="I150" s="318" t="str">
        <f ca="1">IF(C150="","",NETWORKDAYS(A150,C150))</f>
        <v/>
      </c>
      <c r="J150" t="str">
        <f t="shared" si="3"/>
        <v/>
      </c>
    </row>
    <row r="151" spans="1:10" x14ac:dyDescent="0.25">
      <c r="A151" s="280"/>
      <c r="B151" s="281"/>
      <c r="C151" s="99" t="str">
        <f ca="1">IF(Tableau1[[#This Row],[date fin]]&lt;&gt;0,Tableau1[[#This Row],[date fin]],IF(Tableau1[[#This Row],[type]]="travail",TODAY(),""))</f>
        <v/>
      </c>
      <c r="D151" s="248"/>
      <c r="E151" s="259"/>
      <c r="F151" s="70" t="str">
        <f>IF(Tableau1[[#This Row],[date debut]]=0,"",IF(Tableau1[[#This Row],[date fin]]=0,"",Tableau1[[#This Row],[Colonne1]]-Tableau1[[#This Row],[date debut]]+1))</f>
        <v/>
      </c>
      <c r="G151" s="70" t="str">
        <f>IF(Tableau1[[#This Row],[date debut]]=0,"",IF(Tableau1[[#This Row],[date fin]]=0,IF(Tableau1[[#This Row],[type]]="travail",Tableau1[[#This Row],[Colonne1]]-Tableau1[[#This Row],[date debut]]+1,""),""))</f>
        <v/>
      </c>
      <c r="H151" s="318" t="str">
        <f>CONCATENATE(Tableau1[[#This Row],[Jours1]],"",Tableau1[[#This Row],[jours2]])</f>
        <v/>
      </c>
      <c r="I151" s="318" t="str">
        <f ca="1">IF(C151="","",NETWORKDAYS(A151,C151))</f>
        <v/>
      </c>
      <c r="J151" t="str">
        <f t="shared" si="3"/>
        <v/>
      </c>
    </row>
    <row r="152" spans="1:10" x14ac:dyDescent="0.25">
      <c r="A152" s="280"/>
      <c r="B152" s="281"/>
      <c r="C152" s="99" t="str">
        <f ca="1">IF(Tableau1[[#This Row],[date fin]]&lt;&gt;0,Tableau1[[#This Row],[date fin]],IF(Tableau1[[#This Row],[type]]="travail",TODAY(),""))</f>
        <v/>
      </c>
      <c r="D152" s="248"/>
      <c r="E152" s="259"/>
      <c r="F152" s="70" t="str">
        <f>IF(Tableau1[[#This Row],[date debut]]=0,"",IF(Tableau1[[#This Row],[date fin]]=0,"",Tableau1[[#This Row],[Colonne1]]-Tableau1[[#This Row],[date debut]]+1))</f>
        <v/>
      </c>
      <c r="G152" s="70" t="str">
        <f>IF(Tableau1[[#This Row],[date debut]]=0,"",IF(Tableau1[[#This Row],[date fin]]=0,IF(Tableau1[[#This Row],[type]]="travail",Tableau1[[#This Row],[Colonne1]]-Tableau1[[#This Row],[date debut]]+1,""),""))</f>
        <v/>
      </c>
      <c r="H152" s="318" t="str">
        <f>CONCATENATE(Tableau1[[#This Row],[Jours1]],"",Tableau1[[#This Row],[jours2]])</f>
        <v/>
      </c>
      <c r="I152" s="318" t="str">
        <f ca="1">IF(C152="","",NETWORKDAYS(A152,C152))</f>
        <v/>
      </c>
      <c r="J152" t="str">
        <f t="shared" si="3"/>
        <v/>
      </c>
    </row>
    <row r="153" spans="1:10" x14ac:dyDescent="0.25">
      <c r="A153" s="280"/>
      <c r="B153" s="281"/>
      <c r="C153" s="99" t="str">
        <f ca="1">IF(Tableau1[[#This Row],[date fin]]&lt;&gt;0,Tableau1[[#This Row],[date fin]],IF(Tableau1[[#This Row],[type]]="travail",TODAY(),""))</f>
        <v/>
      </c>
      <c r="D153" s="248"/>
      <c r="E153" s="259"/>
      <c r="F153" s="70" t="str">
        <f>IF(Tableau1[[#This Row],[date debut]]=0,"",IF(Tableau1[[#This Row],[date fin]]=0,"",Tableau1[[#This Row],[Colonne1]]-Tableau1[[#This Row],[date debut]]+1))</f>
        <v/>
      </c>
      <c r="G153" s="70" t="str">
        <f>IF(Tableau1[[#This Row],[date debut]]=0,"",IF(Tableau1[[#This Row],[date fin]]=0,IF(Tableau1[[#This Row],[type]]="travail",Tableau1[[#This Row],[Colonne1]]-Tableau1[[#This Row],[date debut]]+1,""),""))</f>
        <v/>
      </c>
      <c r="H153" s="318" t="str">
        <f>CONCATENATE(Tableau1[[#This Row],[Jours1]],"",Tableau1[[#This Row],[jours2]])</f>
        <v/>
      </c>
      <c r="I153" s="318" t="str">
        <f ca="1">IF(C153="","",NETWORKDAYS(A153,C153))</f>
        <v/>
      </c>
      <c r="J153" t="str">
        <f t="shared" si="3"/>
        <v/>
      </c>
    </row>
    <row r="154" spans="1:10" x14ac:dyDescent="0.25">
      <c r="A154" s="280"/>
      <c r="B154" s="281"/>
      <c r="C154" s="99" t="str">
        <f ca="1">IF(Tableau1[[#This Row],[date fin]]&lt;&gt;0,Tableau1[[#This Row],[date fin]],IF(Tableau1[[#This Row],[type]]="travail",TODAY(),""))</f>
        <v/>
      </c>
      <c r="D154" s="248"/>
      <c r="E154" s="259"/>
      <c r="F154" s="70" t="str">
        <f>IF(Tableau1[[#This Row],[date debut]]=0,"",IF(Tableau1[[#This Row],[date fin]]=0,"",Tableau1[[#This Row],[Colonne1]]-Tableau1[[#This Row],[date debut]]+1))</f>
        <v/>
      </c>
      <c r="G154" s="70" t="str">
        <f>IF(Tableau1[[#This Row],[date debut]]=0,"",IF(Tableau1[[#This Row],[date fin]]=0,IF(Tableau1[[#This Row],[type]]="travail",Tableau1[[#This Row],[Colonne1]]-Tableau1[[#This Row],[date debut]]+1,""),""))</f>
        <v/>
      </c>
      <c r="H154" s="318" t="str">
        <f>CONCATENATE(Tableau1[[#This Row],[Jours1]],"",Tableau1[[#This Row],[jours2]])</f>
        <v/>
      </c>
      <c r="I154" s="318" t="str">
        <f ca="1">IF(C154="","",NETWORKDAYS(A154,C154))</f>
        <v/>
      </c>
      <c r="J154" t="str">
        <f t="shared" si="3"/>
        <v/>
      </c>
    </row>
    <row r="155" spans="1:10" x14ac:dyDescent="0.25">
      <c r="A155" s="280"/>
      <c r="B155" s="281"/>
      <c r="C155" s="99" t="str">
        <f ca="1">IF(Tableau1[[#This Row],[date fin]]&lt;&gt;0,Tableau1[[#This Row],[date fin]],IF(Tableau1[[#This Row],[type]]="travail",TODAY(),""))</f>
        <v/>
      </c>
      <c r="D155" s="248"/>
      <c r="E155" s="259"/>
      <c r="F155" s="70" t="str">
        <f>IF(Tableau1[[#This Row],[date debut]]=0,"",IF(Tableau1[[#This Row],[date fin]]=0,"",Tableau1[[#This Row],[Colonne1]]-Tableau1[[#This Row],[date debut]]+1))</f>
        <v/>
      </c>
      <c r="G155" s="70" t="str">
        <f>IF(Tableau1[[#This Row],[date debut]]=0,"",IF(Tableau1[[#This Row],[date fin]]=0,IF(Tableau1[[#This Row],[type]]="travail",Tableau1[[#This Row],[Colonne1]]-Tableau1[[#This Row],[date debut]]+1,""),""))</f>
        <v/>
      </c>
      <c r="H155" s="318" t="str">
        <f>CONCATENATE(Tableau1[[#This Row],[Jours1]],"",Tableau1[[#This Row],[jours2]])</f>
        <v/>
      </c>
      <c r="I155" s="318" t="str">
        <f ca="1">IF(C155="","",NETWORKDAYS(A155,C155))</f>
        <v/>
      </c>
      <c r="J155" t="str">
        <f t="shared" si="3"/>
        <v/>
      </c>
    </row>
    <row r="156" spans="1:10" x14ac:dyDescent="0.25">
      <c r="A156" s="280"/>
      <c r="B156" s="281"/>
      <c r="C156" s="99" t="str">
        <f ca="1">IF(Tableau1[[#This Row],[date fin]]&lt;&gt;0,Tableau1[[#This Row],[date fin]],IF(Tableau1[[#This Row],[type]]="travail",TODAY(),""))</f>
        <v/>
      </c>
      <c r="D156" s="248"/>
      <c r="E156" s="259"/>
      <c r="F156" s="70" t="str">
        <f>IF(Tableau1[[#This Row],[date debut]]=0,"",IF(Tableau1[[#This Row],[date fin]]=0,"",Tableau1[[#This Row],[Colonne1]]-Tableau1[[#This Row],[date debut]]+1))</f>
        <v/>
      </c>
      <c r="G156" s="70" t="str">
        <f>IF(Tableau1[[#This Row],[date debut]]=0,"",IF(Tableau1[[#This Row],[date fin]]=0,IF(Tableau1[[#This Row],[type]]="travail",Tableau1[[#This Row],[Colonne1]]-Tableau1[[#This Row],[date debut]]+1,""),""))</f>
        <v/>
      </c>
      <c r="H156" s="318" t="str">
        <f>CONCATENATE(Tableau1[[#This Row],[Jours1]],"",Tableau1[[#This Row],[jours2]])</f>
        <v/>
      </c>
      <c r="I156" s="318" t="str">
        <f ca="1">IF(C156="","",NETWORKDAYS(A156,C156))</f>
        <v/>
      </c>
      <c r="J156" t="str">
        <f t="shared" si="3"/>
        <v/>
      </c>
    </row>
    <row r="157" spans="1:10" x14ac:dyDescent="0.25">
      <c r="A157" s="280"/>
      <c r="B157" s="281"/>
      <c r="C157" s="99" t="str">
        <f ca="1">IF(Tableau1[[#This Row],[date fin]]&lt;&gt;0,Tableau1[[#This Row],[date fin]],IF(Tableau1[[#This Row],[type]]="travail",TODAY(),""))</f>
        <v/>
      </c>
      <c r="D157" s="248"/>
      <c r="E157" s="259"/>
      <c r="F157" s="70" t="str">
        <f>IF(Tableau1[[#This Row],[date debut]]=0,"",IF(Tableau1[[#This Row],[date fin]]=0,"",Tableau1[[#This Row],[Colonne1]]-Tableau1[[#This Row],[date debut]]+1))</f>
        <v/>
      </c>
      <c r="G157" s="70" t="str">
        <f>IF(Tableau1[[#This Row],[date debut]]=0,"",IF(Tableau1[[#This Row],[date fin]]=0,IF(Tableau1[[#This Row],[type]]="travail",Tableau1[[#This Row],[Colonne1]]-Tableau1[[#This Row],[date debut]]+1,""),""))</f>
        <v/>
      </c>
      <c r="H157" s="318" t="str">
        <f>CONCATENATE(Tableau1[[#This Row],[Jours1]],"",Tableau1[[#This Row],[jours2]])</f>
        <v/>
      </c>
      <c r="I157" s="318" t="str">
        <f ca="1">IF(C157="","",NETWORKDAYS(A157,C157))</f>
        <v/>
      </c>
      <c r="J157" t="str">
        <f t="shared" si="3"/>
        <v/>
      </c>
    </row>
    <row r="158" spans="1:10" x14ac:dyDescent="0.25">
      <c r="A158" s="280"/>
      <c r="B158" s="281"/>
      <c r="C158" s="99" t="str">
        <f ca="1">IF(Tableau1[[#This Row],[date fin]]&lt;&gt;0,Tableau1[[#This Row],[date fin]],IF(Tableau1[[#This Row],[type]]="travail",TODAY(),""))</f>
        <v/>
      </c>
      <c r="D158" s="248"/>
      <c r="E158" s="259"/>
      <c r="F158" s="70" t="str">
        <f>IF(Tableau1[[#This Row],[date debut]]=0,"",IF(Tableau1[[#This Row],[date fin]]=0,"",Tableau1[[#This Row],[Colonne1]]-Tableau1[[#This Row],[date debut]]+1))</f>
        <v/>
      </c>
      <c r="G158" s="70" t="str">
        <f>IF(Tableau1[[#This Row],[date debut]]=0,"",IF(Tableau1[[#This Row],[date fin]]=0,IF(Tableau1[[#This Row],[type]]="travail",Tableau1[[#This Row],[Colonne1]]-Tableau1[[#This Row],[date debut]]+1,""),""))</f>
        <v/>
      </c>
      <c r="H158" s="318" t="str">
        <f>CONCATENATE(Tableau1[[#This Row],[Jours1]],"",Tableau1[[#This Row],[jours2]])</f>
        <v/>
      </c>
      <c r="I158" s="318" t="str">
        <f ca="1">IF(C158="","",NETWORKDAYS(A158,C158))</f>
        <v/>
      </c>
      <c r="J158" t="str">
        <f t="shared" si="3"/>
        <v/>
      </c>
    </row>
    <row r="159" spans="1:10" x14ac:dyDescent="0.25">
      <c r="A159" s="280"/>
      <c r="B159" s="281"/>
      <c r="C159" s="99" t="str">
        <f ca="1">IF(Tableau1[[#This Row],[date fin]]&lt;&gt;0,Tableau1[[#This Row],[date fin]],IF(Tableau1[[#This Row],[type]]="travail",TODAY(),""))</f>
        <v/>
      </c>
      <c r="D159" s="248"/>
      <c r="E159" s="259"/>
      <c r="F159" s="70" t="str">
        <f>IF(Tableau1[[#This Row],[date debut]]=0,"",IF(Tableau1[[#This Row],[date fin]]=0,"",Tableau1[[#This Row],[Colonne1]]-Tableau1[[#This Row],[date debut]]+1))</f>
        <v/>
      </c>
      <c r="G159" s="70" t="str">
        <f>IF(Tableau1[[#This Row],[date debut]]=0,"",IF(Tableau1[[#This Row],[date fin]]=0,IF(Tableau1[[#This Row],[type]]="travail",Tableau1[[#This Row],[Colonne1]]-Tableau1[[#This Row],[date debut]]+1,""),""))</f>
        <v/>
      </c>
      <c r="H159" s="318" t="str">
        <f>CONCATENATE(Tableau1[[#This Row],[Jours1]],"",Tableau1[[#This Row],[jours2]])</f>
        <v/>
      </c>
      <c r="I159" s="318" t="str">
        <f ca="1">IF(C159="","",NETWORKDAYS(A159,C159))</f>
        <v/>
      </c>
      <c r="J159" t="str">
        <f t="shared" si="3"/>
        <v/>
      </c>
    </row>
    <row r="160" spans="1:10" x14ac:dyDescent="0.25">
      <c r="A160" s="280"/>
      <c r="B160" s="281"/>
      <c r="C160" s="99" t="str">
        <f ca="1">IF(Tableau1[[#This Row],[date fin]]&lt;&gt;0,Tableau1[[#This Row],[date fin]],IF(Tableau1[[#This Row],[type]]="travail",TODAY(),""))</f>
        <v/>
      </c>
      <c r="D160" s="248"/>
      <c r="E160" s="259"/>
      <c r="F160" s="70" t="str">
        <f>IF(Tableau1[[#This Row],[date debut]]=0,"",IF(Tableau1[[#This Row],[date fin]]=0,"",Tableau1[[#This Row],[Colonne1]]-Tableau1[[#This Row],[date debut]]+1))</f>
        <v/>
      </c>
      <c r="G160" s="70" t="str">
        <f>IF(Tableau1[[#This Row],[date debut]]=0,"",IF(Tableau1[[#This Row],[date fin]]=0,IF(Tableau1[[#This Row],[type]]="travail",Tableau1[[#This Row],[Colonne1]]-Tableau1[[#This Row],[date debut]]+1,""),""))</f>
        <v/>
      </c>
      <c r="H160" s="318" t="str">
        <f>CONCATENATE(Tableau1[[#This Row],[Jours1]],"",Tableau1[[#This Row],[jours2]])</f>
        <v/>
      </c>
      <c r="I160" s="318" t="str">
        <f ca="1">IF(C160="","",NETWORKDAYS(A160,C160))</f>
        <v/>
      </c>
      <c r="J160" t="str">
        <f t="shared" si="3"/>
        <v/>
      </c>
    </row>
    <row r="161" spans="1:10" x14ac:dyDescent="0.25">
      <c r="A161" s="280"/>
      <c r="B161" s="281"/>
      <c r="C161" s="99" t="str">
        <f ca="1">IF(Tableau1[[#This Row],[date fin]]&lt;&gt;0,Tableau1[[#This Row],[date fin]],IF(Tableau1[[#This Row],[type]]="travail",TODAY(),""))</f>
        <v/>
      </c>
      <c r="D161" s="248"/>
      <c r="E161" s="259"/>
      <c r="F161" s="70" t="str">
        <f>IF(Tableau1[[#This Row],[date debut]]=0,"",IF(Tableau1[[#This Row],[date fin]]=0,"",Tableau1[[#This Row],[Colonne1]]-Tableau1[[#This Row],[date debut]]+1))</f>
        <v/>
      </c>
      <c r="G161" s="70" t="str">
        <f>IF(Tableau1[[#This Row],[date debut]]=0,"",IF(Tableau1[[#This Row],[date fin]]=0,IF(Tableau1[[#This Row],[type]]="travail",Tableau1[[#This Row],[Colonne1]]-Tableau1[[#This Row],[date debut]]+1,""),""))</f>
        <v/>
      </c>
      <c r="H161" s="318" t="str">
        <f>CONCATENATE(Tableau1[[#This Row],[Jours1]],"",Tableau1[[#This Row],[jours2]])</f>
        <v/>
      </c>
      <c r="I161" s="318" t="str">
        <f ca="1">IF(C161="","",NETWORKDAYS(A161,C161))</f>
        <v/>
      </c>
      <c r="J161" t="str">
        <f t="shared" si="3"/>
        <v/>
      </c>
    </row>
    <row r="162" spans="1:10" x14ac:dyDescent="0.25">
      <c r="A162" s="280"/>
      <c r="B162" s="281"/>
      <c r="C162" s="99" t="str">
        <f ca="1">IF(Tableau1[[#This Row],[date fin]]&lt;&gt;0,Tableau1[[#This Row],[date fin]],IF(Tableau1[[#This Row],[type]]="travail",TODAY(),""))</f>
        <v/>
      </c>
      <c r="D162" s="248"/>
      <c r="E162" s="259"/>
      <c r="F162" s="70" t="str">
        <f>IF(Tableau1[[#This Row],[date debut]]=0,"",IF(Tableau1[[#This Row],[date fin]]=0,"",Tableau1[[#This Row],[Colonne1]]-Tableau1[[#This Row],[date debut]]+1))</f>
        <v/>
      </c>
      <c r="G162" s="70" t="str">
        <f>IF(Tableau1[[#This Row],[date debut]]=0,"",IF(Tableau1[[#This Row],[date fin]]=0,IF(Tableau1[[#This Row],[type]]="travail",Tableau1[[#This Row],[Colonne1]]-Tableau1[[#This Row],[date debut]]+1,""),""))</f>
        <v/>
      </c>
      <c r="H162" s="318" t="str">
        <f>CONCATENATE(Tableau1[[#This Row],[Jours1]],"",Tableau1[[#This Row],[jours2]])</f>
        <v/>
      </c>
      <c r="I162" s="318" t="str">
        <f ca="1">IF(C162="","",NETWORKDAYS(A162,C162))</f>
        <v/>
      </c>
      <c r="J162" t="str">
        <f t="shared" si="3"/>
        <v/>
      </c>
    </row>
    <row r="163" spans="1:10" x14ac:dyDescent="0.25">
      <c r="A163" s="280"/>
      <c r="B163" s="281"/>
      <c r="C163" s="99" t="str">
        <f ca="1">IF(Tableau1[[#This Row],[date fin]]&lt;&gt;0,Tableau1[[#This Row],[date fin]],IF(Tableau1[[#This Row],[type]]="travail",TODAY(),""))</f>
        <v/>
      </c>
      <c r="D163" s="248"/>
      <c r="E163" s="259"/>
      <c r="F163" s="70" t="str">
        <f>IF(Tableau1[[#This Row],[date debut]]=0,"",IF(Tableau1[[#This Row],[date fin]]=0,"",Tableau1[[#This Row],[Colonne1]]-Tableau1[[#This Row],[date debut]]+1))</f>
        <v/>
      </c>
      <c r="G163" s="70" t="str">
        <f>IF(Tableau1[[#This Row],[date debut]]=0,"",IF(Tableau1[[#This Row],[date fin]]=0,IF(Tableau1[[#This Row],[type]]="travail",Tableau1[[#This Row],[Colonne1]]-Tableau1[[#This Row],[date debut]]+1,""),""))</f>
        <v/>
      </c>
      <c r="H163" s="318" t="str">
        <f>CONCATENATE(Tableau1[[#This Row],[Jours1]],"",Tableau1[[#This Row],[jours2]])</f>
        <v/>
      </c>
      <c r="I163" s="318" t="str">
        <f ca="1">IF(C163="","",NETWORKDAYS(A163,C163))</f>
        <v/>
      </c>
      <c r="J163" t="str">
        <f t="shared" si="3"/>
        <v/>
      </c>
    </row>
    <row r="164" spans="1:10" x14ac:dyDescent="0.25">
      <c r="A164" s="280"/>
      <c r="B164" s="281"/>
      <c r="C164" s="99" t="str">
        <f ca="1">IF(Tableau1[[#This Row],[date fin]]&lt;&gt;0,Tableau1[[#This Row],[date fin]],IF(Tableau1[[#This Row],[type]]="travail",TODAY(),""))</f>
        <v/>
      </c>
      <c r="D164" s="248"/>
      <c r="E164" s="259"/>
      <c r="F164" s="70" t="str">
        <f>IF(Tableau1[[#This Row],[date debut]]=0,"",IF(Tableau1[[#This Row],[date fin]]=0,"",Tableau1[[#This Row],[Colonne1]]-Tableau1[[#This Row],[date debut]]+1))</f>
        <v/>
      </c>
      <c r="G164" s="70" t="str">
        <f>IF(Tableau1[[#This Row],[date debut]]=0,"",IF(Tableau1[[#This Row],[date fin]]=0,IF(Tableau1[[#This Row],[type]]="travail",Tableau1[[#This Row],[Colonne1]]-Tableau1[[#This Row],[date debut]]+1,""),""))</f>
        <v/>
      </c>
      <c r="H164" s="318" t="str">
        <f>CONCATENATE(Tableau1[[#This Row],[Jours1]],"",Tableau1[[#This Row],[jours2]])</f>
        <v/>
      </c>
      <c r="I164" s="318" t="str">
        <f ca="1">IF(C164="","",NETWORKDAYS(A164,C164))</f>
        <v/>
      </c>
      <c r="J164" t="str">
        <f t="shared" si="3"/>
        <v/>
      </c>
    </row>
    <row r="165" spans="1:10" x14ac:dyDescent="0.25">
      <c r="A165" s="280"/>
      <c r="B165" s="281"/>
      <c r="C165" s="99" t="str">
        <f ca="1">IF(Tableau1[[#This Row],[date fin]]&lt;&gt;0,Tableau1[[#This Row],[date fin]],IF(Tableau1[[#This Row],[type]]="travail",TODAY(),""))</f>
        <v/>
      </c>
      <c r="D165" s="248"/>
      <c r="E165" s="259"/>
      <c r="F165" s="70" t="str">
        <f>IF(Tableau1[[#This Row],[date debut]]=0,"",IF(Tableau1[[#This Row],[date fin]]=0,"",Tableau1[[#This Row],[Colonne1]]-Tableau1[[#This Row],[date debut]]+1))</f>
        <v/>
      </c>
      <c r="G165" s="70" t="str">
        <f>IF(Tableau1[[#This Row],[date debut]]=0,"",IF(Tableau1[[#This Row],[date fin]]=0,IF(Tableau1[[#This Row],[type]]="travail",Tableau1[[#This Row],[Colonne1]]-Tableau1[[#This Row],[date debut]]+1,""),""))</f>
        <v/>
      </c>
      <c r="H165" s="318" t="str">
        <f>CONCATENATE(Tableau1[[#This Row],[Jours1]],"",Tableau1[[#This Row],[jours2]])</f>
        <v/>
      </c>
      <c r="I165" s="318" t="str">
        <f ca="1">IF(C165="","",NETWORKDAYS(A165,C165))</f>
        <v/>
      </c>
      <c r="J165" t="str">
        <f t="shared" si="3"/>
        <v/>
      </c>
    </row>
    <row r="166" spans="1:10" x14ac:dyDescent="0.25">
      <c r="A166" s="280"/>
      <c r="B166" s="281"/>
      <c r="C166" s="99" t="str">
        <f ca="1">IF(Tableau1[[#This Row],[date fin]]&lt;&gt;0,Tableau1[[#This Row],[date fin]],IF(Tableau1[[#This Row],[type]]="travail",TODAY(),""))</f>
        <v/>
      </c>
      <c r="D166" s="248"/>
      <c r="E166" s="259"/>
      <c r="F166" s="70" t="str">
        <f>IF(Tableau1[[#This Row],[date debut]]=0,"",IF(Tableau1[[#This Row],[date fin]]=0,"",Tableau1[[#This Row],[Colonne1]]-Tableau1[[#This Row],[date debut]]+1))</f>
        <v/>
      </c>
      <c r="G166" s="70" t="str">
        <f>IF(Tableau1[[#This Row],[date debut]]=0,"",IF(Tableau1[[#This Row],[date fin]]=0,IF(Tableau1[[#This Row],[type]]="travail",Tableau1[[#This Row],[Colonne1]]-Tableau1[[#This Row],[date debut]]+1,""),""))</f>
        <v/>
      </c>
      <c r="H166" s="318" t="str">
        <f>CONCATENATE(Tableau1[[#This Row],[Jours1]],"",Tableau1[[#This Row],[jours2]])</f>
        <v/>
      </c>
      <c r="I166" s="318" t="str">
        <f ca="1">IF(C166="","",NETWORKDAYS(A166,C166))</f>
        <v/>
      </c>
      <c r="J166" t="str">
        <f t="shared" si="3"/>
        <v/>
      </c>
    </row>
    <row r="167" spans="1:10" x14ac:dyDescent="0.25">
      <c r="A167" s="280"/>
      <c r="B167" s="281"/>
      <c r="C167" s="99" t="str">
        <f ca="1">IF(Tableau1[[#This Row],[date fin]]&lt;&gt;0,Tableau1[[#This Row],[date fin]],IF(Tableau1[[#This Row],[type]]="travail",TODAY(),""))</f>
        <v/>
      </c>
      <c r="D167" s="248"/>
      <c r="E167" s="259"/>
      <c r="F167" s="70" t="str">
        <f>IF(Tableau1[[#This Row],[date debut]]=0,"",IF(Tableau1[[#This Row],[date fin]]=0,"",Tableau1[[#This Row],[Colonne1]]-Tableau1[[#This Row],[date debut]]+1))</f>
        <v/>
      </c>
      <c r="G167" s="70" t="str">
        <f>IF(Tableau1[[#This Row],[date debut]]=0,"",IF(Tableau1[[#This Row],[date fin]]=0,IF(Tableau1[[#This Row],[type]]="travail",Tableau1[[#This Row],[Colonne1]]-Tableau1[[#This Row],[date debut]]+1,""),""))</f>
        <v/>
      </c>
      <c r="H167" s="318" t="str">
        <f>CONCATENATE(Tableau1[[#This Row],[Jours1]],"",Tableau1[[#This Row],[jours2]])</f>
        <v/>
      </c>
      <c r="I167" s="318" t="str">
        <f ca="1">IF(C167="","",NETWORKDAYS(A167,C167))</f>
        <v/>
      </c>
      <c r="J167" t="str">
        <f t="shared" si="3"/>
        <v/>
      </c>
    </row>
    <row r="168" spans="1:10" x14ac:dyDescent="0.25">
      <c r="A168" s="280"/>
      <c r="B168" s="281"/>
      <c r="C168" s="99" t="str">
        <f ca="1">IF(Tableau1[[#This Row],[date fin]]&lt;&gt;0,Tableau1[[#This Row],[date fin]],IF(Tableau1[[#This Row],[type]]="travail",TODAY(),""))</f>
        <v/>
      </c>
      <c r="D168" s="248"/>
      <c r="E168" s="259"/>
      <c r="F168" s="70" t="str">
        <f>IF(Tableau1[[#This Row],[date debut]]=0,"",IF(Tableau1[[#This Row],[date fin]]=0,"",Tableau1[[#This Row],[Colonne1]]-Tableau1[[#This Row],[date debut]]+1))</f>
        <v/>
      </c>
      <c r="G168" s="70" t="str">
        <f>IF(Tableau1[[#This Row],[date debut]]=0,"",IF(Tableau1[[#This Row],[date fin]]=0,IF(Tableau1[[#This Row],[type]]="travail",Tableau1[[#This Row],[Colonne1]]-Tableau1[[#This Row],[date debut]]+1,""),""))</f>
        <v/>
      </c>
      <c r="H168" s="318" t="str">
        <f>CONCATENATE(Tableau1[[#This Row],[Jours1]],"",Tableau1[[#This Row],[jours2]])</f>
        <v/>
      </c>
      <c r="I168" s="318" t="str">
        <f ca="1">IF(C168="","",NETWORKDAYS(A168,C168))</f>
        <v/>
      </c>
      <c r="J168" t="str">
        <f t="shared" si="3"/>
        <v/>
      </c>
    </row>
    <row r="169" spans="1:10" x14ac:dyDescent="0.25">
      <c r="A169" s="280"/>
      <c r="B169" s="281"/>
      <c r="C169" s="99" t="str">
        <f ca="1">IF(Tableau1[[#This Row],[date fin]]&lt;&gt;0,Tableau1[[#This Row],[date fin]],IF(Tableau1[[#This Row],[type]]="travail",TODAY(),""))</f>
        <v/>
      </c>
      <c r="D169" s="248"/>
      <c r="E169" s="259"/>
      <c r="F169" s="70" t="str">
        <f>IF(Tableau1[[#This Row],[date debut]]=0,"",IF(Tableau1[[#This Row],[date fin]]=0,"",Tableau1[[#This Row],[Colonne1]]-Tableau1[[#This Row],[date debut]]+1))</f>
        <v/>
      </c>
      <c r="G169" s="70" t="str">
        <f>IF(Tableau1[[#This Row],[date debut]]=0,"",IF(Tableau1[[#This Row],[date fin]]=0,IF(Tableau1[[#This Row],[type]]="travail",Tableau1[[#This Row],[Colonne1]]-Tableau1[[#This Row],[date debut]]+1,""),""))</f>
        <v/>
      </c>
      <c r="H169" s="318" t="str">
        <f>CONCATENATE(Tableau1[[#This Row],[Jours1]],"",Tableau1[[#This Row],[jours2]])</f>
        <v/>
      </c>
      <c r="I169" s="318" t="str">
        <f ca="1">IF(C169="","",NETWORKDAYS(A169,C169))</f>
        <v/>
      </c>
      <c r="J169" t="str">
        <f t="shared" si="3"/>
        <v/>
      </c>
    </row>
    <row r="170" spans="1:10" x14ac:dyDescent="0.25">
      <c r="A170" s="280"/>
      <c r="B170" s="281"/>
      <c r="C170" s="99" t="str">
        <f ca="1">IF(Tableau1[[#This Row],[date fin]]&lt;&gt;0,Tableau1[[#This Row],[date fin]],IF(Tableau1[[#This Row],[type]]="travail",TODAY(),""))</f>
        <v/>
      </c>
      <c r="D170" s="248"/>
      <c r="E170" s="259"/>
      <c r="F170" s="70" t="str">
        <f>IF(Tableau1[[#This Row],[date debut]]=0,"",IF(Tableau1[[#This Row],[date fin]]=0,"",Tableau1[[#This Row],[Colonne1]]-Tableau1[[#This Row],[date debut]]+1))</f>
        <v/>
      </c>
      <c r="G170" s="70" t="str">
        <f>IF(Tableau1[[#This Row],[date debut]]=0,"",IF(Tableau1[[#This Row],[date fin]]=0,IF(Tableau1[[#This Row],[type]]="travail",Tableau1[[#This Row],[Colonne1]]-Tableau1[[#This Row],[date debut]]+1,""),""))</f>
        <v/>
      </c>
      <c r="H170" s="318" t="str">
        <f>CONCATENATE(Tableau1[[#This Row],[Jours1]],"",Tableau1[[#This Row],[jours2]])</f>
        <v/>
      </c>
      <c r="I170" s="318" t="str">
        <f ca="1">IF(C170="","",NETWORKDAYS(A170,C170))</f>
        <v/>
      </c>
      <c r="J170" t="str">
        <f t="shared" si="3"/>
        <v/>
      </c>
    </row>
    <row r="171" spans="1:10" x14ac:dyDescent="0.25">
      <c r="A171" s="280"/>
      <c r="B171" s="281"/>
      <c r="C171" s="99" t="str">
        <f ca="1">IF(Tableau1[[#This Row],[date fin]]&lt;&gt;0,Tableau1[[#This Row],[date fin]],IF(Tableau1[[#This Row],[type]]="travail",TODAY(),""))</f>
        <v/>
      </c>
      <c r="D171" s="248"/>
      <c r="E171" s="259"/>
      <c r="F171" s="70" t="str">
        <f>IF(Tableau1[[#This Row],[date debut]]=0,"",IF(Tableau1[[#This Row],[date fin]]=0,"",Tableau1[[#This Row],[Colonne1]]-Tableau1[[#This Row],[date debut]]+1))</f>
        <v/>
      </c>
      <c r="G171" s="70" t="str">
        <f>IF(Tableau1[[#This Row],[date debut]]=0,"",IF(Tableau1[[#This Row],[date fin]]=0,IF(Tableau1[[#This Row],[type]]="travail",Tableau1[[#This Row],[Colonne1]]-Tableau1[[#This Row],[date debut]]+1,""),""))</f>
        <v/>
      </c>
      <c r="H171" s="318" t="str">
        <f>CONCATENATE(Tableau1[[#This Row],[Jours1]],"",Tableau1[[#This Row],[jours2]])</f>
        <v/>
      </c>
      <c r="I171" s="318" t="str">
        <f ca="1">IF(C171="","",NETWORKDAYS(A171,C171))</f>
        <v/>
      </c>
      <c r="J171" t="str">
        <f t="shared" si="3"/>
        <v/>
      </c>
    </row>
    <row r="172" spans="1:10" x14ac:dyDescent="0.25">
      <c r="A172" s="280"/>
      <c r="B172" s="281"/>
      <c r="C172" s="99" t="str">
        <f ca="1">IF(Tableau1[[#This Row],[date fin]]&lt;&gt;0,Tableau1[[#This Row],[date fin]],IF(Tableau1[[#This Row],[type]]="travail",TODAY(),""))</f>
        <v/>
      </c>
      <c r="D172" s="248"/>
      <c r="E172" s="259"/>
      <c r="F172" s="70" t="str">
        <f>IF(Tableau1[[#This Row],[date debut]]=0,"",IF(Tableau1[[#This Row],[date fin]]=0,"",Tableau1[[#This Row],[Colonne1]]-Tableau1[[#This Row],[date debut]]+1))</f>
        <v/>
      </c>
      <c r="G172" s="70" t="str">
        <f>IF(Tableau1[[#This Row],[date debut]]=0,"",IF(Tableau1[[#This Row],[date fin]]=0,IF(Tableau1[[#This Row],[type]]="travail",Tableau1[[#This Row],[Colonne1]]-Tableau1[[#This Row],[date debut]]+1,""),""))</f>
        <v/>
      </c>
      <c r="H172" s="318" t="str">
        <f>CONCATENATE(Tableau1[[#This Row],[Jours1]],"",Tableau1[[#This Row],[jours2]])</f>
        <v/>
      </c>
      <c r="I172" s="318" t="str">
        <f ca="1">IF(C172="","",NETWORKDAYS(A172,C172))</f>
        <v/>
      </c>
      <c r="J172" t="str">
        <f t="shared" si="3"/>
        <v/>
      </c>
    </row>
    <row r="173" spans="1:10" x14ac:dyDescent="0.25">
      <c r="A173" s="280"/>
      <c r="B173" s="281"/>
      <c r="C173" s="99" t="str">
        <f ca="1">IF(Tableau1[[#This Row],[date fin]]&lt;&gt;0,Tableau1[[#This Row],[date fin]],IF(Tableau1[[#This Row],[type]]="travail",TODAY(),""))</f>
        <v/>
      </c>
      <c r="D173" s="248"/>
      <c r="E173" s="259"/>
      <c r="F173" s="70" t="str">
        <f>IF(Tableau1[[#This Row],[date debut]]=0,"",IF(Tableau1[[#This Row],[date fin]]=0,"",Tableau1[[#This Row],[Colonne1]]-Tableau1[[#This Row],[date debut]]+1))</f>
        <v/>
      </c>
      <c r="G173" s="70" t="str">
        <f>IF(Tableau1[[#This Row],[date debut]]=0,"",IF(Tableau1[[#This Row],[date fin]]=0,IF(Tableau1[[#This Row],[type]]="travail",Tableau1[[#This Row],[Colonne1]]-Tableau1[[#This Row],[date debut]]+1,""),""))</f>
        <v/>
      </c>
      <c r="H173" s="318" t="str">
        <f>CONCATENATE(Tableau1[[#This Row],[Jours1]],"",Tableau1[[#This Row],[jours2]])</f>
        <v/>
      </c>
      <c r="I173" s="318" t="str">
        <f ca="1">IF(C173="","",NETWORKDAYS(A173,C173))</f>
        <v/>
      </c>
      <c r="J173" t="str">
        <f t="shared" si="3"/>
        <v/>
      </c>
    </row>
    <row r="174" spans="1:10" x14ac:dyDescent="0.25">
      <c r="A174" s="280"/>
      <c r="B174" s="281"/>
      <c r="C174" s="99" t="str">
        <f ca="1">IF(Tableau1[[#This Row],[date fin]]&lt;&gt;0,Tableau1[[#This Row],[date fin]],IF(Tableau1[[#This Row],[type]]="travail",TODAY(),""))</f>
        <v/>
      </c>
      <c r="D174" s="248"/>
      <c r="E174" s="259"/>
      <c r="F174" s="70" t="str">
        <f>IF(Tableau1[[#This Row],[date debut]]=0,"",IF(Tableau1[[#This Row],[date fin]]=0,"",Tableau1[[#This Row],[Colonne1]]-Tableau1[[#This Row],[date debut]]+1))</f>
        <v/>
      </c>
      <c r="G174" s="70" t="str">
        <f>IF(Tableau1[[#This Row],[date debut]]=0,"",IF(Tableau1[[#This Row],[date fin]]=0,IF(Tableau1[[#This Row],[type]]="travail",Tableau1[[#This Row],[Colonne1]]-Tableau1[[#This Row],[date debut]]+1,""),""))</f>
        <v/>
      </c>
      <c r="H174" s="318" t="str">
        <f>CONCATENATE(Tableau1[[#This Row],[Jours1]],"",Tableau1[[#This Row],[jours2]])</f>
        <v/>
      </c>
      <c r="I174" s="318" t="str">
        <f ca="1">IF(C174="","",NETWORKDAYS(A174,C174))</f>
        <v/>
      </c>
      <c r="J174" t="str">
        <f t="shared" si="3"/>
        <v/>
      </c>
    </row>
    <row r="175" spans="1:10" x14ac:dyDescent="0.25">
      <c r="A175" s="280"/>
      <c r="B175" s="281"/>
      <c r="C175" s="99" t="str">
        <f ca="1">IF(Tableau1[[#This Row],[date fin]]&lt;&gt;0,Tableau1[[#This Row],[date fin]],IF(Tableau1[[#This Row],[type]]="travail",TODAY(),""))</f>
        <v/>
      </c>
      <c r="D175" s="248"/>
      <c r="E175" s="259"/>
      <c r="F175" s="70" t="str">
        <f>IF(Tableau1[[#This Row],[date debut]]=0,"",IF(Tableau1[[#This Row],[date fin]]=0,"",Tableau1[[#This Row],[Colonne1]]-Tableau1[[#This Row],[date debut]]+1))</f>
        <v/>
      </c>
      <c r="G175" s="70" t="str">
        <f>IF(Tableau1[[#This Row],[date debut]]=0,"",IF(Tableau1[[#This Row],[date fin]]=0,IF(Tableau1[[#This Row],[type]]="travail",Tableau1[[#This Row],[Colonne1]]-Tableau1[[#This Row],[date debut]]+1,""),""))</f>
        <v/>
      </c>
      <c r="H175" s="318" t="str">
        <f>CONCATENATE(Tableau1[[#This Row],[Jours1]],"",Tableau1[[#This Row],[jours2]])</f>
        <v/>
      </c>
      <c r="I175" s="318" t="str">
        <f ca="1">IF(C175="","",NETWORKDAYS(A175,C175))</f>
        <v/>
      </c>
      <c r="J175" t="str">
        <f t="shared" si="3"/>
        <v/>
      </c>
    </row>
    <row r="176" spans="1:10" x14ac:dyDescent="0.25">
      <c r="A176" s="280"/>
      <c r="B176" s="281"/>
      <c r="C176" s="99" t="str">
        <f ca="1">IF(Tableau1[[#This Row],[date fin]]&lt;&gt;0,Tableau1[[#This Row],[date fin]],IF(Tableau1[[#This Row],[type]]="travail",TODAY(),""))</f>
        <v/>
      </c>
      <c r="D176" s="248"/>
      <c r="E176" s="259"/>
      <c r="F176" s="70" t="str">
        <f>IF(Tableau1[[#This Row],[date debut]]=0,"",IF(Tableau1[[#This Row],[date fin]]=0,"",Tableau1[[#This Row],[Colonne1]]-Tableau1[[#This Row],[date debut]]+1))</f>
        <v/>
      </c>
      <c r="G176" s="70" t="str">
        <f>IF(Tableau1[[#This Row],[date debut]]=0,"",IF(Tableau1[[#This Row],[date fin]]=0,IF(Tableau1[[#This Row],[type]]="travail",Tableau1[[#This Row],[Colonne1]]-Tableau1[[#This Row],[date debut]]+1,""),""))</f>
        <v/>
      </c>
      <c r="H176" s="318" t="str">
        <f>CONCATENATE(Tableau1[[#This Row],[Jours1]],"",Tableau1[[#This Row],[jours2]])</f>
        <v/>
      </c>
      <c r="I176" s="318" t="str">
        <f ca="1">IF(C176="","",NETWORKDAYS(A176,C176))</f>
        <v/>
      </c>
      <c r="J176" t="str">
        <f t="shared" si="3"/>
        <v/>
      </c>
    </row>
    <row r="177" spans="1:10" x14ac:dyDescent="0.25">
      <c r="A177" s="280"/>
      <c r="B177" s="281"/>
      <c r="C177" s="99" t="str">
        <f ca="1">IF(Tableau1[[#This Row],[date fin]]&lt;&gt;0,Tableau1[[#This Row],[date fin]],IF(Tableau1[[#This Row],[type]]="travail",TODAY(),""))</f>
        <v/>
      </c>
      <c r="D177" s="248"/>
      <c r="E177" s="259"/>
      <c r="F177" s="70" t="str">
        <f>IF(Tableau1[[#This Row],[date debut]]=0,"",IF(Tableau1[[#This Row],[date fin]]=0,"",Tableau1[[#This Row],[Colonne1]]-Tableau1[[#This Row],[date debut]]+1))</f>
        <v/>
      </c>
      <c r="G177" s="70" t="str">
        <f>IF(Tableau1[[#This Row],[date debut]]=0,"",IF(Tableau1[[#This Row],[date fin]]=0,IF(Tableau1[[#This Row],[type]]="travail",Tableau1[[#This Row],[Colonne1]]-Tableau1[[#This Row],[date debut]]+1,""),""))</f>
        <v/>
      </c>
      <c r="H177" s="318" t="str">
        <f>CONCATENATE(Tableau1[[#This Row],[Jours1]],"",Tableau1[[#This Row],[jours2]])</f>
        <v/>
      </c>
      <c r="I177" s="318" t="str">
        <f ca="1">IF(C177="","",NETWORKDAYS(A177,C177))</f>
        <v/>
      </c>
      <c r="J177" t="str">
        <f t="shared" si="3"/>
        <v/>
      </c>
    </row>
    <row r="178" spans="1:10" x14ac:dyDescent="0.25">
      <c r="A178" s="280"/>
      <c r="B178" s="281"/>
      <c r="C178" s="99" t="str">
        <f ca="1">IF(Tableau1[[#This Row],[date fin]]&lt;&gt;0,Tableau1[[#This Row],[date fin]],IF(Tableau1[[#This Row],[type]]="travail",TODAY(),""))</f>
        <v/>
      </c>
      <c r="D178" s="248"/>
      <c r="E178" s="259"/>
      <c r="F178" s="70" t="str">
        <f>IF(Tableau1[[#This Row],[date debut]]=0,"",IF(Tableau1[[#This Row],[date fin]]=0,"",Tableau1[[#This Row],[Colonne1]]-Tableau1[[#This Row],[date debut]]+1))</f>
        <v/>
      </c>
      <c r="G178" s="70" t="str">
        <f>IF(Tableau1[[#This Row],[date debut]]=0,"",IF(Tableau1[[#This Row],[date fin]]=0,IF(Tableau1[[#This Row],[type]]="travail",Tableau1[[#This Row],[Colonne1]]-Tableau1[[#This Row],[date debut]]+1,""),""))</f>
        <v/>
      </c>
      <c r="H178" s="318" t="str">
        <f>CONCATENATE(Tableau1[[#This Row],[Jours1]],"",Tableau1[[#This Row],[jours2]])</f>
        <v/>
      </c>
      <c r="I178" s="318" t="str">
        <f ca="1">IF(C178="","",NETWORKDAYS(A178,C178))</f>
        <v/>
      </c>
      <c r="J178" t="str">
        <f t="shared" si="3"/>
        <v/>
      </c>
    </row>
    <row r="179" spans="1:10" x14ac:dyDescent="0.25">
      <c r="A179" s="280"/>
      <c r="B179" s="281"/>
      <c r="C179" s="99" t="str">
        <f ca="1">IF(Tableau1[[#This Row],[date fin]]&lt;&gt;0,Tableau1[[#This Row],[date fin]],IF(Tableau1[[#This Row],[type]]="travail",TODAY(),""))</f>
        <v/>
      </c>
      <c r="D179" s="248"/>
      <c r="E179" s="259"/>
      <c r="F179" s="70" t="str">
        <f>IF(Tableau1[[#This Row],[date debut]]=0,"",IF(Tableau1[[#This Row],[date fin]]=0,"",Tableau1[[#This Row],[Colonne1]]-Tableau1[[#This Row],[date debut]]+1))</f>
        <v/>
      </c>
      <c r="G179" s="70" t="str">
        <f>IF(Tableau1[[#This Row],[date debut]]=0,"",IF(Tableau1[[#This Row],[date fin]]=0,IF(Tableau1[[#This Row],[type]]="travail",Tableau1[[#This Row],[Colonne1]]-Tableau1[[#This Row],[date debut]]+1,""),""))</f>
        <v/>
      </c>
      <c r="H179" s="318" t="str">
        <f>CONCATENATE(Tableau1[[#This Row],[Jours1]],"",Tableau1[[#This Row],[jours2]])</f>
        <v/>
      </c>
      <c r="I179" s="318" t="str">
        <f ca="1">IF(C179="","",NETWORKDAYS(A179,C179))</f>
        <v/>
      </c>
      <c r="J179" t="str">
        <f t="shared" si="3"/>
        <v/>
      </c>
    </row>
    <row r="180" spans="1:10" x14ac:dyDescent="0.25">
      <c r="A180" s="280"/>
      <c r="B180" s="281"/>
      <c r="C180" s="99" t="str">
        <f ca="1">IF(Tableau1[[#This Row],[date fin]]&lt;&gt;0,Tableau1[[#This Row],[date fin]],IF(Tableau1[[#This Row],[type]]="travail",TODAY(),""))</f>
        <v/>
      </c>
      <c r="D180" s="248"/>
      <c r="E180" s="259"/>
      <c r="F180" s="70" t="str">
        <f>IF(Tableau1[[#This Row],[date debut]]=0,"",IF(Tableau1[[#This Row],[date fin]]=0,"",Tableau1[[#This Row],[Colonne1]]-Tableau1[[#This Row],[date debut]]+1))</f>
        <v/>
      </c>
      <c r="G180" s="70" t="str">
        <f>IF(Tableau1[[#This Row],[date debut]]=0,"",IF(Tableau1[[#This Row],[date fin]]=0,IF(Tableau1[[#This Row],[type]]="travail",Tableau1[[#This Row],[Colonne1]]-Tableau1[[#This Row],[date debut]]+1,""),""))</f>
        <v/>
      </c>
      <c r="H180" s="318" t="str">
        <f>CONCATENATE(Tableau1[[#This Row],[Jours1]],"",Tableau1[[#This Row],[jours2]])</f>
        <v/>
      </c>
      <c r="I180" s="318" t="str">
        <f ca="1">IF(C180="","",NETWORKDAYS(A180,C180))</f>
        <v/>
      </c>
      <c r="J180" t="str">
        <f t="shared" si="3"/>
        <v/>
      </c>
    </row>
    <row r="181" spans="1:10" x14ac:dyDescent="0.25">
      <c r="A181" s="280"/>
      <c r="B181" s="281"/>
      <c r="C181" s="99" t="str">
        <f ca="1">IF(Tableau1[[#This Row],[date fin]]&lt;&gt;0,Tableau1[[#This Row],[date fin]],IF(Tableau1[[#This Row],[type]]="travail",TODAY(),""))</f>
        <v/>
      </c>
      <c r="D181" s="248"/>
      <c r="E181" s="259"/>
      <c r="F181" s="70" t="str">
        <f>IF(Tableau1[[#This Row],[date debut]]=0,"",IF(Tableau1[[#This Row],[date fin]]=0,"",Tableau1[[#This Row],[Colonne1]]-Tableau1[[#This Row],[date debut]]+1))</f>
        <v/>
      </c>
      <c r="G181" s="70" t="str">
        <f>IF(Tableau1[[#This Row],[date debut]]=0,"",IF(Tableau1[[#This Row],[date fin]]=0,IF(Tableau1[[#This Row],[type]]="travail",Tableau1[[#This Row],[Colonne1]]-Tableau1[[#This Row],[date debut]]+1,""),""))</f>
        <v/>
      </c>
      <c r="H181" s="318" t="str">
        <f>CONCATENATE(Tableau1[[#This Row],[Jours1]],"",Tableau1[[#This Row],[jours2]])</f>
        <v/>
      </c>
      <c r="I181" s="318" t="str">
        <f ca="1">IF(C181="","",NETWORKDAYS(A181,C181))</f>
        <v/>
      </c>
      <c r="J181" t="str">
        <f t="shared" si="3"/>
        <v/>
      </c>
    </row>
    <row r="182" spans="1:10" x14ac:dyDescent="0.25">
      <c r="A182" s="280"/>
      <c r="B182" s="281"/>
      <c r="C182" s="99" t="str">
        <f ca="1">IF(Tableau1[[#This Row],[date fin]]&lt;&gt;0,Tableau1[[#This Row],[date fin]],IF(Tableau1[[#This Row],[type]]="travail",TODAY(),""))</f>
        <v/>
      </c>
      <c r="D182" s="248"/>
      <c r="E182" s="259"/>
      <c r="F182" s="70" t="str">
        <f>IF(Tableau1[[#This Row],[date debut]]=0,"",IF(Tableau1[[#This Row],[date fin]]=0,"",Tableau1[[#This Row],[Colonne1]]-Tableau1[[#This Row],[date debut]]+1))</f>
        <v/>
      </c>
      <c r="G182" s="70" t="str">
        <f>IF(Tableau1[[#This Row],[date debut]]=0,"",IF(Tableau1[[#This Row],[date fin]]=0,IF(Tableau1[[#This Row],[type]]="travail",Tableau1[[#This Row],[Colonne1]]-Tableau1[[#This Row],[date debut]]+1,""),""))</f>
        <v/>
      </c>
      <c r="H182" s="318" t="str">
        <f>CONCATENATE(Tableau1[[#This Row],[Jours1]],"",Tableau1[[#This Row],[jours2]])</f>
        <v/>
      </c>
      <c r="I182" s="318" t="str">
        <f ca="1">IF(C182="","",NETWORKDAYS(A182,C182))</f>
        <v/>
      </c>
      <c r="J182" t="str">
        <f t="shared" si="3"/>
        <v/>
      </c>
    </row>
    <row r="183" spans="1:10" x14ac:dyDescent="0.25">
      <c r="A183" s="280"/>
      <c r="B183" s="281"/>
      <c r="C183" s="99" t="str">
        <f ca="1">IF(Tableau1[[#This Row],[date fin]]&lt;&gt;0,Tableau1[[#This Row],[date fin]],IF(Tableau1[[#This Row],[type]]="travail",TODAY(),""))</f>
        <v/>
      </c>
      <c r="D183" s="248"/>
      <c r="E183" s="259"/>
      <c r="F183" s="70" t="str">
        <f>IF(Tableau1[[#This Row],[date debut]]=0,"",IF(Tableau1[[#This Row],[date fin]]=0,"",Tableau1[[#This Row],[Colonne1]]-Tableau1[[#This Row],[date debut]]+1))</f>
        <v/>
      </c>
      <c r="G183" s="70" t="str">
        <f>IF(Tableau1[[#This Row],[date debut]]=0,"",IF(Tableau1[[#This Row],[date fin]]=0,IF(Tableau1[[#This Row],[type]]="travail",Tableau1[[#This Row],[Colonne1]]-Tableau1[[#This Row],[date debut]]+1,""),""))</f>
        <v/>
      </c>
      <c r="H183" s="318" t="str">
        <f>CONCATENATE(Tableau1[[#This Row],[Jours1]],"",Tableau1[[#This Row],[jours2]])</f>
        <v/>
      </c>
      <c r="I183" s="318" t="str">
        <f ca="1">IF(C183="","",NETWORKDAYS(A183,C183))</f>
        <v/>
      </c>
      <c r="J183" t="str">
        <f t="shared" si="3"/>
        <v/>
      </c>
    </row>
    <row r="184" spans="1:10" x14ac:dyDescent="0.25">
      <c r="A184" s="280"/>
      <c r="B184" s="281"/>
      <c r="C184" s="99" t="str">
        <f ca="1">IF(Tableau1[[#This Row],[date fin]]&lt;&gt;0,Tableau1[[#This Row],[date fin]],IF(Tableau1[[#This Row],[type]]="travail",TODAY(),""))</f>
        <v/>
      </c>
      <c r="D184" s="248"/>
      <c r="E184" s="259"/>
      <c r="F184" s="70" t="str">
        <f>IF(Tableau1[[#This Row],[date debut]]=0,"",IF(Tableau1[[#This Row],[date fin]]=0,"",Tableau1[[#This Row],[Colonne1]]-Tableau1[[#This Row],[date debut]]+1))</f>
        <v/>
      </c>
      <c r="G184" s="70" t="str">
        <f>IF(Tableau1[[#This Row],[date debut]]=0,"",IF(Tableau1[[#This Row],[date fin]]=0,IF(Tableau1[[#This Row],[type]]="travail",Tableau1[[#This Row],[Colonne1]]-Tableau1[[#This Row],[date debut]]+1,""),""))</f>
        <v/>
      </c>
      <c r="H184" s="318" t="str">
        <f>CONCATENATE(Tableau1[[#This Row],[Jours1]],"",Tableau1[[#This Row],[jours2]])</f>
        <v/>
      </c>
      <c r="I184" s="318" t="str">
        <f ca="1">IF(C184="","",NETWORKDAYS(A184,C184))</f>
        <v/>
      </c>
      <c r="J184" t="str">
        <f t="shared" si="3"/>
        <v/>
      </c>
    </row>
    <row r="185" spans="1:10" x14ac:dyDescent="0.25">
      <c r="A185" s="280"/>
      <c r="B185" s="281"/>
      <c r="C185" s="99" t="str">
        <f ca="1">IF(Tableau1[[#This Row],[date fin]]&lt;&gt;0,Tableau1[[#This Row],[date fin]],IF(Tableau1[[#This Row],[type]]="travail",TODAY(),""))</f>
        <v/>
      </c>
      <c r="D185" s="248"/>
      <c r="E185" s="259"/>
      <c r="F185" s="70" t="str">
        <f>IF(Tableau1[[#This Row],[date debut]]=0,"",IF(Tableau1[[#This Row],[date fin]]=0,"",Tableau1[[#This Row],[Colonne1]]-Tableau1[[#This Row],[date debut]]+1))</f>
        <v/>
      </c>
      <c r="G185" s="70" t="str">
        <f>IF(Tableau1[[#This Row],[date debut]]=0,"",IF(Tableau1[[#This Row],[date fin]]=0,IF(Tableau1[[#This Row],[type]]="travail",Tableau1[[#This Row],[Colonne1]]-Tableau1[[#This Row],[date debut]]+1,""),""))</f>
        <v/>
      </c>
      <c r="H185" s="318" t="str">
        <f>CONCATENATE(Tableau1[[#This Row],[Jours1]],"",Tableau1[[#This Row],[jours2]])</f>
        <v/>
      </c>
      <c r="I185" s="318" t="str">
        <f ca="1">IF(C185="","",NETWORKDAYS(A185,C185))</f>
        <v/>
      </c>
      <c r="J185" t="str">
        <f t="shared" si="3"/>
        <v/>
      </c>
    </row>
    <row r="186" spans="1:10" x14ac:dyDescent="0.25">
      <c r="A186" s="280"/>
      <c r="B186" s="281"/>
      <c r="C186" s="99" t="str">
        <f ca="1">IF(Tableau1[[#This Row],[date fin]]&lt;&gt;0,Tableau1[[#This Row],[date fin]],IF(Tableau1[[#This Row],[type]]="travail",TODAY(),""))</f>
        <v/>
      </c>
      <c r="D186" s="248"/>
      <c r="E186" s="259"/>
      <c r="F186" s="70" t="str">
        <f>IF(Tableau1[[#This Row],[date debut]]=0,"",IF(Tableau1[[#This Row],[date fin]]=0,"",Tableau1[[#This Row],[Colonne1]]-Tableau1[[#This Row],[date debut]]+1))</f>
        <v/>
      </c>
      <c r="G186" s="70" t="str">
        <f>IF(Tableau1[[#This Row],[date debut]]=0,"",IF(Tableau1[[#This Row],[date fin]]=0,IF(Tableau1[[#This Row],[type]]="travail",Tableau1[[#This Row],[Colonne1]]-Tableau1[[#This Row],[date debut]]+1,""),""))</f>
        <v/>
      </c>
      <c r="H186" s="318" t="str">
        <f>CONCATENATE(Tableau1[[#This Row],[Jours1]],"",Tableau1[[#This Row],[jours2]])</f>
        <v/>
      </c>
      <c r="I186" s="318" t="str">
        <f ca="1">IF(C186="","",NETWORKDAYS(A186,C186))</f>
        <v/>
      </c>
      <c r="J186" t="str">
        <f t="shared" si="3"/>
        <v/>
      </c>
    </row>
    <row r="187" spans="1:10" x14ac:dyDescent="0.25">
      <c r="A187" s="280"/>
      <c r="B187" s="281"/>
      <c r="C187" s="99" t="str">
        <f ca="1">IF(Tableau1[[#This Row],[date fin]]&lt;&gt;0,Tableau1[[#This Row],[date fin]],IF(Tableau1[[#This Row],[type]]="travail",TODAY(),""))</f>
        <v/>
      </c>
      <c r="D187" s="248"/>
      <c r="E187" s="259"/>
      <c r="F187" s="70" t="str">
        <f>IF(Tableau1[[#This Row],[date debut]]=0,"",IF(Tableau1[[#This Row],[date fin]]=0,"",Tableau1[[#This Row],[Colonne1]]-Tableau1[[#This Row],[date debut]]+1))</f>
        <v/>
      </c>
      <c r="G187" s="70" t="str">
        <f>IF(Tableau1[[#This Row],[date debut]]=0,"",IF(Tableau1[[#This Row],[date fin]]=0,IF(Tableau1[[#This Row],[type]]="travail",Tableau1[[#This Row],[Colonne1]]-Tableau1[[#This Row],[date debut]]+1,""),""))</f>
        <v/>
      </c>
      <c r="H187" s="318" t="str">
        <f>CONCATENATE(Tableau1[[#This Row],[Jours1]],"",Tableau1[[#This Row],[jours2]])</f>
        <v/>
      </c>
      <c r="I187" s="318" t="str">
        <f ca="1">IF(C187="","",NETWORKDAYS(A187,C187))</f>
        <v/>
      </c>
      <c r="J187" t="str">
        <f t="shared" si="3"/>
        <v/>
      </c>
    </row>
    <row r="188" spans="1:10" x14ac:dyDescent="0.25">
      <c r="A188" s="280"/>
      <c r="B188" s="281"/>
      <c r="C188" s="99" t="str">
        <f ca="1">IF(Tableau1[[#This Row],[date fin]]&lt;&gt;0,Tableau1[[#This Row],[date fin]],IF(Tableau1[[#This Row],[type]]="travail",TODAY(),""))</f>
        <v/>
      </c>
      <c r="D188" s="248"/>
      <c r="E188" s="259"/>
      <c r="F188" s="70" t="str">
        <f>IF(Tableau1[[#This Row],[date debut]]=0,"",IF(Tableau1[[#This Row],[date fin]]=0,"",Tableau1[[#This Row],[Colonne1]]-Tableau1[[#This Row],[date debut]]+1))</f>
        <v/>
      </c>
      <c r="G188" s="70" t="str">
        <f>IF(Tableau1[[#This Row],[date debut]]=0,"",IF(Tableau1[[#This Row],[date fin]]=0,IF(Tableau1[[#This Row],[type]]="travail",Tableau1[[#This Row],[Colonne1]]-Tableau1[[#This Row],[date debut]]+1,""),""))</f>
        <v/>
      </c>
      <c r="H188" s="318" t="str">
        <f>CONCATENATE(Tableau1[[#This Row],[Jours1]],"",Tableau1[[#This Row],[jours2]])</f>
        <v/>
      </c>
      <c r="I188" s="318" t="str">
        <f ca="1">IF(C188="","",NETWORKDAYS(A188,C188))</f>
        <v/>
      </c>
      <c r="J188" t="str">
        <f t="shared" si="3"/>
        <v/>
      </c>
    </row>
    <row r="189" spans="1:10" x14ac:dyDescent="0.25">
      <c r="A189" s="280"/>
      <c r="B189" s="281"/>
      <c r="C189" s="99" t="str">
        <f ca="1">IF(Tableau1[[#This Row],[date fin]]&lt;&gt;0,Tableau1[[#This Row],[date fin]],IF(Tableau1[[#This Row],[type]]="travail",TODAY(),""))</f>
        <v/>
      </c>
      <c r="D189" s="248"/>
      <c r="E189" s="259"/>
      <c r="F189" s="70" t="str">
        <f>IF(Tableau1[[#This Row],[date debut]]=0,"",IF(Tableau1[[#This Row],[date fin]]=0,"",Tableau1[[#This Row],[Colonne1]]-Tableau1[[#This Row],[date debut]]+1))</f>
        <v/>
      </c>
      <c r="G189" s="70" t="str">
        <f>IF(Tableau1[[#This Row],[date debut]]=0,"",IF(Tableau1[[#This Row],[date fin]]=0,IF(Tableau1[[#This Row],[type]]="travail",Tableau1[[#This Row],[Colonne1]]-Tableau1[[#This Row],[date debut]]+1,""),""))</f>
        <v/>
      </c>
      <c r="H189" s="318" t="str">
        <f>CONCATENATE(Tableau1[[#This Row],[Jours1]],"",Tableau1[[#This Row],[jours2]])</f>
        <v/>
      </c>
      <c r="I189" s="318" t="str">
        <f ca="1">IF(C189="","",NETWORKDAYS(A189,C189))</f>
        <v/>
      </c>
      <c r="J189" t="str">
        <f t="shared" si="3"/>
        <v/>
      </c>
    </row>
    <row r="190" spans="1:10" x14ac:dyDescent="0.25">
      <c r="A190" s="282"/>
      <c r="B190" s="283"/>
      <c r="C190" s="99" t="str">
        <f ca="1">IF(Tableau1[[#This Row],[date fin]]&lt;&gt;0,Tableau1[[#This Row],[date fin]],IF(Tableau1[[#This Row],[type]]="travail",TODAY(),""))</f>
        <v/>
      </c>
      <c r="D190" s="251"/>
      <c r="E190" s="260"/>
      <c r="F190" s="70" t="str">
        <f>IF(Tableau1[[#This Row],[date debut]]=0,"",IF(Tableau1[[#This Row],[date fin]]=0,"",Tableau1[[#This Row],[Colonne1]]-Tableau1[[#This Row],[date debut]]+1))</f>
        <v/>
      </c>
      <c r="G190" s="70" t="str">
        <f>IF(Tableau1[[#This Row],[date debut]]=0,"",IF(Tableau1[[#This Row],[date fin]]=0,IF(Tableau1[[#This Row],[type]]="travail",Tableau1[[#This Row],[Colonne1]]-Tableau1[[#This Row],[date debut]]+1,""),""))</f>
        <v/>
      </c>
      <c r="H190" s="318" t="str">
        <f>CONCATENATE(Tableau1[[#This Row],[Jours1]],"",Tableau1[[#This Row],[jours2]])</f>
        <v/>
      </c>
      <c r="I190" s="318" t="str">
        <f ca="1">IF(C190="","",NETWORKDAYS(A190,C190))</f>
        <v/>
      </c>
      <c r="J190" t="str">
        <f t="shared" si="3"/>
        <v/>
      </c>
    </row>
  </sheetData>
  <sortState ref="M4:N25">
    <sortCondition ref="M3"/>
  </sortState>
  <dataValidations disablePrompts="1" count="1">
    <dataValidation type="list" allowBlank="1" showInputMessage="1" showErrorMessage="1" sqref="E3:E190">
      <formula1>$M$3:$M$25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81"/>
  <sheetViews>
    <sheetView zoomScale="115" zoomScaleNormal="115" workbookViewId="0">
      <selection activeCell="F2" sqref="F2"/>
    </sheetView>
  </sheetViews>
  <sheetFormatPr baseColWidth="10" defaultRowHeight="15" x14ac:dyDescent="0.25"/>
  <cols>
    <col min="1" max="2" width="11.85546875" style="99" bestFit="1" customWidth="1"/>
    <col min="3" max="3" width="50.5703125" style="99" customWidth="1"/>
    <col min="4" max="4" width="5.42578125" style="99" bestFit="1" customWidth="1"/>
    <col min="5" max="5" width="10.140625" customWidth="1"/>
    <col min="6" max="6" width="11.42578125" style="159"/>
  </cols>
  <sheetData>
    <row r="1" spans="1:6" x14ac:dyDescent="0.25">
      <c r="A1" s="161" t="s">
        <v>29</v>
      </c>
      <c r="B1" s="162" t="s">
        <v>29</v>
      </c>
      <c r="C1" s="163" t="s">
        <v>583</v>
      </c>
      <c r="D1" s="163" t="s">
        <v>589</v>
      </c>
      <c r="E1" s="163" t="s">
        <v>587</v>
      </c>
      <c r="F1" s="159" t="s">
        <v>588</v>
      </c>
    </row>
    <row r="2" spans="1:6" x14ac:dyDescent="0.25">
      <c r="A2" s="164">
        <v>42786</v>
      </c>
      <c r="B2" s="165">
        <v>42839</v>
      </c>
      <c r="C2" s="165" t="s">
        <v>584</v>
      </c>
      <c r="D2" s="215" t="s">
        <v>590</v>
      </c>
      <c r="E2" s="166"/>
      <c r="F2" s="159">
        <f>B2-A2</f>
        <v>53</v>
      </c>
    </row>
    <row r="3" spans="1:6" x14ac:dyDescent="0.25">
      <c r="A3" s="167">
        <v>42849</v>
      </c>
      <c r="B3" s="168">
        <f ca="1">TODAY()</f>
        <v>42887</v>
      </c>
      <c r="C3" s="168" t="s">
        <v>585</v>
      </c>
      <c r="D3" s="216" t="s">
        <v>590</v>
      </c>
      <c r="E3" s="169"/>
    </row>
    <row r="4" spans="1:6" x14ac:dyDescent="0.25">
      <c r="A4" s="170">
        <v>42843</v>
      </c>
      <c r="B4" s="171">
        <v>42846</v>
      </c>
      <c r="C4" s="171" t="s">
        <v>586</v>
      </c>
      <c r="D4" s="217" t="s">
        <v>591</v>
      </c>
      <c r="E4" s="172"/>
    </row>
    <row r="5" spans="1:6" x14ac:dyDescent="0.25">
      <c r="A5" s="173"/>
      <c r="B5" s="174"/>
      <c r="C5" s="174"/>
      <c r="D5" s="218"/>
      <c r="E5" s="175"/>
    </row>
    <row r="6" spans="1:6" x14ac:dyDescent="0.25">
      <c r="A6" s="176"/>
      <c r="B6" s="177"/>
      <c r="C6" s="177"/>
      <c r="D6" s="219"/>
      <c r="E6" s="178"/>
    </row>
    <row r="7" spans="1:6" x14ac:dyDescent="0.25">
      <c r="A7" s="179"/>
      <c r="B7" s="180"/>
      <c r="C7" s="180"/>
      <c r="D7" s="220"/>
      <c r="E7" s="181"/>
    </row>
    <row r="8" spans="1:6" x14ac:dyDescent="0.25">
      <c r="A8" s="182"/>
      <c r="B8" s="183"/>
      <c r="C8" s="183"/>
      <c r="D8" s="221"/>
      <c r="E8" s="184"/>
    </row>
    <row r="9" spans="1:6" x14ac:dyDescent="0.25">
      <c r="A9" s="185"/>
      <c r="B9" s="186"/>
      <c r="C9" s="186"/>
      <c r="D9" s="222"/>
      <c r="E9" s="187"/>
    </row>
    <row r="10" spans="1:6" x14ac:dyDescent="0.25">
      <c r="A10" s="188"/>
      <c r="B10" s="189"/>
      <c r="C10" s="189"/>
      <c r="D10" s="223"/>
      <c r="E10" s="190"/>
    </row>
    <row r="11" spans="1:6" x14ac:dyDescent="0.25">
      <c r="A11" s="191"/>
      <c r="B11" s="192"/>
      <c r="C11" s="192"/>
      <c r="D11" s="224"/>
      <c r="E11" s="193"/>
    </row>
    <row r="12" spans="1:6" x14ac:dyDescent="0.25">
      <c r="A12" s="194"/>
      <c r="B12" s="195"/>
      <c r="C12" s="195"/>
      <c r="D12" s="225"/>
      <c r="E12" s="196"/>
    </row>
    <row r="13" spans="1:6" x14ac:dyDescent="0.25">
      <c r="A13" s="197"/>
      <c r="B13" s="198"/>
      <c r="C13" s="198"/>
      <c r="D13" s="226"/>
      <c r="E13" s="199"/>
    </row>
    <row r="14" spans="1:6" x14ac:dyDescent="0.25">
      <c r="A14" s="200"/>
      <c r="B14" s="201"/>
      <c r="C14" s="201"/>
      <c r="D14" s="227"/>
      <c r="E14" s="202"/>
    </row>
    <row r="15" spans="1:6" x14ac:dyDescent="0.25">
      <c r="A15" s="203"/>
      <c r="B15" s="204"/>
      <c r="C15" s="204"/>
      <c r="D15" s="228"/>
      <c r="E15" s="205"/>
    </row>
    <row r="16" spans="1:6" x14ac:dyDescent="0.25">
      <c r="A16" s="206"/>
      <c r="B16" s="207"/>
      <c r="C16" s="207"/>
      <c r="D16" s="229"/>
      <c r="E16" s="208"/>
    </row>
    <row r="17" spans="1:5" x14ac:dyDescent="0.25">
      <c r="A17" s="209"/>
      <c r="B17" s="210"/>
      <c r="C17" s="210"/>
      <c r="D17" s="230"/>
      <c r="E17" s="211"/>
    </row>
    <row r="18" spans="1:5" x14ac:dyDescent="0.25">
      <c r="A18" s="164"/>
      <c r="B18" s="165"/>
      <c r="C18" s="165"/>
      <c r="D18" s="215"/>
      <c r="E18" s="166"/>
    </row>
    <row r="19" spans="1:5" x14ac:dyDescent="0.25">
      <c r="A19" s="167"/>
      <c r="B19" s="168"/>
      <c r="C19" s="168"/>
      <c r="D19" s="216"/>
      <c r="E19" s="169"/>
    </row>
    <row r="20" spans="1:5" x14ac:dyDescent="0.25">
      <c r="A20" s="170"/>
      <c r="B20" s="171"/>
      <c r="C20" s="171"/>
      <c r="D20" s="217"/>
      <c r="E20" s="172"/>
    </row>
    <row r="21" spans="1:5" x14ac:dyDescent="0.25">
      <c r="A21" s="173"/>
      <c r="B21" s="174"/>
      <c r="C21" s="174"/>
      <c r="D21" s="218"/>
      <c r="E21" s="175"/>
    </row>
    <row r="22" spans="1:5" x14ac:dyDescent="0.25">
      <c r="A22" s="176"/>
      <c r="B22" s="177"/>
      <c r="C22" s="177"/>
      <c r="D22" s="219"/>
      <c r="E22" s="178"/>
    </row>
    <row r="23" spans="1:5" x14ac:dyDescent="0.25">
      <c r="A23" s="179"/>
      <c r="B23" s="180"/>
      <c r="C23" s="180"/>
      <c r="D23" s="220"/>
      <c r="E23" s="181"/>
    </row>
    <row r="24" spans="1:5" x14ac:dyDescent="0.25">
      <c r="A24" s="182"/>
      <c r="B24" s="183"/>
      <c r="C24" s="183"/>
      <c r="D24" s="221"/>
      <c r="E24" s="184"/>
    </row>
    <row r="25" spans="1:5" x14ac:dyDescent="0.25">
      <c r="A25" s="185"/>
      <c r="B25" s="186"/>
      <c r="C25" s="186"/>
      <c r="D25" s="222"/>
      <c r="E25" s="187"/>
    </row>
    <row r="26" spans="1:5" x14ac:dyDescent="0.25">
      <c r="A26" s="188"/>
      <c r="B26" s="189"/>
      <c r="C26" s="189"/>
      <c r="D26" s="223"/>
      <c r="E26" s="190"/>
    </row>
    <row r="27" spans="1:5" x14ac:dyDescent="0.25">
      <c r="A27" s="191"/>
      <c r="B27" s="192"/>
      <c r="C27" s="192"/>
      <c r="D27" s="224"/>
      <c r="E27" s="193"/>
    </row>
    <row r="28" spans="1:5" x14ac:dyDescent="0.25">
      <c r="A28" s="194"/>
      <c r="B28" s="195"/>
      <c r="C28" s="195"/>
      <c r="D28" s="225"/>
      <c r="E28" s="196"/>
    </row>
    <row r="29" spans="1:5" x14ac:dyDescent="0.25">
      <c r="A29" s="197"/>
      <c r="B29" s="198"/>
      <c r="C29" s="198"/>
      <c r="D29" s="226"/>
      <c r="E29" s="199"/>
    </row>
    <row r="30" spans="1:5" x14ac:dyDescent="0.25">
      <c r="A30" s="200"/>
      <c r="B30" s="201"/>
      <c r="C30" s="201"/>
      <c r="D30" s="227"/>
      <c r="E30" s="202"/>
    </row>
    <row r="31" spans="1:5" x14ac:dyDescent="0.25">
      <c r="A31" s="203"/>
      <c r="B31" s="204"/>
      <c r="C31" s="204"/>
      <c r="D31" s="228"/>
      <c r="E31" s="205"/>
    </row>
    <row r="32" spans="1:5" x14ac:dyDescent="0.25">
      <c r="A32" s="206"/>
      <c r="B32" s="207"/>
      <c r="C32" s="207"/>
      <c r="D32" s="229"/>
      <c r="E32" s="208"/>
    </row>
    <row r="33" spans="1:5" x14ac:dyDescent="0.25">
      <c r="A33" s="209"/>
      <c r="B33" s="210"/>
      <c r="C33" s="210"/>
      <c r="D33" s="230"/>
      <c r="E33" s="211"/>
    </row>
    <row r="34" spans="1:5" x14ac:dyDescent="0.25">
      <c r="A34" s="164"/>
      <c r="B34" s="165"/>
      <c r="C34" s="165"/>
      <c r="D34" s="215"/>
      <c r="E34" s="166"/>
    </row>
    <row r="35" spans="1:5" x14ac:dyDescent="0.25">
      <c r="A35" s="167"/>
      <c r="B35" s="168"/>
      <c r="C35" s="168"/>
      <c r="D35" s="216"/>
      <c r="E35" s="169"/>
    </row>
    <row r="36" spans="1:5" x14ac:dyDescent="0.25">
      <c r="A36" s="170"/>
      <c r="B36" s="171"/>
      <c r="C36" s="171"/>
      <c r="D36" s="217"/>
      <c r="E36" s="172"/>
    </row>
    <row r="37" spans="1:5" x14ac:dyDescent="0.25">
      <c r="A37" s="173"/>
      <c r="B37" s="174"/>
      <c r="C37" s="174"/>
      <c r="D37" s="218"/>
      <c r="E37" s="175"/>
    </row>
    <row r="38" spans="1:5" x14ac:dyDescent="0.25">
      <c r="A38" s="176"/>
      <c r="B38" s="177"/>
      <c r="C38" s="177"/>
      <c r="D38" s="219"/>
      <c r="E38" s="178"/>
    </row>
    <row r="39" spans="1:5" x14ac:dyDescent="0.25">
      <c r="A39" s="179"/>
      <c r="B39" s="180"/>
      <c r="C39" s="180"/>
      <c r="D39" s="220"/>
      <c r="E39" s="181"/>
    </row>
    <row r="40" spans="1:5" x14ac:dyDescent="0.25">
      <c r="A40" s="182"/>
      <c r="B40" s="183"/>
      <c r="C40" s="183"/>
      <c r="D40" s="221"/>
      <c r="E40" s="184"/>
    </row>
    <row r="41" spans="1:5" x14ac:dyDescent="0.25">
      <c r="A41" s="185"/>
      <c r="B41" s="186"/>
      <c r="C41" s="186"/>
      <c r="D41" s="222"/>
      <c r="E41" s="187"/>
    </row>
    <row r="42" spans="1:5" x14ac:dyDescent="0.25">
      <c r="A42" s="188"/>
      <c r="B42" s="189"/>
      <c r="C42" s="189"/>
      <c r="D42" s="223"/>
      <c r="E42" s="190"/>
    </row>
    <row r="43" spans="1:5" x14ac:dyDescent="0.25">
      <c r="A43" s="191"/>
      <c r="B43" s="192"/>
      <c r="C43" s="192"/>
      <c r="D43" s="224"/>
      <c r="E43" s="193"/>
    </row>
    <row r="44" spans="1:5" x14ac:dyDescent="0.25">
      <c r="A44" s="194"/>
      <c r="B44" s="195"/>
      <c r="C44" s="195"/>
      <c r="D44" s="225"/>
      <c r="E44" s="196"/>
    </row>
    <row r="45" spans="1:5" x14ac:dyDescent="0.25">
      <c r="A45" s="197"/>
      <c r="B45" s="198"/>
      <c r="C45" s="198"/>
      <c r="D45" s="226"/>
      <c r="E45" s="199"/>
    </row>
    <row r="46" spans="1:5" x14ac:dyDescent="0.25">
      <c r="A46" s="200"/>
      <c r="B46" s="201"/>
      <c r="C46" s="201"/>
      <c r="D46" s="227"/>
      <c r="E46" s="202"/>
    </row>
    <row r="47" spans="1:5" x14ac:dyDescent="0.25">
      <c r="A47" s="203"/>
      <c r="B47" s="204"/>
      <c r="C47" s="204"/>
      <c r="D47" s="228"/>
      <c r="E47" s="205"/>
    </row>
    <row r="48" spans="1:5" x14ac:dyDescent="0.25">
      <c r="A48" s="206"/>
      <c r="B48" s="207"/>
      <c r="C48" s="207"/>
      <c r="D48" s="229"/>
      <c r="E48" s="208"/>
    </row>
    <row r="49" spans="1:5" x14ac:dyDescent="0.25">
      <c r="A49" s="209"/>
      <c r="B49" s="210"/>
      <c r="C49" s="210"/>
      <c r="D49" s="230"/>
      <c r="E49" s="211"/>
    </row>
    <row r="50" spans="1:5" x14ac:dyDescent="0.25">
      <c r="A50" s="164"/>
      <c r="B50" s="165"/>
      <c r="C50" s="165"/>
      <c r="D50" s="215"/>
      <c r="E50" s="166"/>
    </row>
    <row r="51" spans="1:5" x14ac:dyDescent="0.25">
      <c r="A51" s="167"/>
      <c r="B51" s="168"/>
      <c r="C51" s="168"/>
      <c r="D51" s="216"/>
      <c r="E51" s="169"/>
    </row>
    <row r="52" spans="1:5" x14ac:dyDescent="0.25">
      <c r="A52" s="170"/>
      <c r="B52" s="171"/>
      <c r="C52" s="171"/>
      <c r="D52" s="217"/>
      <c r="E52" s="172"/>
    </row>
    <row r="53" spans="1:5" x14ac:dyDescent="0.25">
      <c r="A53" s="173"/>
      <c r="B53" s="174"/>
      <c r="C53" s="174"/>
      <c r="D53" s="218"/>
      <c r="E53" s="175"/>
    </row>
    <row r="54" spans="1:5" x14ac:dyDescent="0.25">
      <c r="A54" s="176"/>
      <c r="B54" s="177"/>
      <c r="C54" s="177"/>
      <c r="D54" s="219"/>
      <c r="E54" s="178"/>
    </row>
    <row r="55" spans="1:5" x14ac:dyDescent="0.25">
      <c r="A55" s="179"/>
      <c r="B55" s="180"/>
      <c r="C55" s="180"/>
      <c r="D55" s="220"/>
      <c r="E55" s="181"/>
    </row>
    <row r="56" spans="1:5" x14ac:dyDescent="0.25">
      <c r="A56" s="182"/>
      <c r="B56" s="183"/>
      <c r="C56" s="183"/>
      <c r="D56" s="221"/>
      <c r="E56" s="184"/>
    </row>
    <row r="57" spans="1:5" x14ac:dyDescent="0.25">
      <c r="A57" s="185"/>
      <c r="B57" s="186"/>
      <c r="C57" s="186"/>
      <c r="D57" s="222"/>
      <c r="E57" s="187"/>
    </row>
    <row r="58" spans="1:5" x14ac:dyDescent="0.25">
      <c r="A58" s="188"/>
      <c r="B58" s="189"/>
      <c r="C58" s="189"/>
      <c r="D58" s="223"/>
      <c r="E58" s="190"/>
    </row>
    <row r="59" spans="1:5" x14ac:dyDescent="0.25">
      <c r="A59" s="191"/>
      <c r="B59" s="192"/>
      <c r="C59" s="192"/>
      <c r="D59" s="224"/>
      <c r="E59" s="193"/>
    </row>
    <row r="60" spans="1:5" x14ac:dyDescent="0.25">
      <c r="A60" s="194"/>
      <c r="B60" s="195"/>
      <c r="C60" s="195"/>
      <c r="D60" s="225"/>
      <c r="E60" s="196"/>
    </row>
    <row r="61" spans="1:5" x14ac:dyDescent="0.25">
      <c r="A61" s="197"/>
      <c r="B61" s="198"/>
      <c r="C61" s="198"/>
      <c r="D61" s="226"/>
      <c r="E61" s="199"/>
    </row>
    <row r="62" spans="1:5" x14ac:dyDescent="0.25">
      <c r="A62" s="200"/>
      <c r="B62" s="201"/>
      <c r="C62" s="201"/>
      <c r="D62" s="227"/>
      <c r="E62" s="202"/>
    </row>
    <row r="63" spans="1:5" x14ac:dyDescent="0.25">
      <c r="A63" s="203"/>
      <c r="B63" s="204"/>
      <c r="C63" s="204"/>
      <c r="D63" s="228"/>
      <c r="E63" s="205"/>
    </row>
    <row r="64" spans="1:5" x14ac:dyDescent="0.25">
      <c r="A64" s="206"/>
      <c r="B64" s="207"/>
      <c r="C64" s="207"/>
      <c r="D64" s="229"/>
      <c r="E64" s="208"/>
    </row>
    <row r="65" spans="1:5" ht="15.75" thickBot="1" x14ac:dyDescent="0.3">
      <c r="A65" s="212"/>
      <c r="B65" s="213"/>
      <c r="C65" s="213"/>
      <c r="D65" s="231"/>
      <c r="E65" s="214"/>
    </row>
    <row r="66" spans="1:5" x14ac:dyDescent="0.25">
      <c r="A66" s="160"/>
      <c r="B66" s="160"/>
      <c r="C66" s="75"/>
      <c r="D66" s="75"/>
      <c r="E66" s="158"/>
    </row>
    <row r="67" spans="1:5" x14ac:dyDescent="0.25">
      <c r="A67" s="160"/>
      <c r="B67" s="160"/>
      <c r="C67" s="75"/>
      <c r="D67" s="75"/>
      <c r="E67" s="158"/>
    </row>
    <row r="68" spans="1:5" x14ac:dyDescent="0.25">
      <c r="A68" s="160"/>
      <c r="B68" s="160"/>
      <c r="C68" s="75"/>
      <c r="D68" s="75"/>
      <c r="E68" s="158"/>
    </row>
    <row r="69" spans="1:5" x14ac:dyDescent="0.25">
      <c r="A69" s="160"/>
      <c r="B69" s="160"/>
      <c r="C69" s="75"/>
      <c r="D69" s="75"/>
      <c r="E69" s="158"/>
    </row>
    <row r="70" spans="1:5" x14ac:dyDescent="0.25">
      <c r="A70" s="160"/>
      <c r="B70" s="160"/>
      <c r="C70" s="75"/>
      <c r="D70" s="75"/>
      <c r="E70" s="158"/>
    </row>
    <row r="71" spans="1:5" x14ac:dyDescent="0.25">
      <c r="A71" s="160"/>
      <c r="B71" s="160"/>
      <c r="C71" s="75"/>
      <c r="D71" s="75"/>
      <c r="E71" s="158"/>
    </row>
    <row r="72" spans="1:5" x14ac:dyDescent="0.25">
      <c r="A72" s="160"/>
      <c r="B72" s="160"/>
      <c r="C72" s="75"/>
      <c r="D72" s="75"/>
      <c r="E72" s="158"/>
    </row>
    <row r="73" spans="1:5" x14ac:dyDescent="0.25">
      <c r="A73" s="160"/>
      <c r="B73" s="160"/>
      <c r="C73" s="75"/>
      <c r="D73" s="75"/>
      <c r="E73" s="158"/>
    </row>
    <row r="74" spans="1:5" x14ac:dyDescent="0.25">
      <c r="A74" s="160"/>
      <c r="B74" s="160"/>
      <c r="C74" s="75"/>
      <c r="D74" s="75"/>
      <c r="E74" s="158"/>
    </row>
    <row r="75" spans="1:5" x14ac:dyDescent="0.25">
      <c r="A75" s="160"/>
      <c r="B75" s="160"/>
      <c r="C75" s="75"/>
      <c r="D75" s="75"/>
      <c r="E75" s="158"/>
    </row>
    <row r="76" spans="1:5" x14ac:dyDescent="0.25">
      <c r="A76" s="160"/>
      <c r="B76" s="160"/>
      <c r="C76" s="75"/>
      <c r="D76" s="75"/>
      <c r="E76" s="158"/>
    </row>
    <row r="77" spans="1:5" x14ac:dyDescent="0.25">
      <c r="A77" s="160"/>
      <c r="B77" s="160"/>
      <c r="C77" s="75"/>
      <c r="D77" s="75"/>
      <c r="E77" s="158"/>
    </row>
    <row r="78" spans="1:5" x14ac:dyDescent="0.25">
      <c r="A78" s="160"/>
      <c r="B78" s="160"/>
      <c r="C78" s="75"/>
      <c r="D78" s="75"/>
      <c r="E78" s="158"/>
    </row>
    <row r="79" spans="1:5" x14ac:dyDescent="0.25">
      <c r="A79" s="160"/>
      <c r="B79" s="160"/>
      <c r="C79" s="75"/>
      <c r="D79" s="75"/>
      <c r="E79" s="158"/>
    </row>
    <row r="80" spans="1:5" x14ac:dyDescent="0.25">
      <c r="A80" s="160"/>
      <c r="B80" s="160"/>
      <c r="C80" s="75"/>
      <c r="D80" s="75"/>
      <c r="E80" s="158"/>
    </row>
    <row r="81" spans="1:5" x14ac:dyDescent="0.25">
      <c r="A81" s="160"/>
      <c r="B81" s="160"/>
      <c r="C81" s="75"/>
      <c r="D81" s="75"/>
      <c r="E81" s="158"/>
    </row>
  </sheetData>
  <conditionalFormatting sqref="P22">
    <cfRule type="expression" priority="1">
      <formula>"{=si($K$22="""":"""":sierreur(recherchebv($K$22;Événements!$A$2:$C$65;2;0);""""))}"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990"/>
  <sheetViews>
    <sheetView topLeftCell="A744" workbookViewId="0">
      <selection activeCell="F32" sqref="F32"/>
    </sheetView>
  </sheetViews>
  <sheetFormatPr baseColWidth="10" defaultRowHeight="15" x14ac:dyDescent="0.25"/>
  <cols>
    <col min="1" max="1" width="11.5703125" style="99" customWidth="1"/>
    <col min="2" max="2" width="15.7109375" style="129" customWidth="1"/>
  </cols>
  <sheetData>
    <row r="1" spans="1:3" x14ac:dyDescent="0.25">
      <c r="A1" s="99">
        <v>40909</v>
      </c>
      <c r="B1" s="129" t="s">
        <v>461</v>
      </c>
      <c r="C1" t="s">
        <v>462</v>
      </c>
    </row>
    <row r="2" spans="1:3" x14ac:dyDescent="0.25">
      <c r="A2" s="99">
        <v>40917</v>
      </c>
      <c r="B2" s="129" t="s">
        <v>463</v>
      </c>
    </row>
    <row r="3" spans="1:3" x14ac:dyDescent="0.25">
      <c r="A3" s="99">
        <v>40924</v>
      </c>
      <c r="B3" s="129" t="s">
        <v>464</v>
      </c>
    </row>
    <row r="4" spans="1:3" x14ac:dyDescent="0.25">
      <c r="A4" s="99">
        <v>40931</v>
      </c>
      <c r="B4" s="129" t="s">
        <v>465</v>
      </c>
    </row>
    <row r="5" spans="1:3" x14ac:dyDescent="0.25">
      <c r="A5" s="99">
        <v>40939</v>
      </c>
      <c r="B5" s="129" t="s">
        <v>461</v>
      </c>
    </row>
    <row r="6" spans="1:3" x14ac:dyDescent="0.25">
      <c r="A6" s="99">
        <v>40946</v>
      </c>
      <c r="B6" s="129" t="s">
        <v>463</v>
      </c>
    </row>
    <row r="7" spans="1:3" x14ac:dyDescent="0.25">
      <c r="A7" s="99">
        <v>40953</v>
      </c>
      <c r="B7" s="129" t="s">
        <v>464</v>
      </c>
    </row>
    <row r="8" spans="1:3" x14ac:dyDescent="0.25">
      <c r="A8" s="99">
        <v>40960</v>
      </c>
      <c r="B8" s="129" t="s">
        <v>465</v>
      </c>
    </row>
    <row r="9" spans="1:3" x14ac:dyDescent="0.25">
      <c r="A9" s="99">
        <v>40969</v>
      </c>
      <c r="B9" s="129" t="s">
        <v>461</v>
      </c>
    </row>
    <row r="10" spans="1:3" x14ac:dyDescent="0.25">
      <c r="A10" s="99">
        <v>40976</v>
      </c>
      <c r="B10" s="129" t="s">
        <v>463</v>
      </c>
    </row>
    <row r="11" spans="1:3" x14ac:dyDescent="0.25">
      <c r="A11" s="99">
        <v>40983</v>
      </c>
      <c r="B11" s="129" t="s">
        <v>464</v>
      </c>
    </row>
    <row r="12" spans="1:3" x14ac:dyDescent="0.25">
      <c r="A12" s="99">
        <v>40990</v>
      </c>
      <c r="B12" s="129" t="s">
        <v>465</v>
      </c>
    </row>
    <row r="13" spans="1:3" x14ac:dyDescent="0.25">
      <c r="A13" s="99">
        <v>40998</v>
      </c>
      <c r="B13" s="129" t="s">
        <v>461</v>
      </c>
    </row>
    <row r="14" spans="1:3" x14ac:dyDescent="0.25">
      <c r="A14" s="99">
        <v>41005</v>
      </c>
      <c r="B14" s="129" t="s">
        <v>463</v>
      </c>
    </row>
    <row r="15" spans="1:3" x14ac:dyDescent="0.25">
      <c r="A15" s="99">
        <v>41012</v>
      </c>
      <c r="B15" s="129" t="s">
        <v>464</v>
      </c>
    </row>
    <row r="16" spans="1:3" x14ac:dyDescent="0.25">
      <c r="A16" s="99">
        <v>41020</v>
      </c>
      <c r="B16" s="129" t="s">
        <v>465</v>
      </c>
    </row>
    <row r="17" spans="1:2" x14ac:dyDescent="0.25">
      <c r="A17" s="99">
        <v>41028</v>
      </c>
      <c r="B17" s="129" t="s">
        <v>461</v>
      </c>
    </row>
    <row r="18" spans="1:2" x14ac:dyDescent="0.25">
      <c r="A18" s="99">
        <v>41035</v>
      </c>
      <c r="B18" s="129" t="s">
        <v>463</v>
      </c>
    </row>
    <row r="19" spans="1:2" x14ac:dyDescent="0.25">
      <c r="A19" s="99">
        <v>41041</v>
      </c>
      <c r="B19" s="129" t="s">
        <v>464</v>
      </c>
    </row>
    <row r="20" spans="1:2" x14ac:dyDescent="0.25">
      <c r="A20" s="99">
        <v>41049</v>
      </c>
      <c r="B20" s="129" t="s">
        <v>465</v>
      </c>
    </row>
    <row r="21" spans="1:2" x14ac:dyDescent="0.25">
      <c r="A21" s="99">
        <v>41057</v>
      </c>
      <c r="B21" s="129" t="s">
        <v>461</v>
      </c>
    </row>
    <row r="22" spans="1:2" x14ac:dyDescent="0.25">
      <c r="A22" s="99">
        <v>41064</v>
      </c>
      <c r="B22" s="129" t="s">
        <v>463</v>
      </c>
    </row>
    <row r="23" spans="1:2" x14ac:dyDescent="0.25">
      <c r="A23" s="99">
        <v>41071</v>
      </c>
      <c r="B23" s="129" t="s">
        <v>464</v>
      </c>
    </row>
    <row r="24" spans="1:2" x14ac:dyDescent="0.25">
      <c r="A24" s="99">
        <v>41079</v>
      </c>
      <c r="B24" s="129" t="s">
        <v>465</v>
      </c>
    </row>
    <row r="25" spans="1:2" x14ac:dyDescent="0.25">
      <c r="A25" s="99">
        <v>41087</v>
      </c>
      <c r="B25" s="129" t="s">
        <v>461</v>
      </c>
    </row>
    <row r="26" spans="1:2" x14ac:dyDescent="0.25">
      <c r="A26" s="99">
        <v>41093</v>
      </c>
      <c r="B26" s="129" t="s">
        <v>463</v>
      </c>
    </row>
    <row r="27" spans="1:2" x14ac:dyDescent="0.25">
      <c r="A27" s="99">
        <v>41101</v>
      </c>
      <c r="B27" s="129" t="s">
        <v>464</v>
      </c>
    </row>
    <row r="28" spans="1:2" x14ac:dyDescent="0.25">
      <c r="A28" s="99">
        <v>41109</v>
      </c>
      <c r="B28" s="129" t="s">
        <v>465</v>
      </c>
    </row>
    <row r="29" spans="1:2" x14ac:dyDescent="0.25">
      <c r="A29" s="99">
        <v>41116</v>
      </c>
      <c r="B29" s="129" t="s">
        <v>461</v>
      </c>
    </row>
    <row r="30" spans="1:2" x14ac:dyDescent="0.25">
      <c r="A30" s="99">
        <v>41123</v>
      </c>
      <c r="B30" s="129" t="s">
        <v>463</v>
      </c>
    </row>
    <row r="31" spans="1:2" x14ac:dyDescent="0.25">
      <c r="A31" s="99">
        <v>41130</v>
      </c>
      <c r="B31" s="129" t="s">
        <v>464</v>
      </c>
    </row>
    <row r="32" spans="1:2" x14ac:dyDescent="0.25">
      <c r="A32" s="99">
        <v>41138</v>
      </c>
      <c r="B32" s="129" t="s">
        <v>465</v>
      </c>
    </row>
    <row r="33" spans="1:2" x14ac:dyDescent="0.25">
      <c r="A33" s="99">
        <v>41145</v>
      </c>
      <c r="B33" s="129" t="s">
        <v>461</v>
      </c>
    </row>
    <row r="34" spans="1:2" x14ac:dyDescent="0.25">
      <c r="A34" s="99">
        <v>41152</v>
      </c>
      <c r="B34" s="129" t="s">
        <v>463</v>
      </c>
    </row>
    <row r="35" spans="1:2" x14ac:dyDescent="0.25">
      <c r="A35" s="99">
        <v>41160</v>
      </c>
      <c r="B35" s="129" t="s">
        <v>464</v>
      </c>
    </row>
    <row r="36" spans="1:2" x14ac:dyDescent="0.25">
      <c r="A36" s="99">
        <v>41168</v>
      </c>
      <c r="B36" s="129" t="s">
        <v>465</v>
      </c>
    </row>
    <row r="37" spans="1:2" x14ac:dyDescent="0.25">
      <c r="A37" s="99">
        <v>41174</v>
      </c>
      <c r="B37" s="129" t="s">
        <v>461</v>
      </c>
    </row>
    <row r="38" spans="1:2" x14ac:dyDescent="0.25">
      <c r="A38" s="99">
        <v>41182</v>
      </c>
      <c r="B38" s="129" t="s">
        <v>463</v>
      </c>
    </row>
    <row r="39" spans="1:2" x14ac:dyDescent="0.25">
      <c r="A39" s="99">
        <v>41190</v>
      </c>
      <c r="B39" s="129" t="s">
        <v>464</v>
      </c>
    </row>
    <row r="40" spans="1:2" x14ac:dyDescent="0.25">
      <c r="A40" s="99">
        <v>41197</v>
      </c>
      <c r="B40" s="129" t="s">
        <v>465</v>
      </c>
    </row>
    <row r="41" spans="1:2" x14ac:dyDescent="0.25">
      <c r="A41" s="99">
        <v>41204</v>
      </c>
      <c r="B41" s="129" t="s">
        <v>461</v>
      </c>
    </row>
    <row r="42" spans="1:2" x14ac:dyDescent="0.25">
      <c r="A42" s="99">
        <v>41211</v>
      </c>
      <c r="B42" s="129" t="s">
        <v>463</v>
      </c>
    </row>
    <row r="43" spans="1:2" x14ac:dyDescent="0.25">
      <c r="A43" s="99">
        <v>41220</v>
      </c>
      <c r="B43" s="129" t="s">
        <v>464</v>
      </c>
    </row>
    <row r="44" spans="1:2" x14ac:dyDescent="0.25">
      <c r="A44" s="99">
        <v>41226</v>
      </c>
      <c r="B44" s="129" t="s">
        <v>465</v>
      </c>
    </row>
    <row r="45" spans="1:2" x14ac:dyDescent="0.25">
      <c r="A45" s="99">
        <v>41233</v>
      </c>
      <c r="B45" s="129" t="s">
        <v>461</v>
      </c>
    </row>
    <row r="46" spans="1:2" x14ac:dyDescent="0.25">
      <c r="A46" s="99">
        <v>41241</v>
      </c>
      <c r="B46" s="129" t="s">
        <v>463</v>
      </c>
    </row>
    <row r="47" spans="1:2" x14ac:dyDescent="0.25">
      <c r="A47" s="99">
        <v>41249</v>
      </c>
      <c r="B47" s="129" t="s">
        <v>464</v>
      </c>
    </row>
    <row r="48" spans="1:2" x14ac:dyDescent="0.25">
      <c r="A48" s="99">
        <v>41256</v>
      </c>
      <c r="B48" s="129" t="s">
        <v>465</v>
      </c>
    </row>
    <row r="49" spans="1:2" x14ac:dyDescent="0.25">
      <c r="A49" s="99">
        <v>41263</v>
      </c>
      <c r="B49" s="129" t="s">
        <v>461</v>
      </c>
    </row>
    <row r="50" spans="1:2" x14ac:dyDescent="0.25">
      <c r="A50" s="99">
        <v>41271</v>
      </c>
      <c r="B50" s="129" t="s">
        <v>463</v>
      </c>
    </row>
    <row r="51" spans="1:2" x14ac:dyDescent="0.25">
      <c r="A51" s="99">
        <v>41279</v>
      </c>
      <c r="B51" s="129" t="s">
        <v>464</v>
      </c>
    </row>
    <row r="52" spans="1:2" x14ac:dyDescent="0.25">
      <c r="A52" s="99">
        <v>41285</v>
      </c>
      <c r="B52" s="129" t="s">
        <v>465</v>
      </c>
    </row>
    <row r="53" spans="1:2" x14ac:dyDescent="0.25">
      <c r="A53" s="99">
        <v>41292</v>
      </c>
      <c r="B53" s="129" t="s">
        <v>461</v>
      </c>
    </row>
    <row r="54" spans="1:2" x14ac:dyDescent="0.25">
      <c r="A54" s="99">
        <v>41301</v>
      </c>
      <c r="B54" s="129" t="s">
        <v>463</v>
      </c>
    </row>
    <row r="55" spans="1:2" x14ac:dyDescent="0.25">
      <c r="A55" s="99">
        <v>41308</v>
      </c>
      <c r="B55" s="129" t="s">
        <v>464</v>
      </c>
    </row>
    <row r="56" spans="1:2" x14ac:dyDescent="0.25">
      <c r="A56" s="99">
        <v>41315</v>
      </c>
      <c r="B56" s="129" t="s">
        <v>465</v>
      </c>
    </row>
    <row r="57" spans="1:2" x14ac:dyDescent="0.25">
      <c r="A57" s="99">
        <v>41322</v>
      </c>
      <c r="B57" s="129" t="s">
        <v>461</v>
      </c>
    </row>
    <row r="58" spans="1:2" x14ac:dyDescent="0.25">
      <c r="A58" s="99">
        <v>41330</v>
      </c>
      <c r="B58" s="129" t="s">
        <v>463</v>
      </c>
    </row>
    <row r="59" spans="1:2" x14ac:dyDescent="0.25">
      <c r="A59" s="99">
        <v>41337</v>
      </c>
      <c r="B59" s="129" t="s">
        <v>464</v>
      </c>
    </row>
    <row r="60" spans="1:2" x14ac:dyDescent="0.25">
      <c r="A60" s="99">
        <v>41344</v>
      </c>
      <c r="B60" s="129" t="s">
        <v>465</v>
      </c>
    </row>
    <row r="61" spans="1:2" x14ac:dyDescent="0.25">
      <c r="A61" s="99">
        <v>41352</v>
      </c>
      <c r="B61" s="129" t="s">
        <v>461</v>
      </c>
    </row>
    <row r="62" spans="1:2" x14ac:dyDescent="0.25">
      <c r="A62" s="99">
        <v>41360</v>
      </c>
      <c r="B62" s="129" t="s">
        <v>463</v>
      </c>
    </row>
    <row r="63" spans="1:2" x14ac:dyDescent="0.25">
      <c r="A63" s="99">
        <v>41367</v>
      </c>
      <c r="B63" s="129" t="s">
        <v>464</v>
      </c>
    </row>
    <row r="64" spans="1:2" x14ac:dyDescent="0.25">
      <c r="A64" s="99">
        <v>41374</v>
      </c>
      <c r="B64" s="129" t="s">
        <v>465</v>
      </c>
    </row>
    <row r="65" spans="1:2" x14ac:dyDescent="0.25">
      <c r="A65" s="99">
        <v>41382</v>
      </c>
      <c r="B65" s="129" t="s">
        <v>461</v>
      </c>
    </row>
    <row r="66" spans="1:2" x14ac:dyDescent="0.25">
      <c r="A66" s="99">
        <v>41389</v>
      </c>
      <c r="B66" s="129" t="s">
        <v>463</v>
      </c>
    </row>
    <row r="67" spans="1:2" x14ac:dyDescent="0.25">
      <c r="A67" s="99">
        <v>41396</v>
      </c>
      <c r="B67" s="129" t="s">
        <v>464</v>
      </c>
    </row>
    <row r="68" spans="1:2" x14ac:dyDescent="0.25">
      <c r="A68" s="99">
        <v>41404</v>
      </c>
      <c r="B68" s="129" t="s">
        <v>465</v>
      </c>
    </row>
    <row r="69" spans="1:2" x14ac:dyDescent="0.25">
      <c r="A69" s="99">
        <v>41412</v>
      </c>
      <c r="B69" s="129" t="s">
        <v>461</v>
      </c>
    </row>
    <row r="70" spans="1:2" x14ac:dyDescent="0.25">
      <c r="A70" s="99">
        <v>41419</v>
      </c>
      <c r="B70" s="129" t="s">
        <v>463</v>
      </c>
    </row>
    <row r="71" spans="1:2" x14ac:dyDescent="0.25">
      <c r="A71" s="99">
        <v>41425</v>
      </c>
      <c r="B71" s="129" t="s">
        <v>464</v>
      </c>
    </row>
    <row r="72" spans="1:2" x14ac:dyDescent="0.25">
      <c r="A72" s="99">
        <v>41433</v>
      </c>
      <c r="B72" s="129" t="s">
        <v>465</v>
      </c>
    </row>
    <row r="73" spans="1:2" x14ac:dyDescent="0.25">
      <c r="A73" s="99">
        <v>41441</v>
      </c>
      <c r="B73" s="129" t="s">
        <v>461</v>
      </c>
    </row>
    <row r="74" spans="1:2" x14ac:dyDescent="0.25">
      <c r="A74" s="99">
        <v>41448</v>
      </c>
      <c r="B74" s="129" t="s">
        <v>463</v>
      </c>
    </row>
    <row r="75" spans="1:2" x14ac:dyDescent="0.25">
      <c r="A75" s="99">
        <v>41455</v>
      </c>
      <c r="B75" s="129" t="s">
        <v>464</v>
      </c>
    </row>
    <row r="76" spans="1:2" x14ac:dyDescent="0.25">
      <c r="A76" s="99">
        <v>41463</v>
      </c>
      <c r="B76" s="129" t="s">
        <v>465</v>
      </c>
    </row>
    <row r="77" spans="1:2" x14ac:dyDescent="0.25">
      <c r="A77" s="99">
        <v>41471</v>
      </c>
      <c r="B77" s="129" t="s">
        <v>461</v>
      </c>
    </row>
    <row r="78" spans="1:2" x14ac:dyDescent="0.25">
      <c r="A78" s="99">
        <v>41477</v>
      </c>
      <c r="B78" s="129" t="s">
        <v>463</v>
      </c>
    </row>
    <row r="79" spans="1:2" x14ac:dyDescent="0.25">
      <c r="A79" s="99">
        <v>41484</v>
      </c>
      <c r="B79" s="129" t="s">
        <v>464</v>
      </c>
    </row>
    <row r="80" spans="1:2" x14ac:dyDescent="0.25">
      <c r="A80" s="99">
        <v>41492</v>
      </c>
      <c r="B80" s="129" t="s">
        <v>465</v>
      </c>
    </row>
    <row r="81" spans="1:2" x14ac:dyDescent="0.25">
      <c r="A81" s="99">
        <v>41500</v>
      </c>
      <c r="B81" s="129" t="s">
        <v>461</v>
      </c>
    </row>
    <row r="82" spans="1:2" x14ac:dyDescent="0.25">
      <c r="A82" s="99">
        <v>41507</v>
      </c>
      <c r="B82" s="129" t="s">
        <v>463</v>
      </c>
    </row>
    <row r="83" spans="1:2" x14ac:dyDescent="0.25">
      <c r="A83" s="99">
        <v>41514</v>
      </c>
      <c r="B83" s="129" t="s">
        <v>464</v>
      </c>
    </row>
    <row r="84" spans="1:2" x14ac:dyDescent="0.25">
      <c r="A84" s="99">
        <v>41522</v>
      </c>
      <c r="B84" s="129" t="s">
        <v>465</v>
      </c>
    </row>
    <row r="85" spans="1:2" x14ac:dyDescent="0.25">
      <c r="A85" s="99">
        <v>41529</v>
      </c>
      <c r="B85" s="129" t="s">
        <v>461</v>
      </c>
    </row>
    <row r="86" spans="1:2" x14ac:dyDescent="0.25">
      <c r="A86" s="99">
        <v>41536</v>
      </c>
      <c r="B86" s="129" t="s">
        <v>463</v>
      </c>
    </row>
    <row r="87" spans="1:2" x14ac:dyDescent="0.25">
      <c r="A87" s="99">
        <v>41544</v>
      </c>
      <c r="B87" s="129" t="s">
        <v>464</v>
      </c>
    </row>
    <row r="88" spans="1:2" x14ac:dyDescent="0.25">
      <c r="A88" s="99">
        <v>41552</v>
      </c>
      <c r="B88" s="129" t="s">
        <v>465</v>
      </c>
    </row>
    <row r="89" spans="1:2" x14ac:dyDescent="0.25">
      <c r="A89" s="99">
        <v>41558</v>
      </c>
      <c r="B89" s="129" t="s">
        <v>461</v>
      </c>
    </row>
    <row r="90" spans="1:2" x14ac:dyDescent="0.25">
      <c r="A90" s="99">
        <v>41565</v>
      </c>
      <c r="B90" s="129" t="s">
        <v>463</v>
      </c>
    </row>
    <row r="91" spans="1:2" x14ac:dyDescent="0.25">
      <c r="A91" s="99">
        <v>41573</v>
      </c>
      <c r="B91" s="129" t="s">
        <v>464</v>
      </c>
    </row>
    <row r="92" spans="1:2" x14ac:dyDescent="0.25">
      <c r="A92" s="99">
        <v>41581</v>
      </c>
      <c r="B92" s="129" t="s">
        <v>465</v>
      </c>
    </row>
    <row r="93" spans="1:2" x14ac:dyDescent="0.25">
      <c r="A93" s="99">
        <v>41588</v>
      </c>
      <c r="B93" s="129" t="s">
        <v>461</v>
      </c>
    </row>
    <row r="94" spans="1:2" x14ac:dyDescent="0.25">
      <c r="A94" s="99">
        <v>41595</v>
      </c>
      <c r="B94" s="129" t="s">
        <v>463</v>
      </c>
    </row>
    <row r="95" spans="1:2" x14ac:dyDescent="0.25">
      <c r="A95" s="99">
        <v>41603</v>
      </c>
      <c r="B95" s="129" t="s">
        <v>464</v>
      </c>
    </row>
    <row r="96" spans="1:2" x14ac:dyDescent="0.25">
      <c r="A96" s="99">
        <v>41611</v>
      </c>
      <c r="B96" s="129" t="s">
        <v>465</v>
      </c>
    </row>
    <row r="97" spans="1:2" x14ac:dyDescent="0.25">
      <c r="A97" s="99">
        <v>41617</v>
      </c>
      <c r="B97" s="129" t="s">
        <v>461</v>
      </c>
    </row>
    <row r="98" spans="1:2" x14ac:dyDescent="0.25">
      <c r="A98" s="99">
        <v>41625</v>
      </c>
      <c r="B98" s="129" t="s">
        <v>463</v>
      </c>
    </row>
    <row r="99" spans="1:2" x14ac:dyDescent="0.25">
      <c r="A99" s="99">
        <v>41633</v>
      </c>
      <c r="B99" s="129" t="s">
        <v>464</v>
      </c>
    </row>
    <row r="100" spans="1:2" x14ac:dyDescent="0.25">
      <c r="A100" s="99">
        <v>41640</v>
      </c>
      <c r="B100" s="129" t="s">
        <v>465</v>
      </c>
    </row>
    <row r="101" spans="1:2" x14ac:dyDescent="0.25">
      <c r="A101" s="99">
        <v>41647</v>
      </c>
      <c r="B101" s="129" t="s">
        <v>461</v>
      </c>
    </row>
    <row r="102" spans="1:2" x14ac:dyDescent="0.25">
      <c r="A102" s="99">
        <v>41655</v>
      </c>
      <c r="B102" s="129" t="s">
        <v>463</v>
      </c>
    </row>
    <row r="103" spans="1:2" x14ac:dyDescent="0.25">
      <c r="A103" s="99">
        <v>41663</v>
      </c>
      <c r="B103" s="129" t="s">
        <v>464</v>
      </c>
    </row>
    <row r="104" spans="1:2" x14ac:dyDescent="0.25">
      <c r="A104" s="99">
        <v>41669</v>
      </c>
      <c r="B104" s="129" t="s">
        <v>465</v>
      </c>
    </row>
    <row r="105" spans="1:2" x14ac:dyDescent="0.25">
      <c r="A105" s="99">
        <v>41676</v>
      </c>
      <c r="B105" s="129" t="s">
        <v>461</v>
      </c>
    </row>
    <row r="106" spans="1:2" x14ac:dyDescent="0.25">
      <c r="A106" s="99">
        <v>41684</v>
      </c>
      <c r="B106" s="129" t="s">
        <v>463</v>
      </c>
    </row>
    <row r="107" spans="1:2" x14ac:dyDescent="0.25">
      <c r="A107" s="99">
        <v>41692</v>
      </c>
      <c r="B107" s="129" t="s">
        <v>464</v>
      </c>
    </row>
    <row r="108" spans="1:2" x14ac:dyDescent="0.25">
      <c r="A108" s="99">
        <v>41699</v>
      </c>
      <c r="B108" s="129" t="s">
        <v>465</v>
      </c>
    </row>
    <row r="109" spans="1:2" x14ac:dyDescent="0.25">
      <c r="A109" s="99">
        <v>41706</v>
      </c>
      <c r="B109" s="129" t="s">
        <v>461</v>
      </c>
    </row>
    <row r="110" spans="1:2" x14ac:dyDescent="0.25">
      <c r="A110" s="99">
        <v>41714</v>
      </c>
      <c r="B110" s="129" t="s">
        <v>463</v>
      </c>
    </row>
    <row r="111" spans="1:2" x14ac:dyDescent="0.25">
      <c r="A111" s="99">
        <v>41722</v>
      </c>
      <c r="B111" s="129" t="s">
        <v>464</v>
      </c>
    </row>
    <row r="112" spans="1:2" x14ac:dyDescent="0.25">
      <c r="A112" s="99">
        <v>41728</v>
      </c>
      <c r="B112" s="129" t="s">
        <v>465</v>
      </c>
    </row>
    <row r="113" spans="1:2" x14ac:dyDescent="0.25">
      <c r="A113" s="99">
        <v>41736</v>
      </c>
      <c r="B113" s="129" t="s">
        <v>461</v>
      </c>
    </row>
    <row r="114" spans="1:2" x14ac:dyDescent="0.25">
      <c r="A114" s="99">
        <v>41744</v>
      </c>
      <c r="B114" s="129" t="s">
        <v>463</v>
      </c>
    </row>
    <row r="115" spans="1:2" x14ac:dyDescent="0.25">
      <c r="A115" s="99">
        <v>41751</v>
      </c>
      <c r="B115" s="129" t="s">
        <v>464</v>
      </c>
    </row>
    <row r="116" spans="1:2" x14ac:dyDescent="0.25">
      <c r="A116" s="99">
        <v>41758</v>
      </c>
      <c r="B116" s="129" t="s">
        <v>465</v>
      </c>
    </row>
    <row r="117" spans="1:2" x14ac:dyDescent="0.25">
      <c r="A117" s="99">
        <v>41766</v>
      </c>
      <c r="B117" s="129" t="s">
        <v>461</v>
      </c>
    </row>
    <row r="118" spans="1:2" x14ac:dyDescent="0.25">
      <c r="A118" s="99">
        <v>41773</v>
      </c>
      <c r="B118" s="129" t="s">
        <v>463</v>
      </c>
    </row>
    <row r="119" spans="1:2" x14ac:dyDescent="0.25">
      <c r="A119" s="99">
        <v>41780</v>
      </c>
      <c r="B119" s="129" t="s">
        <v>464</v>
      </c>
    </row>
    <row r="120" spans="1:2" x14ac:dyDescent="0.25">
      <c r="A120" s="99">
        <v>41787</v>
      </c>
      <c r="B120" s="129" t="s">
        <v>465</v>
      </c>
    </row>
    <row r="121" spans="1:2" x14ac:dyDescent="0.25">
      <c r="A121" s="99">
        <v>41795</v>
      </c>
      <c r="B121" s="129" t="s">
        <v>461</v>
      </c>
    </row>
    <row r="122" spans="1:2" x14ac:dyDescent="0.25">
      <c r="A122" s="99">
        <v>41803</v>
      </c>
      <c r="B122" s="129" t="s">
        <v>463</v>
      </c>
    </row>
    <row r="123" spans="1:2" x14ac:dyDescent="0.25">
      <c r="A123" s="99">
        <v>41809</v>
      </c>
      <c r="B123" s="129" t="s">
        <v>464</v>
      </c>
    </row>
    <row r="124" spans="1:2" x14ac:dyDescent="0.25">
      <c r="A124" s="99">
        <v>41817</v>
      </c>
      <c r="B124" s="129" t="s">
        <v>465</v>
      </c>
    </row>
    <row r="125" spans="1:2" x14ac:dyDescent="0.25">
      <c r="A125" s="99">
        <v>41825</v>
      </c>
      <c r="B125" s="129" t="s">
        <v>461</v>
      </c>
    </row>
    <row r="126" spans="1:2" x14ac:dyDescent="0.25">
      <c r="A126" s="99">
        <v>41832</v>
      </c>
      <c r="B126" s="129" t="s">
        <v>463</v>
      </c>
    </row>
    <row r="127" spans="1:2" x14ac:dyDescent="0.25">
      <c r="A127" s="99">
        <v>41839</v>
      </c>
      <c r="B127" s="129" t="s">
        <v>464</v>
      </c>
    </row>
    <row r="128" spans="1:2" x14ac:dyDescent="0.25">
      <c r="A128" s="99">
        <v>41846</v>
      </c>
      <c r="B128" s="129" t="s">
        <v>465</v>
      </c>
    </row>
    <row r="129" spans="1:2" x14ac:dyDescent="0.25">
      <c r="A129" s="99">
        <v>41855</v>
      </c>
      <c r="B129" s="129" t="s">
        <v>461</v>
      </c>
    </row>
    <row r="130" spans="1:2" x14ac:dyDescent="0.25">
      <c r="A130" s="99">
        <v>41861</v>
      </c>
      <c r="B130" s="129" t="s">
        <v>463</v>
      </c>
    </row>
    <row r="131" spans="1:2" x14ac:dyDescent="0.25">
      <c r="A131" s="99">
        <v>41868</v>
      </c>
      <c r="B131" s="129" t="s">
        <v>464</v>
      </c>
    </row>
    <row r="132" spans="1:2" x14ac:dyDescent="0.25">
      <c r="A132" s="99">
        <v>41876</v>
      </c>
      <c r="B132" s="129" t="s">
        <v>465</v>
      </c>
    </row>
    <row r="133" spans="1:2" x14ac:dyDescent="0.25">
      <c r="A133" s="99">
        <v>41884</v>
      </c>
      <c r="B133" s="129" t="s">
        <v>461</v>
      </c>
    </row>
    <row r="134" spans="1:2" x14ac:dyDescent="0.25">
      <c r="A134" s="99">
        <v>41891</v>
      </c>
      <c r="B134" s="129" t="s">
        <v>463</v>
      </c>
    </row>
    <row r="135" spans="1:2" x14ac:dyDescent="0.25">
      <c r="A135" s="99">
        <v>41898</v>
      </c>
      <c r="B135" s="129" t="s">
        <v>464</v>
      </c>
    </row>
    <row r="136" spans="1:2" x14ac:dyDescent="0.25">
      <c r="A136" s="99">
        <v>41906</v>
      </c>
      <c r="B136" s="129" t="s">
        <v>465</v>
      </c>
    </row>
    <row r="137" spans="1:2" x14ac:dyDescent="0.25">
      <c r="A137" s="99">
        <v>41913</v>
      </c>
      <c r="B137" s="129" t="s">
        <v>461</v>
      </c>
    </row>
    <row r="138" spans="1:2" x14ac:dyDescent="0.25">
      <c r="A138" s="99">
        <v>41920</v>
      </c>
      <c r="B138" s="129" t="s">
        <v>463</v>
      </c>
    </row>
    <row r="139" spans="1:2" x14ac:dyDescent="0.25">
      <c r="A139" s="99">
        <v>41927</v>
      </c>
      <c r="B139" s="129" t="s">
        <v>464</v>
      </c>
    </row>
    <row r="140" spans="1:2" x14ac:dyDescent="0.25">
      <c r="A140" s="99">
        <v>41935</v>
      </c>
      <c r="B140" s="129" t="s">
        <v>465</v>
      </c>
    </row>
    <row r="141" spans="1:2" x14ac:dyDescent="0.25">
      <c r="A141" s="99">
        <v>41943</v>
      </c>
      <c r="B141" s="129" t="s">
        <v>461</v>
      </c>
    </row>
    <row r="142" spans="1:2" x14ac:dyDescent="0.25">
      <c r="A142" s="99">
        <v>41949</v>
      </c>
      <c r="B142" s="129" t="s">
        <v>463</v>
      </c>
    </row>
    <row r="143" spans="1:2" x14ac:dyDescent="0.25">
      <c r="A143" s="99">
        <v>41957</v>
      </c>
      <c r="B143" s="129" t="s">
        <v>464</v>
      </c>
    </row>
    <row r="144" spans="1:2" x14ac:dyDescent="0.25">
      <c r="A144" s="99">
        <v>41965</v>
      </c>
      <c r="B144" s="129" t="s">
        <v>465</v>
      </c>
    </row>
    <row r="145" spans="1:2" x14ac:dyDescent="0.25">
      <c r="A145" s="99">
        <v>41972</v>
      </c>
      <c r="B145" s="129" t="s">
        <v>461</v>
      </c>
    </row>
    <row r="146" spans="1:2" x14ac:dyDescent="0.25">
      <c r="A146" s="99">
        <v>41979</v>
      </c>
      <c r="B146" s="129" t="s">
        <v>463</v>
      </c>
    </row>
    <row r="147" spans="1:2" x14ac:dyDescent="0.25">
      <c r="A147" s="99">
        <v>41987</v>
      </c>
      <c r="B147" s="129" t="s">
        <v>464</v>
      </c>
    </row>
    <row r="148" spans="1:2" x14ac:dyDescent="0.25">
      <c r="A148" s="99">
        <v>41995</v>
      </c>
      <c r="B148" s="129" t="s">
        <v>465</v>
      </c>
    </row>
    <row r="149" spans="1:2" x14ac:dyDescent="0.25">
      <c r="A149" s="99">
        <v>42001</v>
      </c>
      <c r="B149" s="129" t="s">
        <v>461</v>
      </c>
    </row>
    <row r="150" spans="1:2" x14ac:dyDescent="0.25">
      <c r="A150" s="99">
        <v>42009</v>
      </c>
      <c r="B150" s="129" t="s">
        <v>463</v>
      </c>
    </row>
    <row r="151" spans="1:2" x14ac:dyDescent="0.25">
      <c r="A151" s="99">
        <v>42017</v>
      </c>
      <c r="B151" s="129" t="s">
        <v>464</v>
      </c>
    </row>
    <row r="152" spans="1:2" x14ac:dyDescent="0.25">
      <c r="A152" s="99">
        <v>42024</v>
      </c>
      <c r="B152" s="129" t="s">
        <v>465</v>
      </c>
    </row>
    <row r="153" spans="1:2" x14ac:dyDescent="0.25">
      <c r="A153" s="99">
        <v>42031</v>
      </c>
      <c r="B153" s="129" t="s">
        <v>461</v>
      </c>
    </row>
    <row r="154" spans="1:2" x14ac:dyDescent="0.25">
      <c r="A154" s="99">
        <v>42038</v>
      </c>
      <c r="B154" s="129" t="s">
        <v>463</v>
      </c>
    </row>
    <row r="155" spans="1:2" x14ac:dyDescent="0.25">
      <c r="A155" s="99">
        <v>42047</v>
      </c>
      <c r="B155" s="129" t="s">
        <v>464</v>
      </c>
    </row>
    <row r="156" spans="1:2" x14ac:dyDescent="0.25">
      <c r="A156" s="99">
        <v>42053</v>
      </c>
      <c r="B156" s="129" t="s">
        <v>465</v>
      </c>
    </row>
    <row r="157" spans="1:2" x14ac:dyDescent="0.25">
      <c r="A157" s="99">
        <v>42060</v>
      </c>
      <c r="B157" s="129" t="s">
        <v>461</v>
      </c>
    </row>
    <row r="158" spans="1:2" x14ac:dyDescent="0.25">
      <c r="A158" s="99">
        <v>42068</v>
      </c>
      <c r="B158" s="129" t="s">
        <v>463</v>
      </c>
    </row>
    <row r="159" spans="1:2" x14ac:dyDescent="0.25">
      <c r="A159" s="99">
        <v>42076</v>
      </c>
      <c r="B159" s="129" t="s">
        <v>464</v>
      </c>
    </row>
    <row r="160" spans="1:2" x14ac:dyDescent="0.25">
      <c r="A160" s="99">
        <v>42083</v>
      </c>
      <c r="B160" s="129" t="s">
        <v>465</v>
      </c>
    </row>
    <row r="161" spans="1:2" x14ac:dyDescent="0.25">
      <c r="A161" s="99">
        <v>42090</v>
      </c>
      <c r="B161" s="129" t="s">
        <v>461</v>
      </c>
    </row>
    <row r="162" spans="1:2" x14ac:dyDescent="0.25">
      <c r="A162" s="99">
        <v>42098</v>
      </c>
      <c r="B162" s="129" t="s">
        <v>463</v>
      </c>
    </row>
    <row r="163" spans="1:2" x14ac:dyDescent="0.25">
      <c r="A163" s="99">
        <v>42106</v>
      </c>
      <c r="B163" s="129" t="s">
        <v>464</v>
      </c>
    </row>
    <row r="164" spans="1:2" x14ac:dyDescent="0.25">
      <c r="A164" s="99">
        <v>42112</v>
      </c>
      <c r="B164" s="129" t="s">
        <v>465</v>
      </c>
    </row>
    <row r="165" spans="1:2" x14ac:dyDescent="0.25">
      <c r="A165" s="99">
        <v>42119</v>
      </c>
      <c r="B165" s="129" t="s">
        <v>461</v>
      </c>
    </row>
    <row r="166" spans="1:2" x14ac:dyDescent="0.25">
      <c r="A166" s="99">
        <v>42128</v>
      </c>
      <c r="B166" s="129" t="s">
        <v>463</v>
      </c>
    </row>
    <row r="167" spans="1:2" x14ac:dyDescent="0.25">
      <c r="A167" s="99">
        <v>42135</v>
      </c>
      <c r="B167" s="129" t="s">
        <v>464</v>
      </c>
    </row>
    <row r="168" spans="1:2" x14ac:dyDescent="0.25">
      <c r="A168" s="99">
        <v>42142</v>
      </c>
      <c r="B168" s="129" t="s">
        <v>465</v>
      </c>
    </row>
    <row r="169" spans="1:2" x14ac:dyDescent="0.25">
      <c r="A169" s="99">
        <v>42149</v>
      </c>
      <c r="B169" s="129" t="s">
        <v>461</v>
      </c>
    </row>
    <row r="170" spans="1:2" x14ac:dyDescent="0.25">
      <c r="A170" s="99">
        <v>42157</v>
      </c>
      <c r="B170" s="129" t="s">
        <v>463</v>
      </c>
    </row>
    <row r="171" spans="1:2" x14ac:dyDescent="0.25">
      <c r="A171" s="99">
        <v>42164</v>
      </c>
      <c r="B171" s="129" t="s">
        <v>464</v>
      </c>
    </row>
    <row r="172" spans="1:2" x14ac:dyDescent="0.25">
      <c r="A172" s="99">
        <v>42171</v>
      </c>
      <c r="B172" s="129" t="s">
        <v>465</v>
      </c>
    </row>
    <row r="173" spans="1:2" x14ac:dyDescent="0.25">
      <c r="A173" s="99">
        <v>42179</v>
      </c>
      <c r="B173" s="129" t="s">
        <v>461</v>
      </c>
    </row>
    <row r="174" spans="1:2" x14ac:dyDescent="0.25">
      <c r="A174" s="99">
        <v>42187</v>
      </c>
      <c r="B174" s="129" t="s">
        <v>463</v>
      </c>
    </row>
    <row r="175" spans="1:2" x14ac:dyDescent="0.25">
      <c r="A175" s="99">
        <v>42193</v>
      </c>
      <c r="B175" s="129" t="s">
        <v>464</v>
      </c>
    </row>
    <row r="176" spans="1:2" x14ac:dyDescent="0.25">
      <c r="A176" s="99">
        <v>42201</v>
      </c>
      <c r="B176" s="129" t="s">
        <v>465</v>
      </c>
    </row>
    <row r="177" spans="1:2" x14ac:dyDescent="0.25">
      <c r="A177" s="99">
        <v>42209</v>
      </c>
      <c r="B177" s="129" t="s">
        <v>461</v>
      </c>
    </row>
    <row r="178" spans="1:2" x14ac:dyDescent="0.25">
      <c r="A178" s="99">
        <v>42216</v>
      </c>
      <c r="B178" s="129" t="s">
        <v>463</v>
      </c>
    </row>
    <row r="179" spans="1:2" x14ac:dyDescent="0.25">
      <c r="A179" s="99">
        <v>42223</v>
      </c>
      <c r="B179" s="129" t="s">
        <v>464</v>
      </c>
    </row>
    <row r="180" spans="1:2" x14ac:dyDescent="0.25">
      <c r="A180" s="99">
        <v>42230</v>
      </c>
      <c r="B180" s="129" t="s">
        <v>465</v>
      </c>
    </row>
    <row r="181" spans="1:2" x14ac:dyDescent="0.25">
      <c r="A181" s="99">
        <v>42238</v>
      </c>
      <c r="B181" s="129" t="s">
        <v>461</v>
      </c>
    </row>
    <row r="182" spans="1:2" x14ac:dyDescent="0.25">
      <c r="A182" s="99">
        <v>42245</v>
      </c>
      <c r="B182" s="129" t="s">
        <v>463</v>
      </c>
    </row>
    <row r="183" spans="1:2" x14ac:dyDescent="0.25">
      <c r="A183" s="99">
        <v>42252</v>
      </c>
      <c r="B183" s="129" t="s">
        <v>464</v>
      </c>
    </row>
    <row r="184" spans="1:2" x14ac:dyDescent="0.25">
      <c r="A184" s="99">
        <v>42260</v>
      </c>
      <c r="B184" s="129" t="s">
        <v>465</v>
      </c>
    </row>
    <row r="185" spans="1:2" x14ac:dyDescent="0.25">
      <c r="A185" s="99">
        <v>42268</v>
      </c>
      <c r="B185" s="129" t="s">
        <v>461</v>
      </c>
    </row>
    <row r="186" spans="1:2" x14ac:dyDescent="0.25">
      <c r="A186" s="99">
        <v>42275</v>
      </c>
      <c r="B186" s="129" t="s">
        <v>463</v>
      </c>
    </row>
    <row r="187" spans="1:2" x14ac:dyDescent="0.25">
      <c r="A187" s="99">
        <v>42281</v>
      </c>
      <c r="B187" s="129" t="s">
        <v>464</v>
      </c>
    </row>
    <row r="188" spans="1:2" x14ac:dyDescent="0.25">
      <c r="A188" s="99">
        <v>42290</v>
      </c>
      <c r="B188" s="129" t="s">
        <v>465</v>
      </c>
    </row>
    <row r="189" spans="1:2" x14ac:dyDescent="0.25">
      <c r="A189" s="99">
        <v>42297</v>
      </c>
      <c r="B189" s="129" t="s">
        <v>461</v>
      </c>
    </row>
    <row r="190" spans="1:2" x14ac:dyDescent="0.25">
      <c r="A190" s="99">
        <v>42304</v>
      </c>
      <c r="B190" s="129" t="s">
        <v>463</v>
      </c>
    </row>
    <row r="191" spans="1:2" x14ac:dyDescent="0.25">
      <c r="A191" s="99">
        <v>42311</v>
      </c>
      <c r="B191" s="129" t="s">
        <v>464</v>
      </c>
    </row>
    <row r="192" spans="1:2" x14ac:dyDescent="0.25">
      <c r="A192" s="99">
        <v>42319</v>
      </c>
      <c r="B192" s="129" t="s">
        <v>465</v>
      </c>
    </row>
    <row r="193" spans="1:2" x14ac:dyDescent="0.25">
      <c r="A193" s="99">
        <v>42327</v>
      </c>
      <c r="B193" s="129" t="s">
        <v>461</v>
      </c>
    </row>
    <row r="194" spans="1:2" x14ac:dyDescent="0.25">
      <c r="A194" s="99">
        <v>42333</v>
      </c>
      <c r="B194" s="129" t="s">
        <v>463</v>
      </c>
    </row>
    <row r="195" spans="1:2" x14ac:dyDescent="0.25">
      <c r="A195" s="99">
        <v>42341</v>
      </c>
      <c r="B195" s="129" t="s">
        <v>464</v>
      </c>
    </row>
    <row r="196" spans="1:2" x14ac:dyDescent="0.25">
      <c r="A196" s="99">
        <v>42349</v>
      </c>
      <c r="B196" s="129" t="s">
        <v>465</v>
      </c>
    </row>
    <row r="197" spans="1:2" x14ac:dyDescent="0.25">
      <c r="A197" s="99">
        <v>42356</v>
      </c>
      <c r="B197" s="129" t="s">
        <v>461</v>
      </c>
    </row>
    <row r="198" spans="1:2" x14ac:dyDescent="0.25">
      <c r="A198" s="99">
        <v>42363</v>
      </c>
      <c r="B198" s="129" t="s">
        <v>463</v>
      </c>
    </row>
    <row r="199" spans="1:2" x14ac:dyDescent="0.25">
      <c r="A199" s="99">
        <v>42371</v>
      </c>
      <c r="B199" s="129" t="s">
        <v>464</v>
      </c>
    </row>
    <row r="200" spans="1:2" x14ac:dyDescent="0.25">
      <c r="A200" s="99">
        <v>42379</v>
      </c>
      <c r="B200" s="129" t="s">
        <v>465</v>
      </c>
    </row>
    <row r="201" spans="1:2" x14ac:dyDescent="0.25">
      <c r="A201" s="99">
        <v>42385</v>
      </c>
      <c r="B201" s="129" t="s">
        <v>461</v>
      </c>
    </row>
    <row r="202" spans="1:2" x14ac:dyDescent="0.25">
      <c r="A202" s="99">
        <v>42393</v>
      </c>
      <c r="B202" s="129" t="s">
        <v>463</v>
      </c>
    </row>
    <row r="203" spans="1:2" x14ac:dyDescent="0.25">
      <c r="A203" s="99">
        <v>42401</v>
      </c>
      <c r="B203" s="129" t="s">
        <v>464</v>
      </c>
    </row>
    <row r="204" spans="1:2" x14ac:dyDescent="0.25">
      <c r="A204" s="99">
        <v>42408</v>
      </c>
      <c r="B204" s="129" t="s">
        <v>465</v>
      </c>
    </row>
    <row r="205" spans="1:2" x14ac:dyDescent="0.25">
      <c r="A205" s="99">
        <v>42415</v>
      </c>
      <c r="B205" s="129" t="s">
        <v>461</v>
      </c>
    </row>
    <row r="206" spans="1:2" x14ac:dyDescent="0.25">
      <c r="A206" s="99">
        <v>42422</v>
      </c>
      <c r="B206" s="129" t="s">
        <v>463</v>
      </c>
    </row>
    <row r="207" spans="1:2" x14ac:dyDescent="0.25">
      <c r="A207" s="99">
        <v>42430</v>
      </c>
      <c r="B207" s="129" t="s">
        <v>464</v>
      </c>
    </row>
    <row r="208" spans="1:2" x14ac:dyDescent="0.25">
      <c r="A208" s="99">
        <v>42438</v>
      </c>
      <c r="B208" s="129" t="s">
        <v>465</v>
      </c>
    </row>
    <row r="209" spans="1:2" x14ac:dyDescent="0.25">
      <c r="A209" s="99">
        <v>42444</v>
      </c>
      <c r="B209" s="129" t="s">
        <v>461</v>
      </c>
    </row>
    <row r="210" spans="1:2" x14ac:dyDescent="0.25">
      <c r="A210" s="99">
        <v>42452</v>
      </c>
      <c r="B210" s="129" t="s">
        <v>463</v>
      </c>
    </row>
    <row r="211" spans="1:2" x14ac:dyDescent="0.25">
      <c r="A211" s="99">
        <v>42460</v>
      </c>
      <c r="B211" s="129" t="s">
        <v>464</v>
      </c>
    </row>
    <row r="212" spans="1:2" x14ac:dyDescent="0.25">
      <c r="A212" s="99">
        <v>42467</v>
      </c>
      <c r="B212" s="129" t="s">
        <v>465</v>
      </c>
    </row>
    <row r="213" spans="1:2" x14ac:dyDescent="0.25">
      <c r="A213" s="99">
        <v>42474</v>
      </c>
      <c r="B213" s="129" t="s">
        <v>461</v>
      </c>
    </row>
    <row r="214" spans="1:2" x14ac:dyDescent="0.25">
      <c r="A214" s="99">
        <v>42482</v>
      </c>
      <c r="B214" s="129" t="s">
        <v>463</v>
      </c>
    </row>
    <row r="215" spans="1:2" x14ac:dyDescent="0.25">
      <c r="A215" s="99">
        <v>42490</v>
      </c>
      <c r="B215" s="129" t="s">
        <v>464</v>
      </c>
    </row>
    <row r="216" spans="1:2" x14ac:dyDescent="0.25">
      <c r="A216" s="99">
        <v>42496</v>
      </c>
      <c r="B216" s="129" t="s">
        <v>465</v>
      </c>
    </row>
    <row r="217" spans="1:2" x14ac:dyDescent="0.25">
      <c r="A217" s="99">
        <v>42503</v>
      </c>
      <c r="B217" s="129" t="s">
        <v>461</v>
      </c>
    </row>
    <row r="218" spans="1:2" x14ac:dyDescent="0.25">
      <c r="A218" s="99">
        <v>42511</v>
      </c>
      <c r="B218" s="129" t="s">
        <v>463</v>
      </c>
    </row>
    <row r="219" spans="1:2" x14ac:dyDescent="0.25">
      <c r="A219" s="99">
        <v>42519</v>
      </c>
      <c r="B219" s="129" t="s">
        <v>464</v>
      </c>
    </row>
    <row r="220" spans="1:2" x14ac:dyDescent="0.25">
      <c r="A220" s="99">
        <v>42526</v>
      </c>
      <c r="B220" s="129" t="s">
        <v>465</v>
      </c>
    </row>
    <row r="221" spans="1:2" x14ac:dyDescent="0.25">
      <c r="A221" s="99">
        <v>42533</v>
      </c>
      <c r="B221" s="129" t="s">
        <v>461</v>
      </c>
    </row>
    <row r="222" spans="1:2" x14ac:dyDescent="0.25">
      <c r="A222" s="99">
        <v>42541</v>
      </c>
      <c r="B222" s="129" t="s">
        <v>463</v>
      </c>
    </row>
    <row r="223" spans="1:2" x14ac:dyDescent="0.25">
      <c r="A223" s="99">
        <v>42548</v>
      </c>
      <c r="B223" s="129" t="s">
        <v>464</v>
      </c>
    </row>
    <row r="224" spans="1:2" x14ac:dyDescent="0.25">
      <c r="A224" s="99">
        <v>42555</v>
      </c>
      <c r="B224" s="129" t="s">
        <v>465</v>
      </c>
    </row>
    <row r="225" spans="1:2" x14ac:dyDescent="0.25">
      <c r="A225" s="99">
        <v>42563</v>
      </c>
      <c r="B225" s="129" t="s">
        <v>461</v>
      </c>
    </row>
    <row r="226" spans="1:2" x14ac:dyDescent="0.25">
      <c r="A226" s="99">
        <v>42570</v>
      </c>
      <c r="B226" s="129" t="s">
        <v>463</v>
      </c>
    </row>
    <row r="227" spans="1:2" x14ac:dyDescent="0.25">
      <c r="A227" s="99">
        <v>42577</v>
      </c>
      <c r="B227" s="129" t="s">
        <v>464</v>
      </c>
    </row>
    <row r="228" spans="1:2" x14ac:dyDescent="0.25">
      <c r="A228" s="99">
        <v>42584</v>
      </c>
      <c r="B228" s="129" t="s">
        <v>465</v>
      </c>
    </row>
    <row r="229" spans="1:2" x14ac:dyDescent="0.25">
      <c r="A229" s="99">
        <v>42592</v>
      </c>
      <c r="B229" s="129" t="s">
        <v>461</v>
      </c>
    </row>
    <row r="230" spans="1:2" x14ac:dyDescent="0.25">
      <c r="A230" s="99">
        <v>42600</v>
      </c>
      <c r="B230" s="129" t="s">
        <v>463</v>
      </c>
    </row>
    <row r="231" spans="1:2" x14ac:dyDescent="0.25">
      <c r="A231" s="99">
        <v>42607</v>
      </c>
      <c r="B231" s="129" t="s">
        <v>464</v>
      </c>
    </row>
    <row r="232" spans="1:2" x14ac:dyDescent="0.25">
      <c r="A232" s="99">
        <v>42614</v>
      </c>
      <c r="B232" s="129" t="s">
        <v>465</v>
      </c>
    </row>
    <row r="233" spans="1:2" x14ac:dyDescent="0.25">
      <c r="A233" s="99">
        <v>42622</v>
      </c>
      <c r="B233" s="129" t="s">
        <v>461</v>
      </c>
    </row>
    <row r="234" spans="1:2" x14ac:dyDescent="0.25">
      <c r="A234" s="99">
        <v>42629</v>
      </c>
      <c r="B234" s="129" t="s">
        <v>463</v>
      </c>
    </row>
    <row r="235" spans="1:2" x14ac:dyDescent="0.25">
      <c r="A235" s="99">
        <v>42636</v>
      </c>
      <c r="B235" s="129" t="s">
        <v>464</v>
      </c>
    </row>
    <row r="236" spans="1:2" x14ac:dyDescent="0.25">
      <c r="A236" s="99">
        <v>42644</v>
      </c>
      <c r="B236" s="129" t="s">
        <v>465</v>
      </c>
    </row>
    <row r="237" spans="1:2" x14ac:dyDescent="0.25">
      <c r="A237" s="99">
        <v>42652</v>
      </c>
      <c r="B237" s="129" t="s">
        <v>461</v>
      </c>
    </row>
    <row r="238" spans="1:2" x14ac:dyDescent="0.25">
      <c r="A238" s="99">
        <v>42659</v>
      </c>
      <c r="B238" s="129" t="s">
        <v>463</v>
      </c>
    </row>
    <row r="239" spans="1:2" x14ac:dyDescent="0.25">
      <c r="A239" s="99">
        <v>42665</v>
      </c>
      <c r="B239" s="129" t="s">
        <v>464</v>
      </c>
    </row>
    <row r="240" spans="1:2" x14ac:dyDescent="0.25">
      <c r="A240" s="99">
        <v>42673</v>
      </c>
      <c r="B240" s="129" t="s">
        <v>465</v>
      </c>
    </row>
    <row r="241" spans="1:2" x14ac:dyDescent="0.25">
      <c r="A241" s="99">
        <v>42681</v>
      </c>
      <c r="B241" s="129" t="s">
        <v>461</v>
      </c>
    </row>
    <row r="242" spans="1:2" x14ac:dyDescent="0.25">
      <c r="A242" s="99">
        <v>42688</v>
      </c>
      <c r="B242" s="129" t="s">
        <v>463</v>
      </c>
    </row>
    <row r="243" spans="1:2" x14ac:dyDescent="0.25">
      <c r="A243" s="99">
        <v>42695</v>
      </c>
      <c r="B243" s="129" t="s">
        <v>464</v>
      </c>
    </row>
    <row r="244" spans="1:2" x14ac:dyDescent="0.25">
      <c r="A244" s="99">
        <v>42703</v>
      </c>
      <c r="B244" s="129" t="s">
        <v>465</v>
      </c>
    </row>
    <row r="245" spans="1:2" x14ac:dyDescent="0.25">
      <c r="A245" s="99">
        <v>42711</v>
      </c>
      <c r="B245" s="129" t="s">
        <v>461</v>
      </c>
    </row>
    <row r="246" spans="1:2" x14ac:dyDescent="0.25">
      <c r="A246" s="99">
        <v>42718</v>
      </c>
      <c r="B246" s="129" t="s">
        <v>463</v>
      </c>
    </row>
    <row r="247" spans="1:2" x14ac:dyDescent="0.25">
      <c r="A247" s="99">
        <v>42725</v>
      </c>
      <c r="B247" s="129" t="s">
        <v>464</v>
      </c>
    </row>
    <row r="248" spans="1:2" x14ac:dyDescent="0.25">
      <c r="A248" s="99">
        <v>42733</v>
      </c>
      <c r="B248" s="129" t="s">
        <v>465</v>
      </c>
    </row>
    <row r="249" spans="1:2" x14ac:dyDescent="0.25">
      <c r="A249" s="99">
        <v>42740</v>
      </c>
      <c r="B249" s="129" t="s">
        <v>461</v>
      </c>
    </row>
    <row r="250" spans="1:2" x14ac:dyDescent="0.25">
      <c r="A250" s="99">
        <v>42747</v>
      </c>
      <c r="B250" s="129" t="s">
        <v>463</v>
      </c>
    </row>
    <row r="251" spans="1:2" x14ac:dyDescent="0.25">
      <c r="A251" s="99">
        <v>42754</v>
      </c>
      <c r="B251" s="129" t="s">
        <v>464</v>
      </c>
    </row>
    <row r="252" spans="1:2" x14ac:dyDescent="0.25">
      <c r="A252" s="99">
        <v>42763</v>
      </c>
      <c r="B252" s="129" t="s">
        <v>465</v>
      </c>
    </row>
    <row r="253" spans="1:2" x14ac:dyDescent="0.25">
      <c r="A253" s="99">
        <v>42770</v>
      </c>
      <c r="B253" s="129" t="s">
        <v>461</v>
      </c>
    </row>
    <row r="254" spans="1:2" x14ac:dyDescent="0.25">
      <c r="A254" s="99">
        <v>42777</v>
      </c>
      <c r="B254" s="129" t="s">
        <v>463</v>
      </c>
    </row>
    <row r="255" spans="1:2" x14ac:dyDescent="0.25">
      <c r="A255" s="99">
        <v>42784</v>
      </c>
      <c r="B255" s="129" t="s">
        <v>464</v>
      </c>
    </row>
    <row r="256" spans="1:2" x14ac:dyDescent="0.25">
      <c r="A256" s="99">
        <v>42792</v>
      </c>
      <c r="B256" s="129" t="s">
        <v>465</v>
      </c>
    </row>
    <row r="257" spans="1:2" x14ac:dyDescent="0.25">
      <c r="A257" s="99">
        <v>42799</v>
      </c>
      <c r="B257" s="129" t="s">
        <v>461</v>
      </c>
    </row>
    <row r="258" spans="1:2" x14ac:dyDescent="0.25">
      <c r="A258" s="99">
        <v>42806</v>
      </c>
      <c r="B258" s="129" t="s">
        <v>463</v>
      </c>
    </row>
    <row r="259" spans="1:2" x14ac:dyDescent="0.25">
      <c r="A259" s="99">
        <v>42814</v>
      </c>
      <c r="B259" s="129" t="s">
        <v>464</v>
      </c>
    </row>
    <row r="260" spans="1:2" x14ac:dyDescent="0.25">
      <c r="A260" s="99">
        <v>42822</v>
      </c>
      <c r="B260" s="129" t="s">
        <v>465</v>
      </c>
    </row>
    <row r="261" spans="1:2" x14ac:dyDescent="0.25">
      <c r="A261" s="99">
        <v>42828</v>
      </c>
      <c r="B261" s="129" t="s">
        <v>461</v>
      </c>
    </row>
    <row r="262" spans="1:2" x14ac:dyDescent="0.25">
      <c r="A262" s="99">
        <v>42836</v>
      </c>
      <c r="B262" s="129" t="s">
        <v>463</v>
      </c>
    </row>
    <row r="263" spans="1:2" x14ac:dyDescent="0.25">
      <c r="A263" s="99">
        <v>42844</v>
      </c>
      <c r="B263" s="129" t="s">
        <v>464</v>
      </c>
    </row>
    <row r="264" spans="1:2" x14ac:dyDescent="0.25">
      <c r="A264" s="99">
        <v>42851</v>
      </c>
      <c r="B264" s="129" t="s">
        <v>465</v>
      </c>
    </row>
    <row r="265" spans="1:2" x14ac:dyDescent="0.25">
      <c r="A265" s="99">
        <v>42858</v>
      </c>
      <c r="B265" s="129" t="s">
        <v>461</v>
      </c>
    </row>
    <row r="266" spans="1:2" x14ac:dyDescent="0.25">
      <c r="A266" s="99">
        <v>42865</v>
      </c>
      <c r="B266" s="129" t="s">
        <v>463</v>
      </c>
    </row>
    <row r="267" spans="1:2" x14ac:dyDescent="0.25">
      <c r="A267" s="99">
        <v>42874</v>
      </c>
      <c r="B267" s="129" t="s">
        <v>464</v>
      </c>
    </row>
    <row r="268" spans="1:2" x14ac:dyDescent="0.25">
      <c r="A268" s="99">
        <v>42880</v>
      </c>
      <c r="B268" s="129" t="s">
        <v>465</v>
      </c>
    </row>
    <row r="269" spans="1:2" x14ac:dyDescent="0.25">
      <c r="A269" s="99">
        <v>42887</v>
      </c>
      <c r="B269" s="129" t="s">
        <v>461</v>
      </c>
    </row>
    <row r="270" spans="1:2" x14ac:dyDescent="0.25">
      <c r="A270" s="99">
        <v>42895</v>
      </c>
      <c r="B270" s="129" t="s">
        <v>463</v>
      </c>
    </row>
    <row r="271" spans="1:2" x14ac:dyDescent="0.25">
      <c r="A271" s="99">
        <v>42903</v>
      </c>
      <c r="B271" s="129" t="s">
        <v>464</v>
      </c>
    </row>
    <row r="272" spans="1:2" x14ac:dyDescent="0.25">
      <c r="A272" s="99">
        <v>42910</v>
      </c>
      <c r="B272" s="129" t="s">
        <v>465</v>
      </c>
    </row>
    <row r="273" spans="1:2" x14ac:dyDescent="0.25">
      <c r="A273" s="99">
        <v>42917</v>
      </c>
      <c r="B273" s="129" t="s">
        <v>461</v>
      </c>
    </row>
    <row r="274" spans="1:2" x14ac:dyDescent="0.25">
      <c r="A274" s="99">
        <v>42925</v>
      </c>
      <c r="B274" s="129" t="s">
        <v>463</v>
      </c>
    </row>
    <row r="275" spans="1:2" x14ac:dyDescent="0.25">
      <c r="A275" s="99">
        <v>42932</v>
      </c>
      <c r="B275" s="129" t="s">
        <v>464</v>
      </c>
    </row>
    <row r="276" spans="1:2" x14ac:dyDescent="0.25">
      <c r="A276" s="99">
        <v>42939</v>
      </c>
      <c r="B276" s="129" t="s">
        <v>465</v>
      </c>
    </row>
    <row r="277" spans="1:2" x14ac:dyDescent="0.25">
      <c r="A277" s="99">
        <v>42946</v>
      </c>
      <c r="B277" s="129" t="s">
        <v>461</v>
      </c>
    </row>
    <row r="278" spans="1:2" x14ac:dyDescent="0.25">
      <c r="A278" s="99">
        <v>42954</v>
      </c>
      <c r="B278" s="129" t="s">
        <v>463</v>
      </c>
    </row>
    <row r="279" spans="1:2" x14ac:dyDescent="0.25">
      <c r="A279" s="99">
        <v>42962</v>
      </c>
      <c r="B279" s="129" t="s">
        <v>464</v>
      </c>
    </row>
    <row r="280" spans="1:2" x14ac:dyDescent="0.25">
      <c r="A280" s="99">
        <v>42968</v>
      </c>
      <c r="B280" s="129" t="s">
        <v>465</v>
      </c>
    </row>
    <row r="281" spans="1:2" x14ac:dyDescent="0.25">
      <c r="A281" s="99">
        <v>42976</v>
      </c>
      <c r="B281" s="129" t="s">
        <v>461</v>
      </c>
    </row>
    <row r="282" spans="1:2" x14ac:dyDescent="0.25">
      <c r="A282" s="99">
        <v>42984</v>
      </c>
      <c r="B282" s="129" t="s">
        <v>463</v>
      </c>
    </row>
    <row r="283" spans="1:2" x14ac:dyDescent="0.25">
      <c r="A283" s="99">
        <v>42991</v>
      </c>
      <c r="B283" s="129" t="s">
        <v>464</v>
      </c>
    </row>
    <row r="284" spans="1:2" x14ac:dyDescent="0.25">
      <c r="A284" s="99">
        <v>42998</v>
      </c>
      <c r="B284" s="129" t="s">
        <v>465</v>
      </c>
    </row>
    <row r="285" spans="1:2" x14ac:dyDescent="0.25">
      <c r="A285" s="99">
        <v>43006</v>
      </c>
      <c r="B285" s="129" t="s">
        <v>461</v>
      </c>
    </row>
    <row r="286" spans="1:2" x14ac:dyDescent="0.25">
      <c r="A286" s="99">
        <v>43013</v>
      </c>
      <c r="B286" s="129" t="s">
        <v>463</v>
      </c>
    </row>
    <row r="287" spans="1:2" x14ac:dyDescent="0.25">
      <c r="A287" s="99">
        <v>43020</v>
      </c>
      <c r="B287" s="129" t="s">
        <v>464</v>
      </c>
    </row>
    <row r="288" spans="1:2" x14ac:dyDescent="0.25">
      <c r="A288" s="99">
        <v>43027</v>
      </c>
      <c r="B288" s="129" t="s">
        <v>465</v>
      </c>
    </row>
    <row r="289" spans="1:2" x14ac:dyDescent="0.25">
      <c r="A289" s="99">
        <v>43035</v>
      </c>
      <c r="B289" s="129" t="s">
        <v>461</v>
      </c>
    </row>
    <row r="290" spans="1:2" x14ac:dyDescent="0.25">
      <c r="A290" s="99">
        <v>43043</v>
      </c>
      <c r="B290" s="129" t="s">
        <v>463</v>
      </c>
    </row>
    <row r="291" spans="1:2" x14ac:dyDescent="0.25">
      <c r="A291" s="99">
        <v>43049</v>
      </c>
      <c r="B291" s="129" t="s">
        <v>464</v>
      </c>
    </row>
    <row r="292" spans="1:2" x14ac:dyDescent="0.25">
      <c r="A292" s="99">
        <v>43057</v>
      </c>
      <c r="B292" s="129" t="s">
        <v>465</v>
      </c>
    </row>
    <row r="293" spans="1:2" x14ac:dyDescent="0.25">
      <c r="A293" s="99">
        <v>43065</v>
      </c>
      <c r="B293" s="129" t="s">
        <v>461</v>
      </c>
    </row>
    <row r="294" spans="1:2" x14ac:dyDescent="0.25">
      <c r="A294" s="99">
        <v>43072</v>
      </c>
      <c r="B294" s="129" t="s">
        <v>463</v>
      </c>
    </row>
    <row r="295" spans="1:2" x14ac:dyDescent="0.25">
      <c r="A295" s="99">
        <v>43079</v>
      </c>
      <c r="B295" s="129" t="s">
        <v>464</v>
      </c>
    </row>
    <row r="296" spans="1:2" x14ac:dyDescent="0.25">
      <c r="A296" s="99">
        <v>43087</v>
      </c>
      <c r="B296" s="129" t="s">
        <v>465</v>
      </c>
    </row>
    <row r="297" spans="1:2" x14ac:dyDescent="0.25">
      <c r="A297" s="99">
        <v>43095</v>
      </c>
      <c r="B297" s="129" t="s">
        <v>461</v>
      </c>
    </row>
    <row r="298" spans="1:2" x14ac:dyDescent="0.25">
      <c r="A298" s="99">
        <v>43102</v>
      </c>
      <c r="B298" s="129" t="s">
        <v>463</v>
      </c>
    </row>
    <row r="299" spans="1:2" x14ac:dyDescent="0.25">
      <c r="A299" s="99">
        <v>43108</v>
      </c>
      <c r="B299" s="129" t="s">
        <v>464</v>
      </c>
    </row>
    <row r="300" spans="1:2" x14ac:dyDescent="0.25">
      <c r="A300" s="99">
        <v>43117</v>
      </c>
      <c r="B300" s="129" t="s">
        <v>465</v>
      </c>
    </row>
    <row r="301" spans="1:2" x14ac:dyDescent="0.25">
      <c r="A301" s="99">
        <v>43124</v>
      </c>
      <c r="B301" s="129" t="s">
        <v>461</v>
      </c>
    </row>
    <row r="302" spans="1:2" x14ac:dyDescent="0.25">
      <c r="A302" s="99">
        <v>43131</v>
      </c>
      <c r="B302" s="129" t="s">
        <v>463</v>
      </c>
    </row>
    <row r="303" spans="1:2" x14ac:dyDescent="0.25">
      <c r="A303" s="99">
        <v>43138</v>
      </c>
      <c r="B303" s="129" t="s">
        <v>464</v>
      </c>
    </row>
    <row r="304" spans="1:2" x14ac:dyDescent="0.25">
      <c r="A304" s="99">
        <v>43146</v>
      </c>
      <c r="B304" s="129" t="s">
        <v>465</v>
      </c>
    </row>
    <row r="305" spans="1:2" x14ac:dyDescent="0.25">
      <c r="A305" s="99">
        <v>43154</v>
      </c>
      <c r="B305" s="129" t="s">
        <v>461</v>
      </c>
    </row>
    <row r="306" spans="1:2" x14ac:dyDescent="0.25">
      <c r="A306" s="99">
        <v>43161</v>
      </c>
      <c r="B306" s="129" t="s">
        <v>463</v>
      </c>
    </row>
    <row r="307" spans="1:2" x14ac:dyDescent="0.25">
      <c r="A307" s="99">
        <v>43168</v>
      </c>
      <c r="B307" s="129" t="s">
        <v>464</v>
      </c>
    </row>
    <row r="308" spans="1:2" x14ac:dyDescent="0.25">
      <c r="A308" s="99">
        <v>43176</v>
      </c>
      <c r="B308" s="129" t="s">
        <v>465</v>
      </c>
    </row>
    <row r="309" spans="1:2" x14ac:dyDescent="0.25">
      <c r="A309" s="99">
        <v>43183</v>
      </c>
      <c r="B309" s="129" t="s">
        <v>461</v>
      </c>
    </row>
    <row r="310" spans="1:2" x14ac:dyDescent="0.25">
      <c r="A310" s="99">
        <v>43190</v>
      </c>
      <c r="B310" s="129" t="s">
        <v>463</v>
      </c>
    </row>
    <row r="311" spans="1:2" x14ac:dyDescent="0.25">
      <c r="A311" s="99">
        <v>43198</v>
      </c>
      <c r="B311" s="129" t="s">
        <v>464</v>
      </c>
    </row>
    <row r="312" spans="1:2" x14ac:dyDescent="0.25">
      <c r="A312" s="99">
        <v>43206</v>
      </c>
      <c r="B312" s="129" t="s">
        <v>465</v>
      </c>
    </row>
    <row r="313" spans="1:2" x14ac:dyDescent="0.25">
      <c r="A313" s="99">
        <v>43212</v>
      </c>
      <c r="B313" s="129" t="s">
        <v>461</v>
      </c>
    </row>
    <row r="314" spans="1:2" x14ac:dyDescent="0.25">
      <c r="A314" s="99">
        <v>43220</v>
      </c>
      <c r="B314" s="129" t="s">
        <v>463</v>
      </c>
    </row>
    <row r="315" spans="1:2" x14ac:dyDescent="0.25">
      <c r="A315" s="99">
        <v>43228</v>
      </c>
      <c r="B315" s="129" t="s">
        <v>464</v>
      </c>
    </row>
    <row r="316" spans="1:2" x14ac:dyDescent="0.25">
      <c r="A316" s="99">
        <v>43235</v>
      </c>
      <c r="B316" s="129" t="s">
        <v>465</v>
      </c>
    </row>
    <row r="317" spans="1:2" x14ac:dyDescent="0.25">
      <c r="A317" s="99">
        <v>43242</v>
      </c>
      <c r="B317" s="129" t="s">
        <v>461</v>
      </c>
    </row>
    <row r="318" spans="1:2" x14ac:dyDescent="0.25">
      <c r="A318" s="99">
        <v>43249</v>
      </c>
      <c r="B318" s="129" t="s">
        <v>463</v>
      </c>
    </row>
    <row r="319" spans="1:2" x14ac:dyDescent="0.25">
      <c r="A319" s="99">
        <v>43257</v>
      </c>
      <c r="B319" s="129" t="s">
        <v>464</v>
      </c>
    </row>
    <row r="320" spans="1:2" x14ac:dyDescent="0.25">
      <c r="A320" s="99">
        <v>43264</v>
      </c>
      <c r="B320" s="129" t="s">
        <v>465</v>
      </c>
    </row>
    <row r="321" spans="1:2" x14ac:dyDescent="0.25">
      <c r="A321" s="99">
        <v>43271</v>
      </c>
      <c r="B321" s="129" t="s">
        <v>461</v>
      </c>
    </row>
    <row r="322" spans="1:2" x14ac:dyDescent="0.25">
      <c r="A322" s="99">
        <v>43279</v>
      </c>
      <c r="B322" s="129" t="s">
        <v>463</v>
      </c>
    </row>
    <row r="323" spans="1:2" x14ac:dyDescent="0.25">
      <c r="A323" s="99">
        <v>43287</v>
      </c>
      <c r="B323" s="129" t="s">
        <v>464</v>
      </c>
    </row>
    <row r="324" spans="1:2" x14ac:dyDescent="0.25">
      <c r="A324" s="99">
        <v>43294</v>
      </c>
      <c r="B324" s="129" t="s">
        <v>465</v>
      </c>
    </row>
    <row r="325" spans="1:2" x14ac:dyDescent="0.25">
      <c r="A325" s="99">
        <v>43300</v>
      </c>
      <c r="B325" s="129" t="s">
        <v>461</v>
      </c>
    </row>
    <row r="326" spans="1:2" x14ac:dyDescent="0.25">
      <c r="A326" s="99">
        <v>43308</v>
      </c>
      <c r="B326" s="129" t="s">
        <v>463</v>
      </c>
    </row>
    <row r="327" spans="1:2" x14ac:dyDescent="0.25">
      <c r="A327" s="99">
        <v>43316</v>
      </c>
      <c r="B327" s="129" t="s">
        <v>464</v>
      </c>
    </row>
    <row r="328" spans="1:2" x14ac:dyDescent="0.25">
      <c r="A328" s="99">
        <v>43323</v>
      </c>
      <c r="B328" s="129" t="s">
        <v>465</v>
      </c>
    </row>
    <row r="329" spans="1:2" x14ac:dyDescent="0.25">
      <c r="A329" s="99">
        <v>43330</v>
      </c>
      <c r="B329" s="129" t="s">
        <v>461</v>
      </c>
    </row>
    <row r="330" spans="1:2" x14ac:dyDescent="0.25">
      <c r="A330" s="99">
        <v>43338</v>
      </c>
      <c r="B330" s="129" t="s">
        <v>463</v>
      </c>
    </row>
    <row r="331" spans="1:2" x14ac:dyDescent="0.25">
      <c r="A331" s="99">
        <v>43346</v>
      </c>
      <c r="B331" s="129" t="s">
        <v>464</v>
      </c>
    </row>
    <row r="332" spans="1:2" x14ac:dyDescent="0.25">
      <c r="A332" s="99">
        <v>43352</v>
      </c>
      <c r="B332" s="129" t="s">
        <v>465</v>
      </c>
    </row>
    <row r="333" spans="1:2" x14ac:dyDescent="0.25">
      <c r="A333" s="99">
        <v>43359</v>
      </c>
      <c r="B333" s="129" t="s">
        <v>461</v>
      </c>
    </row>
    <row r="334" spans="1:2" x14ac:dyDescent="0.25">
      <c r="A334" s="99">
        <v>43368</v>
      </c>
      <c r="B334" s="129" t="s">
        <v>463</v>
      </c>
    </row>
    <row r="335" spans="1:2" x14ac:dyDescent="0.25">
      <c r="A335" s="99">
        <v>43375</v>
      </c>
      <c r="B335" s="129" t="s">
        <v>464</v>
      </c>
    </row>
    <row r="336" spans="1:2" x14ac:dyDescent="0.25">
      <c r="A336" s="99">
        <v>43382</v>
      </c>
      <c r="B336" s="129" t="s">
        <v>465</v>
      </c>
    </row>
    <row r="337" spans="1:2" x14ac:dyDescent="0.25">
      <c r="A337" s="99">
        <v>43389</v>
      </c>
      <c r="B337" s="129" t="s">
        <v>461</v>
      </c>
    </row>
    <row r="338" spans="1:2" x14ac:dyDescent="0.25">
      <c r="A338" s="99">
        <v>43397</v>
      </c>
      <c r="B338" s="129" t="s">
        <v>463</v>
      </c>
    </row>
    <row r="339" spans="1:2" x14ac:dyDescent="0.25">
      <c r="A339" s="99">
        <v>43404</v>
      </c>
      <c r="B339" s="129" t="s">
        <v>464</v>
      </c>
    </row>
    <row r="340" spans="1:2" x14ac:dyDescent="0.25">
      <c r="A340" s="99">
        <v>43411</v>
      </c>
      <c r="B340" s="129" t="s">
        <v>465</v>
      </c>
    </row>
    <row r="341" spans="1:2" x14ac:dyDescent="0.25">
      <c r="A341" s="99">
        <v>43419</v>
      </c>
      <c r="B341" s="129" t="s">
        <v>461</v>
      </c>
    </row>
    <row r="342" spans="1:2" x14ac:dyDescent="0.25">
      <c r="A342" s="99">
        <v>43427</v>
      </c>
      <c r="B342" s="129" t="s">
        <v>463</v>
      </c>
    </row>
    <row r="343" spans="1:2" x14ac:dyDescent="0.25">
      <c r="A343" s="99">
        <v>43434</v>
      </c>
      <c r="B343" s="129" t="s">
        <v>464</v>
      </c>
    </row>
    <row r="344" spans="1:2" x14ac:dyDescent="0.25">
      <c r="A344" s="99">
        <v>43441</v>
      </c>
      <c r="B344" s="129" t="s">
        <v>465</v>
      </c>
    </row>
    <row r="345" spans="1:2" x14ac:dyDescent="0.25">
      <c r="A345" s="99">
        <v>43449</v>
      </c>
      <c r="B345" s="129" t="s">
        <v>461</v>
      </c>
    </row>
    <row r="346" spans="1:2" x14ac:dyDescent="0.25">
      <c r="A346" s="99">
        <v>43456</v>
      </c>
      <c r="B346" s="129" t="s">
        <v>463</v>
      </c>
    </row>
    <row r="347" spans="1:2" x14ac:dyDescent="0.25">
      <c r="A347" s="99">
        <v>43463</v>
      </c>
      <c r="B347" s="129" t="s">
        <v>464</v>
      </c>
    </row>
    <row r="348" spans="1:2" x14ac:dyDescent="0.25">
      <c r="A348" s="99">
        <v>43471</v>
      </c>
      <c r="B348" s="129" t="s">
        <v>465</v>
      </c>
    </row>
    <row r="349" spans="1:2" x14ac:dyDescent="0.25">
      <c r="A349" s="99">
        <v>43479</v>
      </c>
      <c r="B349" s="129" t="s">
        <v>461</v>
      </c>
    </row>
    <row r="350" spans="1:2" x14ac:dyDescent="0.25">
      <c r="A350" s="99">
        <v>43486</v>
      </c>
      <c r="B350" s="129" t="s">
        <v>463</v>
      </c>
    </row>
    <row r="351" spans="1:2" x14ac:dyDescent="0.25">
      <c r="A351" s="99">
        <v>43492</v>
      </c>
      <c r="B351" s="129" t="s">
        <v>464</v>
      </c>
    </row>
    <row r="352" spans="1:2" x14ac:dyDescent="0.25">
      <c r="A352" s="99">
        <v>43500</v>
      </c>
      <c r="B352" s="129" t="s">
        <v>465</v>
      </c>
    </row>
    <row r="353" spans="1:2" x14ac:dyDescent="0.25">
      <c r="A353" s="99">
        <v>43508</v>
      </c>
      <c r="B353" s="129" t="s">
        <v>461</v>
      </c>
    </row>
    <row r="354" spans="1:2" x14ac:dyDescent="0.25">
      <c r="A354" s="99">
        <v>43515</v>
      </c>
      <c r="B354" s="129" t="s">
        <v>463</v>
      </c>
    </row>
    <row r="355" spans="1:2" x14ac:dyDescent="0.25">
      <c r="A355" s="99">
        <v>43522</v>
      </c>
      <c r="B355" s="129" t="s">
        <v>464</v>
      </c>
    </row>
    <row r="356" spans="1:2" x14ac:dyDescent="0.25">
      <c r="A356" s="99">
        <v>43530</v>
      </c>
      <c r="B356" s="129" t="s">
        <v>465</v>
      </c>
    </row>
    <row r="357" spans="1:2" x14ac:dyDescent="0.25">
      <c r="A357" s="99">
        <v>43538</v>
      </c>
      <c r="B357" s="129" t="s">
        <v>461</v>
      </c>
    </row>
    <row r="358" spans="1:2" x14ac:dyDescent="0.25">
      <c r="A358" s="99">
        <v>43545</v>
      </c>
      <c r="B358" s="129" t="s">
        <v>463</v>
      </c>
    </row>
    <row r="359" spans="1:2" x14ac:dyDescent="0.25">
      <c r="A359" s="99">
        <v>43552</v>
      </c>
      <c r="B359" s="129" t="s">
        <v>464</v>
      </c>
    </row>
    <row r="360" spans="1:2" x14ac:dyDescent="0.25">
      <c r="A360" s="99">
        <v>43560</v>
      </c>
      <c r="B360" s="129" t="s">
        <v>465</v>
      </c>
    </row>
    <row r="361" spans="1:2" x14ac:dyDescent="0.25">
      <c r="A361" s="99">
        <v>43567</v>
      </c>
      <c r="B361" s="129" t="s">
        <v>461</v>
      </c>
    </row>
    <row r="362" spans="1:2" x14ac:dyDescent="0.25">
      <c r="A362" s="99">
        <v>43574</v>
      </c>
      <c r="B362" s="129" t="s">
        <v>463</v>
      </c>
    </row>
    <row r="363" spans="1:2" x14ac:dyDescent="0.25">
      <c r="A363" s="99">
        <v>43581</v>
      </c>
      <c r="B363" s="129" t="s">
        <v>464</v>
      </c>
    </row>
    <row r="364" spans="1:2" x14ac:dyDescent="0.25">
      <c r="A364" s="99">
        <v>43589</v>
      </c>
      <c r="B364" s="129" t="s">
        <v>465</v>
      </c>
    </row>
    <row r="365" spans="1:2" x14ac:dyDescent="0.25">
      <c r="A365" s="99">
        <v>43597</v>
      </c>
      <c r="B365" s="129" t="s">
        <v>461</v>
      </c>
    </row>
    <row r="366" spans="1:2" x14ac:dyDescent="0.25">
      <c r="A366" s="99">
        <v>43603</v>
      </c>
      <c r="B366" s="129" t="s">
        <v>463</v>
      </c>
    </row>
    <row r="367" spans="1:2" x14ac:dyDescent="0.25">
      <c r="A367" s="99">
        <v>43611</v>
      </c>
      <c r="B367" s="129" t="s">
        <v>464</v>
      </c>
    </row>
    <row r="368" spans="1:2" x14ac:dyDescent="0.25">
      <c r="A368" s="99">
        <v>43619</v>
      </c>
      <c r="B368" s="129" t="s">
        <v>465</v>
      </c>
    </row>
    <row r="369" spans="1:2" x14ac:dyDescent="0.25">
      <c r="A369" s="99">
        <v>43626</v>
      </c>
      <c r="B369" s="129" t="s">
        <v>461</v>
      </c>
    </row>
    <row r="370" spans="1:2" x14ac:dyDescent="0.25">
      <c r="A370" s="99">
        <v>43633</v>
      </c>
      <c r="B370" s="129" t="s">
        <v>463</v>
      </c>
    </row>
    <row r="371" spans="1:2" x14ac:dyDescent="0.25">
      <c r="A371" s="99">
        <v>43641</v>
      </c>
      <c r="B371" s="129" t="s">
        <v>464</v>
      </c>
    </row>
    <row r="372" spans="1:2" x14ac:dyDescent="0.25">
      <c r="A372" s="99">
        <v>43648</v>
      </c>
      <c r="B372" s="129" t="s">
        <v>465</v>
      </c>
    </row>
    <row r="373" spans="1:2" x14ac:dyDescent="0.25">
      <c r="A373" s="99">
        <v>43655</v>
      </c>
      <c r="B373" s="129" t="s">
        <v>461</v>
      </c>
    </row>
    <row r="374" spans="1:2" x14ac:dyDescent="0.25">
      <c r="A374" s="99">
        <v>43662</v>
      </c>
      <c r="B374" s="129" t="s">
        <v>463</v>
      </c>
    </row>
    <row r="375" spans="1:2" x14ac:dyDescent="0.25">
      <c r="A375" s="99">
        <v>43671</v>
      </c>
      <c r="B375" s="129" t="s">
        <v>464</v>
      </c>
    </row>
    <row r="376" spans="1:2" x14ac:dyDescent="0.25">
      <c r="A376" s="99">
        <v>43678</v>
      </c>
      <c r="B376" s="129" t="s">
        <v>465</v>
      </c>
    </row>
    <row r="377" spans="1:2" x14ac:dyDescent="0.25">
      <c r="A377" s="99">
        <v>43684</v>
      </c>
      <c r="B377" s="129" t="s">
        <v>461</v>
      </c>
    </row>
    <row r="378" spans="1:2" x14ac:dyDescent="0.25">
      <c r="A378" s="99">
        <v>43692</v>
      </c>
      <c r="B378" s="129" t="s">
        <v>463</v>
      </c>
    </row>
    <row r="379" spans="1:2" x14ac:dyDescent="0.25">
      <c r="A379" s="99">
        <v>43700</v>
      </c>
      <c r="B379" s="129" t="s">
        <v>464</v>
      </c>
    </row>
    <row r="380" spans="1:2" x14ac:dyDescent="0.25">
      <c r="A380" s="99">
        <v>43707</v>
      </c>
      <c r="B380" s="129" t="s">
        <v>465</v>
      </c>
    </row>
    <row r="381" spans="1:2" x14ac:dyDescent="0.25">
      <c r="A381" s="99">
        <v>43714</v>
      </c>
      <c r="B381" s="129" t="s">
        <v>461</v>
      </c>
    </row>
    <row r="382" spans="1:2" x14ac:dyDescent="0.25">
      <c r="A382" s="99">
        <v>43722</v>
      </c>
      <c r="B382" s="129" t="s">
        <v>463</v>
      </c>
    </row>
    <row r="383" spans="1:2" x14ac:dyDescent="0.25">
      <c r="A383" s="99">
        <v>43730</v>
      </c>
      <c r="B383" s="129" t="s">
        <v>464</v>
      </c>
    </row>
    <row r="384" spans="1:2" x14ac:dyDescent="0.25">
      <c r="A384" s="99">
        <v>43736</v>
      </c>
      <c r="B384" s="129" t="s">
        <v>465</v>
      </c>
    </row>
    <row r="385" spans="1:2" x14ac:dyDescent="0.25">
      <c r="A385" s="99">
        <v>43743</v>
      </c>
      <c r="B385" s="129" t="s">
        <v>461</v>
      </c>
    </row>
    <row r="386" spans="1:2" x14ac:dyDescent="0.25">
      <c r="A386" s="99">
        <v>43751</v>
      </c>
      <c r="B386" s="129" t="s">
        <v>463</v>
      </c>
    </row>
    <row r="387" spans="1:2" x14ac:dyDescent="0.25">
      <c r="A387" s="99">
        <v>43759</v>
      </c>
      <c r="B387" s="129" t="s">
        <v>464</v>
      </c>
    </row>
    <row r="388" spans="1:2" x14ac:dyDescent="0.25">
      <c r="A388" s="99">
        <v>43766</v>
      </c>
      <c r="B388" s="129" t="s">
        <v>465</v>
      </c>
    </row>
    <row r="389" spans="1:2" x14ac:dyDescent="0.25">
      <c r="A389" s="99">
        <v>43773</v>
      </c>
      <c r="B389" s="129" t="s">
        <v>461</v>
      </c>
    </row>
    <row r="390" spans="1:2" x14ac:dyDescent="0.25">
      <c r="A390" s="99">
        <v>43781</v>
      </c>
      <c r="B390" s="129" t="s">
        <v>463</v>
      </c>
    </row>
    <row r="391" spans="1:2" x14ac:dyDescent="0.25">
      <c r="A391" s="99">
        <v>43788</v>
      </c>
      <c r="B391" s="129" t="s">
        <v>464</v>
      </c>
    </row>
    <row r="392" spans="1:2" x14ac:dyDescent="0.25">
      <c r="A392" s="99">
        <v>43795</v>
      </c>
      <c r="B392" s="129" t="s">
        <v>465</v>
      </c>
    </row>
    <row r="393" spans="1:2" x14ac:dyDescent="0.25">
      <c r="A393" s="99">
        <v>43803</v>
      </c>
      <c r="B393" s="129" t="s">
        <v>461</v>
      </c>
    </row>
    <row r="394" spans="1:2" x14ac:dyDescent="0.25">
      <c r="A394" s="99">
        <v>43811</v>
      </c>
      <c r="B394" s="129" t="s">
        <v>463</v>
      </c>
    </row>
    <row r="395" spans="1:2" x14ac:dyDescent="0.25">
      <c r="A395" s="99">
        <v>43818</v>
      </c>
      <c r="B395" s="129" t="s">
        <v>464</v>
      </c>
    </row>
    <row r="396" spans="1:2" x14ac:dyDescent="0.25">
      <c r="A396" s="99">
        <v>43825</v>
      </c>
      <c r="B396" s="129" t="s">
        <v>465</v>
      </c>
    </row>
    <row r="397" spans="1:2" x14ac:dyDescent="0.25">
      <c r="A397" s="99">
        <v>43833</v>
      </c>
      <c r="B397" s="129" t="s">
        <v>461</v>
      </c>
    </row>
    <row r="398" spans="1:2" x14ac:dyDescent="0.25">
      <c r="A398" s="99">
        <v>43840</v>
      </c>
      <c r="B398" s="129" t="s">
        <v>463</v>
      </c>
    </row>
    <row r="399" spans="1:2" x14ac:dyDescent="0.25">
      <c r="A399" s="99">
        <v>43847</v>
      </c>
      <c r="B399" s="129" t="s">
        <v>464</v>
      </c>
    </row>
    <row r="400" spans="1:2" x14ac:dyDescent="0.25">
      <c r="A400" s="99">
        <v>43854</v>
      </c>
      <c r="B400" s="129" t="s">
        <v>465</v>
      </c>
    </row>
    <row r="401" spans="1:2" x14ac:dyDescent="0.25">
      <c r="A401" s="99">
        <v>43863</v>
      </c>
      <c r="B401" s="129" t="s">
        <v>461</v>
      </c>
    </row>
    <row r="402" spans="1:2" x14ac:dyDescent="0.25">
      <c r="A402" s="99">
        <v>43870</v>
      </c>
      <c r="B402" s="129" t="s">
        <v>463</v>
      </c>
    </row>
    <row r="403" spans="1:2" x14ac:dyDescent="0.25">
      <c r="A403" s="99">
        <v>43876</v>
      </c>
      <c r="B403" s="129" t="s">
        <v>464</v>
      </c>
    </row>
    <row r="404" spans="1:2" x14ac:dyDescent="0.25">
      <c r="A404" s="99">
        <v>43884</v>
      </c>
      <c r="B404" s="129" t="s">
        <v>465</v>
      </c>
    </row>
    <row r="405" spans="1:2" x14ac:dyDescent="0.25">
      <c r="A405" s="99">
        <v>43892</v>
      </c>
      <c r="B405" s="129" t="s">
        <v>461</v>
      </c>
    </row>
    <row r="406" spans="1:2" x14ac:dyDescent="0.25">
      <c r="A406" s="99">
        <v>43899</v>
      </c>
      <c r="B406" s="129" t="s">
        <v>463</v>
      </c>
    </row>
    <row r="407" spans="1:2" x14ac:dyDescent="0.25">
      <c r="A407" s="99">
        <v>43906</v>
      </c>
      <c r="B407" s="129" t="s">
        <v>464</v>
      </c>
    </row>
    <row r="408" spans="1:2" x14ac:dyDescent="0.25">
      <c r="A408" s="99">
        <v>43914</v>
      </c>
      <c r="B408" s="129" t="s">
        <v>465</v>
      </c>
    </row>
    <row r="409" spans="1:2" x14ac:dyDescent="0.25">
      <c r="A409" s="99">
        <v>43922</v>
      </c>
      <c r="B409" s="129" t="s">
        <v>461</v>
      </c>
    </row>
    <row r="410" spans="1:2" x14ac:dyDescent="0.25">
      <c r="A410" s="99">
        <v>43929</v>
      </c>
      <c r="B410" s="129" t="s">
        <v>463</v>
      </c>
    </row>
    <row r="411" spans="1:2" x14ac:dyDescent="0.25">
      <c r="A411" s="99">
        <v>43935</v>
      </c>
      <c r="B411" s="129" t="s">
        <v>464</v>
      </c>
    </row>
    <row r="412" spans="1:2" x14ac:dyDescent="0.25">
      <c r="A412" s="99">
        <v>43944</v>
      </c>
      <c r="B412" s="129" t="s">
        <v>465</v>
      </c>
    </row>
    <row r="413" spans="1:2" x14ac:dyDescent="0.25">
      <c r="A413" s="99">
        <v>43951</v>
      </c>
      <c r="B413" s="129" t="s">
        <v>461</v>
      </c>
    </row>
    <row r="414" spans="1:2" x14ac:dyDescent="0.25">
      <c r="A414" s="99">
        <v>43958</v>
      </c>
      <c r="B414" s="129" t="s">
        <v>463</v>
      </c>
    </row>
    <row r="415" spans="1:2" x14ac:dyDescent="0.25">
      <c r="A415" s="99">
        <v>43965</v>
      </c>
      <c r="B415" s="129" t="s">
        <v>464</v>
      </c>
    </row>
    <row r="416" spans="1:2" x14ac:dyDescent="0.25">
      <c r="A416" s="99">
        <v>43973</v>
      </c>
      <c r="B416" s="129" t="s">
        <v>465</v>
      </c>
    </row>
    <row r="417" spans="1:2" x14ac:dyDescent="0.25">
      <c r="A417" s="99">
        <v>43981</v>
      </c>
      <c r="B417" s="129" t="s">
        <v>461</v>
      </c>
    </row>
    <row r="418" spans="1:2" x14ac:dyDescent="0.25">
      <c r="A418" s="99">
        <v>43987</v>
      </c>
      <c r="B418" s="129" t="s">
        <v>463</v>
      </c>
    </row>
    <row r="419" spans="1:2" x14ac:dyDescent="0.25">
      <c r="A419" s="99">
        <v>43995</v>
      </c>
      <c r="B419" s="129" t="s">
        <v>464</v>
      </c>
    </row>
    <row r="420" spans="1:2" x14ac:dyDescent="0.25">
      <c r="A420" s="99">
        <v>44003</v>
      </c>
      <c r="B420" s="129" t="s">
        <v>465</v>
      </c>
    </row>
    <row r="421" spans="1:2" x14ac:dyDescent="0.25">
      <c r="A421" s="99">
        <v>44010</v>
      </c>
      <c r="B421" s="129" t="s">
        <v>461</v>
      </c>
    </row>
    <row r="422" spans="1:2" x14ac:dyDescent="0.25">
      <c r="A422" s="99">
        <v>44017</v>
      </c>
      <c r="B422" s="129" t="s">
        <v>463</v>
      </c>
    </row>
    <row r="423" spans="1:2" x14ac:dyDescent="0.25">
      <c r="A423" s="99">
        <v>44024</v>
      </c>
      <c r="B423" s="129" t="s">
        <v>464</v>
      </c>
    </row>
    <row r="424" spans="1:2" x14ac:dyDescent="0.25">
      <c r="A424" s="99">
        <v>44032</v>
      </c>
      <c r="B424" s="129" t="s">
        <v>465</v>
      </c>
    </row>
    <row r="425" spans="1:2" x14ac:dyDescent="0.25">
      <c r="A425" s="99">
        <v>44039</v>
      </c>
      <c r="B425" s="129" t="s">
        <v>461</v>
      </c>
    </row>
    <row r="426" spans="1:2" x14ac:dyDescent="0.25">
      <c r="A426" s="99">
        <v>44046</v>
      </c>
      <c r="B426" s="129" t="s">
        <v>463</v>
      </c>
    </row>
    <row r="427" spans="1:2" x14ac:dyDescent="0.25">
      <c r="A427" s="99">
        <v>44054</v>
      </c>
      <c r="B427" s="129" t="s">
        <v>464</v>
      </c>
    </row>
    <row r="428" spans="1:2" x14ac:dyDescent="0.25">
      <c r="A428" s="99">
        <v>44062</v>
      </c>
      <c r="B428" s="129" t="s">
        <v>465</v>
      </c>
    </row>
    <row r="429" spans="1:2" x14ac:dyDescent="0.25">
      <c r="A429" s="99">
        <v>44068</v>
      </c>
      <c r="B429" s="129" t="s">
        <v>461</v>
      </c>
    </row>
    <row r="430" spans="1:2" x14ac:dyDescent="0.25">
      <c r="A430" s="99">
        <v>44076</v>
      </c>
      <c r="B430" s="129" t="s">
        <v>463</v>
      </c>
    </row>
    <row r="431" spans="1:2" x14ac:dyDescent="0.25">
      <c r="A431" s="99">
        <v>44084</v>
      </c>
      <c r="B431" s="129" t="s">
        <v>464</v>
      </c>
    </row>
    <row r="432" spans="1:2" x14ac:dyDescent="0.25">
      <c r="A432" s="99">
        <v>44091</v>
      </c>
      <c r="B432" s="129" t="s">
        <v>465</v>
      </c>
    </row>
    <row r="433" spans="1:2" x14ac:dyDescent="0.25">
      <c r="A433" s="99">
        <v>44098</v>
      </c>
      <c r="B433" s="129" t="s">
        <v>461</v>
      </c>
    </row>
    <row r="434" spans="1:2" x14ac:dyDescent="0.25">
      <c r="A434" s="99">
        <v>44105</v>
      </c>
      <c r="B434" s="129" t="s">
        <v>463</v>
      </c>
    </row>
    <row r="435" spans="1:2" x14ac:dyDescent="0.25">
      <c r="A435" s="99">
        <v>44114</v>
      </c>
      <c r="B435" s="129" t="s">
        <v>464</v>
      </c>
    </row>
    <row r="436" spans="1:2" x14ac:dyDescent="0.25">
      <c r="A436" s="99">
        <v>44120</v>
      </c>
      <c r="B436" s="129" t="s">
        <v>465</v>
      </c>
    </row>
    <row r="437" spans="1:2" x14ac:dyDescent="0.25">
      <c r="A437" s="99">
        <v>44127</v>
      </c>
      <c r="B437" s="129" t="s">
        <v>461</v>
      </c>
    </row>
    <row r="438" spans="1:2" x14ac:dyDescent="0.25">
      <c r="A438" s="99">
        <v>44135</v>
      </c>
      <c r="B438" s="129" t="s">
        <v>463</v>
      </c>
    </row>
    <row r="439" spans="1:2" x14ac:dyDescent="0.25">
      <c r="A439" s="99">
        <v>44143</v>
      </c>
      <c r="B439" s="129" t="s">
        <v>464</v>
      </c>
    </row>
    <row r="440" spans="1:2" x14ac:dyDescent="0.25">
      <c r="A440" s="99">
        <v>44150</v>
      </c>
      <c r="B440" s="129" t="s">
        <v>465</v>
      </c>
    </row>
    <row r="441" spans="1:2" x14ac:dyDescent="0.25">
      <c r="A441" s="99">
        <v>44157</v>
      </c>
      <c r="B441" s="129" t="s">
        <v>461</v>
      </c>
    </row>
    <row r="442" spans="1:2" x14ac:dyDescent="0.25">
      <c r="A442" s="99">
        <v>44165</v>
      </c>
      <c r="B442" s="129" t="s">
        <v>463</v>
      </c>
    </row>
    <row r="443" spans="1:2" x14ac:dyDescent="0.25">
      <c r="A443" s="99">
        <v>44173</v>
      </c>
      <c r="B443" s="129" t="s">
        <v>464</v>
      </c>
    </row>
    <row r="444" spans="1:2" x14ac:dyDescent="0.25">
      <c r="A444" s="99">
        <v>44179</v>
      </c>
      <c r="B444" s="129" t="s">
        <v>465</v>
      </c>
    </row>
    <row r="445" spans="1:2" x14ac:dyDescent="0.25">
      <c r="A445" s="99">
        <v>44186</v>
      </c>
      <c r="B445" s="129" t="s">
        <v>461</v>
      </c>
    </row>
    <row r="446" spans="1:2" x14ac:dyDescent="0.25">
      <c r="A446" s="99">
        <v>44195</v>
      </c>
      <c r="B446" s="129" t="s">
        <v>463</v>
      </c>
    </row>
    <row r="447" spans="1:2" x14ac:dyDescent="0.25">
      <c r="A447" s="99">
        <v>44202</v>
      </c>
      <c r="B447" s="129" t="s">
        <v>464</v>
      </c>
    </row>
    <row r="448" spans="1:2" x14ac:dyDescent="0.25">
      <c r="A448" s="99">
        <v>44209</v>
      </c>
      <c r="B448" s="129" t="s">
        <v>465</v>
      </c>
    </row>
    <row r="449" spans="1:2" x14ac:dyDescent="0.25">
      <c r="A449" s="99">
        <v>44216</v>
      </c>
      <c r="B449" s="129" t="s">
        <v>461</v>
      </c>
    </row>
    <row r="450" spans="1:2" x14ac:dyDescent="0.25">
      <c r="A450" s="99">
        <v>44224</v>
      </c>
      <c r="B450" s="129" t="s">
        <v>463</v>
      </c>
    </row>
    <row r="451" spans="1:2" x14ac:dyDescent="0.25">
      <c r="A451" s="99">
        <v>44231</v>
      </c>
      <c r="B451" s="129" t="s">
        <v>464</v>
      </c>
    </row>
    <row r="452" spans="1:2" x14ac:dyDescent="0.25">
      <c r="A452" s="99">
        <v>44238</v>
      </c>
      <c r="B452" s="129" t="s">
        <v>465</v>
      </c>
    </row>
    <row r="453" spans="1:2" x14ac:dyDescent="0.25">
      <c r="A453" s="99">
        <v>44246</v>
      </c>
      <c r="B453" s="129" t="s">
        <v>461</v>
      </c>
    </row>
    <row r="454" spans="1:2" x14ac:dyDescent="0.25">
      <c r="A454" s="99">
        <v>44254</v>
      </c>
      <c r="B454" s="129" t="s">
        <v>463</v>
      </c>
    </row>
    <row r="455" spans="1:2" x14ac:dyDescent="0.25">
      <c r="A455" s="99">
        <v>44261</v>
      </c>
      <c r="B455" s="129" t="s">
        <v>464</v>
      </c>
    </row>
    <row r="456" spans="1:2" x14ac:dyDescent="0.25">
      <c r="A456" s="99">
        <v>44268</v>
      </c>
      <c r="B456" s="129" t="s">
        <v>465</v>
      </c>
    </row>
    <row r="457" spans="1:2" x14ac:dyDescent="0.25">
      <c r="A457" s="99">
        <v>44276</v>
      </c>
      <c r="B457" s="129" t="s">
        <v>461</v>
      </c>
    </row>
    <row r="458" spans="1:2" x14ac:dyDescent="0.25">
      <c r="A458" s="99">
        <v>44283</v>
      </c>
      <c r="B458" s="129" t="s">
        <v>463</v>
      </c>
    </row>
    <row r="459" spans="1:2" x14ac:dyDescent="0.25">
      <c r="A459" s="99">
        <v>44290</v>
      </c>
      <c r="B459" s="129" t="s">
        <v>464</v>
      </c>
    </row>
    <row r="460" spans="1:2" x14ac:dyDescent="0.25">
      <c r="A460" s="99">
        <v>44298</v>
      </c>
      <c r="B460" s="129" t="s">
        <v>465</v>
      </c>
    </row>
    <row r="461" spans="1:2" x14ac:dyDescent="0.25">
      <c r="A461" s="99">
        <v>44306</v>
      </c>
      <c r="B461" s="129" t="s">
        <v>461</v>
      </c>
    </row>
    <row r="462" spans="1:2" x14ac:dyDescent="0.25">
      <c r="A462" s="99">
        <v>44313</v>
      </c>
      <c r="B462" s="129" t="s">
        <v>463</v>
      </c>
    </row>
    <row r="463" spans="1:2" x14ac:dyDescent="0.25">
      <c r="A463" s="99">
        <v>44319</v>
      </c>
      <c r="B463" s="129" t="s">
        <v>464</v>
      </c>
    </row>
    <row r="464" spans="1:2" x14ac:dyDescent="0.25">
      <c r="A464" s="99">
        <v>44327</v>
      </c>
      <c r="B464" s="129" t="s">
        <v>465</v>
      </c>
    </row>
    <row r="465" spans="1:2" x14ac:dyDescent="0.25">
      <c r="A465" s="99">
        <v>44335</v>
      </c>
      <c r="B465" s="129" t="s">
        <v>461</v>
      </c>
    </row>
    <row r="466" spans="1:2" x14ac:dyDescent="0.25">
      <c r="A466" s="99">
        <v>44342</v>
      </c>
      <c r="B466" s="129" t="s">
        <v>463</v>
      </c>
    </row>
    <row r="467" spans="1:2" x14ac:dyDescent="0.25">
      <c r="A467" s="99">
        <v>44349</v>
      </c>
      <c r="B467" s="129" t="s">
        <v>464</v>
      </c>
    </row>
    <row r="468" spans="1:2" x14ac:dyDescent="0.25">
      <c r="A468" s="99">
        <v>44357</v>
      </c>
      <c r="B468" s="129" t="s">
        <v>465</v>
      </c>
    </row>
    <row r="469" spans="1:2" x14ac:dyDescent="0.25">
      <c r="A469" s="99">
        <v>44365</v>
      </c>
      <c r="B469" s="129" t="s">
        <v>461</v>
      </c>
    </row>
    <row r="470" spans="1:2" x14ac:dyDescent="0.25">
      <c r="A470" s="99">
        <v>44371</v>
      </c>
      <c r="B470" s="129" t="s">
        <v>463</v>
      </c>
    </row>
    <row r="471" spans="1:2" x14ac:dyDescent="0.25">
      <c r="A471" s="99">
        <v>44378</v>
      </c>
      <c r="B471" s="129" t="s">
        <v>464</v>
      </c>
    </row>
    <row r="472" spans="1:2" x14ac:dyDescent="0.25">
      <c r="A472" s="99">
        <v>44387</v>
      </c>
      <c r="B472" s="129" t="s">
        <v>465</v>
      </c>
    </row>
    <row r="473" spans="1:2" x14ac:dyDescent="0.25">
      <c r="A473" s="99">
        <v>44394</v>
      </c>
      <c r="B473" s="129" t="s">
        <v>461</v>
      </c>
    </row>
    <row r="474" spans="1:2" x14ac:dyDescent="0.25">
      <c r="A474" s="99">
        <v>44401</v>
      </c>
      <c r="B474" s="129" t="s">
        <v>463</v>
      </c>
    </row>
    <row r="475" spans="1:2" x14ac:dyDescent="0.25">
      <c r="A475" s="99">
        <v>44408</v>
      </c>
      <c r="B475" s="129" t="s">
        <v>464</v>
      </c>
    </row>
    <row r="476" spans="1:2" x14ac:dyDescent="0.25">
      <c r="A476" s="99">
        <v>44416</v>
      </c>
      <c r="B476" s="129" t="s">
        <v>465</v>
      </c>
    </row>
    <row r="477" spans="1:2" x14ac:dyDescent="0.25">
      <c r="A477" s="99">
        <v>44423</v>
      </c>
      <c r="B477" s="129" t="s">
        <v>461</v>
      </c>
    </row>
    <row r="478" spans="1:2" x14ac:dyDescent="0.25">
      <c r="A478" s="99">
        <v>44430</v>
      </c>
      <c r="B478" s="129" t="s">
        <v>463</v>
      </c>
    </row>
    <row r="479" spans="1:2" x14ac:dyDescent="0.25">
      <c r="A479" s="99">
        <v>44438</v>
      </c>
      <c r="B479" s="129" t="s">
        <v>464</v>
      </c>
    </row>
    <row r="480" spans="1:2" x14ac:dyDescent="0.25">
      <c r="A480" s="99">
        <v>44446</v>
      </c>
      <c r="B480" s="129" t="s">
        <v>465</v>
      </c>
    </row>
    <row r="481" spans="1:2" x14ac:dyDescent="0.25">
      <c r="A481" s="99">
        <v>44452</v>
      </c>
      <c r="B481" s="129" t="s">
        <v>461</v>
      </c>
    </row>
    <row r="482" spans="1:2" x14ac:dyDescent="0.25">
      <c r="A482" s="99">
        <v>44459</v>
      </c>
      <c r="B482" s="129" t="s">
        <v>463</v>
      </c>
    </row>
    <row r="483" spans="1:2" x14ac:dyDescent="0.25">
      <c r="A483" s="99">
        <v>44468</v>
      </c>
      <c r="B483" s="129" t="s">
        <v>464</v>
      </c>
    </row>
    <row r="484" spans="1:2" x14ac:dyDescent="0.25">
      <c r="A484" s="99">
        <v>44475</v>
      </c>
      <c r="B484" s="129" t="s">
        <v>465</v>
      </c>
    </row>
    <row r="485" spans="1:2" x14ac:dyDescent="0.25">
      <c r="A485" s="99">
        <v>44482</v>
      </c>
      <c r="B485" s="129" t="s">
        <v>461</v>
      </c>
    </row>
    <row r="486" spans="1:2" x14ac:dyDescent="0.25">
      <c r="A486" s="99">
        <v>44489</v>
      </c>
      <c r="B486" s="129" t="s">
        <v>463</v>
      </c>
    </row>
    <row r="487" spans="1:2" x14ac:dyDescent="0.25">
      <c r="A487" s="99">
        <v>44497</v>
      </c>
      <c r="B487" s="129" t="s">
        <v>464</v>
      </c>
    </row>
    <row r="488" spans="1:2" x14ac:dyDescent="0.25">
      <c r="A488" s="99">
        <v>44504</v>
      </c>
      <c r="B488" s="129" t="s">
        <v>465</v>
      </c>
    </row>
    <row r="489" spans="1:2" x14ac:dyDescent="0.25">
      <c r="A489" s="99">
        <v>44511</v>
      </c>
      <c r="B489" s="129" t="s">
        <v>461</v>
      </c>
    </row>
    <row r="490" spans="1:2" x14ac:dyDescent="0.25">
      <c r="A490" s="99">
        <v>44519</v>
      </c>
      <c r="B490" s="129" t="s">
        <v>463</v>
      </c>
    </row>
    <row r="491" spans="1:2" x14ac:dyDescent="0.25">
      <c r="A491" s="99">
        <v>44527</v>
      </c>
      <c r="B491" s="129" t="s">
        <v>464</v>
      </c>
    </row>
    <row r="492" spans="1:2" x14ac:dyDescent="0.25">
      <c r="A492" s="99">
        <v>44534</v>
      </c>
      <c r="B492" s="129" t="s">
        <v>465</v>
      </c>
    </row>
    <row r="493" spans="1:2" x14ac:dyDescent="0.25">
      <c r="A493" s="99">
        <v>44541</v>
      </c>
      <c r="B493" s="129" t="s">
        <v>461</v>
      </c>
    </row>
    <row r="494" spans="1:2" x14ac:dyDescent="0.25">
      <c r="A494" s="99">
        <v>44549</v>
      </c>
      <c r="B494" s="129" t="s">
        <v>463</v>
      </c>
    </row>
    <row r="495" spans="1:2" x14ac:dyDescent="0.25">
      <c r="A495" s="99">
        <v>44557</v>
      </c>
      <c r="B495" s="129" t="s">
        <v>464</v>
      </c>
    </row>
    <row r="496" spans="1:2" x14ac:dyDescent="0.25">
      <c r="A496" s="99">
        <v>44563</v>
      </c>
      <c r="B496" s="129" t="s">
        <v>465</v>
      </c>
    </row>
    <row r="497" spans="1:2" x14ac:dyDescent="0.25">
      <c r="A497" s="99">
        <v>44570</v>
      </c>
      <c r="B497" s="129" t="s">
        <v>461</v>
      </c>
    </row>
    <row r="498" spans="1:2" x14ac:dyDescent="0.25">
      <c r="A498" s="99">
        <v>44578</v>
      </c>
      <c r="B498" s="129" t="s">
        <v>463</v>
      </c>
    </row>
    <row r="499" spans="1:2" x14ac:dyDescent="0.25">
      <c r="A499" s="99">
        <v>44586</v>
      </c>
      <c r="B499" s="129" t="s">
        <v>464</v>
      </c>
    </row>
    <row r="500" spans="1:2" x14ac:dyDescent="0.25">
      <c r="A500" s="99">
        <v>44593</v>
      </c>
      <c r="B500" s="129" t="s">
        <v>465</v>
      </c>
    </row>
    <row r="501" spans="1:2" x14ac:dyDescent="0.25">
      <c r="A501" s="99">
        <v>44600</v>
      </c>
      <c r="B501" s="129" t="s">
        <v>461</v>
      </c>
    </row>
    <row r="502" spans="1:2" x14ac:dyDescent="0.25">
      <c r="A502" s="99">
        <v>44608</v>
      </c>
      <c r="B502" s="129" t="s">
        <v>463</v>
      </c>
    </row>
    <row r="503" spans="1:2" x14ac:dyDescent="0.25">
      <c r="A503" s="99">
        <v>44615</v>
      </c>
      <c r="B503" s="129" t="s">
        <v>464</v>
      </c>
    </row>
    <row r="504" spans="1:2" x14ac:dyDescent="0.25">
      <c r="A504" s="99">
        <v>44622</v>
      </c>
      <c r="B504" s="129" t="s">
        <v>465</v>
      </c>
    </row>
    <row r="505" spans="1:2" x14ac:dyDescent="0.25">
      <c r="A505" s="99">
        <v>44630</v>
      </c>
      <c r="B505" s="129" t="s">
        <v>461</v>
      </c>
    </row>
    <row r="506" spans="1:2" x14ac:dyDescent="0.25">
      <c r="A506" s="99">
        <v>44638</v>
      </c>
      <c r="B506" s="129" t="s">
        <v>463</v>
      </c>
    </row>
    <row r="507" spans="1:2" x14ac:dyDescent="0.25">
      <c r="A507" s="99">
        <v>44645</v>
      </c>
      <c r="B507" s="129" t="s">
        <v>464</v>
      </c>
    </row>
    <row r="508" spans="1:2" x14ac:dyDescent="0.25">
      <c r="A508" s="99">
        <v>44652</v>
      </c>
      <c r="B508" s="129" t="s">
        <v>465</v>
      </c>
    </row>
    <row r="509" spans="1:2" x14ac:dyDescent="0.25">
      <c r="A509" s="99">
        <v>44660</v>
      </c>
      <c r="B509" s="129" t="s">
        <v>461</v>
      </c>
    </row>
    <row r="510" spans="1:2" x14ac:dyDescent="0.25">
      <c r="A510" s="99">
        <v>44667</v>
      </c>
      <c r="B510" s="129" t="s">
        <v>463</v>
      </c>
    </row>
    <row r="511" spans="1:2" x14ac:dyDescent="0.25">
      <c r="A511" s="99">
        <v>44674</v>
      </c>
      <c r="B511" s="129" t="s">
        <v>464</v>
      </c>
    </row>
    <row r="512" spans="1:2" x14ac:dyDescent="0.25">
      <c r="A512" s="99">
        <v>44681</v>
      </c>
      <c r="B512" s="129" t="s">
        <v>465</v>
      </c>
    </row>
    <row r="513" spans="1:2" x14ac:dyDescent="0.25">
      <c r="A513" s="99">
        <v>44690</v>
      </c>
      <c r="B513" s="129" t="s">
        <v>461</v>
      </c>
    </row>
    <row r="514" spans="1:2" x14ac:dyDescent="0.25">
      <c r="A514" s="99">
        <v>44697</v>
      </c>
      <c r="B514" s="129" t="s">
        <v>463</v>
      </c>
    </row>
    <row r="515" spans="1:2" x14ac:dyDescent="0.25">
      <c r="A515" s="99">
        <v>44703</v>
      </c>
      <c r="B515" s="129" t="s">
        <v>464</v>
      </c>
    </row>
    <row r="516" spans="1:2" x14ac:dyDescent="0.25">
      <c r="A516" s="99">
        <v>44711</v>
      </c>
      <c r="B516" s="129" t="s">
        <v>465</v>
      </c>
    </row>
    <row r="517" spans="1:2" x14ac:dyDescent="0.25">
      <c r="A517" s="99">
        <v>44719</v>
      </c>
      <c r="B517" s="129" t="s">
        <v>461</v>
      </c>
    </row>
    <row r="518" spans="1:2" x14ac:dyDescent="0.25">
      <c r="A518" s="99">
        <v>44726</v>
      </c>
      <c r="B518" s="129" t="s">
        <v>463</v>
      </c>
    </row>
    <row r="519" spans="1:2" x14ac:dyDescent="0.25">
      <c r="A519" s="99">
        <v>44733</v>
      </c>
      <c r="B519" s="129" t="s">
        <v>464</v>
      </c>
    </row>
    <row r="520" spans="1:2" x14ac:dyDescent="0.25">
      <c r="A520" s="99">
        <v>44741</v>
      </c>
      <c r="B520" s="129" t="s">
        <v>465</v>
      </c>
    </row>
    <row r="521" spans="1:2" x14ac:dyDescent="0.25">
      <c r="A521" s="99">
        <v>44749</v>
      </c>
      <c r="B521" s="129" t="s">
        <v>461</v>
      </c>
    </row>
    <row r="522" spans="1:2" x14ac:dyDescent="0.25">
      <c r="A522" s="99">
        <v>44755</v>
      </c>
      <c r="B522" s="129" t="s">
        <v>463</v>
      </c>
    </row>
    <row r="523" spans="1:2" x14ac:dyDescent="0.25">
      <c r="A523" s="99">
        <v>44762</v>
      </c>
      <c r="B523" s="129" t="s">
        <v>464</v>
      </c>
    </row>
    <row r="524" spans="1:2" x14ac:dyDescent="0.25">
      <c r="A524" s="99">
        <v>44770</v>
      </c>
      <c r="B524" s="129" t="s">
        <v>465</v>
      </c>
    </row>
    <row r="525" spans="1:2" x14ac:dyDescent="0.25">
      <c r="A525" s="99">
        <v>44778</v>
      </c>
      <c r="B525" s="129" t="s">
        <v>461</v>
      </c>
    </row>
    <row r="526" spans="1:2" x14ac:dyDescent="0.25">
      <c r="A526" s="99">
        <v>44785</v>
      </c>
      <c r="B526" s="129" t="s">
        <v>463</v>
      </c>
    </row>
    <row r="527" spans="1:2" x14ac:dyDescent="0.25">
      <c r="A527" s="99">
        <v>44792</v>
      </c>
      <c r="B527" s="129" t="s">
        <v>464</v>
      </c>
    </row>
    <row r="528" spans="1:2" x14ac:dyDescent="0.25">
      <c r="A528" s="99">
        <v>44800</v>
      </c>
      <c r="B528" s="129" t="s">
        <v>465</v>
      </c>
    </row>
    <row r="529" spans="1:2" x14ac:dyDescent="0.25">
      <c r="A529" s="99">
        <v>44807</v>
      </c>
      <c r="B529" s="129" t="s">
        <v>461</v>
      </c>
    </row>
    <row r="530" spans="1:2" x14ac:dyDescent="0.25">
      <c r="A530" s="99">
        <v>44814</v>
      </c>
      <c r="B530" s="129" t="s">
        <v>463</v>
      </c>
    </row>
    <row r="531" spans="1:2" x14ac:dyDescent="0.25">
      <c r="A531" s="99">
        <v>44821</v>
      </c>
      <c r="B531" s="129" t="s">
        <v>464</v>
      </c>
    </row>
    <row r="532" spans="1:2" x14ac:dyDescent="0.25">
      <c r="A532" s="99">
        <v>44829</v>
      </c>
      <c r="B532" s="129" t="s">
        <v>465</v>
      </c>
    </row>
    <row r="533" spans="1:2" x14ac:dyDescent="0.25">
      <c r="A533" s="99">
        <v>44837</v>
      </c>
      <c r="B533" s="129" t="s">
        <v>461</v>
      </c>
    </row>
    <row r="534" spans="1:2" x14ac:dyDescent="0.25">
      <c r="A534" s="99">
        <v>44843</v>
      </c>
      <c r="B534" s="129" t="s">
        <v>463</v>
      </c>
    </row>
    <row r="535" spans="1:2" x14ac:dyDescent="0.25">
      <c r="A535" s="99">
        <v>44851</v>
      </c>
      <c r="B535" s="129" t="s">
        <v>464</v>
      </c>
    </row>
    <row r="536" spans="1:2" x14ac:dyDescent="0.25">
      <c r="A536" s="99">
        <v>44859</v>
      </c>
      <c r="B536" s="129" t="s">
        <v>465</v>
      </c>
    </row>
    <row r="537" spans="1:2" x14ac:dyDescent="0.25">
      <c r="A537" s="99">
        <v>44866</v>
      </c>
      <c r="B537" s="129" t="s">
        <v>461</v>
      </c>
    </row>
    <row r="538" spans="1:2" x14ac:dyDescent="0.25">
      <c r="A538" s="99">
        <v>44873</v>
      </c>
      <c r="B538" s="129" t="s">
        <v>463</v>
      </c>
    </row>
    <row r="539" spans="1:2" x14ac:dyDescent="0.25">
      <c r="A539" s="99">
        <v>44881</v>
      </c>
      <c r="B539" s="129" t="s">
        <v>464</v>
      </c>
    </row>
    <row r="540" spans="1:2" x14ac:dyDescent="0.25">
      <c r="A540" s="99">
        <v>44888</v>
      </c>
      <c r="B540" s="129" t="s">
        <v>465</v>
      </c>
    </row>
    <row r="541" spans="1:2" x14ac:dyDescent="0.25">
      <c r="A541" s="99">
        <v>44895</v>
      </c>
      <c r="B541" s="129" t="s">
        <v>461</v>
      </c>
    </row>
    <row r="542" spans="1:2" x14ac:dyDescent="0.25">
      <c r="A542" s="99">
        <v>44903</v>
      </c>
      <c r="B542" s="129" t="s">
        <v>463</v>
      </c>
    </row>
    <row r="543" spans="1:2" x14ac:dyDescent="0.25">
      <c r="A543" s="99">
        <v>44911</v>
      </c>
      <c r="B543" s="129" t="s">
        <v>464</v>
      </c>
    </row>
    <row r="544" spans="1:2" x14ac:dyDescent="0.25">
      <c r="A544" s="99">
        <v>44918</v>
      </c>
      <c r="B544" s="129" t="s">
        <v>465</v>
      </c>
    </row>
    <row r="545" spans="1:2" x14ac:dyDescent="0.25">
      <c r="A545" s="99">
        <v>44925</v>
      </c>
      <c r="B545" s="129" t="s">
        <v>461</v>
      </c>
    </row>
    <row r="546" spans="1:2" x14ac:dyDescent="0.25">
      <c r="A546" s="99">
        <v>44932</v>
      </c>
      <c r="B546" s="129" t="s">
        <v>463</v>
      </c>
    </row>
    <row r="547" spans="1:2" x14ac:dyDescent="0.25">
      <c r="A547" s="99">
        <v>44941</v>
      </c>
      <c r="B547" s="129" t="s">
        <v>464</v>
      </c>
    </row>
    <row r="548" spans="1:2" x14ac:dyDescent="0.25">
      <c r="A548" s="99">
        <v>44947</v>
      </c>
      <c r="B548" s="129" t="s">
        <v>465</v>
      </c>
    </row>
    <row r="549" spans="1:2" x14ac:dyDescent="0.25">
      <c r="A549" s="99">
        <v>44954</v>
      </c>
      <c r="B549" s="129" t="s">
        <v>461</v>
      </c>
    </row>
    <row r="550" spans="1:2" x14ac:dyDescent="0.25">
      <c r="A550" s="99">
        <v>44962</v>
      </c>
      <c r="B550" s="129" t="s">
        <v>463</v>
      </c>
    </row>
    <row r="551" spans="1:2" x14ac:dyDescent="0.25">
      <c r="A551" s="99">
        <v>44970</v>
      </c>
      <c r="B551" s="129" t="s">
        <v>464</v>
      </c>
    </row>
    <row r="552" spans="1:2" x14ac:dyDescent="0.25">
      <c r="A552" s="99">
        <v>44977</v>
      </c>
      <c r="B552" s="129" t="s">
        <v>465</v>
      </c>
    </row>
    <row r="553" spans="1:2" x14ac:dyDescent="0.25">
      <c r="A553" s="99">
        <v>44984</v>
      </c>
      <c r="B553" s="129" t="s">
        <v>461</v>
      </c>
    </row>
    <row r="554" spans="1:2" x14ac:dyDescent="0.25">
      <c r="A554" s="99">
        <v>44992</v>
      </c>
      <c r="B554" s="129" t="s">
        <v>463</v>
      </c>
    </row>
    <row r="555" spans="1:2" x14ac:dyDescent="0.25">
      <c r="A555" s="99">
        <v>45000</v>
      </c>
      <c r="B555" s="129" t="s">
        <v>464</v>
      </c>
    </row>
    <row r="556" spans="1:2" x14ac:dyDescent="0.25">
      <c r="A556" s="99">
        <v>45006</v>
      </c>
      <c r="B556" s="129" t="s">
        <v>465</v>
      </c>
    </row>
    <row r="557" spans="1:2" x14ac:dyDescent="0.25">
      <c r="A557" s="99">
        <v>45014</v>
      </c>
      <c r="B557" s="129" t="s">
        <v>461</v>
      </c>
    </row>
    <row r="558" spans="1:2" x14ac:dyDescent="0.25">
      <c r="A558" s="99">
        <v>45022</v>
      </c>
      <c r="B558" s="129" t="s">
        <v>463</v>
      </c>
    </row>
    <row r="559" spans="1:2" x14ac:dyDescent="0.25">
      <c r="A559" s="99">
        <v>45029</v>
      </c>
      <c r="B559" s="129" t="s">
        <v>464</v>
      </c>
    </row>
    <row r="560" spans="1:2" x14ac:dyDescent="0.25">
      <c r="A560" s="99">
        <v>45036</v>
      </c>
      <c r="B560" s="129" t="s">
        <v>465</v>
      </c>
    </row>
    <row r="561" spans="1:2" x14ac:dyDescent="0.25">
      <c r="A561" s="99">
        <v>45043</v>
      </c>
      <c r="B561" s="129" t="s">
        <v>461</v>
      </c>
    </row>
    <row r="562" spans="1:2" x14ac:dyDescent="0.25">
      <c r="A562" s="99">
        <v>45051</v>
      </c>
      <c r="B562" s="129" t="s">
        <v>463</v>
      </c>
    </row>
    <row r="563" spans="1:2" x14ac:dyDescent="0.25">
      <c r="A563" s="99">
        <v>45058</v>
      </c>
      <c r="B563" s="129" t="s">
        <v>464</v>
      </c>
    </row>
    <row r="564" spans="1:2" x14ac:dyDescent="0.25">
      <c r="A564" s="99">
        <v>45065</v>
      </c>
      <c r="B564" s="129" t="s">
        <v>465</v>
      </c>
    </row>
    <row r="565" spans="1:2" x14ac:dyDescent="0.25">
      <c r="A565" s="99">
        <v>45073</v>
      </c>
      <c r="B565" s="129" t="s">
        <v>461</v>
      </c>
    </row>
    <row r="566" spans="1:2" x14ac:dyDescent="0.25">
      <c r="A566" s="99">
        <v>45081</v>
      </c>
      <c r="B566" s="129" t="s">
        <v>463</v>
      </c>
    </row>
    <row r="567" spans="1:2" x14ac:dyDescent="0.25">
      <c r="A567" s="99">
        <v>45087</v>
      </c>
      <c r="B567" s="129" t="s">
        <v>464</v>
      </c>
    </row>
    <row r="568" spans="1:2" x14ac:dyDescent="0.25">
      <c r="A568" s="99">
        <v>45095</v>
      </c>
      <c r="B568" s="129" t="s">
        <v>465</v>
      </c>
    </row>
    <row r="569" spans="1:2" x14ac:dyDescent="0.25">
      <c r="A569" s="99">
        <v>45103</v>
      </c>
      <c r="B569" s="129" t="s">
        <v>461</v>
      </c>
    </row>
    <row r="570" spans="1:2" x14ac:dyDescent="0.25">
      <c r="A570" s="99">
        <v>45110</v>
      </c>
      <c r="B570" s="129" t="s">
        <v>463</v>
      </c>
    </row>
    <row r="571" spans="1:2" x14ac:dyDescent="0.25">
      <c r="A571" s="99">
        <v>45117</v>
      </c>
      <c r="B571" s="129" t="s">
        <v>464</v>
      </c>
    </row>
    <row r="572" spans="1:2" x14ac:dyDescent="0.25">
      <c r="A572" s="99">
        <v>45124</v>
      </c>
      <c r="B572" s="129" t="s">
        <v>465</v>
      </c>
    </row>
    <row r="573" spans="1:2" x14ac:dyDescent="0.25">
      <c r="A573" s="99">
        <v>45132</v>
      </c>
      <c r="B573" s="129" t="s">
        <v>461</v>
      </c>
    </row>
    <row r="574" spans="1:2" x14ac:dyDescent="0.25">
      <c r="A574" s="99">
        <v>45139</v>
      </c>
      <c r="B574" s="129" t="s">
        <v>463</v>
      </c>
    </row>
    <row r="575" spans="1:2" x14ac:dyDescent="0.25">
      <c r="A575" s="99">
        <v>45146</v>
      </c>
      <c r="B575" s="129" t="s">
        <v>464</v>
      </c>
    </row>
    <row r="576" spans="1:2" x14ac:dyDescent="0.25">
      <c r="A576" s="99">
        <v>45154</v>
      </c>
      <c r="B576" s="129" t="s">
        <v>465</v>
      </c>
    </row>
    <row r="577" spans="1:2" x14ac:dyDescent="0.25">
      <c r="A577" s="99">
        <v>45162</v>
      </c>
      <c r="B577" s="129" t="s">
        <v>461</v>
      </c>
    </row>
    <row r="578" spans="1:2" x14ac:dyDescent="0.25">
      <c r="A578" s="99">
        <v>45169</v>
      </c>
      <c r="B578" s="129" t="s">
        <v>463</v>
      </c>
    </row>
    <row r="579" spans="1:2" x14ac:dyDescent="0.25">
      <c r="A579" s="99">
        <v>45175</v>
      </c>
      <c r="B579" s="129" t="s">
        <v>464</v>
      </c>
    </row>
    <row r="580" spans="1:2" x14ac:dyDescent="0.25">
      <c r="A580" s="99">
        <v>45184</v>
      </c>
      <c r="B580" s="129" t="s">
        <v>465</v>
      </c>
    </row>
    <row r="581" spans="1:2" x14ac:dyDescent="0.25">
      <c r="A581" s="99">
        <v>45191</v>
      </c>
      <c r="B581" s="129" t="s">
        <v>461</v>
      </c>
    </row>
    <row r="582" spans="1:2" x14ac:dyDescent="0.25">
      <c r="A582" s="99">
        <v>45198</v>
      </c>
      <c r="B582" s="129" t="s">
        <v>463</v>
      </c>
    </row>
    <row r="583" spans="1:2" x14ac:dyDescent="0.25">
      <c r="A583" s="99">
        <v>45205</v>
      </c>
      <c r="B583" s="129" t="s">
        <v>464</v>
      </c>
    </row>
    <row r="584" spans="1:2" x14ac:dyDescent="0.25">
      <c r="A584" s="99">
        <v>45213</v>
      </c>
      <c r="B584" s="129" t="s">
        <v>465</v>
      </c>
    </row>
    <row r="585" spans="1:2" x14ac:dyDescent="0.25">
      <c r="A585" s="99">
        <v>45221</v>
      </c>
      <c r="B585" s="129" t="s">
        <v>461</v>
      </c>
    </row>
    <row r="586" spans="1:2" x14ac:dyDescent="0.25">
      <c r="A586" s="99">
        <v>45227</v>
      </c>
      <c r="B586" s="129" t="s">
        <v>463</v>
      </c>
    </row>
    <row r="587" spans="1:2" x14ac:dyDescent="0.25">
      <c r="A587" s="99">
        <v>45235</v>
      </c>
      <c r="B587" s="129" t="s">
        <v>464</v>
      </c>
    </row>
    <row r="588" spans="1:2" x14ac:dyDescent="0.25">
      <c r="A588" s="99">
        <v>45243</v>
      </c>
      <c r="B588" s="129" t="s">
        <v>465</v>
      </c>
    </row>
    <row r="589" spans="1:2" x14ac:dyDescent="0.25">
      <c r="A589" s="99">
        <v>45250</v>
      </c>
      <c r="B589" s="129" t="s">
        <v>461</v>
      </c>
    </row>
    <row r="590" spans="1:2" x14ac:dyDescent="0.25">
      <c r="A590" s="99">
        <v>45257</v>
      </c>
      <c r="B590" s="129" t="s">
        <v>463</v>
      </c>
    </row>
    <row r="591" spans="1:2" x14ac:dyDescent="0.25">
      <c r="A591" s="99">
        <v>45265</v>
      </c>
      <c r="B591" s="129" t="s">
        <v>464</v>
      </c>
    </row>
    <row r="592" spans="1:2" x14ac:dyDescent="0.25">
      <c r="A592" s="99">
        <v>45272</v>
      </c>
      <c r="B592" s="129" t="s">
        <v>465</v>
      </c>
    </row>
    <row r="593" spans="1:2" x14ac:dyDescent="0.25">
      <c r="A593" s="99">
        <v>45279</v>
      </c>
      <c r="B593" s="129" t="s">
        <v>461</v>
      </c>
    </row>
    <row r="594" spans="1:2" x14ac:dyDescent="0.25">
      <c r="A594" s="99">
        <v>45287</v>
      </c>
      <c r="B594" s="129" t="s">
        <v>463</v>
      </c>
    </row>
    <row r="595" spans="1:2" x14ac:dyDescent="0.25">
      <c r="A595" s="99">
        <v>45295</v>
      </c>
      <c r="B595" s="129" t="s">
        <v>464</v>
      </c>
    </row>
    <row r="596" spans="1:2" x14ac:dyDescent="0.25">
      <c r="A596" s="99">
        <v>45302</v>
      </c>
      <c r="B596" s="129" t="s">
        <v>465</v>
      </c>
    </row>
    <row r="597" spans="1:2" x14ac:dyDescent="0.25">
      <c r="A597" s="99">
        <v>45309</v>
      </c>
      <c r="B597" s="129" t="s">
        <v>461</v>
      </c>
    </row>
    <row r="598" spans="1:2" x14ac:dyDescent="0.25">
      <c r="A598" s="99">
        <v>45316</v>
      </c>
      <c r="B598" s="129" t="s">
        <v>463</v>
      </c>
    </row>
    <row r="599" spans="1:2" x14ac:dyDescent="0.25">
      <c r="A599" s="99">
        <v>45324</v>
      </c>
      <c r="B599" s="129" t="s">
        <v>464</v>
      </c>
    </row>
    <row r="600" spans="1:2" x14ac:dyDescent="0.25">
      <c r="A600" s="99">
        <v>45331</v>
      </c>
      <c r="B600" s="129" t="s">
        <v>465</v>
      </c>
    </row>
    <row r="601" spans="1:2" x14ac:dyDescent="0.25">
      <c r="A601" s="99">
        <v>45338</v>
      </c>
      <c r="B601" s="129" t="s">
        <v>461</v>
      </c>
    </row>
    <row r="602" spans="1:2" x14ac:dyDescent="0.25">
      <c r="A602" s="99">
        <v>45346</v>
      </c>
      <c r="B602" s="129" t="s">
        <v>463</v>
      </c>
    </row>
    <row r="603" spans="1:2" x14ac:dyDescent="0.25">
      <c r="A603" s="99">
        <v>45354</v>
      </c>
      <c r="B603" s="129" t="s">
        <v>464</v>
      </c>
    </row>
    <row r="604" spans="1:2" x14ac:dyDescent="0.25">
      <c r="A604" s="99">
        <v>45361</v>
      </c>
      <c r="B604" s="129" t="s">
        <v>465</v>
      </c>
    </row>
    <row r="605" spans="1:2" x14ac:dyDescent="0.25">
      <c r="A605" s="99">
        <v>45368</v>
      </c>
      <c r="B605" s="129" t="s">
        <v>461</v>
      </c>
    </row>
    <row r="606" spans="1:2" x14ac:dyDescent="0.25">
      <c r="A606" s="99">
        <v>45376</v>
      </c>
      <c r="B606" s="129" t="s">
        <v>463</v>
      </c>
    </row>
    <row r="607" spans="1:2" x14ac:dyDescent="0.25">
      <c r="A607" s="99">
        <v>45384</v>
      </c>
      <c r="B607" s="129" t="s">
        <v>464</v>
      </c>
    </row>
    <row r="608" spans="1:2" x14ac:dyDescent="0.25">
      <c r="A608" s="99">
        <v>45390</v>
      </c>
      <c r="B608" s="129" t="s">
        <v>465</v>
      </c>
    </row>
    <row r="609" spans="1:2" x14ac:dyDescent="0.25">
      <c r="A609" s="99">
        <v>45397</v>
      </c>
      <c r="B609" s="129" t="s">
        <v>461</v>
      </c>
    </row>
    <row r="610" spans="1:2" x14ac:dyDescent="0.25">
      <c r="A610" s="99">
        <v>45405</v>
      </c>
      <c r="B610" s="129" t="s">
        <v>463</v>
      </c>
    </row>
    <row r="611" spans="1:2" x14ac:dyDescent="0.25">
      <c r="A611" s="99">
        <v>45413</v>
      </c>
      <c r="B611" s="129" t="s">
        <v>464</v>
      </c>
    </row>
    <row r="612" spans="1:2" x14ac:dyDescent="0.25">
      <c r="A612" s="99">
        <v>45420</v>
      </c>
      <c r="B612" s="129" t="s">
        <v>465</v>
      </c>
    </row>
    <row r="613" spans="1:2" x14ac:dyDescent="0.25">
      <c r="A613" s="99">
        <v>45427</v>
      </c>
      <c r="B613" s="129" t="s">
        <v>461</v>
      </c>
    </row>
    <row r="614" spans="1:2" x14ac:dyDescent="0.25">
      <c r="A614" s="99">
        <v>45435</v>
      </c>
      <c r="B614" s="129" t="s">
        <v>463</v>
      </c>
    </row>
    <row r="615" spans="1:2" x14ac:dyDescent="0.25">
      <c r="A615" s="99">
        <v>45442</v>
      </c>
      <c r="B615" s="129" t="s">
        <v>464</v>
      </c>
    </row>
    <row r="616" spans="1:2" x14ac:dyDescent="0.25">
      <c r="A616" s="99">
        <v>45449</v>
      </c>
      <c r="B616" s="129" t="s">
        <v>465</v>
      </c>
    </row>
    <row r="617" spans="1:2" x14ac:dyDescent="0.25">
      <c r="A617" s="99">
        <v>45457</v>
      </c>
      <c r="B617" s="129" t="s">
        <v>461</v>
      </c>
    </row>
    <row r="618" spans="1:2" x14ac:dyDescent="0.25">
      <c r="A618" s="99">
        <v>45465</v>
      </c>
      <c r="B618" s="129" t="s">
        <v>463</v>
      </c>
    </row>
    <row r="619" spans="1:2" x14ac:dyDescent="0.25">
      <c r="A619" s="99">
        <v>45471</v>
      </c>
      <c r="B619" s="129" t="s">
        <v>464</v>
      </c>
    </row>
    <row r="620" spans="1:2" x14ac:dyDescent="0.25">
      <c r="A620" s="99">
        <v>45478</v>
      </c>
      <c r="B620" s="129" t="s">
        <v>465</v>
      </c>
    </row>
    <row r="621" spans="1:2" x14ac:dyDescent="0.25">
      <c r="A621" s="99">
        <v>45486</v>
      </c>
      <c r="B621" s="129" t="s">
        <v>461</v>
      </c>
    </row>
    <row r="622" spans="1:2" x14ac:dyDescent="0.25">
      <c r="A622" s="99">
        <v>45494</v>
      </c>
      <c r="B622" s="129" t="s">
        <v>463</v>
      </c>
    </row>
    <row r="623" spans="1:2" x14ac:dyDescent="0.25">
      <c r="A623" s="99">
        <v>45501</v>
      </c>
      <c r="B623" s="129" t="s">
        <v>464</v>
      </c>
    </row>
    <row r="624" spans="1:2" x14ac:dyDescent="0.25">
      <c r="A624" s="99">
        <v>45508</v>
      </c>
      <c r="B624" s="129" t="s">
        <v>465</v>
      </c>
    </row>
    <row r="625" spans="1:2" x14ac:dyDescent="0.25">
      <c r="A625" s="99">
        <v>45516</v>
      </c>
      <c r="B625" s="129" t="s">
        <v>461</v>
      </c>
    </row>
    <row r="626" spans="1:2" x14ac:dyDescent="0.25">
      <c r="A626" s="99">
        <v>45523</v>
      </c>
      <c r="B626" s="129" t="s">
        <v>463</v>
      </c>
    </row>
    <row r="627" spans="1:2" x14ac:dyDescent="0.25">
      <c r="A627" s="99">
        <v>45530</v>
      </c>
      <c r="B627" s="129" t="s">
        <v>464</v>
      </c>
    </row>
    <row r="628" spans="1:2" x14ac:dyDescent="0.25">
      <c r="A628" s="99">
        <v>45538</v>
      </c>
      <c r="B628" s="129" t="s">
        <v>465</v>
      </c>
    </row>
    <row r="629" spans="1:2" x14ac:dyDescent="0.25">
      <c r="A629" s="99">
        <v>45546</v>
      </c>
      <c r="B629" s="129" t="s">
        <v>461</v>
      </c>
    </row>
    <row r="630" spans="1:2" x14ac:dyDescent="0.25">
      <c r="A630" s="99">
        <v>45553</v>
      </c>
      <c r="B630" s="129" t="s">
        <v>463</v>
      </c>
    </row>
    <row r="631" spans="1:2" x14ac:dyDescent="0.25">
      <c r="A631" s="99">
        <v>45559</v>
      </c>
      <c r="B631" s="129" t="s">
        <v>464</v>
      </c>
    </row>
    <row r="632" spans="1:2" x14ac:dyDescent="0.25">
      <c r="A632" s="99">
        <v>45567</v>
      </c>
      <c r="B632" s="129" t="s">
        <v>465</v>
      </c>
    </row>
    <row r="633" spans="1:2" x14ac:dyDescent="0.25">
      <c r="A633" s="99">
        <v>45575</v>
      </c>
      <c r="B633" s="129" t="s">
        <v>461</v>
      </c>
    </row>
    <row r="634" spans="1:2" x14ac:dyDescent="0.25">
      <c r="A634" s="99">
        <v>45582</v>
      </c>
      <c r="B634" s="129" t="s">
        <v>463</v>
      </c>
    </row>
    <row r="635" spans="1:2" x14ac:dyDescent="0.25">
      <c r="A635" s="99">
        <v>45589</v>
      </c>
      <c r="B635" s="129" t="s">
        <v>464</v>
      </c>
    </row>
    <row r="636" spans="1:2" x14ac:dyDescent="0.25">
      <c r="A636" s="99">
        <v>45597</v>
      </c>
      <c r="B636" s="129" t="s">
        <v>465</v>
      </c>
    </row>
    <row r="637" spans="1:2" x14ac:dyDescent="0.25">
      <c r="A637" s="99">
        <v>45605</v>
      </c>
      <c r="B637" s="129" t="s">
        <v>461</v>
      </c>
    </row>
    <row r="638" spans="1:2" x14ac:dyDescent="0.25">
      <c r="A638" s="99">
        <v>45611</v>
      </c>
      <c r="B638" s="129" t="s">
        <v>463</v>
      </c>
    </row>
    <row r="639" spans="1:2" x14ac:dyDescent="0.25">
      <c r="A639" s="99">
        <v>45619</v>
      </c>
      <c r="B639" s="129" t="s">
        <v>464</v>
      </c>
    </row>
    <row r="640" spans="1:2" x14ac:dyDescent="0.25">
      <c r="A640" s="99">
        <v>45627</v>
      </c>
      <c r="B640" s="129" t="s">
        <v>465</v>
      </c>
    </row>
    <row r="641" spans="1:2" x14ac:dyDescent="0.25">
      <c r="A641" s="99">
        <v>45634</v>
      </c>
      <c r="B641" s="129" t="s">
        <v>461</v>
      </c>
    </row>
    <row r="642" spans="1:2" x14ac:dyDescent="0.25">
      <c r="A642" s="99">
        <v>45641</v>
      </c>
      <c r="B642" s="129" t="s">
        <v>463</v>
      </c>
    </row>
    <row r="643" spans="1:2" x14ac:dyDescent="0.25">
      <c r="A643" s="99">
        <v>45648</v>
      </c>
      <c r="B643" s="129" t="s">
        <v>464</v>
      </c>
    </row>
    <row r="644" spans="1:2" x14ac:dyDescent="0.25">
      <c r="A644" s="99">
        <v>45656</v>
      </c>
      <c r="B644" s="129" t="s">
        <v>465</v>
      </c>
    </row>
    <row r="645" spans="1:2" x14ac:dyDescent="0.25">
      <c r="A645" s="99">
        <v>45663</v>
      </c>
      <c r="B645" s="129" t="s">
        <v>461</v>
      </c>
    </row>
    <row r="646" spans="1:2" x14ac:dyDescent="0.25">
      <c r="A646" s="99">
        <v>45670</v>
      </c>
      <c r="B646" s="129" t="s">
        <v>463</v>
      </c>
    </row>
    <row r="647" spans="1:2" x14ac:dyDescent="0.25">
      <c r="A647" s="99">
        <v>45678</v>
      </c>
      <c r="B647" s="129" t="s">
        <v>464</v>
      </c>
    </row>
    <row r="648" spans="1:2" x14ac:dyDescent="0.25">
      <c r="A648" s="99">
        <v>45686</v>
      </c>
      <c r="B648" s="129" t="s">
        <v>465</v>
      </c>
    </row>
    <row r="649" spans="1:2" x14ac:dyDescent="0.25">
      <c r="A649" s="99">
        <v>45693</v>
      </c>
      <c r="B649" s="129" t="s">
        <v>461</v>
      </c>
    </row>
    <row r="650" spans="1:2" x14ac:dyDescent="0.25">
      <c r="A650" s="99">
        <v>45700</v>
      </c>
      <c r="B650" s="129" t="s">
        <v>463</v>
      </c>
    </row>
    <row r="651" spans="1:2" x14ac:dyDescent="0.25">
      <c r="A651" s="99">
        <v>45708</v>
      </c>
      <c r="B651" s="129" t="s">
        <v>464</v>
      </c>
    </row>
    <row r="652" spans="1:2" x14ac:dyDescent="0.25">
      <c r="A652" s="99">
        <v>45716</v>
      </c>
      <c r="B652" s="129" t="s">
        <v>465</v>
      </c>
    </row>
    <row r="653" spans="1:2" x14ac:dyDescent="0.25">
      <c r="A653" s="99">
        <v>45722</v>
      </c>
      <c r="B653" s="129" t="s">
        <v>461</v>
      </c>
    </row>
    <row r="654" spans="1:2" x14ac:dyDescent="0.25">
      <c r="A654" s="99">
        <v>45730</v>
      </c>
      <c r="B654" s="129" t="s">
        <v>463</v>
      </c>
    </row>
    <row r="655" spans="1:2" x14ac:dyDescent="0.25">
      <c r="A655" s="99">
        <v>45738</v>
      </c>
      <c r="B655" s="129" t="s">
        <v>464</v>
      </c>
    </row>
    <row r="656" spans="1:2" x14ac:dyDescent="0.25">
      <c r="A656" s="99">
        <v>45745</v>
      </c>
      <c r="B656" s="129" t="s">
        <v>465</v>
      </c>
    </row>
    <row r="657" spans="1:2" x14ac:dyDescent="0.25">
      <c r="A657" s="99">
        <v>45752</v>
      </c>
      <c r="B657" s="129" t="s">
        <v>461</v>
      </c>
    </row>
    <row r="658" spans="1:2" x14ac:dyDescent="0.25">
      <c r="A658" s="99">
        <v>45760</v>
      </c>
      <c r="B658" s="129" t="s">
        <v>463</v>
      </c>
    </row>
    <row r="659" spans="1:2" x14ac:dyDescent="0.25">
      <c r="A659" s="99">
        <v>45768</v>
      </c>
      <c r="B659" s="129" t="s">
        <v>464</v>
      </c>
    </row>
    <row r="660" spans="1:2" x14ac:dyDescent="0.25">
      <c r="A660" s="99">
        <v>45774</v>
      </c>
      <c r="B660" s="129" t="s">
        <v>465</v>
      </c>
    </row>
    <row r="661" spans="1:2" x14ac:dyDescent="0.25">
      <c r="A661" s="99">
        <v>45781</v>
      </c>
      <c r="B661" s="129" t="s">
        <v>461</v>
      </c>
    </row>
    <row r="662" spans="1:2" x14ac:dyDescent="0.25">
      <c r="A662" s="99">
        <v>45789</v>
      </c>
      <c r="B662" s="129" t="s">
        <v>463</v>
      </c>
    </row>
    <row r="663" spans="1:2" x14ac:dyDescent="0.25">
      <c r="A663" s="99">
        <v>45797</v>
      </c>
      <c r="B663" s="129" t="s">
        <v>464</v>
      </c>
    </row>
    <row r="664" spans="1:2" x14ac:dyDescent="0.25">
      <c r="A664" s="99">
        <v>45804</v>
      </c>
      <c r="B664" s="129" t="s">
        <v>465</v>
      </c>
    </row>
    <row r="665" spans="1:2" x14ac:dyDescent="0.25">
      <c r="A665" s="99">
        <v>45811</v>
      </c>
      <c r="B665" s="129" t="s">
        <v>461</v>
      </c>
    </row>
    <row r="666" spans="1:2" x14ac:dyDescent="0.25">
      <c r="A666" s="99">
        <v>45819</v>
      </c>
      <c r="B666" s="129" t="s">
        <v>463</v>
      </c>
    </row>
    <row r="667" spans="1:2" x14ac:dyDescent="0.25">
      <c r="A667" s="99">
        <v>45826</v>
      </c>
      <c r="B667" s="129" t="s">
        <v>464</v>
      </c>
    </row>
    <row r="668" spans="1:2" x14ac:dyDescent="0.25">
      <c r="A668" s="99">
        <v>45833</v>
      </c>
      <c r="B668" s="129" t="s">
        <v>465</v>
      </c>
    </row>
    <row r="669" spans="1:2" x14ac:dyDescent="0.25">
      <c r="A669" s="99">
        <v>45840</v>
      </c>
      <c r="B669" s="129" t="s">
        <v>461</v>
      </c>
    </row>
    <row r="670" spans="1:2" x14ac:dyDescent="0.25">
      <c r="A670" s="99">
        <v>45848</v>
      </c>
      <c r="B670" s="129" t="s">
        <v>463</v>
      </c>
    </row>
    <row r="671" spans="1:2" x14ac:dyDescent="0.25">
      <c r="A671" s="99">
        <v>45856</v>
      </c>
      <c r="B671" s="129" t="s">
        <v>464</v>
      </c>
    </row>
    <row r="672" spans="1:2" x14ac:dyDescent="0.25">
      <c r="A672" s="99">
        <v>45862</v>
      </c>
      <c r="B672" s="129" t="s">
        <v>465</v>
      </c>
    </row>
    <row r="673" spans="1:2" x14ac:dyDescent="0.25">
      <c r="A673" s="99">
        <v>45870</v>
      </c>
      <c r="B673" s="129" t="s">
        <v>461</v>
      </c>
    </row>
    <row r="674" spans="1:2" x14ac:dyDescent="0.25">
      <c r="A674" s="99">
        <v>45878</v>
      </c>
      <c r="B674" s="129" t="s">
        <v>463</v>
      </c>
    </row>
    <row r="675" spans="1:2" x14ac:dyDescent="0.25">
      <c r="A675" s="99">
        <v>45885</v>
      </c>
      <c r="B675" s="129" t="s">
        <v>464</v>
      </c>
    </row>
    <row r="676" spans="1:2" x14ac:dyDescent="0.25">
      <c r="A676" s="99">
        <v>45892</v>
      </c>
      <c r="B676" s="129" t="s">
        <v>465</v>
      </c>
    </row>
    <row r="677" spans="1:2" x14ac:dyDescent="0.25">
      <c r="A677" s="99">
        <v>45900</v>
      </c>
      <c r="B677" s="129" t="s">
        <v>461</v>
      </c>
    </row>
    <row r="678" spans="1:2" x14ac:dyDescent="0.25">
      <c r="A678" s="99">
        <v>45907</v>
      </c>
      <c r="B678" s="129" t="s">
        <v>463</v>
      </c>
    </row>
    <row r="679" spans="1:2" x14ac:dyDescent="0.25">
      <c r="A679" s="99">
        <v>45914</v>
      </c>
      <c r="B679" s="129" t="s">
        <v>464</v>
      </c>
    </row>
    <row r="680" spans="1:2" x14ac:dyDescent="0.25">
      <c r="A680" s="99">
        <v>45921</v>
      </c>
      <c r="B680" s="129" t="s">
        <v>465</v>
      </c>
    </row>
    <row r="681" spans="1:2" x14ac:dyDescent="0.25">
      <c r="A681" s="99">
        <v>45929</v>
      </c>
      <c r="B681" s="129" t="s">
        <v>461</v>
      </c>
    </row>
    <row r="682" spans="1:2" x14ac:dyDescent="0.25">
      <c r="A682" s="99">
        <v>45937</v>
      </c>
      <c r="B682" s="129" t="s">
        <v>463</v>
      </c>
    </row>
    <row r="683" spans="1:2" x14ac:dyDescent="0.25">
      <c r="A683" s="99">
        <v>45943</v>
      </c>
      <c r="B683" s="129" t="s">
        <v>464</v>
      </c>
    </row>
    <row r="684" spans="1:2" x14ac:dyDescent="0.25">
      <c r="A684" s="99">
        <v>45951</v>
      </c>
      <c r="B684" s="129" t="s">
        <v>465</v>
      </c>
    </row>
    <row r="685" spans="1:2" x14ac:dyDescent="0.25">
      <c r="A685" s="99">
        <v>45959</v>
      </c>
      <c r="B685" s="129" t="s">
        <v>461</v>
      </c>
    </row>
    <row r="686" spans="1:2" x14ac:dyDescent="0.25">
      <c r="A686" s="99">
        <v>45966</v>
      </c>
      <c r="B686" s="129" t="s">
        <v>463</v>
      </c>
    </row>
    <row r="687" spans="1:2" x14ac:dyDescent="0.25">
      <c r="A687" s="99">
        <v>45973</v>
      </c>
      <c r="B687" s="129" t="s">
        <v>464</v>
      </c>
    </row>
    <row r="688" spans="1:2" x14ac:dyDescent="0.25">
      <c r="A688" s="99">
        <v>45981</v>
      </c>
      <c r="B688" s="129" t="s">
        <v>465</v>
      </c>
    </row>
    <row r="689" spans="1:2" x14ac:dyDescent="0.25">
      <c r="A689" s="99">
        <v>45989</v>
      </c>
      <c r="B689" s="129" t="s">
        <v>461</v>
      </c>
    </row>
    <row r="690" spans="1:2" x14ac:dyDescent="0.25">
      <c r="A690" s="99">
        <v>45995</v>
      </c>
      <c r="B690" s="129" t="s">
        <v>463</v>
      </c>
    </row>
    <row r="691" spans="1:2" x14ac:dyDescent="0.25">
      <c r="A691" s="99">
        <v>46002</v>
      </c>
      <c r="B691" s="129" t="s">
        <v>464</v>
      </c>
    </row>
    <row r="692" spans="1:2" x14ac:dyDescent="0.25">
      <c r="A692" s="99">
        <v>46011</v>
      </c>
      <c r="B692" s="129" t="s">
        <v>465</v>
      </c>
    </row>
    <row r="693" spans="1:2" x14ac:dyDescent="0.25">
      <c r="A693" s="99">
        <v>46018</v>
      </c>
      <c r="B693" s="129" t="s">
        <v>461</v>
      </c>
    </row>
    <row r="694" spans="1:2" x14ac:dyDescent="0.25">
      <c r="A694" s="99">
        <v>46025</v>
      </c>
      <c r="B694" s="129" t="s">
        <v>463</v>
      </c>
    </row>
    <row r="695" spans="1:2" x14ac:dyDescent="0.25">
      <c r="A695" s="99">
        <v>46032</v>
      </c>
      <c r="B695" s="129" t="s">
        <v>464</v>
      </c>
    </row>
    <row r="696" spans="1:2" x14ac:dyDescent="0.25">
      <c r="A696" s="99">
        <v>46040</v>
      </c>
      <c r="B696" s="129" t="s">
        <v>465</v>
      </c>
    </row>
    <row r="697" spans="1:2" x14ac:dyDescent="0.25">
      <c r="A697" s="99">
        <v>46048</v>
      </c>
      <c r="B697" s="129" t="s">
        <v>461</v>
      </c>
    </row>
    <row r="698" spans="1:2" x14ac:dyDescent="0.25">
      <c r="A698" s="99">
        <v>46054</v>
      </c>
      <c r="B698" s="129" t="s">
        <v>463</v>
      </c>
    </row>
    <row r="699" spans="1:2" x14ac:dyDescent="0.25">
      <c r="A699" s="99">
        <v>46062</v>
      </c>
      <c r="B699" s="129" t="s">
        <v>464</v>
      </c>
    </row>
    <row r="700" spans="1:2" x14ac:dyDescent="0.25">
      <c r="A700" s="99">
        <v>46070</v>
      </c>
      <c r="B700" s="129" t="s">
        <v>465</v>
      </c>
    </row>
    <row r="701" spans="1:2" x14ac:dyDescent="0.25">
      <c r="A701" s="99">
        <v>46077</v>
      </c>
      <c r="B701" s="129" t="s">
        <v>461</v>
      </c>
    </row>
    <row r="702" spans="1:2" x14ac:dyDescent="0.25">
      <c r="A702" s="99">
        <v>46084</v>
      </c>
      <c r="B702" s="129" t="s">
        <v>463</v>
      </c>
    </row>
    <row r="703" spans="1:2" x14ac:dyDescent="0.25">
      <c r="A703" s="99">
        <v>46092</v>
      </c>
      <c r="B703" s="129" t="s">
        <v>464</v>
      </c>
    </row>
    <row r="704" spans="1:2" x14ac:dyDescent="0.25">
      <c r="A704" s="99">
        <v>46100</v>
      </c>
      <c r="B704" s="129" t="s">
        <v>465</v>
      </c>
    </row>
    <row r="705" spans="1:2" x14ac:dyDescent="0.25">
      <c r="A705" s="99">
        <v>46106</v>
      </c>
      <c r="B705" s="129" t="s">
        <v>461</v>
      </c>
    </row>
    <row r="706" spans="1:2" x14ac:dyDescent="0.25">
      <c r="A706" s="99">
        <v>46114</v>
      </c>
      <c r="B706" s="129" t="s">
        <v>463</v>
      </c>
    </row>
    <row r="707" spans="1:2" x14ac:dyDescent="0.25">
      <c r="A707" s="99">
        <v>46122</v>
      </c>
      <c r="B707" s="129" t="s">
        <v>464</v>
      </c>
    </row>
    <row r="708" spans="1:2" x14ac:dyDescent="0.25">
      <c r="A708" s="99">
        <v>46129</v>
      </c>
      <c r="B708" s="129" t="s">
        <v>465</v>
      </c>
    </row>
    <row r="709" spans="1:2" x14ac:dyDescent="0.25">
      <c r="A709" s="99">
        <v>46136</v>
      </c>
      <c r="B709" s="129" t="s">
        <v>461</v>
      </c>
    </row>
    <row r="710" spans="1:2" x14ac:dyDescent="0.25">
      <c r="A710" s="99">
        <v>46143</v>
      </c>
      <c r="B710" s="129" t="s">
        <v>463</v>
      </c>
    </row>
    <row r="711" spans="1:2" x14ac:dyDescent="0.25">
      <c r="A711" s="99">
        <v>46151</v>
      </c>
      <c r="B711" s="129" t="s">
        <v>464</v>
      </c>
    </row>
    <row r="712" spans="1:2" x14ac:dyDescent="0.25">
      <c r="A712" s="99">
        <v>46158</v>
      </c>
      <c r="B712" s="129" t="s">
        <v>465</v>
      </c>
    </row>
    <row r="713" spans="1:2" x14ac:dyDescent="0.25">
      <c r="A713" s="99">
        <v>46165</v>
      </c>
      <c r="B713" s="129" t="s">
        <v>461</v>
      </c>
    </row>
    <row r="714" spans="1:2" x14ac:dyDescent="0.25">
      <c r="A714" s="99">
        <v>46173</v>
      </c>
      <c r="B714" s="129" t="s">
        <v>463</v>
      </c>
    </row>
    <row r="715" spans="1:2" x14ac:dyDescent="0.25">
      <c r="A715" s="99">
        <v>46181</v>
      </c>
      <c r="B715" s="129" t="s">
        <v>464</v>
      </c>
    </row>
    <row r="716" spans="1:2" x14ac:dyDescent="0.25">
      <c r="A716" s="99">
        <v>46188</v>
      </c>
      <c r="B716" s="129" t="s">
        <v>465</v>
      </c>
    </row>
    <row r="717" spans="1:2" x14ac:dyDescent="0.25">
      <c r="A717" s="99">
        <v>46194</v>
      </c>
      <c r="B717" s="129" t="s">
        <v>461</v>
      </c>
    </row>
    <row r="718" spans="1:2" x14ac:dyDescent="0.25">
      <c r="A718" s="99">
        <v>46202</v>
      </c>
      <c r="B718" s="129" t="s">
        <v>463</v>
      </c>
    </row>
    <row r="719" spans="1:2" x14ac:dyDescent="0.25">
      <c r="A719" s="99">
        <v>46210</v>
      </c>
      <c r="B719" s="129" t="s">
        <v>464</v>
      </c>
    </row>
    <row r="720" spans="1:2" x14ac:dyDescent="0.25">
      <c r="A720" s="99">
        <v>46217</v>
      </c>
      <c r="B720" s="129" t="s">
        <v>465</v>
      </c>
    </row>
    <row r="721" spans="1:2" x14ac:dyDescent="0.25">
      <c r="A721" s="99">
        <v>46224</v>
      </c>
      <c r="B721" s="129" t="s">
        <v>461</v>
      </c>
    </row>
    <row r="722" spans="1:2" x14ac:dyDescent="0.25">
      <c r="A722" s="99">
        <v>46232</v>
      </c>
      <c r="B722" s="129" t="s">
        <v>463</v>
      </c>
    </row>
    <row r="723" spans="1:2" x14ac:dyDescent="0.25">
      <c r="A723" s="99">
        <v>46240</v>
      </c>
      <c r="B723" s="129" t="s">
        <v>464</v>
      </c>
    </row>
    <row r="724" spans="1:2" x14ac:dyDescent="0.25">
      <c r="A724" s="99">
        <v>46246</v>
      </c>
      <c r="B724" s="129" t="s">
        <v>465</v>
      </c>
    </row>
    <row r="725" spans="1:2" x14ac:dyDescent="0.25">
      <c r="A725" s="99">
        <v>46254</v>
      </c>
      <c r="B725" s="129" t="s">
        <v>461</v>
      </c>
    </row>
    <row r="726" spans="1:2" x14ac:dyDescent="0.25">
      <c r="A726" s="99">
        <v>46262</v>
      </c>
      <c r="B726" s="129" t="s">
        <v>463</v>
      </c>
    </row>
    <row r="727" spans="1:2" x14ac:dyDescent="0.25">
      <c r="A727" s="99">
        <v>46269</v>
      </c>
      <c r="B727" s="129" t="s">
        <v>464</v>
      </c>
    </row>
    <row r="728" spans="1:2" x14ac:dyDescent="0.25">
      <c r="A728" s="99">
        <v>46276</v>
      </c>
      <c r="B728" s="129" t="s">
        <v>465</v>
      </c>
    </row>
    <row r="729" spans="1:2" x14ac:dyDescent="0.25">
      <c r="A729" s="99">
        <v>46283</v>
      </c>
      <c r="B729" s="129" t="s">
        <v>461</v>
      </c>
    </row>
    <row r="730" spans="1:2" x14ac:dyDescent="0.25">
      <c r="A730" s="99">
        <v>46291</v>
      </c>
      <c r="B730" s="129" t="s">
        <v>463</v>
      </c>
    </row>
    <row r="731" spans="1:2" x14ac:dyDescent="0.25">
      <c r="A731" s="99">
        <v>46298</v>
      </c>
      <c r="B731" s="129" t="s">
        <v>464</v>
      </c>
    </row>
    <row r="732" spans="1:2" x14ac:dyDescent="0.25">
      <c r="A732" s="99">
        <v>46305</v>
      </c>
      <c r="B732" s="129" t="s">
        <v>465</v>
      </c>
    </row>
    <row r="733" spans="1:2" x14ac:dyDescent="0.25">
      <c r="A733" s="99">
        <v>46313</v>
      </c>
      <c r="B733" s="129" t="s">
        <v>461</v>
      </c>
    </row>
    <row r="734" spans="1:2" x14ac:dyDescent="0.25">
      <c r="A734" s="99">
        <v>46321</v>
      </c>
      <c r="B734" s="129" t="s">
        <v>463</v>
      </c>
    </row>
    <row r="735" spans="1:2" x14ac:dyDescent="0.25">
      <c r="A735" s="99">
        <v>46327</v>
      </c>
      <c r="B735" s="129" t="s">
        <v>464</v>
      </c>
    </row>
    <row r="736" spans="1:2" x14ac:dyDescent="0.25">
      <c r="A736" s="99">
        <v>46335</v>
      </c>
      <c r="B736" s="129" t="s">
        <v>465</v>
      </c>
    </row>
    <row r="737" spans="1:2" x14ac:dyDescent="0.25">
      <c r="A737" s="99">
        <v>46343</v>
      </c>
      <c r="B737" s="129" t="s">
        <v>461</v>
      </c>
    </row>
    <row r="738" spans="1:2" x14ac:dyDescent="0.25">
      <c r="A738" s="99">
        <v>46350</v>
      </c>
      <c r="B738" s="129" t="s">
        <v>463</v>
      </c>
    </row>
    <row r="739" spans="1:2" x14ac:dyDescent="0.25">
      <c r="A739" s="99">
        <v>46357</v>
      </c>
      <c r="B739" s="129" t="s">
        <v>464</v>
      </c>
    </row>
    <row r="740" spans="1:2" x14ac:dyDescent="0.25">
      <c r="A740" s="99">
        <v>46365</v>
      </c>
      <c r="B740" s="129" t="s">
        <v>465</v>
      </c>
    </row>
    <row r="741" spans="1:2" x14ac:dyDescent="0.25">
      <c r="A741" s="99">
        <v>46373</v>
      </c>
      <c r="B741" s="129" t="s">
        <v>461</v>
      </c>
    </row>
    <row r="742" spans="1:2" x14ac:dyDescent="0.25">
      <c r="A742" s="99">
        <v>46380</v>
      </c>
      <c r="B742" s="129" t="s">
        <v>463</v>
      </c>
    </row>
    <row r="743" spans="1:2" x14ac:dyDescent="0.25">
      <c r="A743" s="99">
        <v>46386</v>
      </c>
      <c r="B743" s="129" t="s">
        <v>464</v>
      </c>
    </row>
    <row r="744" spans="1:2" x14ac:dyDescent="0.25">
      <c r="A744" s="99">
        <v>46394</v>
      </c>
      <c r="B744" s="129" t="s">
        <v>465</v>
      </c>
    </row>
    <row r="745" spans="1:2" x14ac:dyDescent="0.25">
      <c r="A745" s="99">
        <v>46402</v>
      </c>
      <c r="B745" s="129" t="s">
        <v>461</v>
      </c>
    </row>
    <row r="746" spans="1:2" x14ac:dyDescent="0.25">
      <c r="A746" s="99">
        <v>46409</v>
      </c>
      <c r="B746" s="129" t="s">
        <v>463</v>
      </c>
    </row>
    <row r="747" spans="1:2" x14ac:dyDescent="0.25">
      <c r="A747" s="99">
        <v>46416</v>
      </c>
      <c r="B747" s="129" t="s">
        <v>464</v>
      </c>
    </row>
    <row r="748" spans="1:2" x14ac:dyDescent="0.25">
      <c r="A748" s="99">
        <v>46424</v>
      </c>
      <c r="B748" s="129" t="s">
        <v>465</v>
      </c>
    </row>
    <row r="749" spans="1:2" x14ac:dyDescent="0.25">
      <c r="A749" s="99">
        <v>46432</v>
      </c>
      <c r="B749" s="129" t="s">
        <v>461</v>
      </c>
    </row>
    <row r="750" spans="1:2" x14ac:dyDescent="0.25">
      <c r="A750" s="99">
        <v>46438</v>
      </c>
      <c r="B750" s="129" t="s">
        <v>463</v>
      </c>
    </row>
    <row r="751" spans="1:2" x14ac:dyDescent="0.25">
      <c r="A751" s="99">
        <v>46446</v>
      </c>
      <c r="B751" s="129" t="s">
        <v>464</v>
      </c>
    </row>
    <row r="752" spans="1:2" x14ac:dyDescent="0.25">
      <c r="A752" s="99">
        <v>46454</v>
      </c>
      <c r="B752" s="129" t="s">
        <v>465</v>
      </c>
    </row>
    <row r="753" spans="1:2" x14ac:dyDescent="0.25">
      <c r="A753" s="99">
        <v>46461</v>
      </c>
      <c r="B753" s="129" t="s">
        <v>461</v>
      </c>
    </row>
    <row r="754" spans="1:2" x14ac:dyDescent="0.25">
      <c r="A754" s="99">
        <v>46468</v>
      </c>
      <c r="B754" s="129" t="s">
        <v>463</v>
      </c>
    </row>
    <row r="755" spans="1:2" x14ac:dyDescent="0.25">
      <c r="A755" s="99">
        <v>46476</v>
      </c>
      <c r="B755" s="129" t="s">
        <v>464</v>
      </c>
    </row>
    <row r="756" spans="1:2" x14ac:dyDescent="0.25">
      <c r="A756" s="99">
        <v>46483</v>
      </c>
      <c r="B756" s="129" t="s">
        <v>465</v>
      </c>
    </row>
    <row r="757" spans="1:2" x14ac:dyDescent="0.25">
      <c r="A757" s="99">
        <v>46490</v>
      </c>
      <c r="B757" s="129" t="s">
        <v>461</v>
      </c>
    </row>
    <row r="758" spans="1:2" x14ac:dyDescent="0.25">
      <c r="A758" s="99">
        <v>46497</v>
      </c>
      <c r="B758" s="129" t="s">
        <v>463</v>
      </c>
    </row>
    <row r="759" spans="1:2" x14ac:dyDescent="0.25">
      <c r="A759" s="99">
        <v>46505</v>
      </c>
      <c r="B759" s="129" t="s">
        <v>464</v>
      </c>
    </row>
    <row r="760" spans="1:2" x14ac:dyDescent="0.25">
      <c r="A760" s="99">
        <v>46513</v>
      </c>
      <c r="B760" s="129" t="s">
        <v>465</v>
      </c>
    </row>
    <row r="761" spans="1:2" x14ac:dyDescent="0.25">
      <c r="A761" s="99">
        <v>46520</v>
      </c>
      <c r="B761" s="129" t="s">
        <v>461</v>
      </c>
    </row>
    <row r="762" spans="1:2" x14ac:dyDescent="0.25">
      <c r="A762" s="99">
        <v>46527</v>
      </c>
      <c r="B762" s="129" t="s">
        <v>463</v>
      </c>
    </row>
    <row r="763" spans="1:2" x14ac:dyDescent="0.25">
      <c r="A763" s="99">
        <v>46535</v>
      </c>
      <c r="B763" s="129" t="s">
        <v>464</v>
      </c>
    </row>
    <row r="764" spans="1:2" x14ac:dyDescent="0.25">
      <c r="A764" s="99">
        <v>46542</v>
      </c>
      <c r="B764" s="129" t="s">
        <v>465</v>
      </c>
    </row>
    <row r="765" spans="1:2" x14ac:dyDescent="0.25">
      <c r="A765" s="99">
        <v>46549</v>
      </c>
      <c r="B765" s="129" t="s">
        <v>461</v>
      </c>
    </row>
    <row r="766" spans="1:2" x14ac:dyDescent="0.25">
      <c r="A766" s="99">
        <v>46557</v>
      </c>
      <c r="B766" s="129" t="s">
        <v>463</v>
      </c>
    </row>
    <row r="767" spans="1:2" x14ac:dyDescent="0.25">
      <c r="A767" s="99">
        <v>46565</v>
      </c>
      <c r="B767" s="129" t="s">
        <v>464</v>
      </c>
    </row>
    <row r="768" spans="1:2" x14ac:dyDescent="0.25">
      <c r="A768" s="99">
        <v>46572</v>
      </c>
      <c r="B768" s="129" t="s">
        <v>465</v>
      </c>
    </row>
    <row r="769" spans="1:2" x14ac:dyDescent="0.25">
      <c r="A769" s="99">
        <v>46578</v>
      </c>
      <c r="B769" s="129" t="s">
        <v>461</v>
      </c>
    </row>
    <row r="770" spans="1:2" x14ac:dyDescent="0.25">
      <c r="A770" s="99">
        <v>46586</v>
      </c>
      <c r="B770" s="129" t="s">
        <v>463</v>
      </c>
    </row>
    <row r="771" spans="1:2" x14ac:dyDescent="0.25">
      <c r="A771" s="99">
        <v>46594</v>
      </c>
      <c r="B771" s="129" t="s">
        <v>464</v>
      </c>
    </row>
    <row r="772" spans="1:2" x14ac:dyDescent="0.25">
      <c r="A772" s="99">
        <v>46601</v>
      </c>
      <c r="B772" s="129" t="s">
        <v>465</v>
      </c>
    </row>
    <row r="773" spans="1:2" x14ac:dyDescent="0.25">
      <c r="A773" s="99">
        <v>46608</v>
      </c>
      <c r="B773" s="129" t="s">
        <v>461</v>
      </c>
    </row>
    <row r="774" spans="1:2" x14ac:dyDescent="0.25">
      <c r="A774" s="99">
        <v>46616</v>
      </c>
      <c r="B774" s="129" t="s">
        <v>463</v>
      </c>
    </row>
    <row r="775" spans="1:2" x14ac:dyDescent="0.25">
      <c r="A775" s="99">
        <v>46624</v>
      </c>
      <c r="B775" s="129" t="s">
        <v>464</v>
      </c>
    </row>
    <row r="776" spans="1:2" x14ac:dyDescent="0.25">
      <c r="A776" s="99">
        <v>46630</v>
      </c>
      <c r="B776" s="129" t="s">
        <v>465</v>
      </c>
    </row>
    <row r="777" spans="1:2" x14ac:dyDescent="0.25">
      <c r="A777" s="99">
        <v>46637</v>
      </c>
      <c r="B777" s="129" t="s">
        <v>461</v>
      </c>
    </row>
    <row r="778" spans="1:2" x14ac:dyDescent="0.25">
      <c r="A778" s="99">
        <v>46645</v>
      </c>
      <c r="B778" s="129" t="s">
        <v>463</v>
      </c>
    </row>
    <row r="779" spans="1:2" x14ac:dyDescent="0.25">
      <c r="A779" s="99">
        <v>46653</v>
      </c>
      <c r="B779" s="129" t="s">
        <v>464</v>
      </c>
    </row>
    <row r="780" spans="1:2" x14ac:dyDescent="0.25">
      <c r="A780" s="99">
        <v>46660</v>
      </c>
      <c r="B780" s="129" t="s">
        <v>465</v>
      </c>
    </row>
    <row r="781" spans="1:2" x14ac:dyDescent="0.25">
      <c r="A781" s="99">
        <v>46667</v>
      </c>
      <c r="B781" s="129" t="s">
        <v>461</v>
      </c>
    </row>
    <row r="782" spans="1:2" x14ac:dyDescent="0.25">
      <c r="A782" s="99">
        <v>46675</v>
      </c>
      <c r="B782" s="129" t="s">
        <v>463</v>
      </c>
    </row>
    <row r="783" spans="1:2" x14ac:dyDescent="0.25">
      <c r="A783" s="99">
        <v>46682</v>
      </c>
      <c r="B783" s="129" t="s">
        <v>464</v>
      </c>
    </row>
    <row r="784" spans="1:2" x14ac:dyDescent="0.25">
      <c r="A784" s="99">
        <v>46689</v>
      </c>
      <c r="B784" s="129" t="s">
        <v>465</v>
      </c>
    </row>
    <row r="785" spans="1:2" x14ac:dyDescent="0.25">
      <c r="A785" s="99">
        <v>46697</v>
      </c>
      <c r="B785" s="129" t="s">
        <v>461</v>
      </c>
    </row>
    <row r="786" spans="1:2" x14ac:dyDescent="0.25">
      <c r="A786" s="99">
        <v>46705</v>
      </c>
      <c r="B786" s="129" t="s">
        <v>463</v>
      </c>
    </row>
    <row r="787" spans="1:2" x14ac:dyDescent="0.25">
      <c r="A787" s="99">
        <v>46712</v>
      </c>
      <c r="B787" s="129" t="s">
        <v>464</v>
      </c>
    </row>
    <row r="788" spans="1:2" x14ac:dyDescent="0.25">
      <c r="A788" s="99">
        <v>46719</v>
      </c>
      <c r="B788" s="129" t="s">
        <v>465</v>
      </c>
    </row>
    <row r="789" spans="1:2" x14ac:dyDescent="0.25">
      <c r="A789" s="99">
        <v>46727</v>
      </c>
      <c r="B789" s="129" t="s">
        <v>461</v>
      </c>
    </row>
    <row r="790" spans="1:2" x14ac:dyDescent="0.25">
      <c r="A790" s="99">
        <v>46734</v>
      </c>
      <c r="B790" s="129" t="s">
        <v>463</v>
      </c>
    </row>
    <row r="791" spans="1:2" x14ac:dyDescent="0.25">
      <c r="A791" s="99">
        <v>46741</v>
      </c>
      <c r="B791" s="129" t="s">
        <v>464</v>
      </c>
    </row>
    <row r="792" spans="1:2" x14ac:dyDescent="0.25">
      <c r="A792" s="99">
        <v>46748</v>
      </c>
      <c r="B792" s="129" t="s">
        <v>465</v>
      </c>
    </row>
    <row r="793" spans="1:2" x14ac:dyDescent="0.25">
      <c r="A793" s="99">
        <v>46757</v>
      </c>
      <c r="B793" s="129" t="s">
        <v>461</v>
      </c>
    </row>
    <row r="794" spans="1:2" x14ac:dyDescent="0.25">
      <c r="A794" s="99">
        <v>46764</v>
      </c>
      <c r="B794" s="129" t="s">
        <v>463</v>
      </c>
    </row>
    <row r="795" spans="1:2" x14ac:dyDescent="0.25">
      <c r="A795" s="99">
        <v>46770</v>
      </c>
      <c r="B795" s="129" t="s">
        <v>464</v>
      </c>
    </row>
    <row r="796" spans="1:2" x14ac:dyDescent="0.25">
      <c r="A796" s="99">
        <v>46778</v>
      </c>
      <c r="B796" s="129" t="s">
        <v>465</v>
      </c>
    </row>
    <row r="797" spans="1:2" x14ac:dyDescent="0.25">
      <c r="A797" s="99">
        <v>46786</v>
      </c>
      <c r="B797" s="129" t="s">
        <v>461</v>
      </c>
    </row>
    <row r="798" spans="1:2" x14ac:dyDescent="0.25">
      <c r="A798" s="99">
        <v>46793</v>
      </c>
      <c r="B798" s="129" t="s">
        <v>463</v>
      </c>
    </row>
    <row r="799" spans="1:2" x14ac:dyDescent="0.25">
      <c r="A799" s="99">
        <v>46800</v>
      </c>
      <c r="B799" s="129" t="s">
        <v>464</v>
      </c>
    </row>
    <row r="800" spans="1:2" x14ac:dyDescent="0.25">
      <c r="A800" s="99">
        <v>46808</v>
      </c>
      <c r="B800" s="129" t="s">
        <v>465</v>
      </c>
    </row>
    <row r="801" spans="1:2" x14ac:dyDescent="0.25">
      <c r="A801" s="99">
        <v>46816</v>
      </c>
      <c r="B801" s="129" t="s">
        <v>461</v>
      </c>
    </row>
    <row r="802" spans="1:2" x14ac:dyDescent="0.25">
      <c r="A802" s="99">
        <v>46823</v>
      </c>
      <c r="B802" s="129" t="s">
        <v>463</v>
      </c>
    </row>
    <row r="803" spans="1:2" x14ac:dyDescent="0.25">
      <c r="A803" s="99">
        <v>46829</v>
      </c>
      <c r="B803" s="129" t="s">
        <v>464</v>
      </c>
    </row>
    <row r="804" spans="1:2" x14ac:dyDescent="0.25">
      <c r="A804" s="99">
        <v>46838</v>
      </c>
      <c r="B804" s="129" t="s">
        <v>465</v>
      </c>
    </row>
    <row r="805" spans="1:2" x14ac:dyDescent="0.25">
      <c r="A805" s="99">
        <v>46845</v>
      </c>
      <c r="B805" s="129" t="s">
        <v>461</v>
      </c>
    </row>
    <row r="806" spans="1:2" x14ac:dyDescent="0.25">
      <c r="A806" s="99">
        <v>46852</v>
      </c>
      <c r="B806" s="129" t="s">
        <v>463</v>
      </c>
    </row>
    <row r="807" spans="1:2" x14ac:dyDescent="0.25">
      <c r="A807" s="99">
        <v>46859</v>
      </c>
      <c r="B807" s="129" t="s">
        <v>464</v>
      </c>
    </row>
    <row r="808" spans="1:2" x14ac:dyDescent="0.25">
      <c r="A808" s="99">
        <v>46867</v>
      </c>
      <c r="B808" s="129" t="s">
        <v>465</v>
      </c>
    </row>
    <row r="809" spans="1:2" x14ac:dyDescent="0.25">
      <c r="A809" s="99">
        <v>46875</v>
      </c>
      <c r="B809" s="129" t="s">
        <v>461</v>
      </c>
    </row>
    <row r="810" spans="1:2" x14ac:dyDescent="0.25">
      <c r="A810" s="99">
        <v>46881</v>
      </c>
      <c r="B810" s="129" t="s">
        <v>463</v>
      </c>
    </row>
    <row r="811" spans="1:2" x14ac:dyDescent="0.25">
      <c r="A811" s="99">
        <v>46889</v>
      </c>
      <c r="B811" s="129" t="s">
        <v>464</v>
      </c>
    </row>
    <row r="812" spans="1:2" x14ac:dyDescent="0.25">
      <c r="A812" s="99">
        <v>46897</v>
      </c>
      <c r="B812" s="129" t="s">
        <v>465</v>
      </c>
    </row>
    <row r="813" spans="1:2" x14ac:dyDescent="0.25">
      <c r="A813" s="99">
        <v>46904</v>
      </c>
      <c r="B813" s="129" t="s">
        <v>461</v>
      </c>
    </row>
    <row r="814" spans="1:2" x14ac:dyDescent="0.25">
      <c r="A814" s="99">
        <v>46911</v>
      </c>
      <c r="B814" s="129" t="s">
        <v>463</v>
      </c>
    </row>
    <row r="815" spans="1:2" x14ac:dyDescent="0.25">
      <c r="A815" s="99">
        <v>46919</v>
      </c>
      <c r="B815" s="129" t="s">
        <v>464</v>
      </c>
    </row>
    <row r="816" spans="1:2" x14ac:dyDescent="0.25">
      <c r="A816" s="99">
        <v>46926</v>
      </c>
      <c r="B816" s="129" t="s">
        <v>465</v>
      </c>
    </row>
    <row r="817" spans="1:2" x14ac:dyDescent="0.25">
      <c r="A817" s="99">
        <v>46933</v>
      </c>
      <c r="B817" s="129" t="s">
        <v>461</v>
      </c>
    </row>
    <row r="818" spans="1:2" x14ac:dyDescent="0.25">
      <c r="A818" s="99">
        <v>46940</v>
      </c>
      <c r="B818" s="129" t="s">
        <v>463</v>
      </c>
    </row>
    <row r="819" spans="1:2" x14ac:dyDescent="0.25">
      <c r="A819" s="99">
        <v>46948</v>
      </c>
      <c r="B819" s="129" t="s">
        <v>464</v>
      </c>
    </row>
    <row r="820" spans="1:2" x14ac:dyDescent="0.25">
      <c r="A820" s="99">
        <v>46956</v>
      </c>
      <c r="B820" s="129" t="s">
        <v>465</v>
      </c>
    </row>
    <row r="821" spans="1:2" x14ac:dyDescent="0.25">
      <c r="A821" s="99">
        <v>46962</v>
      </c>
      <c r="B821" s="129" t="s">
        <v>461</v>
      </c>
    </row>
    <row r="822" spans="1:2" x14ac:dyDescent="0.25">
      <c r="A822" s="99">
        <v>46970</v>
      </c>
      <c r="B822" s="129" t="s">
        <v>463</v>
      </c>
    </row>
    <row r="823" spans="1:2" x14ac:dyDescent="0.25">
      <c r="A823" s="99">
        <v>46978</v>
      </c>
      <c r="B823" s="129" t="s">
        <v>464</v>
      </c>
    </row>
    <row r="824" spans="1:2" x14ac:dyDescent="0.25">
      <c r="A824" s="99">
        <v>46985</v>
      </c>
      <c r="B824" s="129" t="s">
        <v>465</v>
      </c>
    </row>
    <row r="825" spans="1:2" x14ac:dyDescent="0.25">
      <c r="A825" s="99">
        <v>46992</v>
      </c>
      <c r="B825" s="129" t="s">
        <v>461</v>
      </c>
    </row>
    <row r="826" spans="1:2" x14ac:dyDescent="0.25">
      <c r="A826" s="99">
        <v>46999</v>
      </c>
      <c r="B826" s="129" t="s">
        <v>463</v>
      </c>
    </row>
    <row r="827" spans="1:2" x14ac:dyDescent="0.25">
      <c r="A827" s="99">
        <v>47008</v>
      </c>
      <c r="B827" s="129" t="s">
        <v>464</v>
      </c>
    </row>
    <row r="828" spans="1:2" x14ac:dyDescent="0.25">
      <c r="A828" s="99">
        <v>47014</v>
      </c>
      <c r="B828" s="129" t="s">
        <v>465</v>
      </c>
    </row>
    <row r="829" spans="1:2" x14ac:dyDescent="0.25">
      <c r="A829" s="99">
        <v>47021</v>
      </c>
      <c r="B829" s="129" t="s">
        <v>461</v>
      </c>
    </row>
    <row r="830" spans="1:2" x14ac:dyDescent="0.25">
      <c r="A830" s="99">
        <v>47029</v>
      </c>
      <c r="B830" s="129" t="s">
        <v>463</v>
      </c>
    </row>
    <row r="831" spans="1:2" x14ac:dyDescent="0.25">
      <c r="A831" s="99">
        <v>47037</v>
      </c>
      <c r="B831" s="129" t="s">
        <v>464</v>
      </c>
    </row>
    <row r="832" spans="1:2" x14ac:dyDescent="0.25">
      <c r="A832" s="99">
        <v>47044</v>
      </c>
      <c r="B832" s="129" t="s">
        <v>465</v>
      </c>
    </row>
    <row r="833" spans="1:2" x14ac:dyDescent="0.25">
      <c r="A833" s="99">
        <v>47051</v>
      </c>
      <c r="B833" s="129" t="s">
        <v>461</v>
      </c>
    </row>
    <row r="834" spans="1:2" x14ac:dyDescent="0.25">
      <c r="A834" s="99">
        <v>47059</v>
      </c>
      <c r="B834" s="129" t="s">
        <v>463</v>
      </c>
    </row>
    <row r="835" spans="1:2" x14ac:dyDescent="0.25">
      <c r="A835" s="99">
        <v>47066</v>
      </c>
      <c r="B835" s="129" t="s">
        <v>464</v>
      </c>
    </row>
    <row r="836" spans="1:2" x14ac:dyDescent="0.25">
      <c r="A836" s="99">
        <v>47073</v>
      </c>
      <c r="B836" s="129" t="s">
        <v>465</v>
      </c>
    </row>
    <row r="837" spans="1:2" x14ac:dyDescent="0.25">
      <c r="A837" s="99">
        <v>47081</v>
      </c>
      <c r="B837" s="129" t="s">
        <v>461</v>
      </c>
    </row>
    <row r="838" spans="1:2" x14ac:dyDescent="0.25">
      <c r="A838" s="99">
        <v>47089</v>
      </c>
      <c r="B838" s="129" t="s">
        <v>463</v>
      </c>
    </row>
    <row r="839" spans="1:2" x14ac:dyDescent="0.25">
      <c r="A839" s="99">
        <v>47096</v>
      </c>
      <c r="B839" s="129" t="s">
        <v>464</v>
      </c>
    </row>
    <row r="840" spans="1:2" x14ac:dyDescent="0.25">
      <c r="A840" s="99">
        <v>47103</v>
      </c>
      <c r="B840" s="129" t="s">
        <v>465</v>
      </c>
    </row>
    <row r="841" spans="1:2" x14ac:dyDescent="0.25">
      <c r="A841" s="99">
        <v>47110</v>
      </c>
      <c r="B841" s="129" t="s">
        <v>461</v>
      </c>
    </row>
    <row r="842" spans="1:2" x14ac:dyDescent="0.25">
      <c r="A842" s="99">
        <v>47118</v>
      </c>
      <c r="B842" s="129" t="s">
        <v>463</v>
      </c>
    </row>
    <row r="843" spans="1:2" x14ac:dyDescent="0.25">
      <c r="A843" s="99">
        <v>47125</v>
      </c>
      <c r="B843" s="129" t="s">
        <v>464</v>
      </c>
    </row>
    <row r="844" spans="1:2" x14ac:dyDescent="0.25">
      <c r="A844" s="99">
        <v>47132</v>
      </c>
      <c r="B844" s="129" t="s">
        <v>465</v>
      </c>
    </row>
    <row r="845" spans="1:2" x14ac:dyDescent="0.25">
      <c r="A845" s="99">
        <v>47140</v>
      </c>
      <c r="B845" s="129" t="s">
        <v>461</v>
      </c>
    </row>
    <row r="846" spans="1:2" x14ac:dyDescent="0.25">
      <c r="A846" s="99">
        <v>47148</v>
      </c>
      <c r="B846" s="129" t="s">
        <v>463</v>
      </c>
    </row>
    <row r="847" spans="1:2" x14ac:dyDescent="0.25">
      <c r="A847" s="99">
        <v>47154</v>
      </c>
      <c r="B847" s="129" t="s">
        <v>464</v>
      </c>
    </row>
    <row r="848" spans="1:2" x14ac:dyDescent="0.25">
      <c r="A848" s="99">
        <v>47162</v>
      </c>
      <c r="B848" s="129" t="s">
        <v>465</v>
      </c>
    </row>
    <row r="849" spans="1:2" x14ac:dyDescent="0.25">
      <c r="A849" s="99">
        <v>47170</v>
      </c>
      <c r="B849" s="129" t="s">
        <v>461</v>
      </c>
    </row>
    <row r="850" spans="1:2" x14ac:dyDescent="0.25">
      <c r="A850" s="99">
        <v>47177</v>
      </c>
      <c r="B850" s="129" t="s">
        <v>463</v>
      </c>
    </row>
    <row r="851" spans="1:2" x14ac:dyDescent="0.25">
      <c r="A851" s="99">
        <v>47184</v>
      </c>
      <c r="B851" s="129" t="s">
        <v>464</v>
      </c>
    </row>
    <row r="852" spans="1:2" x14ac:dyDescent="0.25">
      <c r="A852" s="99">
        <v>47192</v>
      </c>
      <c r="B852" s="129" t="s">
        <v>465</v>
      </c>
    </row>
    <row r="853" spans="1:2" x14ac:dyDescent="0.25">
      <c r="A853" s="99">
        <v>47200</v>
      </c>
      <c r="B853" s="129" t="s">
        <v>461</v>
      </c>
    </row>
    <row r="854" spans="1:2" x14ac:dyDescent="0.25">
      <c r="A854" s="99">
        <v>47207</v>
      </c>
      <c r="B854" s="129" t="s">
        <v>463</v>
      </c>
    </row>
    <row r="855" spans="1:2" x14ac:dyDescent="0.25">
      <c r="A855" s="99">
        <v>47213</v>
      </c>
      <c r="B855" s="129" t="s">
        <v>464</v>
      </c>
    </row>
    <row r="856" spans="1:2" x14ac:dyDescent="0.25">
      <c r="A856" s="99">
        <v>47221</v>
      </c>
      <c r="B856" s="129" t="s">
        <v>465</v>
      </c>
    </row>
    <row r="857" spans="1:2" x14ac:dyDescent="0.25">
      <c r="A857" s="99">
        <v>47229</v>
      </c>
      <c r="B857" s="129" t="s">
        <v>461</v>
      </c>
    </row>
    <row r="858" spans="1:2" x14ac:dyDescent="0.25">
      <c r="A858" s="99">
        <v>47236</v>
      </c>
      <c r="B858" s="129" t="s">
        <v>463</v>
      </c>
    </row>
    <row r="859" spans="1:2" x14ac:dyDescent="0.25">
      <c r="A859" s="99">
        <v>47243</v>
      </c>
      <c r="B859" s="129" t="s">
        <v>464</v>
      </c>
    </row>
    <row r="860" spans="1:2" x14ac:dyDescent="0.25">
      <c r="A860" s="99">
        <v>47251</v>
      </c>
      <c r="B860" s="129" t="s">
        <v>465</v>
      </c>
    </row>
    <row r="861" spans="1:2" x14ac:dyDescent="0.25">
      <c r="A861" s="99">
        <v>47259</v>
      </c>
      <c r="B861" s="129" t="s">
        <v>461</v>
      </c>
    </row>
    <row r="862" spans="1:2" x14ac:dyDescent="0.25">
      <c r="A862" s="99">
        <v>47265</v>
      </c>
      <c r="B862" s="129" t="s">
        <v>463</v>
      </c>
    </row>
    <row r="863" spans="1:2" x14ac:dyDescent="0.25">
      <c r="A863" s="99">
        <v>47273</v>
      </c>
      <c r="B863" s="129" t="s">
        <v>464</v>
      </c>
    </row>
    <row r="864" spans="1:2" x14ac:dyDescent="0.25">
      <c r="A864" s="99">
        <v>47281</v>
      </c>
      <c r="B864" s="129" t="s">
        <v>465</v>
      </c>
    </row>
    <row r="865" spans="1:2" x14ac:dyDescent="0.25">
      <c r="A865" s="99">
        <v>47288</v>
      </c>
      <c r="B865" s="129" t="s">
        <v>461</v>
      </c>
    </row>
    <row r="866" spans="1:2" x14ac:dyDescent="0.25">
      <c r="A866" s="99">
        <v>47295</v>
      </c>
      <c r="B866" s="129" t="s">
        <v>463</v>
      </c>
    </row>
    <row r="867" spans="1:2" x14ac:dyDescent="0.25">
      <c r="A867" s="99">
        <v>47302</v>
      </c>
      <c r="B867" s="129" t="s">
        <v>464</v>
      </c>
    </row>
    <row r="868" spans="1:2" x14ac:dyDescent="0.25">
      <c r="A868" s="99">
        <v>47310</v>
      </c>
      <c r="B868" s="129" t="s">
        <v>465</v>
      </c>
    </row>
    <row r="869" spans="1:2" x14ac:dyDescent="0.25">
      <c r="A869" s="99">
        <v>47317</v>
      </c>
      <c r="B869" s="129" t="s">
        <v>461</v>
      </c>
    </row>
    <row r="870" spans="1:2" x14ac:dyDescent="0.25">
      <c r="A870" s="99">
        <v>47324</v>
      </c>
      <c r="B870" s="129" t="s">
        <v>463</v>
      </c>
    </row>
    <row r="871" spans="1:2" x14ac:dyDescent="0.25">
      <c r="A871" s="99">
        <v>47332</v>
      </c>
      <c r="B871" s="129" t="s">
        <v>464</v>
      </c>
    </row>
    <row r="872" spans="1:2" x14ac:dyDescent="0.25">
      <c r="A872" s="99">
        <v>47340</v>
      </c>
      <c r="B872" s="129" t="s">
        <v>465</v>
      </c>
    </row>
    <row r="873" spans="1:2" x14ac:dyDescent="0.25">
      <c r="A873" s="99">
        <v>47346</v>
      </c>
      <c r="B873" s="129" t="s">
        <v>461</v>
      </c>
    </row>
    <row r="874" spans="1:2" x14ac:dyDescent="0.25">
      <c r="A874" s="99">
        <v>47354</v>
      </c>
      <c r="B874" s="129" t="s">
        <v>463</v>
      </c>
    </row>
    <row r="875" spans="1:2" x14ac:dyDescent="0.25">
      <c r="A875" s="99">
        <v>47362</v>
      </c>
      <c r="B875" s="129" t="s">
        <v>464</v>
      </c>
    </row>
    <row r="876" spans="1:2" x14ac:dyDescent="0.25">
      <c r="A876" s="99">
        <v>47369</v>
      </c>
      <c r="B876" s="129" t="s">
        <v>465</v>
      </c>
    </row>
    <row r="877" spans="1:2" x14ac:dyDescent="0.25">
      <c r="A877" s="99">
        <v>47376</v>
      </c>
      <c r="B877" s="129" t="s">
        <v>461</v>
      </c>
    </row>
    <row r="878" spans="1:2" x14ac:dyDescent="0.25">
      <c r="A878" s="99">
        <v>47383</v>
      </c>
      <c r="B878" s="129" t="s">
        <v>463</v>
      </c>
    </row>
    <row r="879" spans="1:2" x14ac:dyDescent="0.25">
      <c r="A879" s="99">
        <v>47391</v>
      </c>
      <c r="B879" s="129" t="s">
        <v>464</v>
      </c>
    </row>
    <row r="880" spans="1:2" x14ac:dyDescent="0.25">
      <c r="A880" s="99">
        <v>47398</v>
      </c>
      <c r="B880" s="129" t="s">
        <v>465</v>
      </c>
    </row>
    <row r="881" spans="1:2" x14ac:dyDescent="0.25">
      <c r="A881" s="99">
        <v>47405</v>
      </c>
      <c r="B881" s="129" t="s">
        <v>461</v>
      </c>
    </row>
    <row r="882" spans="1:2" x14ac:dyDescent="0.25">
      <c r="A882" s="99">
        <v>47413</v>
      </c>
      <c r="B882" s="129" t="s">
        <v>463</v>
      </c>
    </row>
    <row r="883" spans="1:2" x14ac:dyDescent="0.25">
      <c r="A883" s="99">
        <v>47421</v>
      </c>
      <c r="B883" s="129" t="s">
        <v>464</v>
      </c>
    </row>
    <row r="884" spans="1:2" x14ac:dyDescent="0.25">
      <c r="A884" s="99">
        <v>47428</v>
      </c>
      <c r="B884" s="129" t="s">
        <v>465</v>
      </c>
    </row>
    <row r="885" spans="1:2" x14ac:dyDescent="0.25">
      <c r="A885" s="99">
        <v>47435</v>
      </c>
      <c r="B885" s="129" t="s">
        <v>461</v>
      </c>
    </row>
    <row r="886" spans="1:2" x14ac:dyDescent="0.25">
      <c r="A886" s="99">
        <v>47443</v>
      </c>
      <c r="B886" s="129" t="s">
        <v>463</v>
      </c>
    </row>
    <row r="887" spans="1:2" x14ac:dyDescent="0.25">
      <c r="A887" s="99">
        <v>47450</v>
      </c>
      <c r="B887" s="129" t="s">
        <v>464</v>
      </c>
    </row>
    <row r="888" spans="1:2" x14ac:dyDescent="0.25">
      <c r="A888" s="99">
        <v>47457</v>
      </c>
      <c r="B888" s="129" t="s">
        <v>465</v>
      </c>
    </row>
    <row r="889" spans="1:2" x14ac:dyDescent="0.25">
      <c r="A889" s="99">
        <v>47464</v>
      </c>
      <c r="B889" s="129" t="s">
        <v>461</v>
      </c>
    </row>
    <row r="890" spans="1:2" x14ac:dyDescent="0.25">
      <c r="A890" s="99">
        <v>47472</v>
      </c>
      <c r="B890" s="129" t="s">
        <v>463</v>
      </c>
    </row>
    <row r="891" spans="1:2" x14ac:dyDescent="0.25">
      <c r="A891" s="99">
        <v>47480</v>
      </c>
      <c r="B891" s="129" t="s">
        <v>464</v>
      </c>
    </row>
    <row r="892" spans="1:2" x14ac:dyDescent="0.25">
      <c r="A892" s="99">
        <v>47487</v>
      </c>
      <c r="B892" s="129" t="s">
        <v>465</v>
      </c>
    </row>
    <row r="893" spans="1:2" x14ac:dyDescent="0.25">
      <c r="A893" s="99">
        <v>47494</v>
      </c>
      <c r="B893" s="129" t="s">
        <v>461</v>
      </c>
    </row>
    <row r="894" spans="1:2" x14ac:dyDescent="0.25">
      <c r="A894" s="99">
        <v>47502</v>
      </c>
      <c r="B894" s="129" t="s">
        <v>463</v>
      </c>
    </row>
    <row r="895" spans="1:2" x14ac:dyDescent="0.25">
      <c r="A895" s="99">
        <v>47509</v>
      </c>
      <c r="B895" s="129" t="s">
        <v>464</v>
      </c>
    </row>
    <row r="896" spans="1:2" x14ac:dyDescent="0.25">
      <c r="A896" s="99">
        <v>47516</v>
      </c>
      <c r="B896" s="129" t="s">
        <v>465</v>
      </c>
    </row>
    <row r="897" spans="1:2" x14ac:dyDescent="0.25">
      <c r="A897" s="99">
        <v>47524</v>
      </c>
      <c r="B897" s="129" t="s">
        <v>461</v>
      </c>
    </row>
    <row r="898" spans="1:2" x14ac:dyDescent="0.25">
      <c r="A898" s="99">
        <v>47532</v>
      </c>
      <c r="B898" s="129" t="s">
        <v>463</v>
      </c>
    </row>
    <row r="899" spans="1:2" x14ac:dyDescent="0.25">
      <c r="A899" s="99">
        <v>47539</v>
      </c>
      <c r="B899" s="129" t="s">
        <v>464</v>
      </c>
    </row>
    <row r="900" spans="1:2" x14ac:dyDescent="0.25">
      <c r="A900" s="99">
        <v>47546</v>
      </c>
      <c r="B900" s="129" t="s">
        <v>465</v>
      </c>
    </row>
    <row r="901" spans="1:2" x14ac:dyDescent="0.25">
      <c r="A901" s="99">
        <v>47554</v>
      </c>
      <c r="B901" s="129" t="s">
        <v>461</v>
      </c>
    </row>
    <row r="902" spans="1:2" x14ac:dyDescent="0.25">
      <c r="A902" s="99">
        <v>47561</v>
      </c>
      <c r="B902" s="129" t="s">
        <v>463</v>
      </c>
    </row>
    <row r="903" spans="1:2" x14ac:dyDescent="0.25">
      <c r="A903" s="99">
        <v>47568</v>
      </c>
      <c r="B903" s="129" t="s">
        <v>464</v>
      </c>
    </row>
    <row r="904" spans="1:2" x14ac:dyDescent="0.25">
      <c r="A904" s="99">
        <v>47575</v>
      </c>
      <c r="B904" s="129" t="s">
        <v>465</v>
      </c>
    </row>
    <row r="905" spans="1:2" x14ac:dyDescent="0.25">
      <c r="A905" s="99">
        <v>47584</v>
      </c>
      <c r="B905" s="129" t="s">
        <v>461</v>
      </c>
    </row>
    <row r="906" spans="1:2" x14ac:dyDescent="0.25">
      <c r="A906" s="99">
        <v>47591</v>
      </c>
      <c r="B906" s="129" t="s">
        <v>463</v>
      </c>
    </row>
    <row r="907" spans="1:2" x14ac:dyDescent="0.25">
      <c r="A907" s="99">
        <v>47597</v>
      </c>
      <c r="B907" s="129" t="s">
        <v>464</v>
      </c>
    </row>
    <row r="908" spans="1:2" x14ac:dyDescent="0.25">
      <c r="A908" s="99">
        <v>47605</v>
      </c>
      <c r="B908" s="129" t="s">
        <v>465</v>
      </c>
    </row>
    <row r="909" spans="1:2" x14ac:dyDescent="0.25">
      <c r="A909" s="99">
        <v>47613</v>
      </c>
      <c r="B909" s="129" t="s">
        <v>461</v>
      </c>
    </row>
    <row r="910" spans="1:2" x14ac:dyDescent="0.25">
      <c r="A910" s="99">
        <v>47620</v>
      </c>
      <c r="B910" s="129" t="s">
        <v>463</v>
      </c>
    </row>
    <row r="911" spans="1:2" x14ac:dyDescent="0.25">
      <c r="A911" s="99">
        <v>47627</v>
      </c>
      <c r="B911" s="129" t="s">
        <v>464</v>
      </c>
    </row>
    <row r="912" spans="1:2" x14ac:dyDescent="0.25">
      <c r="A912" s="99">
        <v>47635</v>
      </c>
      <c r="B912" s="129" t="s">
        <v>465</v>
      </c>
    </row>
    <row r="913" spans="1:2" x14ac:dyDescent="0.25">
      <c r="A913" s="99">
        <v>47643</v>
      </c>
      <c r="B913" s="129" t="s">
        <v>461</v>
      </c>
    </row>
    <row r="914" spans="1:2" x14ac:dyDescent="0.25">
      <c r="A914" s="99">
        <v>47649</v>
      </c>
      <c r="B914" s="129" t="s">
        <v>463</v>
      </c>
    </row>
    <row r="915" spans="1:2" x14ac:dyDescent="0.25">
      <c r="A915" s="99">
        <v>47656</v>
      </c>
      <c r="B915" s="129" t="s">
        <v>464</v>
      </c>
    </row>
    <row r="916" spans="1:2" x14ac:dyDescent="0.25">
      <c r="A916" s="99">
        <v>47664</v>
      </c>
      <c r="B916" s="129" t="s">
        <v>465</v>
      </c>
    </row>
    <row r="917" spans="1:2" x14ac:dyDescent="0.25">
      <c r="A917" s="99">
        <v>47672</v>
      </c>
      <c r="B917" s="129" t="s">
        <v>461</v>
      </c>
    </row>
    <row r="918" spans="1:2" x14ac:dyDescent="0.25">
      <c r="A918" s="99">
        <v>47679</v>
      </c>
      <c r="B918" s="129" t="s">
        <v>463</v>
      </c>
    </row>
    <row r="919" spans="1:2" x14ac:dyDescent="0.25">
      <c r="A919" s="99">
        <v>47686</v>
      </c>
      <c r="B919" s="129" t="s">
        <v>464</v>
      </c>
    </row>
    <row r="920" spans="1:2" x14ac:dyDescent="0.25">
      <c r="A920" s="99">
        <v>47694</v>
      </c>
      <c r="B920" s="129" t="s">
        <v>465</v>
      </c>
    </row>
    <row r="921" spans="1:2" x14ac:dyDescent="0.25">
      <c r="A921" s="99">
        <v>47701</v>
      </c>
      <c r="B921" s="129" t="s">
        <v>461</v>
      </c>
    </row>
    <row r="922" spans="1:2" x14ac:dyDescent="0.25">
      <c r="A922" s="99">
        <v>47708</v>
      </c>
      <c r="B922" s="129" t="s">
        <v>463</v>
      </c>
    </row>
    <row r="923" spans="1:2" x14ac:dyDescent="0.25">
      <c r="A923" s="99">
        <v>47716</v>
      </c>
      <c r="B923" s="129" t="s">
        <v>464</v>
      </c>
    </row>
    <row r="924" spans="1:2" x14ac:dyDescent="0.25">
      <c r="A924" s="99">
        <v>47723</v>
      </c>
      <c r="B924" s="129" t="s">
        <v>465</v>
      </c>
    </row>
    <row r="925" spans="1:2" x14ac:dyDescent="0.25">
      <c r="A925" s="99">
        <v>47730</v>
      </c>
      <c r="B925" s="129" t="s">
        <v>461</v>
      </c>
    </row>
    <row r="926" spans="1:2" x14ac:dyDescent="0.25">
      <c r="A926" s="99">
        <v>47737</v>
      </c>
      <c r="B926" s="129" t="s">
        <v>463</v>
      </c>
    </row>
    <row r="927" spans="1:2" x14ac:dyDescent="0.25">
      <c r="A927" s="99">
        <v>47745</v>
      </c>
      <c r="B927" s="129" t="s">
        <v>464</v>
      </c>
    </row>
    <row r="928" spans="1:2" x14ac:dyDescent="0.25">
      <c r="A928" s="99">
        <v>47753</v>
      </c>
      <c r="B928" s="129" t="s">
        <v>465</v>
      </c>
    </row>
    <row r="929" spans="1:2" x14ac:dyDescent="0.25">
      <c r="A929" s="99">
        <v>47760</v>
      </c>
      <c r="B929" s="129" t="s">
        <v>461</v>
      </c>
    </row>
    <row r="930" spans="1:2" x14ac:dyDescent="0.25">
      <c r="A930" s="99">
        <v>47767</v>
      </c>
      <c r="B930" s="129" t="s">
        <v>463</v>
      </c>
    </row>
    <row r="931" spans="1:2" x14ac:dyDescent="0.25">
      <c r="A931" s="99">
        <v>47775</v>
      </c>
      <c r="B931" s="129" t="s">
        <v>464</v>
      </c>
    </row>
    <row r="932" spans="1:2" x14ac:dyDescent="0.25">
      <c r="A932" s="99">
        <v>47782</v>
      </c>
      <c r="B932" s="129" t="s">
        <v>465</v>
      </c>
    </row>
    <row r="933" spans="1:2" x14ac:dyDescent="0.25">
      <c r="A933" s="99">
        <v>47789</v>
      </c>
      <c r="B933" s="129" t="s">
        <v>461</v>
      </c>
    </row>
    <row r="934" spans="1:2" x14ac:dyDescent="0.25">
      <c r="A934" s="99">
        <v>47797</v>
      </c>
      <c r="B934" s="129" t="s">
        <v>463</v>
      </c>
    </row>
    <row r="935" spans="1:2" x14ac:dyDescent="0.25">
      <c r="A935" s="99">
        <v>47805</v>
      </c>
      <c r="B935" s="129" t="s">
        <v>464</v>
      </c>
    </row>
    <row r="936" spans="1:2" x14ac:dyDescent="0.25">
      <c r="A936" s="99">
        <v>47812</v>
      </c>
      <c r="B936" s="129" t="s">
        <v>465</v>
      </c>
    </row>
    <row r="937" spans="1:2" x14ac:dyDescent="0.25">
      <c r="A937" s="99">
        <v>47818</v>
      </c>
      <c r="B937" s="129" t="s">
        <v>461</v>
      </c>
    </row>
    <row r="938" spans="1:2" x14ac:dyDescent="0.25">
      <c r="A938" s="99">
        <v>47826</v>
      </c>
      <c r="B938" s="129" t="s">
        <v>463</v>
      </c>
    </row>
    <row r="939" spans="1:2" x14ac:dyDescent="0.25">
      <c r="A939" s="99">
        <v>47835</v>
      </c>
      <c r="B939" s="129" t="s">
        <v>464</v>
      </c>
    </row>
    <row r="940" spans="1:2" x14ac:dyDescent="0.25">
      <c r="A940" s="99">
        <v>47841</v>
      </c>
      <c r="B940" s="129" t="s">
        <v>465</v>
      </c>
    </row>
    <row r="941" spans="1:2" x14ac:dyDescent="0.25">
      <c r="A941" s="99">
        <v>47848</v>
      </c>
      <c r="B941" s="129" t="s">
        <v>461</v>
      </c>
    </row>
    <row r="942" spans="1:2" x14ac:dyDescent="0.25">
      <c r="A942" s="99">
        <v>47856</v>
      </c>
      <c r="B942" s="129" t="s">
        <v>463</v>
      </c>
    </row>
    <row r="943" spans="1:2" x14ac:dyDescent="0.25">
      <c r="A943" s="99">
        <v>47864</v>
      </c>
      <c r="B943" s="129" t="s">
        <v>464</v>
      </c>
    </row>
    <row r="944" spans="1:2" x14ac:dyDescent="0.25">
      <c r="A944" s="99">
        <v>47871</v>
      </c>
      <c r="B944" s="129" t="s">
        <v>465</v>
      </c>
    </row>
    <row r="945" spans="1:2" x14ac:dyDescent="0.25">
      <c r="A945" s="99">
        <v>47878</v>
      </c>
      <c r="B945" s="129" t="s">
        <v>461</v>
      </c>
    </row>
    <row r="946" spans="1:2" x14ac:dyDescent="0.25">
      <c r="A946" s="99">
        <v>47886</v>
      </c>
      <c r="B946" s="129" t="s">
        <v>463</v>
      </c>
    </row>
    <row r="947" spans="1:2" x14ac:dyDescent="0.25">
      <c r="A947" s="99">
        <v>47893</v>
      </c>
      <c r="B947" s="129" t="s">
        <v>464</v>
      </c>
    </row>
    <row r="948" spans="1:2" x14ac:dyDescent="0.25">
      <c r="A948" s="99">
        <v>47900</v>
      </c>
      <c r="B948" s="129" t="s">
        <v>465</v>
      </c>
    </row>
    <row r="949" spans="1:2" x14ac:dyDescent="0.25">
      <c r="A949" s="99">
        <v>47908</v>
      </c>
      <c r="B949" s="129" t="s">
        <v>461</v>
      </c>
    </row>
    <row r="950" spans="1:2" x14ac:dyDescent="0.25">
      <c r="A950" s="99">
        <v>47916</v>
      </c>
      <c r="B950" s="129" t="s">
        <v>463</v>
      </c>
    </row>
    <row r="951" spans="1:2" x14ac:dyDescent="0.25">
      <c r="A951" s="99">
        <v>47923</v>
      </c>
      <c r="B951" s="129" t="s">
        <v>464</v>
      </c>
    </row>
    <row r="952" spans="1:2" x14ac:dyDescent="0.25">
      <c r="A952" s="99">
        <v>47930</v>
      </c>
      <c r="B952" s="129" t="s">
        <v>465</v>
      </c>
    </row>
    <row r="953" spans="1:2" x14ac:dyDescent="0.25">
      <c r="A953" s="99">
        <v>47938</v>
      </c>
      <c r="B953" s="129" t="s">
        <v>461</v>
      </c>
    </row>
    <row r="954" spans="1:2" x14ac:dyDescent="0.25">
      <c r="A954" s="99">
        <v>47945</v>
      </c>
      <c r="B954" s="129" t="s">
        <v>463</v>
      </c>
    </row>
    <row r="955" spans="1:2" x14ac:dyDescent="0.25">
      <c r="A955" s="99">
        <v>47952</v>
      </c>
      <c r="B955" s="129" t="s">
        <v>464</v>
      </c>
    </row>
    <row r="956" spans="1:2" x14ac:dyDescent="0.25">
      <c r="A956" s="99">
        <v>47959</v>
      </c>
      <c r="B956" s="129" t="s">
        <v>465</v>
      </c>
    </row>
    <row r="957" spans="1:2" x14ac:dyDescent="0.25">
      <c r="A957" s="99">
        <v>47967</v>
      </c>
      <c r="B957" s="129" t="s">
        <v>461</v>
      </c>
    </row>
    <row r="958" spans="1:2" x14ac:dyDescent="0.25">
      <c r="A958" s="99">
        <v>47975</v>
      </c>
      <c r="B958" s="129" t="s">
        <v>463</v>
      </c>
    </row>
    <row r="959" spans="1:2" x14ac:dyDescent="0.25">
      <c r="A959" s="99">
        <v>47981</v>
      </c>
      <c r="B959" s="129" t="s">
        <v>464</v>
      </c>
    </row>
    <row r="960" spans="1:2" x14ac:dyDescent="0.25">
      <c r="A960" s="99">
        <v>47989</v>
      </c>
      <c r="B960" s="129" t="s">
        <v>465</v>
      </c>
    </row>
    <row r="961" spans="1:2" x14ac:dyDescent="0.25">
      <c r="A961" s="99">
        <v>47997</v>
      </c>
      <c r="B961" s="129" t="s">
        <v>461</v>
      </c>
    </row>
    <row r="962" spans="1:2" x14ac:dyDescent="0.25">
      <c r="A962" s="99">
        <v>48004</v>
      </c>
      <c r="B962" s="129" t="s">
        <v>463</v>
      </c>
    </row>
    <row r="963" spans="1:2" x14ac:dyDescent="0.25">
      <c r="A963" s="99">
        <v>48011</v>
      </c>
      <c r="B963" s="129" t="s">
        <v>464</v>
      </c>
    </row>
    <row r="964" spans="1:2" x14ac:dyDescent="0.25">
      <c r="A964" s="99">
        <v>48018</v>
      </c>
      <c r="B964" s="129" t="s">
        <v>465</v>
      </c>
    </row>
    <row r="965" spans="1:2" x14ac:dyDescent="0.25">
      <c r="A965" s="99">
        <v>48027</v>
      </c>
      <c r="B965" s="129" t="s">
        <v>461</v>
      </c>
    </row>
    <row r="966" spans="1:2" x14ac:dyDescent="0.25">
      <c r="A966" s="99">
        <v>48033</v>
      </c>
      <c r="B966" s="129" t="s">
        <v>463</v>
      </c>
    </row>
    <row r="967" spans="1:2" x14ac:dyDescent="0.25">
      <c r="A967" s="99">
        <v>48040</v>
      </c>
      <c r="B967" s="129" t="s">
        <v>464</v>
      </c>
    </row>
    <row r="968" spans="1:2" x14ac:dyDescent="0.25">
      <c r="A968" s="99">
        <v>48048</v>
      </c>
      <c r="B968" s="129" t="s">
        <v>465</v>
      </c>
    </row>
    <row r="969" spans="1:2" x14ac:dyDescent="0.25">
      <c r="A969" s="99">
        <v>48056</v>
      </c>
      <c r="B969" s="129" t="s">
        <v>461</v>
      </c>
    </row>
    <row r="970" spans="1:2" x14ac:dyDescent="0.25">
      <c r="A970" s="99">
        <v>48063</v>
      </c>
      <c r="B970" s="129" t="s">
        <v>463</v>
      </c>
    </row>
    <row r="971" spans="1:2" x14ac:dyDescent="0.25">
      <c r="A971" s="99">
        <v>48070</v>
      </c>
      <c r="B971" s="129" t="s">
        <v>464</v>
      </c>
    </row>
    <row r="972" spans="1:2" x14ac:dyDescent="0.25">
      <c r="A972" s="99">
        <v>48078</v>
      </c>
      <c r="B972" s="129" t="s">
        <v>465</v>
      </c>
    </row>
    <row r="973" spans="1:2" x14ac:dyDescent="0.25">
      <c r="A973" s="99">
        <v>48085</v>
      </c>
      <c r="B973" s="129" t="s">
        <v>461</v>
      </c>
    </row>
    <row r="974" spans="1:2" x14ac:dyDescent="0.25">
      <c r="A974" s="99">
        <v>48092</v>
      </c>
      <c r="B974" s="129" t="s">
        <v>463</v>
      </c>
    </row>
    <row r="975" spans="1:2" x14ac:dyDescent="0.25">
      <c r="A975" s="99">
        <v>48099</v>
      </c>
      <c r="B975" s="129" t="s">
        <v>464</v>
      </c>
    </row>
    <row r="976" spans="1:2" x14ac:dyDescent="0.25">
      <c r="A976" s="99">
        <v>48107</v>
      </c>
      <c r="B976" s="129" t="s">
        <v>465</v>
      </c>
    </row>
    <row r="977" spans="1:2" x14ac:dyDescent="0.25">
      <c r="A977" s="99">
        <v>48115</v>
      </c>
      <c r="B977" s="129" t="s">
        <v>461</v>
      </c>
    </row>
    <row r="978" spans="1:2" x14ac:dyDescent="0.25">
      <c r="A978" s="99">
        <v>48121</v>
      </c>
      <c r="B978" s="129" t="s">
        <v>463</v>
      </c>
    </row>
    <row r="979" spans="1:2" x14ac:dyDescent="0.25">
      <c r="A979" s="99">
        <v>48129</v>
      </c>
      <c r="B979" s="129" t="s">
        <v>464</v>
      </c>
    </row>
    <row r="980" spans="1:2" x14ac:dyDescent="0.25">
      <c r="A980" s="99">
        <v>48137</v>
      </c>
      <c r="B980" s="129" t="s">
        <v>465</v>
      </c>
    </row>
    <row r="981" spans="1:2" x14ac:dyDescent="0.25">
      <c r="A981" s="99">
        <v>48144</v>
      </c>
      <c r="B981" s="129" t="s">
        <v>461</v>
      </c>
    </row>
    <row r="982" spans="1:2" x14ac:dyDescent="0.25">
      <c r="A982" s="99">
        <v>48151</v>
      </c>
      <c r="B982" s="129" t="s">
        <v>463</v>
      </c>
    </row>
    <row r="983" spans="1:2" x14ac:dyDescent="0.25">
      <c r="A983" s="99">
        <v>48159</v>
      </c>
      <c r="B983" s="129" t="s">
        <v>464</v>
      </c>
    </row>
    <row r="984" spans="1:2" x14ac:dyDescent="0.25">
      <c r="A984" s="99">
        <v>48166</v>
      </c>
      <c r="B984" s="129" t="s">
        <v>465</v>
      </c>
    </row>
    <row r="985" spans="1:2" x14ac:dyDescent="0.25">
      <c r="A985" s="99">
        <v>48173</v>
      </c>
      <c r="B985" s="129" t="s">
        <v>461</v>
      </c>
    </row>
    <row r="986" spans="1:2" x14ac:dyDescent="0.25">
      <c r="A986" s="99">
        <v>48180</v>
      </c>
      <c r="B986" s="129" t="s">
        <v>463</v>
      </c>
    </row>
    <row r="987" spans="1:2" x14ac:dyDescent="0.25">
      <c r="A987" s="99">
        <v>48189</v>
      </c>
      <c r="B987" s="129" t="s">
        <v>464</v>
      </c>
    </row>
    <row r="988" spans="1:2" x14ac:dyDescent="0.25">
      <c r="A988" s="99">
        <v>48196</v>
      </c>
      <c r="B988" s="129" t="s">
        <v>465</v>
      </c>
    </row>
    <row r="989" spans="1:2" x14ac:dyDescent="0.25">
      <c r="A989" s="99">
        <v>48203</v>
      </c>
      <c r="B989" s="129" t="s">
        <v>461</v>
      </c>
    </row>
    <row r="990" spans="1:2" x14ac:dyDescent="0.25">
      <c r="A990" s="99">
        <v>48210</v>
      </c>
      <c r="B990" s="129" t="s">
        <v>463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CW222"/>
  <sheetViews>
    <sheetView workbookViewId="0">
      <pane xSplit="4" ySplit="3" topLeftCell="E10" activePane="bottomRight" state="frozen"/>
      <selection activeCell="F32" sqref="F32"/>
      <selection pane="topRight" activeCell="F32" sqref="F32"/>
      <selection pane="bottomLeft" activeCell="F32" sqref="F32"/>
      <selection pane="bottomRight" activeCell="F32" sqref="F32"/>
    </sheetView>
  </sheetViews>
  <sheetFormatPr baseColWidth="10" defaultColWidth="3" defaultRowHeight="15" x14ac:dyDescent="0.25"/>
  <cols>
    <col min="1" max="1" width="14.42578125" style="97" customWidth="1"/>
    <col min="2" max="2" width="20.85546875" customWidth="1"/>
    <col min="3" max="3" width="13" customWidth="1"/>
    <col min="4" max="4" width="11" style="150" customWidth="1"/>
    <col min="5" max="16384" width="3" style="97"/>
  </cols>
  <sheetData>
    <row r="1" spans="1:45" x14ac:dyDescent="0.25">
      <c r="A1" s="146" t="s">
        <v>481</v>
      </c>
      <c r="B1" s="147" t="s">
        <v>474</v>
      </c>
      <c r="C1" s="148">
        <v>2017</v>
      </c>
      <c r="D1" s="149" t="s">
        <v>475</v>
      </c>
    </row>
    <row r="2" spans="1:45" x14ac:dyDescent="0.25">
      <c r="A2" s="97">
        <f>MATCH($A$1,E$3:BZ$3,0)</f>
        <v>2</v>
      </c>
    </row>
    <row r="3" spans="1:45" s="155" customFormat="1" ht="124.5" x14ac:dyDescent="0.25">
      <c r="A3" s="151" t="s">
        <v>476</v>
      </c>
      <c r="B3" s="152" t="s">
        <v>477</v>
      </c>
      <c r="C3" s="153" t="s">
        <v>478</v>
      </c>
      <c r="D3" s="154" t="s">
        <v>479</v>
      </c>
      <c r="E3" s="155" t="s">
        <v>480</v>
      </c>
      <c r="F3" s="155" t="s">
        <v>481</v>
      </c>
      <c r="G3" s="155" t="s">
        <v>482</v>
      </c>
      <c r="H3" s="155" t="s">
        <v>483</v>
      </c>
      <c r="I3" s="155" t="s">
        <v>484</v>
      </c>
      <c r="J3" s="155" t="s">
        <v>485</v>
      </c>
      <c r="K3" s="155" t="s">
        <v>486</v>
      </c>
      <c r="L3" s="155" t="s">
        <v>487</v>
      </c>
      <c r="M3" s="155" t="s">
        <v>488</v>
      </c>
      <c r="N3" s="155" t="s">
        <v>489</v>
      </c>
      <c r="O3" s="155" t="s">
        <v>490</v>
      </c>
      <c r="P3" s="155" t="s">
        <v>491</v>
      </c>
      <c r="Q3" s="155" t="s">
        <v>492</v>
      </c>
      <c r="R3" s="155" t="s">
        <v>493</v>
      </c>
      <c r="S3" s="155" t="s">
        <v>494</v>
      </c>
      <c r="T3" s="155" t="s">
        <v>495</v>
      </c>
      <c r="U3" s="155" t="s">
        <v>496</v>
      </c>
      <c r="V3" s="155" t="s">
        <v>497</v>
      </c>
      <c r="W3" s="155" t="s">
        <v>498</v>
      </c>
      <c r="X3" s="155" t="s">
        <v>499</v>
      </c>
      <c r="Y3" s="155" t="s">
        <v>500</v>
      </c>
      <c r="Z3" s="155" t="s">
        <v>501</v>
      </c>
      <c r="AA3" s="155" t="s">
        <v>502</v>
      </c>
      <c r="AB3" s="155" t="s">
        <v>503</v>
      </c>
      <c r="AC3" s="155" t="s">
        <v>504</v>
      </c>
      <c r="AD3" s="155" t="s">
        <v>505</v>
      </c>
      <c r="AE3" s="155" t="s">
        <v>506</v>
      </c>
      <c r="AF3" s="155" t="s">
        <v>507</v>
      </c>
      <c r="AG3" s="155" t="s">
        <v>508</v>
      </c>
      <c r="AH3" s="155" t="s">
        <v>509</v>
      </c>
      <c r="AI3" s="155" t="s">
        <v>510</v>
      </c>
      <c r="AJ3" s="155" t="s">
        <v>511</v>
      </c>
      <c r="AK3" s="155" t="s">
        <v>512</v>
      </c>
      <c r="AL3" s="155" t="s">
        <v>513</v>
      </c>
      <c r="AM3" s="155" t="s">
        <v>514</v>
      </c>
      <c r="AN3" s="155" t="s">
        <v>515</v>
      </c>
      <c r="AO3" s="155" t="s">
        <v>516</v>
      </c>
      <c r="AP3" s="155" t="s">
        <v>517</v>
      </c>
      <c r="AQ3" s="155" t="s">
        <v>518</v>
      </c>
      <c r="AR3" s="155" t="s">
        <v>519</v>
      </c>
      <c r="AS3" s="155" t="s">
        <v>520</v>
      </c>
    </row>
    <row r="4" spans="1:45" x14ac:dyDescent="0.25">
      <c r="A4" s="156">
        <f t="array" ref="A4:A203">IF(D4:D203="","",IF(INDEX(E1:BZ203,ROW(D4:D203),$A$2)="","",D4:D203))</f>
        <v>42736</v>
      </c>
      <c r="B4" t="s">
        <v>70</v>
      </c>
      <c r="D4" s="150">
        <f>DATE($C$1,1,1)</f>
        <v>42736</v>
      </c>
      <c r="F4" s="97" t="s">
        <v>521</v>
      </c>
      <c r="G4" s="97" t="s">
        <v>521</v>
      </c>
      <c r="H4" s="97" t="s">
        <v>521</v>
      </c>
      <c r="I4" s="97" t="s">
        <v>521</v>
      </c>
      <c r="J4" s="97" t="s">
        <v>521</v>
      </c>
      <c r="K4" s="97" t="s">
        <v>521</v>
      </c>
      <c r="L4" s="97" t="s">
        <v>521</v>
      </c>
      <c r="M4" s="97" t="s">
        <v>521</v>
      </c>
      <c r="N4" s="97" t="s">
        <v>521</v>
      </c>
      <c r="O4" s="97" t="s">
        <v>521</v>
      </c>
      <c r="P4" s="97" t="s">
        <v>521</v>
      </c>
      <c r="Q4" s="97" t="s">
        <v>521</v>
      </c>
      <c r="R4" s="97" t="s">
        <v>521</v>
      </c>
      <c r="S4" s="97" t="s">
        <v>521</v>
      </c>
      <c r="T4" s="97" t="s">
        <v>521</v>
      </c>
      <c r="U4" s="97" t="s">
        <v>521</v>
      </c>
      <c r="V4" s="97" t="s">
        <v>521</v>
      </c>
      <c r="W4" s="97" t="s">
        <v>521</v>
      </c>
      <c r="X4" s="97" t="s">
        <v>521</v>
      </c>
      <c r="Y4" s="97" t="s">
        <v>521</v>
      </c>
      <c r="Z4" s="97" t="s">
        <v>521</v>
      </c>
      <c r="AA4" s="97" t="s">
        <v>521</v>
      </c>
      <c r="AB4" s="97" t="s">
        <v>521</v>
      </c>
      <c r="AC4" s="97" t="s">
        <v>521</v>
      </c>
      <c r="AD4" s="97" t="s">
        <v>521</v>
      </c>
      <c r="AE4" s="97" t="s">
        <v>521</v>
      </c>
      <c r="AF4" s="97" t="s">
        <v>521</v>
      </c>
      <c r="AG4" s="97" t="s">
        <v>521</v>
      </c>
      <c r="AI4" s="97" t="s">
        <v>521</v>
      </c>
      <c r="AJ4" s="97" t="s">
        <v>521</v>
      </c>
      <c r="AK4" s="97" t="s">
        <v>521</v>
      </c>
      <c r="AL4" s="97" t="s">
        <v>521</v>
      </c>
      <c r="AM4" s="97" t="s">
        <v>521</v>
      </c>
      <c r="AN4" s="97" t="s">
        <v>521</v>
      </c>
      <c r="AO4" s="97" t="s">
        <v>521</v>
      </c>
      <c r="AP4" s="97" t="s">
        <v>521</v>
      </c>
      <c r="AQ4" s="97" t="s">
        <v>521</v>
      </c>
      <c r="AR4" s="97" t="s">
        <v>521</v>
      </c>
      <c r="AS4" s="97" t="s">
        <v>521</v>
      </c>
    </row>
    <row r="5" spans="1:45" x14ac:dyDescent="0.25">
      <c r="A5" s="156" t="str">
        <v/>
      </c>
      <c r="B5" t="s">
        <v>522</v>
      </c>
      <c r="D5" s="150">
        <f>D10-2</f>
        <v>42839</v>
      </c>
      <c r="G5" s="97" t="s">
        <v>521</v>
      </c>
      <c r="I5" s="97" t="s">
        <v>521</v>
      </c>
      <c r="J5" s="97" t="s">
        <v>521</v>
      </c>
      <c r="K5" s="97" t="s">
        <v>521</v>
      </c>
      <c r="L5" s="97" t="s">
        <v>521</v>
      </c>
      <c r="R5" s="97" t="s">
        <v>521</v>
      </c>
      <c r="S5" s="97" t="s">
        <v>521</v>
      </c>
      <c r="T5" s="97" t="s">
        <v>521</v>
      </c>
      <c r="U5" s="97" t="s">
        <v>521</v>
      </c>
      <c r="V5" s="97" t="s">
        <v>521</v>
      </c>
      <c r="W5" s="97" t="s">
        <v>521</v>
      </c>
      <c r="X5" s="97" t="s">
        <v>521</v>
      </c>
      <c r="Y5" s="97" t="s">
        <v>521</v>
      </c>
      <c r="Z5" s="97" t="s">
        <v>521</v>
      </c>
      <c r="AA5" s="97" t="s">
        <v>521</v>
      </c>
      <c r="AB5" s="97" t="s">
        <v>521</v>
      </c>
      <c r="AC5" s="97" t="s">
        <v>521</v>
      </c>
      <c r="AD5" s="97" t="s">
        <v>521</v>
      </c>
      <c r="AE5" s="97" t="s">
        <v>521</v>
      </c>
      <c r="AF5" s="97" t="s">
        <v>521</v>
      </c>
      <c r="AG5" s="97" t="s">
        <v>521</v>
      </c>
      <c r="AH5" s="97" t="s">
        <v>521</v>
      </c>
      <c r="AI5" s="97" t="s">
        <v>521</v>
      </c>
      <c r="AJ5" s="97" t="s">
        <v>521</v>
      </c>
      <c r="AK5" s="97" t="s">
        <v>521</v>
      </c>
      <c r="AL5" s="97" t="s">
        <v>521</v>
      </c>
      <c r="AM5" s="97" t="s">
        <v>521</v>
      </c>
      <c r="AO5" s="97" t="s">
        <v>521</v>
      </c>
      <c r="AP5" s="97" t="s">
        <v>521</v>
      </c>
      <c r="AR5" s="97" t="s">
        <v>521</v>
      </c>
      <c r="AS5" s="97" t="s">
        <v>521</v>
      </c>
    </row>
    <row r="6" spans="1:45" x14ac:dyDescent="0.25">
      <c r="A6" s="156" t="str">
        <v/>
      </c>
      <c r="B6" t="s">
        <v>523</v>
      </c>
      <c r="D6" s="150" t="str">
        <f>IF(D7=D10,D7,"")</f>
        <v/>
      </c>
      <c r="F6" s="97" t="s">
        <v>521</v>
      </c>
      <c r="G6" s="97" t="s">
        <v>521</v>
      </c>
      <c r="P6" s="97" t="s">
        <v>521</v>
      </c>
      <c r="Q6" s="97" t="s">
        <v>521</v>
      </c>
      <c r="S6" s="97" t="s">
        <v>521</v>
      </c>
      <c r="T6" s="97" t="s">
        <v>521</v>
      </c>
      <c r="U6" s="97" t="s">
        <v>521</v>
      </c>
      <c r="V6" s="97" t="s">
        <v>521</v>
      </c>
      <c r="W6" s="97" t="s">
        <v>521</v>
      </c>
      <c r="X6" s="97" t="s">
        <v>521</v>
      </c>
      <c r="Y6" s="97" t="s">
        <v>521</v>
      </c>
      <c r="Z6" s="97" t="s">
        <v>521</v>
      </c>
      <c r="AA6" s="97" t="s">
        <v>521</v>
      </c>
      <c r="AB6" s="97" t="s">
        <v>521</v>
      </c>
      <c r="AC6" s="97" t="s">
        <v>521</v>
      </c>
      <c r="AD6" s="97" t="s">
        <v>521</v>
      </c>
      <c r="AE6" s="97" t="s">
        <v>521</v>
      </c>
      <c r="AF6" s="97" t="s">
        <v>521</v>
      </c>
      <c r="AG6" s="97" t="s">
        <v>521</v>
      </c>
      <c r="AH6" s="97" t="s">
        <v>521</v>
      </c>
      <c r="AI6" s="97" t="s">
        <v>521</v>
      </c>
      <c r="AJ6" s="97" t="s">
        <v>521</v>
      </c>
      <c r="AK6" s="97" t="s">
        <v>521</v>
      </c>
      <c r="AL6" s="97" t="s">
        <v>521</v>
      </c>
      <c r="AM6" s="97" t="s">
        <v>521</v>
      </c>
      <c r="AN6" s="97" t="s">
        <v>521</v>
      </c>
      <c r="AO6" s="97" t="s">
        <v>521</v>
      </c>
      <c r="AP6" s="97" t="s">
        <v>521</v>
      </c>
      <c r="AQ6" s="97" t="s">
        <v>521</v>
      </c>
      <c r="AR6" s="97" t="s">
        <v>521</v>
      </c>
      <c r="AS6" s="97" t="s">
        <v>521</v>
      </c>
    </row>
    <row r="7" spans="1:45" x14ac:dyDescent="0.25">
      <c r="A7" s="156">
        <v>42820</v>
      </c>
      <c r="B7" t="s">
        <v>524</v>
      </c>
      <c r="D7" s="150">
        <f>DATE($C$1,4,1)-WEEKDAY(DATE($C$1,3,31))</f>
        <v>42820</v>
      </c>
      <c r="F7" s="97" t="s">
        <v>521</v>
      </c>
      <c r="G7" s="97" t="s">
        <v>521</v>
      </c>
      <c r="P7" s="97" t="s">
        <v>521</v>
      </c>
      <c r="Q7" s="97" t="s">
        <v>521</v>
      </c>
      <c r="S7" s="97" t="s">
        <v>521</v>
      </c>
      <c r="T7" s="97" t="s">
        <v>521</v>
      </c>
      <c r="U7" s="97" t="s">
        <v>521</v>
      </c>
      <c r="V7" s="97" t="s">
        <v>521</v>
      </c>
      <c r="W7" s="97" t="s">
        <v>521</v>
      </c>
      <c r="X7" s="97" t="s">
        <v>521</v>
      </c>
      <c r="Y7" s="97" t="s">
        <v>521</v>
      </c>
      <c r="Z7" s="97" t="s">
        <v>521</v>
      </c>
      <c r="AA7" s="97" t="s">
        <v>521</v>
      </c>
      <c r="AB7" s="97" t="s">
        <v>521</v>
      </c>
      <c r="AC7" s="97" t="s">
        <v>521</v>
      </c>
      <c r="AD7" s="97" t="s">
        <v>521</v>
      </c>
      <c r="AE7" s="97" t="s">
        <v>521</v>
      </c>
      <c r="AF7" s="97" t="s">
        <v>521</v>
      </c>
      <c r="AG7" s="97" t="s">
        <v>521</v>
      </c>
      <c r="AH7" s="97" t="s">
        <v>521</v>
      </c>
      <c r="AI7" s="97" t="s">
        <v>521</v>
      </c>
      <c r="AJ7" s="97" t="s">
        <v>521</v>
      </c>
      <c r="AK7" s="97" t="s">
        <v>521</v>
      </c>
      <c r="AL7" s="97" t="s">
        <v>521</v>
      </c>
      <c r="AM7" s="97" t="s">
        <v>521</v>
      </c>
      <c r="AN7" s="97" t="s">
        <v>521</v>
      </c>
      <c r="AO7" s="97" t="s">
        <v>521</v>
      </c>
      <c r="AP7" s="97" t="s">
        <v>521</v>
      </c>
      <c r="AQ7" s="97" t="s">
        <v>521</v>
      </c>
      <c r="AR7" s="97" t="s">
        <v>521</v>
      </c>
      <c r="AS7" s="97" t="s">
        <v>521</v>
      </c>
    </row>
    <row r="8" spans="1:45" x14ac:dyDescent="0.25">
      <c r="A8" s="156" t="str">
        <v/>
      </c>
      <c r="B8" t="s">
        <v>523</v>
      </c>
      <c r="C8" t="s">
        <v>525</v>
      </c>
      <c r="D8" s="150" t="str">
        <f>IF(D9=D10,D9,"")</f>
        <v/>
      </c>
      <c r="O8" s="97" t="s">
        <v>521</v>
      </c>
      <c r="R8" s="97" t="s">
        <v>521</v>
      </c>
    </row>
    <row r="9" spans="1:45" x14ac:dyDescent="0.25">
      <c r="A9" s="156" t="str">
        <v/>
      </c>
      <c r="B9" t="s">
        <v>524</v>
      </c>
      <c r="C9" t="s">
        <v>525</v>
      </c>
      <c r="D9" s="150">
        <f>DATE($C$1,3,15)-WEEKDAY(DATE($C$1,3,7))</f>
        <v>42806</v>
      </c>
      <c r="O9" s="97" t="s">
        <v>521</v>
      </c>
      <c r="R9" s="97" t="s">
        <v>521</v>
      </c>
    </row>
    <row r="10" spans="1:45" x14ac:dyDescent="0.25">
      <c r="A10" s="156">
        <v>42841</v>
      </c>
      <c r="B10" t="s">
        <v>526</v>
      </c>
      <c r="D10" s="150">
        <f>C220</f>
        <v>42841</v>
      </c>
      <c r="F10" s="97" t="s">
        <v>521</v>
      </c>
      <c r="G10" s="97" t="s">
        <v>521</v>
      </c>
      <c r="H10" s="97" t="s">
        <v>521</v>
      </c>
      <c r="I10" s="97" t="s">
        <v>521</v>
      </c>
      <c r="J10" s="97" t="s">
        <v>521</v>
      </c>
      <c r="K10" s="97" t="s">
        <v>521</v>
      </c>
      <c r="L10" s="97" t="s">
        <v>521</v>
      </c>
      <c r="M10" s="97" t="s">
        <v>521</v>
      </c>
      <c r="N10" s="97" t="s">
        <v>521</v>
      </c>
      <c r="O10" s="97" t="s">
        <v>521</v>
      </c>
      <c r="P10" s="97" t="s">
        <v>521</v>
      </c>
      <c r="Q10" s="97" t="s">
        <v>521</v>
      </c>
      <c r="R10" s="97" t="s">
        <v>521</v>
      </c>
      <c r="S10" s="97" t="s">
        <v>521</v>
      </c>
      <c r="T10" s="97" t="s">
        <v>521</v>
      </c>
      <c r="U10" s="97" t="s">
        <v>521</v>
      </c>
      <c r="V10" s="97" t="s">
        <v>521</v>
      </c>
      <c r="W10" s="97" t="s">
        <v>521</v>
      </c>
      <c r="X10" s="97" t="s">
        <v>521</v>
      </c>
      <c r="Y10" s="97" t="s">
        <v>521</v>
      </c>
      <c r="Z10" s="97" t="s">
        <v>521</v>
      </c>
      <c r="AA10" s="97" t="s">
        <v>521</v>
      </c>
      <c r="AB10" s="97" t="s">
        <v>521</v>
      </c>
      <c r="AC10" s="97" t="s">
        <v>521</v>
      </c>
      <c r="AD10" s="97" t="s">
        <v>521</v>
      </c>
      <c r="AE10" s="97" t="s">
        <v>521</v>
      </c>
      <c r="AF10" s="97" t="s">
        <v>521</v>
      </c>
      <c r="AG10" s="97" t="s">
        <v>521</v>
      </c>
      <c r="AH10" s="97" t="s">
        <v>521</v>
      </c>
      <c r="AI10" s="97" t="s">
        <v>521</v>
      </c>
      <c r="AJ10" s="97" t="s">
        <v>521</v>
      </c>
      <c r="AK10" s="97" t="s">
        <v>521</v>
      </c>
      <c r="AL10" s="97" t="s">
        <v>521</v>
      </c>
      <c r="AM10" s="97" t="s">
        <v>521</v>
      </c>
      <c r="AN10" s="97" t="s">
        <v>521</v>
      </c>
      <c r="AO10" s="97" t="s">
        <v>521</v>
      </c>
      <c r="AP10" s="97" t="s">
        <v>521</v>
      </c>
      <c r="AQ10" s="97" t="s">
        <v>521</v>
      </c>
      <c r="AR10" s="97" t="s">
        <v>521</v>
      </c>
      <c r="AS10" s="97" t="s">
        <v>521</v>
      </c>
    </row>
    <row r="11" spans="1:45" x14ac:dyDescent="0.25">
      <c r="A11" s="156">
        <v>42842</v>
      </c>
      <c r="B11" s="157" t="s">
        <v>527</v>
      </c>
      <c r="C11" t="s">
        <v>528</v>
      </c>
      <c r="D11" s="150">
        <f>D10+1</f>
        <v>42842</v>
      </c>
      <c r="F11" s="97" t="s">
        <v>521</v>
      </c>
      <c r="G11" s="97" t="s">
        <v>521</v>
      </c>
      <c r="H11" s="97" t="s">
        <v>521</v>
      </c>
      <c r="I11" s="97" t="s">
        <v>521</v>
      </c>
      <c r="J11" s="97" t="s">
        <v>521</v>
      </c>
      <c r="K11" s="97" t="s">
        <v>521</v>
      </c>
      <c r="L11" s="97" t="s">
        <v>521</v>
      </c>
      <c r="M11" s="97" t="s">
        <v>521</v>
      </c>
      <c r="N11" s="97" t="s">
        <v>521</v>
      </c>
      <c r="O11" s="97" t="s">
        <v>521</v>
      </c>
      <c r="P11" s="97" t="s">
        <v>521</v>
      </c>
      <c r="Q11" s="97" t="s">
        <v>521</v>
      </c>
      <c r="R11" s="97" t="s">
        <v>521</v>
      </c>
      <c r="T11" s="97" t="s">
        <v>521</v>
      </c>
      <c r="U11" s="97" t="s">
        <v>521</v>
      </c>
      <c r="V11" s="97" t="s">
        <v>521</v>
      </c>
      <c r="W11" s="97" t="s">
        <v>521</v>
      </c>
      <c r="X11" s="97" t="s">
        <v>521</v>
      </c>
      <c r="Y11" s="97" t="s">
        <v>521</v>
      </c>
      <c r="AA11" s="97" t="s">
        <v>521</v>
      </c>
      <c r="AB11" s="97" t="s">
        <v>521</v>
      </c>
      <c r="AC11" s="97" t="s">
        <v>521</v>
      </c>
      <c r="AD11" s="97" t="s">
        <v>521</v>
      </c>
      <c r="AI11" s="97" t="s">
        <v>521</v>
      </c>
      <c r="AJ11" s="97" t="s">
        <v>521</v>
      </c>
      <c r="AM11" s="97" t="s">
        <v>521</v>
      </c>
      <c r="AN11" s="97" t="s">
        <v>521</v>
      </c>
      <c r="AP11" s="97" t="s">
        <v>521</v>
      </c>
      <c r="AS11" s="97" t="s">
        <v>521</v>
      </c>
    </row>
    <row r="12" spans="1:45" x14ac:dyDescent="0.25">
      <c r="A12" s="156">
        <v>42880</v>
      </c>
      <c r="B12" t="s">
        <v>529</v>
      </c>
      <c r="D12" s="150">
        <f>D13-10</f>
        <v>42880</v>
      </c>
      <c r="F12" s="97" t="s">
        <v>521</v>
      </c>
      <c r="G12" s="97" t="s">
        <v>521</v>
      </c>
      <c r="H12" s="97" t="s">
        <v>521</v>
      </c>
      <c r="I12" s="97" t="s">
        <v>521</v>
      </c>
      <c r="J12" s="97" t="s">
        <v>521</v>
      </c>
      <c r="K12" s="97" t="s">
        <v>521</v>
      </c>
      <c r="L12" s="97" t="s">
        <v>521</v>
      </c>
      <c r="M12" s="97" t="s">
        <v>521</v>
      </c>
      <c r="N12" s="97" t="s">
        <v>521</v>
      </c>
      <c r="O12" s="97" t="s">
        <v>521</v>
      </c>
      <c r="P12" s="97" t="s">
        <v>521</v>
      </c>
      <c r="Q12" s="97" t="s">
        <v>521</v>
      </c>
      <c r="S12" s="97" t="s">
        <v>521</v>
      </c>
      <c r="T12" s="97" t="s">
        <v>521</v>
      </c>
      <c r="U12" s="97" t="s">
        <v>521</v>
      </c>
      <c r="V12" s="97" t="s">
        <v>521</v>
      </c>
      <c r="W12" s="97" t="s">
        <v>521</v>
      </c>
      <c r="X12" s="97" t="s">
        <v>521</v>
      </c>
      <c r="Y12" s="97" t="s">
        <v>521</v>
      </c>
      <c r="Z12" s="97" t="s">
        <v>521</v>
      </c>
      <c r="AA12" s="97" t="s">
        <v>521</v>
      </c>
      <c r="AB12" s="97" t="s">
        <v>521</v>
      </c>
      <c r="AC12" s="97" t="s">
        <v>521</v>
      </c>
      <c r="AD12" s="97" t="s">
        <v>521</v>
      </c>
      <c r="AE12" s="97" t="s">
        <v>521</v>
      </c>
      <c r="AF12" s="97" t="s">
        <v>521</v>
      </c>
      <c r="AG12" s="97" t="s">
        <v>521</v>
      </c>
      <c r="AH12" s="97" t="s">
        <v>521</v>
      </c>
      <c r="AI12" s="97" t="s">
        <v>521</v>
      </c>
      <c r="AJ12" s="97" t="s">
        <v>521</v>
      </c>
      <c r="AK12" s="97" t="s">
        <v>521</v>
      </c>
      <c r="AL12" s="97" t="s">
        <v>521</v>
      </c>
      <c r="AM12" s="97" t="s">
        <v>521</v>
      </c>
      <c r="AN12" s="97" t="s">
        <v>521</v>
      </c>
      <c r="AO12" s="97" t="s">
        <v>521</v>
      </c>
      <c r="AP12" s="97" t="s">
        <v>521</v>
      </c>
      <c r="AQ12" s="97" t="s">
        <v>521</v>
      </c>
      <c r="AR12" s="97" t="s">
        <v>521</v>
      </c>
      <c r="AS12" s="97" t="s">
        <v>521</v>
      </c>
    </row>
    <row r="13" spans="1:45" x14ac:dyDescent="0.25">
      <c r="A13" s="156">
        <v>42890</v>
      </c>
      <c r="B13" t="s">
        <v>530</v>
      </c>
      <c r="D13" s="150">
        <f>D10+49</f>
        <v>42890</v>
      </c>
      <c r="F13" s="97" t="s">
        <v>521</v>
      </c>
      <c r="G13" s="97" t="s">
        <v>521</v>
      </c>
      <c r="H13" s="97" t="s">
        <v>521</v>
      </c>
      <c r="I13" s="97" t="s">
        <v>521</v>
      </c>
      <c r="J13" s="97" t="s">
        <v>521</v>
      </c>
      <c r="K13" s="97" t="s">
        <v>521</v>
      </c>
      <c r="L13" s="97" t="s">
        <v>521</v>
      </c>
      <c r="M13" s="97" t="s">
        <v>521</v>
      </c>
      <c r="N13" s="97" t="s">
        <v>521</v>
      </c>
      <c r="O13" s="97" t="s">
        <v>521</v>
      </c>
      <c r="P13" s="97" t="s">
        <v>521</v>
      </c>
      <c r="Q13" s="97" t="s">
        <v>521</v>
      </c>
      <c r="S13" s="97" t="s">
        <v>521</v>
      </c>
      <c r="T13" s="97" t="s">
        <v>521</v>
      </c>
      <c r="U13" s="97" t="s">
        <v>521</v>
      </c>
      <c r="V13" s="97" t="s">
        <v>521</v>
      </c>
      <c r="W13" s="97" t="s">
        <v>521</v>
      </c>
      <c r="X13" s="97" t="s">
        <v>521</v>
      </c>
      <c r="Y13" s="97" t="s">
        <v>521</v>
      </c>
      <c r="Z13" s="97" t="s">
        <v>521</v>
      </c>
      <c r="AA13" s="97" t="s">
        <v>521</v>
      </c>
      <c r="AB13" s="97" t="s">
        <v>521</v>
      </c>
      <c r="AC13" s="97" t="s">
        <v>521</v>
      </c>
      <c r="AD13" s="97" t="s">
        <v>521</v>
      </c>
      <c r="AE13" s="97" t="s">
        <v>521</v>
      </c>
      <c r="AF13" s="97" t="s">
        <v>521</v>
      </c>
      <c r="AG13" s="97" t="s">
        <v>521</v>
      </c>
      <c r="AH13" s="97" t="s">
        <v>521</v>
      </c>
      <c r="AI13" s="97" t="s">
        <v>521</v>
      </c>
      <c r="AJ13" s="97" t="s">
        <v>521</v>
      </c>
      <c r="AK13" s="97" t="s">
        <v>521</v>
      </c>
      <c r="AL13" s="97" t="s">
        <v>521</v>
      </c>
      <c r="AM13" s="97" t="s">
        <v>521</v>
      </c>
      <c r="AN13" s="97" t="s">
        <v>521</v>
      </c>
      <c r="AO13" s="97" t="s">
        <v>521</v>
      </c>
      <c r="AP13" s="97" t="s">
        <v>521</v>
      </c>
      <c r="AQ13" s="97" t="s">
        <v>521</v>
      </c>
      <c r="AR13" s="97" t="s">
        <v>521</v>
      </c>
      <c r="AS13" s="97" t="s">
        <v>521</v>
      </c>
    </row>
    <row r="14" spans="1:45" x14ac:dyDescent="0.25">
      <c r="A14" s="156">
        <v>42891</v>
      </c>
      <c r="B14" s="157" t="s">
        <v>527</v>
      </c>
      <c r="C14" t="s">
        <v>531</v>
      </c>
      <c r="D14" s="150">
        <f>D13+1</f>
        <v>42891</v>
      </c>
      <c r="F14" s="97" t="s">
        <v>521</v>
      </c>
      <c r="G14" s="97" t="s">
        <v>521</v>
      </c>
      <c r="H14" s="97" t="s">
        <v>521</v>
      </c>
      <c r="I14" s="97" t="s">
        <v>521</v>
      </c>
      <c r="J14" s="97" t="s">
        <v>521</v>
      </c>
      <c r="K14" s="97" t="s">
        <v>521</v>
      </c>
      <c r="L14" s="97" t="s">
        <v>521</v>
      </c>
      <c r="M14" s="97" t="s">
        <v>521</v>
      </c>
      <c r="N14" s="97" t="s">
        <v>521</v>
      </c>
      <c r="O14" s="97" t="s">
        <v>521</v>
      </c>
      <c r="P14" s="97" t="s">
        <v>521</v>
      </c>
      <c r="Q14" s="97" t="s">
        <v>521</v>
      </c>
      <c r="S14" s="97" t="s">
        <v>521</v>
      </c>
      <c r="T14" s="97" t="s">
        <v>521</v>
      </c>
      <c r="U14" s="97" t="s">
        <v>521</v>
      </c>
      <c r="V14" s="97" t="s">
        <v>521</v>
      </c>
      <c r="W14" s="97" t="s">
        <v>521</v>
      </c>
      <c r="X14" s="97" t="s">
        <v>521</v>
      </c>
      <c r="Y14" s="97" t="s">
        <v>521</v>
      </c>
      <c r="AA14" s="97" t="s">
        <v>521</v>
      </c>
      <c r="AC14" s="97" t="s">
        <v>521</v>
      </c>
      <c r="AD14" s="97" t="s">
        <v>521</v>
      </c>
      <c r="AI14" s="97" t="s">
        <v>521</v>
      </c>
      <c r="AJ14" s="97" t="s">
        <v>521</v>
      </c>
      <c r="AM14" s="97" t="s">
        <v>521</v>
      </c>
      <c r="AS14" s="97" t="s">
        <v>521</v>
      </c>
    </row>
    <row r="15" spans="1:45" x14ac:dyDescent="0.25">
      <c r="A15" s="156">
        <v>42856</v>
      </c>
      <c r="B15" t="s">
        <v>532</v>
      </c>
      <c r="D15" s="150">
        <f>DATE($C$1,5,1)</f>
        <v>42856</v>
      </c>
      <c r="F15" s="97" t="s">
        <v>521</v>
      </c>
      <c r="G15" s="97" t="s">
        <v>521</v>
      </c>
      <c r="H15" s="97" t="s">
        <v>521</v>
      </c>
      <c r="I15" s="97" t="s">
        <v>521</v>
      </c>
      <c r="J15" s="97" t="s">
        <v>521</v>
      </c>
      <c r="K15" s="97" t="s">
        <v>521</v>
      </c>
      <c r="L15" s="97" t="s">
        <v>521</v>
      </c>
      <c r="M15" s="97" t="s">
        <v>521</v>
      </c>
      <c r="N15" s="97" t="s">
        <v>521</v>
      </c>
      <c r="O15" s="97" t="s">
        <v>521</v>
      </c>
      <c r="P15" s="97" t="s">
        <v>521</v>
      </c>
      <c r="Q15" s="97" t="s">
        <v>521</v>
      </c>
      <c r="X15" s="97" t="s">
        <v>521</v>
      </c>
      <c r="Y15" s="97" t="s">
        <v>521</v>
      </c>
      <c r="AD15" s="97" t="s">
        <v>521</v>
      </c>
      <c r="AK15" s="97" t="s">
        <v>521</v>
      </c>
      <c r="AS15" s="97" t="s">
        <v>521</v>
      </c>
    </row>
    <row r="16" spans="1:45" x14ac:dyDescent="0.25">
      <c r="A16" s="156">
        <v>42863</v>
      </c>
      <c r="B16" t="s">
        <v>533</v>
      </c>
      <c r="D16" s="150">
        <f>DATE($C$1,5,8)</f>
        <v>42863</v>
      </c>
      <c r="F16" s="97" t="s">
        <v>521</v>
      </c>
      <c r="G16" s="97" t="s">
        <v>521</v>
      </c>
      <c r="H16" s="97" t="s">
        <v>521</v>
      </c>
      <c r="I16" s="97" t="s">
        <v>521</v>
      </c>
      <c r="J16" s="97" t="s">
        <v>521</v>
      </c>
      <c r="K16" s="97" t="s">
        <v>521</v>
      </c>
      <c r="L16" s="97" t="s">
        <v>521</v>
      </c>
      <c r="M16" s="97" t="s">
        <v>521</v>
      </c>
      <c r="N16" s="97" t="s">
        <v>521</v>
      </c>
      <c r="O16" s="97" t="s">
        <v>521</v>
      </c>
    </row>
    <row r="17" spans="1:45" x14ac:dyDescent="0.25">
      <c r="A17" s="156">
        <v>42930</v>
      </c>
      <c r="B17" t="s">
        <v>534</v>
      </c>
      <c r="C17" t="s">
        <v>481</v>
      </c>
      <c r="D17" s="150">
        <f>DATE($C$1,7,14)</f>
        <v>42930</v>
      </c>
      <c r="F17" s="97" t="s">
        <v>521</v>
      </c>
      <c r="G17" s="97" t="s">
        <v>521</v>
      </c>
      <c r="H17" s="97" t="s">
        <v>521</v>
      </c>
      <c r="I17" s="97" t="s">
        <v>521</v>
      </c>
      <c r="J17" s="97" t="s">
        <v>521</v>
      </c>
      <c r="K17" s="97" t="s">
        <v>521</v>
      </c>
      <c r="L17" s="97" t="s">
        <v>521</v>
      </c>
      <c r="M17" s="97" t="s">
        <v>521</v>
      </c>
      <c r="N17" s="97" t="s">
        <v>521</v>
      </c>
      <c r="O17" s="97" t="s">
        <v>521</v>
      </c>
    </row>
    <row r="18" spans="1:45" x14ac:dyDescent="0.25">
      <c r="A18" s="156">
        <v>42962</v>
      </c>
      <c r="B18" t="s">
        <v>294</v>
      </c>
      <c r="D18" s="150">
        <f>DATE($C$1,8,15)</f>
        <v>42962</v>
      </c>
      <c r="F18" s="97" t="s">
        <v>521</v>
      </c>
      <c r="G18" s="97" t="s">
        <v>521</v>
      </c>
      <c r="H18" s="97" t="s">
        <v>521</v>
      </c>
      <c r="I18" s="97" t="s">
        <v>521</v>
      </c>
      <c r="J18" s="97" t="s">
        <v>521</v>
      </c>
      <c r="K18" s="97" t="s">
        <v>521</v>
      </c>
      <c r="L18" s="97" t="s">
        <v>521</v>
      </c>
      <c r="M18" s="97" t="s">
        <v>521</v>
      </c>
      <c r="N18" s="97" t="s">
        <v>521</v>
      </c>
      <c r="O18" s="97" t="s">
        <v>521</v>
      </c>
      <c r="P18" s="97" t="s">
        <v>521</v>
      </c>
      <c r="Q18" s="97" t="s">
        <v>521</v>
      </c>
      <c r="T18" s="97" t="s">
        <v>521</v>
      </c>
      <c r="Z18" s="97" t="s">
        <v>521</v>
      </c>
      <c r="AE18" s="97" t="s">
        <v>521</v>
      </c>
      <c r="AG18" s="97" t="s">
        <v>521</v>
      </c>
      <c r="AH18" s="97" t="s">
        <v>521</v>
      </c>
      <c r="AK18" s="97" t="s">
        <v>521</v>
      </c>
      <c r="AL18" s="97" t="s">
        <v>521</v>
      </c>
      <c r="AN18" s="97" t="s">
        <v>521</v>
      </c>
      <c r="AO18" s="97" t="s">
        <v>521</v>
      </c>
      <c r="AQ18" s="97" t="s">
        <v>521</v>
      </c>
      <c r="AR18" s="97" t="s">
        <v>521</v>
      </c>
    </row>
    <row r="19" spans="1:45" x14ac:dyDescent="0.25">
      <c r="A19" s="156">
        <v>43037</v>
      </c>
      <c r="B19" t="s">
        <v>535</v>
      </c>
      <c r="D19" s="150">
        <f>DATE($C$1,11,1)-WEEKDAY(DATE($C$1,10,31))</f>
        <v>43037</v>
      </c>
      <c r="F19" s="97" t="s">
        <v>521</v>
      </c>
      <c r="G19" s="97" t="s">
        <v>521</v>
      </c>
      <c r="P19" s="97" t="s">
        <v>521</v>
      </c>
      <c r="Q19" s="97" t="s">
        <v>521</v>
      </c>
      <c r="S19" s="97" t="s">
        <v>521</v>
      </c>
      <c r="T19" s="97" t="s">
        <v>521</v>
      </c>
      <c r="U19" s="97" t="s">
        <v>521</v>
      </c>
      <c r="V19" s="97" t="s">
        <v>521</v>
      </c>
      <c r="W19" s="97" t="s">
        <v>521</v>
      </c>
      <c r="X19" s="97" t="s">
        <v>521</v>
      </c>
      <c r="Y19" s="97" t="s">
        <v>521</v>
      </c>
      <c r="Z19" s="97" t="s">
        <v>521</v>
      </c>
      <c r="AA19" s="97" t="s">
        <v>521</v>
      </c>
      <c r="AB19" s="97" t="s">
        <v>521</v>
      </c>
      <c r="AC19" s="97" t="s">
        <v>521</v>
      </c>
      <c r="AD19" s="97" t="s">
        <v>521</v>
      </c>
      <c r="AE19" s="97" t="s">
        <v>521</v>
      </c>
      <c r="AF19" s="97" t="s">
        <v>521</v>
      </c>
      <c r="AG19" s="97" t="s">
        <v>521</v>
      </c>
      <c r="AH19" s="97" t="s">
        <v>521</v>
      </c>
      <c r="AI19" s="97" t="s">
        <v>521</v>
      </c>
      <c r="AJ19" s="97" t="s">
        <v>521</v>
      </c>
      <c r="AK19" s="97" t="s">
        <v>521</v>
      </c>
      <c r="AL19" s="97" t="s">
        <v>521</v>
      </c>
      <c r="AM19" s="97" t="s">
        <v>521</v>
      </c>
      <c r="AN19" s="97" t="s">
        <v>521</v>
      </c>
      <c r="AO19" s="97" t="s">
        <v>521</v>
      </c>
      <c r="AP19" s="97" t="s">
        <v>521</v>
      </c>
      <c r="AQ19" s="97" t="s">
        <v>521</v>
      </c>
      <c r="AR19" s="97" t="s">
        <v>521</v>
      </c>
      <c r="AS19" s="97" t="s">
        <v>521</v>
      </c>
    </row>
    <row r="20" spans="1:45" x14ac:dyDescent="0.25">
      <c r="A20" s="156">
        <v>43040</v>
      </c>
      <c r="B20" t="s">
        <v>21</v>
      </c>
      <c r="D20" s="150">
        <f>DATE($C$1,11,1)</f>
        <v>43040</v>
      </c>
      <c r="F20" s="97" t="s">
        <v>521</v>
      </c>
      <c r="G20" s="97" t="s">
        <v>521</v>
      </c>
      <c r="H20" s="97" t="s">
        <v>521</v>
      </c>
      <c r="I20" s="97" t="s">
        <v>521</v>
      </c>
      <c r="J20" s="97" t="s">
        <v>521</v>
      </c>
      <c r="K20" s="97" t="s">
        <v>521</v>
      </c>
      <c r="L20" s="97" t="s">
        <v>521</v>
      </c>
      <c r="M20" s="97" t="s">
        <v>521</v>
      </c>
      <c r="N20" s="97" t="s">
        <v>521</v>
      </c>
      <c r="O20" s="97" t="s">
        <v>521</v>
      </c>
      <c r="P20" s="97" t="s">
        <v>521</v>
      </c>
      <c r="Q20" s="97" t="s">
        <v>521</v>
      </c>
      <c r="T20" s="97" t="s">
        <v>521</v>
      </c>
      <c r="Z20" s="97" t="s">
        <v>521</v>
      </c>
      <c r="AB20" s="97" t="s">
        <v>521</v>
      </c>
      <c r="AE20" s="97" t="s">
        <v>521</v>
      </c>
      <c r="AG20" s="97" t="s">
        <v>521</v>
      </c>
      <c r="AH20" s="97" t="s">
        <v>521</v>
      </c>
      <c r="AI20" s="97" t="s">
        <v>521</v>
      </c>
      <c r="AK20" s="97" t="s">
        <v>521</v>
      </c>
      <c r="AL20" s="97" t="s">
        <v>521</v>
      </c>
      <c r="AN20" s="97" t="s">
        <v>521</v>
      </c>
      <c r="AO20" s="97" t="s">
        <v>521</v>
      </c>
      <c r="AQ20" s="97" t="s">
        <v>521</v>
      </c>
      <c r="AR20" s="97" t="s">
        <v>521</v>
      </c>
    </row>
    <row r="21" spans="1:45" x14ac:dyDescent="0.25">
      <c r="A21" s="156">
        <v>43050</v>
      </c>
      <c r="B21" t="s">
        <v>380</v>
      </c>
      <c r="D21" s="150">
        <f>DATE($C$1,11,11)</f>
        <v>43050</v>
      </c>
      <c r="F21" s="97" t="s">
        <v>521</v>
      </c>
      <c r="G21" s="97" t="s">
        <v>521</v>
      </c>
      <c r="H21" s="97" t="s">
        <v>521</v>
      </c>
      <c r="I21" s="97" t="s">
        <v>521</v>
      </c>
      <c r="J21" s="97" t="s">
        <v>521</v>
      </c>
      <c r="K21" s="97" t="s">
        <v>521</v>
      </c>
      <c r="L21" s="97" t="s">
        <v>521</v>
      </c>
      <c r="M21" s="97" t="s">
        <v>521</v>
      </c>
      <c r="N21" s="97" t="s">
        <v>521</v>
      </c>
      <c r="O21" s="97" t="s">
        <v>521</v>
      </c>
      <c r="P21" s="97" t="s">
        <v>521</v>
      </c>
    </row>
    <row r="22" spans="1:45" x14ac:dyDescent="0.25">
      <c r="A22" s="156">
        <v>43094</v>
      </c>
      <c r="B22" t="s">
        <v>13</v>
      </c>
      <c r="D22" s="150">
        <f>DATE($C$1,12,25)</f>
        <v>43094</v>
      </c>
      <c r="F22" s="97" t="s">
        <v>521</v>
      </c>
      <c r="G22" s="97" t="s">
        <v>521</v>
      </c>
      <c r="H22" s="97" t="s">
        <v>521</v>
      </c>
      <c r="I22" s="97" t="s">
        <v>521</v>
      </c>
      <c r="J22" s="97" t="s">
        <v>521</v>
      </c>
      <c r="K22" s="97" t="s">
        <v>521</v>
      </c>
      <c r="L22" s="97" t="s">
        <v>521</v>
      </c>
      <c r="M22" s="97" t="s">
        <v>521</v>
      </c>
      <c r="N22" s="97" t="s">
        <v>521</v>
      </c>
      <c r="O22" s="97" t="s">
        <v>521</v>
      </c>
      <c r="P22" s="97" t="s">
        <v>521</v>
      </c>
      <c r="Q22" s="97" t="s">
        <v>521</v>
      </c>
      <c r="R22" s="97" t="s">
        <v>521</v>
      </c>
      <c r="S22" s="97" t="s">
        <v>521</v>
      </c>
      <c r="T22" s="97" t="s">
        <v>521</v>
      </c>
      <c r="U22" s="97" t="s">
        <v>521</v>
      </c>
      <c r="V22" s="97" t="s">
        <v>521</v>
      </c>
      <c r="W22" s="97" t="s">
        <v>521</v>
      </c>
      <c r="X22" s="97" t="s">
        <v>521</v>
      </c>
      <c r="Y22" s="97" t="s">
        <v>521</v>
      </c>
      <c r="Z22" s="97" t="s">
        <v>521</v>
      </c>
      <c r="AA22" s="97" t="s">
        <v>521</v>
      </c>
      <c r="AB22" s="97" t="s">
        <v>521</v>
      </c>
      <c r="AC22" s="97" t="s">
        <v>521</v>
      </c>
      <c r="AD22" s="97" t="s">
        <v>521</v>
      </c>
      <c r="AE22" s="97" t="s">
        <v>521</v>
      </c>
      <c r="AF22" s="97" t="s">
        <v>521</v>
      </c>
      <c r="AG22" s="97" t="s">
        <v>521</v>
      </c>
      <c r="AH22" s="97" t="s">
        <v>521</v>
      </c>
      <c r="AI22" s="97" t="s">
        <v>521</v>
      </c>
      <c r="AJ22" s="97" t="s">
        <v>521</v>
      </c>
      <c r="AK22" s="97" t="s">
        <v>521</v>
      </c>
      <c r="AL22" s="97" t="s">
        <v>521</v>
      </c>
      <c r="AM22" s="97" t="s">
        <v>521</v>
      </c>
      <c r="AN22" s="97" t="s">
        <v>521</v>
      </c>
      <c r="AO22" s="97" t="s">
        <v>521</v>
      </c>
      <c r="AP22" s="97" t="s">
        <v>521</v>
      </c>
      <c r="AQ22" s="97" t="s">
        <v>521</v>
      </c>
      <c r="AR22" s="97" t="s">
        <v>521</v>
      </c>
      <c r="AS22" s="97" t="s">
        <v>521</v>
      </c>
    </row>
    <row r="23" spans="1:45" x14ac:dyDescent="0.25">
      <c r="A23" s="156" t="str">
        <v/>
      </c>
      <c r="B23" t="s">
        <v>536</v>
      </c>
      <c r="D23" s="150">
        <f>D22+1</f>
        <v>43095</v>
      </c>
      <c r="G23" s="97" t="s">
        <v>521</v>
      </c>
      <c r="Q23" s="97" t="s">
        <v>521</v>
      </c>
      <c r="T23" s="97" t="s">
        <v>521</v>
      </c>
      <c r="U23" s="97" t="s">
        <v>521</v>
      </c>
      <c r="V23" s="97" t="s">
        <v>521</v>
      </c>
      <c r="W23" s="97" t="s">
        <v>521</v>
      </c>
      <c r="X23" s="97" t="s">
        <v>521</v>
      </c>
      <c r="Y23" s="97" t="s">
        <v>521</v>
      </c>
      <c r="AB23" s="97" t="s">
        <v>521</v>
      </c>
      <c r="AC23" s="97" t="s">
        <v>521</v>
      </c>
      <c r="AE23" s="97" t="s">
        <v>521</v>
      </c>
      <c r="AF23" s="97" t="s">
        <v>521</v>
      </c>
      <c r="AI23" s="97" t="s">
        <v>521</v>
      </c>
      <c r="AJ23" s="97" t="s">
        <v>521</v>
      </c>
      <c r="AM23" s="97" t="s">
        <v>521</v>
      </c>
      <c r="AN23" s="97" t="s">
        <v>521</v>
      </c>
      <c r="AS23" s="97" t="s">
        <v>521</v>
      </c>
    </row>
    <row r="24" spans="1:45" x14ac:dyDescent="0.25">
      <c r="A24" s="156" t="str">
        <v/>
      </c>
      <c r="B24" t="s">
        <v>537</v>
      </c>
      <c r="C24" t="s">
        <v>483</v>
      </c>
      <c r="D24" s="150">
        <f>DATE($C$1,12,20)</f>
        <v>43089</v>
      </c>
      <c r="H24" s="97" t="s">
        <v>521</v>
      </c>
    </row>
    <row r="25" spans="1:45" x14ac:dyDescent="0.25">
      <c r="A25" s="156" t="str">
        <v/>
      </c>
      <c r="B25" t="s">
        <v>534</v>
      </c>
      <c r="C25" t="s">
        <v>491</v>
      </c>
      <c r="D25" s="150">
        <f>DATE($C$1,7,21)</f>
        <v>42937</v>
      </c>
      <c r="P25" s="97" t="s">
        <v>521</v>
      </c>
    </row>
    <row r="26" spans="1:45" x14ac:dyDescent="0.25">
      <c r="A26" s="156" t="str">
        <v/>
      </c>
      <c r="B26" t="s">
        <v>534</v>
      </c>
      <c r="C26" t="s">
        <v>492</v>
      </c>
      <c r="D26" s="150">
        <f>DATE($C$1,6,23)</f>
        <v>42909</v>
      </c>
      <c r="Q26" s="97" t="s">
        <v>521</v>
      </c>
    </row>
    <row r="27" spans="1:45" x14ac:dyDescent="0.25">
      <c r="A27" s="156" t="str">
        <v/>
      </c>
      <c r="B27" t="s">
        <v>534</v>
      </c>
      <c r="C27" t="s">
        <v>493</v>
      </c>
      <c r="D27" s="150">
        <f>DATE($C$1,6,24)</f>
        <v>42910</v>
      </c>
      <c r="R27" s="97" t="s">
        <v>521</v>
      </c>
    </row>
    <row r="28" spans="1:45" x14ac:dyDescent="0.25">
      <c r="A28" s="156" t="str">
        <v/>
      </c>
      <c r="B28" t="s">
        <v>532</v>
      </c>
      <c r="C28" t="s">
        <v>525</v>
      </c>
      <c r="D28" s="150">
        <f>DATE($C$1,9,8)-WEEKDAY(DATE($C$1,9,6))</f>
        <v>42982</v>
      </c>
      <c r="R28" s="97" t="s">
        <v>521</v>
      </c>
    </row>
    <row r="29" spans="1:45" x14ac:dyDescent="0.25">
      <c r="A29" s="156">
        <v>42883</v>
      </c>
      <c r="B29" t="s">
        <v>538</v>
      </c>
      <c r="D29" s="150">
        <f>DATE($C$1,6,1)-WEEKDAY(DATE($C$1,5,31))</f>
        <v>42883</v>
      </c>
      <c r="F29" s="97" t="s">
        <v>521</v>
      </c>
      <c r="G29" s="97" t="s">
        <v>521</v>
      </c>
      <c r="H29" s="97" t="s">
        <v>521</v>
      </c>
      <c r="I29" s="97" t="s">
        <v>521</v>
      </c>
      <c r="J29" s="97" t="s">
        <v>521</v>
      </c>
      <c r="K29" s="97" t="s">
        <v>521</v>
      </c>
      <c r="L29" s="97" t="s">
        <v>521</v>
      </c>
      <c r="M29" s="97" t="s">
        <v>521</v>
      </c>
      <c r="N29" s="97" t="s">
        <v>521</v>
      </c>
      <c r="O29" s="97" t="s">
        <v>521</v>
      </c>
    </row>
    <row r="30" spans="1:45" x14ac:dyDescent="0.25">
      <c r="A30" s="156" t="str">
        <v/>
      </c>
      <c r="B30" t="s">
        <v>538</v>
      </c>
      <c r="D30" s="150" t="str">
        <f>IF(D29=D13,D29+7,"")</f>
        <v/>
      </c>
      <c r="F30" s="97" t="s">
        <v>521</v>
      </c>
      <c r="G30" s="97" t="s">
        <v>521</v>
      </c>
      <c r="H30" s="97" t="s">
        <v>521</v>
      </c>
      <c r="I30" s="97" t="s">
        <v>521</v>
      </c>
      <c r="J30" s="97" t="s">
        <v>521</v>
      </c>
      <c r="K30" s="97" t="s">
        <v>521</v>
      </c>
      <c r="L30" s="97" t="s">
        <v>521</v>
      </c>
      <c r="M30" s="97" t="s">
        <v>521</v>
      </c>
      <c r="N30" s="97" t="s">
        <v>521</v>
      </c>
      <c r="O30" s="97" t="s">
        <v>521</v>
      </c>
    </row>
    <row r="31" spans="1:45" x14ac:dyDescent="0.25">
      <c r="A31" s="156" t="str">
        <v/>
      </c>
      <c r="B31" t="s">
        <v>539</v>
      </c>
      <c r="D31" s="150">
        <f>DATE($C$1,6,22)-WEEKDAY(DATE($C$1,6,7))</f>
        <v>42904</v>
      </c>
    </row>
    <row r="32" spans="1:45" x14ac:dyDescent="0.25">
      <c r="A32" s="156" t="str">
        <v/>
      </c>
      <c r="B32" t="s">
        <v>540</v>
      </c>
      <c r="D32" s="150">
        <f>DATE($C$1,3,8)-WEEKDAY(DATE($C$1,3,7))</f>
        <v>42799</v>
      </c>
    </row>
    <row r="33" spans="1:44" x14ac:dyDescent="0.25">
      <c r="A33" s="156" t="str">
        <v/>
      </c>
      <c r="B33" t="s">
        <v>541</v>
      </c>
      <c r="C33" t="s">
        <v>542</v>
      </c>
      <c r="D33" s="150">
        <f>DATE($C$1,1,9)-WEEKDAY(DATE($C$1,1,8))</f>
        <v>42743</v>
      </c>
    </row>
    <row r="34" spans="1:44" x14ac:dyDescent="0.25">
      <c r="A34" s="156" t="str">
        <v/>
      </c>
      <c r="B34" t="s">
        <v>541</v>
      </c>
      <c r="C34" t="s">
        <v>543</v>
      </c>
      <c r="D34" s="150">
        <f>DATE($C$1,1,6)</f>
        <v>42741</v>
      </c>
      <c r="AN34" s="97" t="s">
        <v>521</v>
      </c>
    </row>
    <row r="35" spans="1:44" x14ac:dyDescent="0.25">
      <c r="A35" s="156" t="str">
        <v/>
      </c>
      <c r="B35" t="s">
        <v>544</v>
      </c>
      <c r="D35" s="150">
        <f>D10+60</f>
        <v>42901</v>
      </c>
      <c r="T35" s="97" t="s">
        <v>521</v>
      </c>
      <c r="U35" s="97" t="s">
        <v>521</v>
      </c>
      <c r="Z35" s="97" t="s">
        <v>521</v>
      </c>
      <c r="AD35" s="97" t="s">
        <v>521</v>
      </c>
      <c r="AE35" s="97" t="s">
        <v>521</v>
      </c>
      <c r="AG35" s="97" t="s">
        <v>521</v>
      </c>
      <c r="AH35" s="97" t="s">
        <v>521</v>
      </c>
      <c r="AK35" s="97" t="s">
        <v>521</v>
      </c>
      <c r="AL35" s="97" t="s">
        <v>521</v>
      </c>
      <c r="AO35" s="97" t="s">
        <v>521</v>
      </c>
      <c r="AQ35" s="97" t="s">
        <v>521</v>
      </c>
      <c r="AR35" s="97" t="s">
        <v>521</v>
      </c>
    </row>
    <row r="36" spans="1:44" x14ac:dyDescent="0.25">
      <c r="A36" s="156" t="str">
        <v/>
      </c>
      <c r="B36" t="s">
        <v>405</v>
      </c>
      <c r="D36" s="150">
        <f>DATE($C$1,12,8)</f>
        <v>43077</v>
      </c>
      <c r="T36" s="97" t="s">
        <v>521</v>
      </c>
      <c r="Z36" s="97" t="s">
        <v>521</v>
      </c>
      <c r="AG36" s="97" t="s">
        <v>521</v>
      </c>
      <c r="AH36" s="97" t="s">
        <v>521</v>
      </c>
      <c r="AO36" s="97" t="s">
        <v>521</v>
      </c>
      <c r="AQ36" s="97" t="s">
        <v>521</v>
      </c>
      <c r="AR36" s="97" t="s">
        <v>521</v>
      </c>
    </row>
    <row r="37" spans="1:44" x14ac:dyDescent="0.25">
      <c r="A37" s="156" t="str">
        <v/>
      </c>
      <c r="B37" t="s">
        <v>535</v>
      </c>
      <c r="C37" t="s">
        <v>525</v>
      </c>
      <c r="D37" s="150">
        <f>DATE($C$1,11,8)-WEEKDAY(DATE($C$1,11,7))</f>
        <v>43044</v>
      </c>
      <c r="O37" s="97" t="s">
        <v>521</v>
      </c>
      <c r="R37" s="97" t="s">
        <v>521</v>
      </c>
    </row>
    <row r="38" spans="1:44" x14ac:dyDescent="0.25">
      <c r="A38" s="156" t="str">
        <v/>
      </c>
      <c r="B38" t="s">
        <v>545</v>
      </c>
      <c r="D38" s="150">
        <f>D39-1</f>
        <v>42794</v>
      </c>
      <c r="I38" s="97" t="s">
        <v>521</v>
      </c>
      <c r="J38" s="97" t="s">
        <v>521</v>
      </c>
      <c r="K38" s="97" t="s">
        <v>521</v>
      </c>
    </row>
    <row r="39" spans="1:44" x14ac:dyDescent="0.25">
      <c r="A39" s="156" t="str">
        <v/>
      </c>
      <c r="B39" t="s">
        <v>546</v>
      </c>
      <c r="C39" t="s">
        <v>547</v>
      </c>
      <c r="D39" s="150">
        <f>D10-46</f>
        <v>42795</v>
      </c>
      <c r="I39" s="97" t="s">
        <v>521</v>
      </c>
      <c r="J39" s="97" t="s">
        <v>521</v>
      </c>
      <c r="K39" s="97" t="s">
        <v>521</v>
      </c>
    </row>
    <row r="40" spans="1:44" x14ac:dyDescent="0.25">
      <c r="A40" s="156" t="str">
        <v/>
      </c>
      <c r="B40" t="s">
        <v>548</v>
      </c>
      <c r="D40" s="150">
        <f>D10-24</f>
        <v>42817</v>
      </c>
      <c r="I40" s="97" t="s">
        <v>521</v>
      </c>
      <c r="J40" s="97" t="s">
        <v>521</v>
      </c>
      <c r="K40" s="97" t="s">
        <v>521</v>
      </c>
    </row>
    <row r="41" spans="1:44" x14ac:dyDescent="0.25">
      <c r="A41" s="156" t="str">
        <v/>
      </c>
      <c r="B41" t="s">
        <v>537</v>
      </c>
      <c r="C41" t="s">
        <v>484</v>
      </c>
      <c r="D41" s="150">
        <f>DATE($C$1,5,22)</f>
        <v>42877</v>
      </c>
      <c r="I41" s="97" t="s">
        <v>521</v>
      </c>
    </row>
    <row r="42" spans="1:44" x14ac:dyDescent="0.25">
      <c r="A42" s="156" t="str">
        <v/>
      </c>
      <c r="B42" t="s">
        <v>537</v>
      </c>
      <c r="C42" t="s">
        <v>485</v>
      </c>
      <c r="D42" s="150">
        <f>DATE($C$1,5,27)</f>
        <v>42882</v>
      </c>
      <c r="J42" s="97" t="s">
        <v>521</v>
      </c>
    </row>
    <row r="43" spans="1:44" x14ac:dyDescent="0.25">
      <c r="A43" s="156" t="str">
        <v/>
      </c>
      <c r="B43" t="s">
        <v>537</v>
      </c>
      <c r="C43" t="s">
        <v>549</v>
      </c>
      <c r="D43" s="150">
        <f>DATE($C$1,6,10)</f>
        <v>42896</v>
      </c>
      <c r="K43" s="97" t="s">
        <v>521</v>
      </c>
    </row>
    <row r="44" spans="1:44" x14ac:dyDescent="0.25">
      <c r="A44" s="156" t="str">
        <v/>
      </c>
      <c r="B44" t="s">
        <v>550</v>
      </c>
      <c r="D44" s="150">
        <f>D20+1</f>
        <v>43041</v>
      </c>
      <c r="I44" s="97" t="s">
        <v>521</v>
      </c>
      <c r="J44" s="97" t="s">
        <v>521</v>
      </c>
      <c r="K44" s="97" t="s">
        <v>521</v>
      </c>
    </row>
    <row r="45" spans="1:44" x14ac:dyDescent="0.25">
      <c r="A45" s="156" t="str">
        <v/>
      </c>
      <c r="B45" t="s">
        <v>551</v>
      </c>
      <c r="C45" t="s">
        <v>493</v>
      </c>
      <c r="D45" s="150">
        <f>DATE($C$1,5,25)-WEEKDAY(DATE($C$1,5,23))</f>
        <v>42877</v>
      </c>
      <c r="R45" s="97" t="s">
        <v>521</v>
      </c>
    </row>
    <row r="46" spans="1:44" x14ac:dyDescent="0.25">
      <c r="A46" s="156" t="str">
        <v/>
      </c>
      <c r="B46" s="157" t="s">
        <v>527</v>
      </c>
      <c r="C46" t="s">
        <v>493</v>
      </c>
      <c r="D46" s="150" t="str">
        <f>IF(WEEKDAY(D27)=1,D27+1,"")</f>
        <v/>
      </c>
      <c r="R46" s="97" t="s">
        <v>521</v>
      </c>
    </row>
    <row r="47" spans="1:44" x14ac:dyDescent="0.25">
      <c r="A47" s="156" t="str">
        <v/>
      </c>
      <c r="B47" t="s">
        <v>552</v>
      </c>
      <c r="C47" t="s">
        <v>493</v>
      </c>
      <c r="D47" s="150">
        <f>DATE($C$1,7,1)</f>
        <v>42917</v>
      </c>
      <c r="R47" s="97" t="s">
        <v>521</v>
      </c>
    </row>
    <row r="48" spans="1:44" x14ac:dyDescent="0.25">
      <c r="A48" s="156" t="str">
        <v/>
      </c>
      <c r="B48" s="157" t="s">
        <v>527</v>
      </c>
      <c r="C48" t="s">
        <v>493</v>
      </c>
      <c r="D48" s="150" t="str">
        <f>IF(WEEKDAY(D47)=1,D47+1,"")</f>
        <v/>
      </c>
      <c r="R48" s="97" t="s">
        <v>521</v>
      </c>
    </row>
    <row r="49" spans="1:45" x14ac:dyDescent="0.25">
      <c r="A49" s="156" t="str">
        <v/>
      </c>
      <c r="B49" t="s">
        <v>553</v>
      </c>
      <c r="C49" t="s">
        <v>493</v>
      </c>
      <c r="D49" s="150">
        <f>DATE($C$1,10,15)-WEEKDAY(DATE($C$1,10,13))</f>
        <v>43017</v>
      </c>
      <c r="R49" s="97" t="s">
        <v>521</v>
      </c>
    </row>
    <row r="50" spans="1:45" x14ac:dyDescent="0.25">
      <c r="A50" s="156" t="str">
        <v/>
      </c>
      <c r="B50" t="s">
        <v>554</v>
      </c>
      <c r="C50" t="s">
        <v>494</v>
      </c>
      <c r="D50" s="150">
        <f>DATE($C$1,1,2)</f>
        <v>42737</v>
      </c>
      <c r="T50" s="97" t="s">
        <v>521</v>
      </c>
      <c r="W50" s="97" t="s">
        <v>521</v>
      </c>
      <c r="AF50" s="97" t="s">
        <v>521</v>
      </c>
      <c r="AM50" s="97" t="s">
        <v>521</v>
      </c>
    </row>
    <row r="51" spans="1:45" x14ac:dyDescent="0.25">
      <c r="A51" s="156" t="str">
        <v/>
      </c>
      <c r="B51" t="s">
        <v>555</v>
      </c>
      <c r="C51" t="s">
        <v>494</v>
      </c>
      <c r="D51" s="150">
        <f>DATE($C$1,3,1)</f>
        <v>42795</v>
      </c>
      <c r="AF51" s="97" t="s">
        <v>521</v>
      </c>
    </row>
    <row r="52" spans="1:45" x14ac:dyDescent="0.25">
      <c r="A52" s="156" t="str">
        <v/>
      </c>
      <c r="B52" t="s">
        <v>556</v>
      </c>
      <c r="C52" t="s">
        <v>494</v>
      </c>
      <c r="D52" s="150">
        <f>DATE($C$1,3,19)</f>
        <v>42813</v>
      </c>
      <c r="AI52" s="97" t="s">
        <v>521</v>
      </c>
      <c r="AQ52" s="97" t="s">
        <v>521</v>
      </c>
    </row>
    <row r="53" spans="1:45" x14ac:dyDescent="0.25">
      <c r="A53" s="156" t="str">
        <v/>
      </c>
      <c r="B53" t="s">
        <v>557</v>
      </c>
      <c r="C53" t="s">
        <v>494</v>
      </c>
      <c r="D53" s="150">
        <f>DATE($C$1,4,8)-WEEKDAY(DATE($C$1,4,3))</f>
        <v>42831</v>
      </c>
      <c r="AB53" s="97" t="s">
        <v>521</v>
      </c>
    </row>
    <row r="54" spans="1:45" x14ac:dyDescent="0.25">
      <c r="A54" s="156" t="str">
        <v/>
      </c>
      <c r="B54" t="s">
        <v>534</v>
      </c>
      <c r="C54" t="s">
        <v>494</v>
      </c>
      <c r="D54" s="150">
        <f>DATE($C$1,8,1)</f>
        <v>42948</v>
      </c>
      <c r="S54" s="97" t="s">
        <v>521</v>
      </c>
      <c r="T54" s="97" t="s">
        <v>521</v>
      </c>
      <c r="U54" s="97" t="s">
        <v>521</v>
      </c>
      <c r="V54" s="97" t="s">
        <v>521</v>
      </c>
      <c r="W54" s="97" t="s">
        <v>521</v>
      </c>
      <c r="X54" s="97" t="s">
        <v>521</v>
      </c>
      <c r="Y54" s="97" t="s">
        <v>521</v>
      </c>
      <c r="Z54" s="97" t="s">
        <v>521</v>
      </c>
      <c r="AA54" s="97" t="s">
        <v>521</v>
      </c>
      <c r="AB54" s="97" t="s">
        <v>521</v>
      </c>
      <c r="AC54" s="97" t="s">
        <v>521</v>
      </c>
      <c r="AD54" s="97" t="s">
        <v>521</v>
      </c>
      <c r="AE54" s="97" t="s">
        <v>521</v>
      </c>
      <c r="AF54" s="97" t="s">
        <v>521</v>
      </c>
      <c r="AG54" s="97" t="s">
        <v>521</v>
      </c>
      <c r="AH54" s="97" t="s">
        <v>521</v>
      </c>
      <c r="AI54" s="97" t="s">
        <v>521</v>
      </c>
      <c r="AJ54" s="97" t="s">
        <v>521</v>
      </c>
      <c r="AK54" s="97" t="s">
        <v>521</v>
      </c>
      <c r="AL54" s="97" t="s">
        <v>521</v>
      </c>
      <c r="AM54" s="97" t="s">
        <v>521</v>
      </c>
      <c r="AN54" s="97" t="s">
        <v>521</v>
      </c>
      <c r="AO54" s="97" t="s">
        <v>521</v>
      </c>
      <c r="AP54" s="97" t="s">
        <v>521</v>
      </c>
      <c r="AQ54" s="97" t="s">
        <v>521</v>
      </c>
      <c r="AR54" s="97" t="s">
        <v>521</v>
      </c>
      <c r="AS54" s="97" t="s">
        <v>521</v>
      </c>
    </row>
    <row r="55" spans="1:45" x14ac:dyDescent="0.25">
      <c r="A55" s="156" t="str">
        <v/>
      </c>
      <c r="B55" t="s">
        <v>558</v>
      </c>
      <c r="C55" t="s">
        <v>494</v>
      </c>
      <c r="D55" s="150">
        <f>DATE($C$1,9,22)-WEEKDAY(DATE($C$1,9,7))</f>
        <v>42995</v>
      </c>
      <c r="T55" s="97" t="s">
        <v>521</v>
      </c>
      <c r="U55" s="97" t="s">
        <v>521</v>
      </c>
      <c r="V55" s="97" t="s">
        <v>521</v>
      </c>
      <c r="W55" s="97" t="s">
        <v>521</v>
      </c>
      <c r="X55" s="97" t="s">
        <v>521</v>
      </c>
      <c r="Y55" s="97" t="s">
        <v>521</v>
      </c>
      <c r="Z55" s="97" t="s">
        <v>521</v>
      </c>
      <c r="AB55" s="97" t="s">
        <v>521</v>
      </c>
      <c r="AC55" s="97" t="s">
        <v>521</v>
      </c>
      <c r="AD55" s="97" t="s">
        <v>521</v>
      </c>
      <c r="AE55" s="97" t="s">
        <v>521</v>
      </c>
      <c r="AF55" s="97" t="s">
        <v>521</v>
      </c>
      <c r="AG55" s="97" t="s">
        <v>521</v>
      </c>
      <c r="AH55" s="97" t="s">
        <v>521</v>
      </c>
      <c r="AI55" s="97" t="s">
        <v>521</v>
      </c>
      <c r="AJ55" s="97" t="s">
        <v>521</v>
      </c>
      <c r="AK55" s="97" t="s">
        <v>521</v>
      </c>
      <c r="AL55" s="97" t="s">
        <v>521</v>
      </c>
      <c r="AM55" s="97" t="s">
        <v>521</v>
      </c>
      <c r="AN55" s="97" t="s">
        <v>521</v>
      </c>
      <c r="AO55" s="97" t="s">
        <v>521</v>
      </c>
      <c r="AP55" s="97" t="s">
        <v>521</v>
      </c>
      <c r="AQ55" s="97" t="s">
        <v>521</v>
      </c>
      <c r="AR55" s="97" t="s">
        <v>521</v>
      </c>
      <c r="AS55" s="97" t="s">
        <v>521</v>
      </c>
    </row>
    <row r="56" spans="1:45" x14ac:dyDescent="0.25">
      <c r="A56" s="156" t="str">
        <v/>
      </c>
      <c r="B56" t="s">
        <v>559</v>
      </c>
      <c r="C56" t="s">
        <v>494</v>
      </c>
      <c r="D56" s="150">
        <f>DATE($C$1,9,8)-WEEKDAY(DATE($C$1,9,7))+4</f>
        <v>42985</v>
      </c>
      <c r="AA56" s="97" t="s">
        <v>521</v>
      </c>
    </row>
    <row r="57" spans="1:45" x14ac:dyDescent="0.25">
      <c r="A57" s="156" t="str">
        <v/>
      </c>
      <c r="B57" t="s">
        <v>560</v>
      </c>
      <c r="C57" t="s">
        <v>561</v>
      </c>
      <c r="D57" s="150">
        <f>D55+1</f>
        <v>42996</v>
      </c>
      <c r="AP57" s="97" t="s">
        <v>521</v>
      </c>
    </row>
    <row r="58" spans="1:45" x14ac:dyDescent="0.25">
      <c r="A58" s="156" t="str">
        <v/>
      </c>
      <c r="B58" t="s">
        <v>562</v>
      </c>
      <c r="C58" t="s">
        <v>494</v>
      </c>
      <c r="D58" s="150">
        <f>DATE($C$1,9,25)</f>
        <v>43003</v>
      </c>
      <c r="AH58" s="97" t="s">
        <v>521</v>
      </c>
    </row>
    <row r="59" spans="1:45" x14ac:dyDescent="0.25">
      <c r="A59" s="156" t="str">
        <v/>
      </c>
      <c r="B59" t="s">
        <v>563</v>
      </c>
      <c r="C59" t="s">
        <v>494</v>
      </c>
      <c r="D59" s="150">
        <f>DATE($C$1,12,31)</f>
        <v>43100</v>
      </c>
      <c r="AA59" s="97" t="s">
        <v>521</v>
      </c>
    </row>
    <row r="60" spans="1:45" x14ac:dyDescent="0.25">
      <c r="A60" s="156" t="str">
        <v/>
      </c>
      <c r="B60" t="s">
        <v>564</v>
      </c>
      <c r="C60" t="s">
        <v>565</v>
      </c>
      <c r="D60" s="150">
        <f>DATE($C$1,3,5)</f>
        <v>42799</v>
      </c>
      <c r="L60" s="97" t="s">
        <v>521</v>
      </c>
    </row>
    <row r="61" spans="1:45" x14ac:dyDescent="0.25">
      <c r="A61" s="156" t="str">
        <v/>
      </c>
      <c r="B61" t="s">
        <v>566</v>
      </c>
      <c r="C61" t="s">
        <v>565</v>
      </c>
      <c r="D61" s="150">
        <f>DATE($C$1,6,29)</f>
        <v>42915</v>
      </c>
      <c r="L61" s="97" t="s">
        <v>521</v>
      </c>
    </row>
    <row r="62" spans="1:45" x14ac:dyDescent="0.25">
      <c r="A62" s="156" t="str">
        <v/>
      </c>
      <c r="B62" t="s">
        <v>567</v>
      </c>
      <c r="C62" s="157" t="s">
        <v>488</v>
      </c>
      <c r="D62" s="150">
        <f>DATE($C$1,9,24)</f>
        <v>43002</v>
      </c>
      <c r="M62" s="97" t="s">
        <v>521</v>
      </c>
    </row>
    <row r="63" spans="1:45" x14ac:dyDescent="0.25">
      <c r="A63" s="156" t="str">
        <v/>
      </c>
      <c r="B63" t="s">
        <v>537</v>
      </c>
      <c r="C63" t="s">
        <v>489</v>
      </c>
      <c r="D63" s="150">
        <f>DATE($C$1,4,27)</f>
        <v>42852</v>
      </c>
      <c r="N63" s="97" t="s">
        <v>521</v>
      </c>
    </row>
    <row r="64" spans="1:45" x14ac:dyDescent="0.25">
      <c r="A64" s="156" t="str">
        <v/>
      </c>
      <c r="B64" t="s">
        <v>568</v>
      </c>
      <c r="C64" t="s">
        <v>490</v>
      </c>
      <c r="D64" s="150">
        <f>DATE($C$1,12,24)</f>
        <v>43093</v>
      </c>
      <c r="O64" s="97" t="s">
        <v>521</v>
      </c>
    </row>
    <row r="65" spans="1:1" x14ac:dyDescent="0.25">
      <c r="A65" s="156" t="str">
        <v/>
      </c>
    </row>
    <row r="66" spans="1:1" x14ac:dyDescent="0.25">
      <c r="A66" s="156" t="str">
        <v/>
      </c>
    </row>
    <row r="67" spans="1:1" x14ac:dyDescent="0.25">
      <c r="A67" s="156" t="str">
        <v/>
      </c>
    </row>
    <row r="68" spans="1:1" x14ac:dyDescent="0.25">
      <c r="A68" s="156" t="str">
        <v/>
      </c>
    </row>
    <row r="69" spans="1:1" x14ac:dyDescent="0.25">
      <c r="A69" s="156" t="str">
        <v/>
      </c>
    </row>
    <row r="70" spans="1:1" x14ac:dyDescent="0.25">
      <c r="A70" s="156" t="str">
        <v/>
      </c>
    </row>
    <row r="71" spans="1:1" x14ac:dyDescent="0.25">
      <c r="A71" s="156" t="str">
        <v/>
      </c>
    </row>
    <row r="72" spans="1:1" x14ac:dyDescent="0.25">
      <c r="A72" s="156" t="str">
        <v/>
      </c>
    </row>
    <row r="73" spans="1:1" x14ac:dyDescent="0.25">
      <c r="A73" s="156" t="str">
        <v/>
      </c>
    </row>
    <row r="74" spans="1:1" x14ac:dyDescent="0.25">
      <c r="A74" s="156" t="str">
        <v/>
      </c>
    </row>
    <row r="75" spans="1:1" x14ac:dyDescent="0.25">
      <c r="A75" s="156" t="str">
        <v/>
      </c>
    </row>
    <row r="76" spans="1:1" x14ac:dyDescent="0.25">
      <c r="A76" s="156" t="str">
        <v/>
      </c>
    </row>
    <row r="77" spans="1:1" x14ac:dyDescent="0.25">
      <c r="A77" s="156" t="str">
        <v/>
      </c>
    </row>
    <row r="78" spans="1:1" x14ac:dyDescent="0.25">
      <c r="A78" s="156" t="str">
        <v/>
      </c>
    </row>
    <row r="79" spans="1:1" x14ac:dyDescent="0.25">
      <c r="A79" s="156" t="str">
        <v/>
      </c>
    </row>
    <row r="80" spans="1:1" x14ac:dyDescent="0.25">
      <c r="A80" s="156" t="str">
        <v/>
      </c>
    </row>
    <row r="81" spans="1:1" x14ac:dyDescent="0.25">
      <c r="A81" s="156" t="str">
        <v/>
      </c>
    </row>
    <row r="82" spans="1:1" x14ac:dyDescent="0.25">
      <c r="A82" s="156" t="str">
        <v/>
      </c>
    </row>
    <row r="83" spans="1:1" x14ac:dyDescent="0.25">
      <c r="A83" s="156" t="str">
        <v/>
      </c>
    </row>
    <row r="84" spans="1:1" x14ac:dyDescent="0.25">
      <c r="A84" s="156" t="str">
        <v/>
      </c>
    </row>
    <row r="85" spans="1:1" x14ac:dyDescent="0.25">
      <c r="A85" s="156" t="str">
        <v/>
      </c>
    </row>
    <row r="86" spans="1:1" x14ac:dyDescent="0.25">
      <c r="A86" s="156" t="str">
        <v/>
      </c>
    </row>
    <row r="87" spans="1:1" x14ac:dyDescent="0.25">
      <c r="A87" s="156" t="str">
        <v/>
      </c>
    </row>
    <row r="88" spans="1:1" x14ac:dyDescent="0.25">
      <c r="A88" s="156" t="str">
        <v/>
      </c>
    </row>
    <row r="89" spans="1:1" x14ac:dyDescent="0.25">
      <c r="A89" s="156" t="str">
        <v/>
      </c>
    </row>
    <row r="90" spans="1:1" x14ac:dyDescent="0.25">
      <c r="A90" s="156" t="str">
        <v/>
      </c>
    </row>
    <row r="91" spans="1:1" x14ac:dyDescent="0.25">
      <c r="A91" s="156" t="str">
        <v/>
      </c>
    </row>
    <row r="92" spans="1:1" x14ac:dyDescent="0.25">
      <c r="A92" s="156" t="str">
        <v/>
      </c>
    </row>
    <row r="93" spans="1:1" x14ac:dyDescent="0.25">
      <c r="A93" s="156" t="str">
        <v/>
      </c>
    </row>
    <row r="94" spans="1:1" x14ac:dyDescent="0.25">
      <c r="A94" s="156" t="str">
        <v/>
      </c>
    </row>
    <row r="95" spans="1:1" x14ac:dyDescent="0.25">
      <c r="A95" s="156" t="str">
        <v/>
      </c>
    </row>
    <row r="96" spans="1:1" x14ac:dyDescent="0.25">
      <c r="A96" s="156" t="str">
        <v/>
      </c>
    </row>
    <row r="97" spans="1:45" x14ac:dyDescent="0.25">
      <c r="A97" s="156" t="str">
        <v/>
      </c>
    </row>
    <row r="98" spans="1:45" x14ac:dyDescent="0.25">
      <c r="A98" s="156" t="str">
        <v/>
      </c>
    </row>
    <row r="99" spans="1:45" x14ac:dyDescent="0.25">
      <c r="A99" s="156" t="str">
        <v/>
      </c>
    </row>
    <row r="100" spans="1:45" x14ac:dyDescent="0.25">
      <c r="A100" s="156" t="str">
        <v/>
      </c>
    </row>
    <row r="101" spans="1:45" x14ac:dyDescent="0.25">
      <c r="A101" s="156" t="str">
        <v/>
      </c>
    </row>
    <row r="102" spans="1:45" x14ac:dyDescent="0.25">
      <c r="A102" s="156" t="str">
        <v/>
      </c>
    </row>
    <row r="103" spans="1:45" x14ac:dyDescent="0.25">
      <c r="A103" s="156" t="str">
        <v/>
      </c>
    </row>
    <row r="104" spans="1:45" x14ac:dyDescent="0.25">
      <c r="A104" s="156">
        <v>43101</v>
      </c>
      <c r="B104" t="s">
        <v>70</v>
      </c>
      <c r="D104" s="150">
        <f>DATE($C$1+1,1,1)</f>
        <v>43101</v>
      </c>
      <c r="F104" s="97" t="s">
        <v>521</v>
      </c>
      <c r="G104" s="97" t="s">
        <v>521</v>
      </c>
      <c r="H104" s="97" t="s">
        <v>521</v>
      </c>
      <c r="I104" s="97" t="s">
        <v>521</v>
      </c>
      <c r="J104" s="97" t="s">
        <v>521</v>
      </c>
      <c r="K104" s="97" t="s">
        <v>521</v>
      </c>
      <c r="L104" s="97" t="s">
        <v>521</v>
      </c>
      <c r="M104" s="97" t="s">
        <v>521</v>
      </c>
      <c r="N104" s="97" t="s">
        <v>521</v>
      </c>
      <c r="O104" s="97" t="s">
        <v>521</v>
      </c>
      <c r="P104" s="97" t="s">
        <v>521</v>
      </c>
      <c r="Q104" s="97" t="s">
        <v>521</v>
      </c>
      <c r="R104" s="97" t="s">
        <v>521</v>
      </c>
      <c r="S104" s="97" t="s">
        <v>521</v>
      </c>
      <c r="T104" s="97" t="s">
        <v>521</v>
      </c>
      <c r="U104" s="97" t="s">
        <v>521</v>
      </c>
      <c r="V104" s="97" t="s">
        <v>521</v>
      </c>
      <c r="W104" s="97" t="s">
        <v>521</v>
      </c>
      <c r="X104" s="97" t="s">
        <v>521</v>
      </c>
      <c r="Y104" s="97" t="s">
        <v>521</v>
      </c>
      <c r="Z104" s="97" t="s">
        <v>521</v>
      </c>
      <c r="AA104" s="97" t="s">
        <v>521</v>
      </c>
      <c r="AB104" s="97" t="s">
        <v>521</v>
      </c>
      <c r="AC104" s="97" t="s">
        <v>521</v>
      </c>
      <c r="AD104" s="97" t="s">
        <v>521</v>
      </c>
      <c r="AE104" s="97" t="s">
        <v>521</v>
      </c>
      <c r="AF104" s="97" t="s">
        <v>521</v>
      </c>
      <c r="AG104" s="97" t="s">
        <v>521</v>
      </c>
      <c r="AI104" s="97" t="s">
        <v>521</v>
      </c>
      <c r="AJ104" s="97" t="s">
        <v>521</v>
      </c>
      <c r="AK104" s="97" t="s">
        <v>521</v>
      </c>
      <c r="AL104" s="97" t="s">
        <v>521</v>
      </c>
      <c r="AM104" s="97" t="s">
        <v>521</v>
      </c>
      <c r="AN104" s="97" t="s">
        <v>521</v>
      </c>
      <c r="AO104" s="97" t="s">
        <v>521</v>
      </c>
      <c r="AP104" s="97" t="s">
        <v>521</v>
      </c>
      <c r="AQ104" s="97" t="s">
        <v>521</v>
      </c>
      <c r="AR104" s="97" t="s">
        <v>521</v>
      </c>
      <c r="AS104" s="97" t="s">
        <v>521</v>
      </c>
    </row>
    <row r="105" spans="1:45" x14ac:dyDescent="0.25">
      <c r="A105" s="156" t="str">
        <v/>
      </c>
      <c r="B105" t="s">
        <v>522</v>
      </c>
      <c r="D105" s="150">
        <f>D110-2</f>
        <v>43189</v>
      </c>
      <c r="G105" s="97" t="s">
        <v>521</v>
      </c>
      <c r="I105" s="97" t="s">
        <v>521</v>
      </c>
      <c r="J105" s="97" t="s">
        <v>521</v>
      </c>
      <c r="K105" s="97" t="s">
        <v>521</v>
      </c>
      <c r="L105" s="97" t="s">
        <v>521</v>
      </c>
      <c r="R105" s="97" t="s">
        <v>521</v>
      </c>
      <c r="S105" s="97" t="s">
        <v>521</v>
      </c>
      <c r="T105" s="97" t="s">
        <v>521</v>
      </c>
      <c r="U105" s="97" t="s">
        <v>521</v>
      </c>
      <c r="V105" s="97" t="s">
        <v>521</v>
      </c>
      <c r="W105" s="97" t="s">
        <v>521</v>
      </c>
      <c r="X105" s="97" t="s">
        <v>521</v>
      </c>
      <c r="Y105" s="97" t="s">
        <v>521</v>
      </c>
      <c r="Z105" s="97" t="s">
        <v>521</v>
      </c>
      <c r="AA105" s="97" t="s">
        <v>521</v>
      </c>
      <c r="AB105" s="97" t="s">
        <v>521</v>
      </c>
      <c r="AC105" s="97" t="s">
        <v>521</v>
      </c>
      <c r="AD105" s="97" t="s">
        <v>521</v>
      </c>
      <c r="AE105" s="97" t="s">
        <v>521</v>
      </c>
      <c r="AF105" s="97" t="s">
        <v>521</v>
      </c>
      <c r="AG105" s="97" t="s">
        <v>521</v>
      </c>
      <c r="AH105" s="97" t="s">
        <v>521</v>
      </c>
      <c r="AI105" s="97" t="s">
        <v>521</v>
      </c>
      <c r="AJ105" s="97" t="s">
        <v>521</v>
      </c>
      <c r="AK105" s="97" t="s">
        <v>521</v>
      </c>
      <c r="AL105" s="97" t="s">
        <v>521</v>
      </c>
      <c r="AM105" s="97" t="s">
        <v>521</v>
      </c>
      <c r="AO105" s="97" t="s">
        <v>521</v>
      </c>
      <c r="AP105" s="97" t="s">
        <v>521</v>
      </c>
      <c r="AR105" s="97" t="s">
        <v>521</v>
      </c>
      <c r="AS105" s="97" t="s">
        <v>521</v>
      </c>
    </row>
    <row r="106" spans="1:45" x14ac:dyDescent="0.25">
      <c r="A106" s="156" t="str">
        <v/>
      </c>
      <c r="B106" t="s">
        <v>523</v>
      </c>
      <c r="D106" s="150" t="str">
        <f>IF(D107=D110,D107,"")</f>
        <v/>
      </c>
      <c r="F106" s="97" t="s">
        <v>521</v>
      </c>
      <c r="G106" s="97" t="s">
        <v>521</v>
      </c>
      <c r="O106" s="97" t="s">
        <v>521</v>
      </c>
      <c r="P106" s="97" t="s">
        <v>521</v>
      </c>
      <c r="Q106" s="97" t="s">
        <v>521</v>
      </c>
      <c r="S106" s="97" t="s">
        <v>521</v>
      </c>
      <c r="T106" s="97" t="s">
        <v>521</v>
      </c>
      <c r="U106" s="97" t="s">
        <v>521</v>
      </c>
      <c r="V106" s="97" t="s">
        <v>521</v>
      </c>
      <c r="W106" s="97" t="s">
        <v>521</v>
      </c>
      <c r="X106" s="97" t="s">
        <v>521</v>
      </c>
      <c r="Y106" s="97" t="s">
        <v>521</v>
      </c>
      <c r="Z106" s="97" t="s">
        <v>521</v>
      </c>
      <c r="AA106" s="97" t="s">
        <v>521</v>
      </c>
      <c r="AB106" s="97" t="s">
        <v>521</v>
      </c>
      <c r="AC106" s="97" t="s">
        <v>521</v>
      </c>
      <c r="AD106" s="97" t="s">
        <v>521</v>
      </c>
      <c r="AE106" s="97" t="s">
        <v>521</v>
      </c>
      <c r="AF106" s="97" t="s">
        <v>521</v>
      </c>
      <c r="AG106" s="97" t="s">
        <v>521</v>
      </c>
      <c r="AH106" s="97" t="s">
        <v>521</v>
      </c>
      <c r="AI106" s="97" t="s">
        <v>521</v>
      </c>
      <c r="AJ106" s="97" t="s">
        <v>521</v>
      </c>
      <c r="AK106" s="97" t="s">
        <v>521</v>
      </c>
      <c r="AL106" s="97" t="s">
        <v>521</v>
      </c>
      <c r="AM106" s="97" t="s">
        <v>521</v>
      </c>
      <c r="AN106" s="97" t="s">
        <v>521</v>
      </c>
      <c r="AO106" s="97" t="s">
        <v>521</v>
      </c>
      <c r="AP106" s="97" t="s">
        <v>521</v>
      </c>
      <c r="AQ106" s="97" t="s">
        <v>521</v>
      </c>
      <c r="AR106" s="97" t="s">
        <v>521</v>
      </c>
      <c r="AS106" s="97" t="s">
        <v>521</v>
      </c>
    </row>
    <row r="107" spans="1:45" x14ac:dyDescent="0.25">
      <c r="A107" s="156">
        <v>43184</v>
      </c>
      <c r="B107" t="s">
        <v>524</v>
      </c>
      <c r="D107" s="150">
        <f>DATE($C$1+1,4,1)-WEEKDAY(DATE($C$1+1,3,31))</f>
        <v>43184</v>
      </c>
      <c r="F107" s="97" t="s">
        <v>521</v>
      </c>
      <c r="G107" s="97" t="s">
        <v>521</v>
      </c>
      <c r="O107" s="97" t="s">
        <v>521</v>
      </c>
      <c r="P107" s="97" t="s">
        <v>521</v>
      </c>
      <c r="Q107" s="97" t="s">
        <v>521</v>
      </c>
      <c r="S107" s="97" t="s">
        <v>521</v>
      </c>
      <c r="T107" s="97" t="s">
        <v>521</v>
      </c>
      <c r="U107" s="97" t="s">
        <v>521</v>
      </c>
      <c r="V107" s="97" t="s">
        <v>521</v>
      </c>
      <c r="W107" s="97" t="s">
        <v>521</v>
      </c>
      <c r="X107" s="97" t="s">
        <v>521</v>
      </c>
      <c r="Y107" s="97" t="s">
        <v>521</v>
      </c>
      <c r="Z107" s="97" t="s">
        <v>521</v>
      </c>
      <c r="AA107" s="97" t="s">
        <v>521</v>
      </c>
      <c r="AB107" s="97" t="s">
        <v>521</v>
      </c>
      <c r="AC107" s="97" t="s">
        <v>521</v>
      </c>
      <c r="AD107" s="97" t="s">
        <v>521</v>
      </c>
      <c r="AE107" s="97" t="s">
        <v>521</v>
      </c>
      <c r="AF107" s="97" t="s">
        <v>521</v>
      </c>
      <c r="AG107" s="97" t="s">
        <v>521</v>
      </c>
      <c r="AH107" s="97" t="s">
        <v>521</v>
      </c>
      <c r="AI107" s="97" t="s">
        <v>521</v>
      </c>
      <c r="AJ107" s="97" t="s">
        <v>521</v>
      </c>
      <c r="AK107" s="97" t="s">
        <v>521</v>
      </c>
      <c r="AL107" s="97" t="s">
        <v>521</v>
      </c>
      <c r="AM107" s="97" t="s">
        <v>521</v>
      </c>
      <c r="AN107" s="97" t="s">
        <v>521</v>
      </c>
      <c r="AO107" s="97" t="s">
        <v>521</v>
      </c>
      <c r="AP107" s="97" t="s">
        <v>521</v>
      </c>
      <c r="AQ107" s="97" t="s">
        <v>521</v>
      </c>
      <c r="AR107" s="97" t="s">
        <v>521</v>
      </c>
      <c r="AS107" s="97" t="s">
        <v>521</v>
      </c>
    </row>
    <row r="108" spans="1:45" x14ac:dyDescent="0.25">
      <c r="A108" s="156" t="str">
        <v/>
      </c>
      <c r="B108" t="s">
        <v>523</v>
      </c>
      <c r="C108" t="s">
        <v>525</v>
      </c>
      <c r="D108" s="150" t="str">
        <f>IF(D109=D110,D109,"")</f>
        <v/>
      </c>
      <c r="R108" s="97" t="s">
        <v>521</v>
      </c>
    </row>
    <row r="109" spans="1:45" x14ac:dyDescent="0.25">
      <c r="A109" s="156" t="str">
        <v/>
      </c>
      <c r="B109" t="s">
        <v>524</v>
      </c>
      <c r="C109" t="s">
        <v>525</v>
      </c>
      <c r="D109" s="150">
        <f>DATE($C$1+1,3,15)-WEEKDAY(DATE($C$1+1,3,7))</f>
        <v>43170</v>
      </c>
      <c r="R109" s="97" t="s">
        <v>521</v>
      </c>
    </row>
    <row r="110" spans="1:45" x14ac:dyDescent="0.25">
      <c r="A110" s="156">
        <v>43191</v>
      </c>
      <c r="B110" t="s">
        <v>526</v>
      </c>
      <c r="D110" s="150">
        <f>D220</f>
        <v>43191</v>
      </c>
      <c r="F110" s="97" t="s">
        <v>521</v>
      </c>
      <c r="G110" s="97" t="s">
        <v>521</v>
      </c>
      <c r="H110" s="97" t="s">
        <v>521</v>
      </c>
      <c r="I110" s="97" t="s">
        <v>521</v>
      </c>
      <c r="J110" s="97" t="s">
        <v>521</v>
      </c>
      <c r="K110" s="97" t="s">
        <v>521</v>
      </c>
      <c r="L110" s="97" t="s">
        <v>521</v>
      </c>
      <c r="M110" s="97" t="s">
        <v>521</v>
      </c>
      <c r="N110" s="97" t="s">
        <v>521</v>
      </c>
      <c r="O110" s="97" t="s">
        <v>521</v>
      </c>
      <c r="P110" s="97" t="s">
        <v>521</v>
      </c>
      <c r="Q110" s="97" t="s">
        <v>521</v>
      </c>
      <c r="R110" s="97" t="s">
        <v>521</v>
      </c>
      <c r="S110" s="97" t="s">
        <v>521</v>
      </c>
      <c r="T110" s="97" t="s">
        <v>521</v>
      </c>
      <c r="U110" s="97" t="s">
        <v>521</v>
      </c>
      <c r="V110" s="97" t="s">
        <v>521</v>
      </c>
      <c r="W110" s="97" t="s">
        <v>521</v>
      </c>
      <c r="X110" s="97" t="s">
        <v>521</v>
      </c>
      <c r="Y110" s="97" t="s">
        <v>521</v>
      </c>
      <c r="Z110" s="97" t="s">
        <v>521</v>
      </c>
      <c r="AA110" s="97" t="s">
        <v>521</v>
      </c>
      <c r="AB110" s="97" t="s">
        <v>521</v>
      </c>
      <c r="AC110" s="97" t="s">
        <v>521</v>
      </c>
      <c r="AD110" s="97" t="s">
        <v>521</v>
      </c>
      <c r="AE110" s="97" t="s">
        <v>521</v>
      </c>
      <c r="AF110" s="97" t="s">
        <v>521</v>
      </c>
      <c r="AG110" s="97" t="s">
        <v>521</v>
      </c>
      <c r="AH110" s="97" t="s">
        <v>521</v>
      </c>
      <c r="AI110" s="97" t="s">
        <v>521</v>
      </c>
      <c r="AJ110" s="97" t="s">
        <v>521</v>
      </c>
      <c r="AK110" s="97" t="s">
        <v>521</v>
      </c>
      <c r="AL110" s="97" t="s">
        <v>521</v>
      </c>
      <c r="AM110" s="97" t="s">
        <v>521</v>
      </c>
      <c r="AN110" s="97" t="s">
        <v>521</v>
      </c>
      <c r="AO110" s="97" t="s">
        <v>521</v>
      </c>
      <c r="AP110" s="97" t="s">
        <v>521</v>
      </c>
      <c r="AQ110" s="97" t="s">
        <v>521</v>
      </c>
      <c r="AR110" s="97" t="s">
        <v>521</v>
      </c>
      <c r="AS110" s="97" t="s">
        <v>521</v>
      </c>
    </row>
    <row r="111" spans="1:45" x14ac:dyDescent="0.25">
      <c r="A111" s="156">
        <v>43192</v>
      </c>
      <c r="B111" s="157" t="s">
        <v>527</v>
      </c>
      <c r="C111" t="s">
        <v>528</v>
      </c>
      <c r="D111" s="150">
        <f>D110+1</f>
        <v>43192</v>
      </c>
      <c r="F111" s="97" t="s">
        <v>521</v>
      </c>
      <c r="G111" s="97" t="s">
        <v>521</v>
      </c>
      <c r="H111" s="97" t="s">
        <v>521</v>
      </c>
      <c r="I111" s="97" t="s">
        <v>521</v>
      </c>
      <c r="J111" s="97" t="s">
        <v>521</v>
      </c>
      <c r="K111" s="97" t="s">
        <v>521</v>
      </c>
      <c r="L111" s="97" t="s">
        <v>521</v>
      </c>
      <c r="M111" s="97" t="s">
        <v>521</v>
      </c>
      <c r="N111" s="97" t="s">
        <v>521</v>
      </c>
      <c r="O111" s="97" t="s">
        <v>521</v>
      </c>
      <c r="P111" s="97" t="s">
        <v>521</v>
      </c>
      <c r="Q111" s="97" t="s">
        <v>521</v>
      </c>
      <c r="R111" s="97" t="s">
        <v>521</v>
      </c>
      <c r="T111" s="97" t="s">
        <v>521</v>
      </c>
      <c r="U111" s="97" t="s">
        <v>521</v>
      </c>
      <c r="V111" s="97" t="s">
        <v>521</v>
      </c>
      <c r="W111" s="97" t="s">
        <v>521</v>
      </c>
      <c r="X111" s="97" t="s">
        <v>521</v>
      </c>
      <c r="Y111" s="97" t="s">
        <v>521</v>
      </c>
      <c r="AA111" s="97" t="s">
        <v>521</v>
      </c>
      <c r="AB111" s="97" t="s">
        <v>521</v>
      </c>
      <c r="AC111" s="97" t="s">
        <v>521</v>
      </c>
      <c r="AD111" s="97" t="s">
        <v>521</v>
      </c>
      <c r="AI111" s="97" t="s">
        <v>521</v>
      </c>
      <c r="AJ111" s="97" t="s">
        <v>521</v>
      </c>
      <c r="AM111" s="97" t="s">
        <v>521</v>
      </c>
      <c r="AN111" s="97" t="s">
        <v>521</v>
      </c>
      <c r="AP111" s="97" t="s">
        <v>521</v>
      </c>
      <c r="AS111" s="97" t="s">
        <v>521</v>
      </c>
    </row>
    <row r="112" spans="1:45" x14ac:dyDescent="0.25">
      <c r="A112" s="156">
        <v>43230</v>
      </c>
      <c r="B112" t="s">
        <v>529</v>
      </c>
      <c r="D112" s="150">
        <f>D113-10</f>
        <v>43230</v>
      </c>
      <c r="F112" s="97" t="s">
        <v>521</v>
      </c>
      <c r="G112" s="97" t="s">
        <v>521</v>
      </c>
      <c r="H112" s="97" t="s">
        <v>521</v>
      </c>
      <c r="I112" s="97" t="s">
        <v>521</v>
      </c>
      <c r="J112" s="97" t="s">
        <v>521</v>
      </c>
      <c r="K112" s="97" t="s">
        <v>521</v>
      </c>
      <c r="L112" s="97" t="s">
        <v>521</v>
      </c>
      <c r="M112" s="97" t="s">
        <v>521</v>
      </c>
      <c r="N112" s="97" t="s">
        <v>521</v>
      </c>
      <c r="O112" s="97" t="s">
        <v>521</v>
      </c>
      <c r="P112" s="97" t="s">
        <v>521</v>
      </c>
      <c r="Q112" s="97" t="s">
        <v>521</v>
      </c>
      <c r="S112" s="97" t="s">
        <v>521</v>
      </c>
      <c r="T112" s="97" t="s">
        <v>521</v>
      </c>
      <c r="U112" s="97" t="s">
        <v>521</v>
      </c>
      <c r="V112" s="97" t="s">
        <v>521</v>
      </c>
      <c r="W112" s="97" t="s">
        <v>521</v>
      </c>
      <c r="X112" s="97" t="s">
        <v>521</v>
      </c>
      <c r="Y112" s="97" t="s">
        <v>521</v>
      </c>
      <c r="Z112" s="97" t="s">
        <v>521</v>
      </c>
      <c r="AA112" s="97" t="s">
        <v>521</v>
      </c>
      <c r="AB112" s="97" t="s">
        <v>521</v>
      </c>
      <c r="AC112" s="97" t="s">
        <v>521</v>
      </c>
      <c r="AD112" s="97" t="s">
        <v>521</v>
      </c>
      <c r="AE112" s="97" t="s">
        <v>521</v>
      </c>
      <c r="AF112" s="97" t="s">
        <v>521</v>
      </c>
      <c r="AG112" s="97" t="s">
        <v>521</v>
      </c>
      <c r="AH112" s="97" t="s">
        <v>521</v>
      </c>
      <c r="AI112" s="97" t="s">
        <v>521</v>
      </c>
      <c r="AJ112" s="97" t="s">
        <v>521</v>
      </c>
      <c r="AK112" s="97" t="s">
        <v>521</v>
      </c>
      <c r="AL112" s="97" t="s">
        <v>521</v>
      </c>
      <c r="AM112" s="97" t="s">
        <v>521</v>
      </c>
      <c r="AN112" s="97" t="s">
        <v>521</v>
      </c>
      <c r="AO112" s="97" t="s">
        <v>521</v>
      </c>
      <c r="AP112" s="97" t="s">
        <v>521</v>
      </c>
      <c r="AQ112" s="97" t="s">
        <v>521</v>
      </c>
      <c r="AR112" s="97" t="s">
        <v>521</v>
      </c>
      <c r="AS112" s="97" t="s">
        <v>521</v>
      </c>
    </row>
    <row r="113" spans="1:45" x14ac:dyDescent="0.25">
      <c r="A113" s="156">
        <v>43240</v>
      </c>
      <c r="B113" t="s">
        <v>530</v>
      </c>
      <c r="D113" s="150">
        <f>D110+49</f>
        <v>43240</v>
      </c>
      <c r="F113" s="97" t="s">
        <v>521</v>
      </c>
      <c r="G113" s="97" t="s">
        <v>521</v>
      </c>
      <c r="H113" s="97" t="s">
        <v>521</v>
      </c>
      <c r="I113" s="97" t="s">
        <v>521</v>
      </c>
      <c r="J113" s="97" t="s">
        <v>521</v>
      </c>
      <c r="K113" s="97" t="s">
        <v>521</v>
      </c>
      <c r="L113" s="97" t="s">
        <v>521</v>
      </c>
      <c r="M113" s="97" t="s">
        <v>521</v>
      </c>
      <c r="N113" s="97" t="s">
        <v>521</v>
      </c>
      <c r="O113" s="97" t="s">
        <v>521</v>
      </c>
      <c r="P113" s="97" t="s">
        <v>521</v>
      </c>
      <c r="Q113" s="97" t="s">
        <v>521</v>
      </c>
      <c r="S113" s="97" t="s">
        <v>521</v>
      </c>
      <c r="T113" s="97" t="s">
        <v>521</v>
      </c>
      <c r="U113" s="97" t="s">
        <v>521</v>
      </c>
      <c r="V113" s="97" t="s">
        <v>521</v>
      </c>
      <c r="W113" s="97" t="s">
        <v>521</v>
      </c>
      <c r="X113" s="97" t="s">
        <v>521</v>
      </c>
      <c r="Y113" s="97" t="s">
        <v>521</v>
      </c>
      <c r="Z113" s="97" t="s">
        <v>521</v>
      </c>
      <c r="AA113" s="97" t="s">
        <v>521</v>
      </c>
      <c r="AB113" s="97" t="s">
        <v>521</v>
      </c>
      <c r="AC113" s="97" t="s">
        <v>521</v>
      </c>
      <c r="AD113" s="97" t="s">
        <v>521</v>
      </c>
      <c r="AE113" s="97" t="s">
        <v>521</v>
      </c>
      <c r="AF113" s="97" t="s">
        <v>521</v>
      </c>
      <c r="AG113" s="97" t="s">
        <v>521</v>
      </c>
      <c r="AH113" s="97" t="s">
        <v>521</v>
      </c>
      <c r="AI113" s="97" t="s">
        <v>521</v>
      </c>
      <c r="AJ113" s="97" t="s">
        <v>521</v>
      </c>
      <c r="AK113" s="97" t="s">
        <v>521</v>
      </c>
      <c r="AL113" s="97" t="s">
        <v>521</v>
      </c>
      <c r="AM113" s="97" t="s">
        <v>521</v>
      </c>
      <c r="AN113" s="97" t="s">
        <v>521</v>
      </c>
      <c r="AO113" s="97" t="s">
        <v>521</v>
      </c>
      <c r="AP113" s="97" t="s">
        <v>521</v>
      </c>
      <c r="AQ113" s="97" t="s">
        <v>521</v>
      </c>
      <c r="AR113" s="97" t="s">
        <v>521</v>
      </c>
      <c r="AS113" s="97" t="s">
        <v>521</v>
      </c>
    </row>
    <row r="114" spans="1:45" x14ac:dyDescent="0.25">
      <c r="A114" s="156">
        <v>43241</v>
      </c>
      <c r="B114" s="157" t="s">
        <v>527</v>
      </c>
      <c r="C114" t="s">
        <v>531</v>
      </c>
      <c r="D114" s="150">
        <f>D113+1</f>
        <v>43241</v>
      </c>
      <c r="F114" s="97" t="s">
        <v>521</v>
      </c>
      <c r="G114" s="97" t="s">
        <v>521</v>
      </c>
      <c r="H114" s="97" t="s">
        <v>521</v>
      </c>
      <c r="I114" s="97" t="s">
        <v>521</v>
      </c>
      <c r="J114" s="97" t="s">
        <v>521</v>
      </c>
      <c r="K114" s="97" t="s">
        <v>521</v>
      </c>
      <c r="L114" s="97" t="s">
        <v>521</v>
      </c>
      <c r="M114" s="97" t="s">
        <v>521</v>
      </c>
      <c r="N114" s="97" t="s">
        <v>521</v>
      </c>
      <c r="O114" s="97" t="s">
        <v>521</v>
      </c>
      <c r="P114" s="97" t="s">
        <v>521</v>
      </c>
      <c r="Q114" s="97" t="s">
        <v>521</v>
      </c>
      <c r="S114" s="97" t="s">
        <v>521</v>
      </c>
      <c r="T114" s="97" t="s">
        <v>521</v>
      </c>
      <c r="U114" s="97" t="s">
        <v>521</v>
      </c>
      <c r="V114" s="97" t="s">
        <v>521</v>
      </c>
      <c r="W114" s="97" t="s">
        <v>521</v>
      </c>
      <c r="X114" s="97" t="s">
        <v>521</v>
      </c>
      <c r="Y114" s="97" t="s">
        <v>521</v>
      </c>
      <c r="AA114" s="97" t="s">
        <v>521</v>
      </c>
      <c r="AC114" s="97" t="s">
        <v>521</v>
      </c>
      <c r="AD114" s="97" t="s">
        <v>521</v>
      </c>
      <c r="AI114" s="97" t="s">
        <v>521</v>
      </c>
      <c r="AJ114" s="97" t="s">
        <v>521</v>
      </c>
      <c r="AM114" s="97" t="s">
        <v>521</v>
      </c>
      <c r="AS114" s="97" t="s">
        <v>521</v>
      </c>
    </row>
    <row r="115" spans="1:45" x14ac:dyDescent="0.25">
      <c r="A115" s="156">
        <v>43221</v>
      </c>
      <c r="B115" t="s">
        <v>532</v>
      </c>
      <c r="D115" s="150">
        <f>DATE($C$1+1,5,1)</f>
        <v>43221</v>
      </c>
      <c r="F115" s="97" t="s">
        <v>521</v>
      </c>
      <c r="G115" s="97" t="s">
        <v>521</v>
      </c>
      <c r="H115" s="97" t="s">
        <v>521</v>
      </c>
      <c r="I115" s="97" t="s">
        <v>521</v>
      </c>
      <c r="J115" s="97" t="s">
        <v>521</v>
      </c>
      <c r="K115" s="97" t="s">
        <v>521</v>
      </c>
      <c r="L115" s="97" t="s">
        <v>521</v>
      </c>
      <c r="M115" s="97" t="s">
        <v>521</v>
      </c>
      <c r="N115" s="97" t="s">
        <v>521</v>
      </c>
      <c r="O115" s="97" t="s">
        <v>521</v>
      </c>
      <c r="P115" s="97" t="s">
        <v>521</v>
      </c>
      <c r="Q115" s="97" t="s">
        <v>521</v>
      </c>
      <c r="X115" s="97" t="s">
        <v>521</v>
      </c>
      <c r="Y115" s="97" t="s">
        <v>521</v>
      </c>
      <c r="AD115" s="97" t="s">
        <v>521</v>
      </c>
      <c r="AK115" s="97" t="s">
        <v>521</v>
      </c>
      <c r="AS115" s="97" t="s">
        <v>521</v>
      </c>
    </row>
    <row r="116" spans="1:45" x14ac:dyDescent="0.25">
      <c r="A116" s="156">
        <v>43228</v>
      </c>
      <c r="B116" t="s">
        <v>533</v>
      </c>
      <c r="D116" s="150">
        <f>DATE($C$1+1,5,8)</f>
        <v>43228</v>
      </c>
      <c r="F116" s="97" t="s">
        <v>521</v>
      </c>
      <c r="G116" s="97" t="s">
        <v>521</v>
      </c>
      <c r="H116" s="97" t="s">
        <v>521</v>
      </c>
      <c r="I116" s="97" t="s">
        <v>521</v>
      </c>
      <c r="J116" s="97" t="s">
        <v>521</v>
      </c>
      <c r="K116" s="97" t="s">
        <v>521</v>
      </c>
      <c r="L116" s="97" t="s">
        <v>521</v>
      </c>
      <c r="M116" s="97" t="s">
        <v>521</v>
      </c>
      <c r="N116" s="97" t="s">
        <v>521</v>
      </c>
      <c r="O116" s="97" t="s">
        <v>521</v>
      </c>
    </row>
    <row r="117" spans="1:45" x14ac:dyDescent="0.25">
      <c r="A117" s="156">
        <v>43295</v>
      </c>
      <c r="B117" t="s">
        <v>534</v>
      </c>
      <c r="C117" t="s">
        <v>481</v>
      </c>
      <c r="D117" s="150">
        <f>DATE($C$1+1,7,14)</f>
        <v>43295</v>
      </c>
      <c r="F117" s="97" t="s">
        <v>521</v>
      </c>
      <c r="G117" s="97" t="s">
        <v>521</v>
      </c>
      <c r="H117" s="97" t="s">
        <v>521</v>
      </c>
      <c r="I117" s="97" t="s">
        <v>521</v>
      </c>
      <c r="J117" s="97" t="s">
        <v>521</v>
      </c>
      <c r="K117" s="97" t="s">
        <v>521</v>
      </c>
      <c r="L117" s="97" t="s">
        <v>521</v>
      </c>
      <c r="M117" s="97" t="s">
        <v>521</v>
      </c>
      <c r="N117" s="97" t="s">
        <v>521</v>
      </c>
      <c r="O117" s="97" t="s">
        <v>521</v>
      </c>
    </row>
    <row r="118" spans="1:45" x14ac:dyDescent="0.25">
      <c r="A118" s="156">
        <v>43327</v>
      </c>
      <c r="B118" t="s">
        <v>294</v>
      </c>
      <c r="D118" s="150">
        <f>DATE($C$1+1,8,15)</f>
        <v>43327</v>
      </c>
      <c r="F118" s="97" t="s">
        <v>521</v>
      </c>
      <c r="G118" s="97" t="s">
        <v>521</v>
      </c>
      <c r="H118" s="97" t="s">
        <v>521</v>
      </c>
      <c r="I118" s="97" t="s">
        <v>521</v>
      </c>
      <c r="J118" s="97" t="s">
        <v>521</v>
      </c>
      <c r="K118" s="97" t="s">
        <v>521</v>
      </c>
      <c r="L118" s="97" t="s">
        <v>521</v>
      </c>
      <c r="M118" s="97" t="s">
        <v>521</v>
      </c>
      <c r="N118" s="97" t="s">
        <v>521</v>
      </c>
      <c r="O118" s="97" t="s">
        <v>521</v>
      </c>
      <c r="P118" s="97" t="s">
        <v>521</v>
      </c>
      <c r="Q118" s="97" t="s">
        <v>521</v>
      </c>
      <c r="T118" s="97" t="s">
        <v>521</v>
      </c>
      <c r="Z118" s="97" t="s">
        <v>521</v>
      </c>
      <c r="AE118" s="97" t="s">
        <v>521</v>
      </c>
      <c r="AG118" s="97" t="s">
        <v>521</v>
      </c>
      <c r="AH118" s="97" t="s">
        <v>521</v>
      </c>
      <c r="AK118" s="97" t="s">
        <v>521</v>
      </c>
      <c r="AL118" s="97" t="s">
        <v>521</v>
      </c>
      <c r="AN118" s="97" t="s">
        <v>521</v>
      </c>
      <c r="AO118" s="97" t="s">
        <v>521</v>
      </c>
      <c r="AQ118" s="97" t="s">
        <v>521</v>
      </c>
      <c r="AR118" s="97" t="s">
        <v>521</v>
      </c>
    </row>
    <row r="119" spans="1:45" x14ac:dyDescent="0.25">
      <c r="A119" s="156">
        <v>43401</v>
      </c>
      <c r="B119" t="s">
        <v>535</v>
      </c>
      <c r="D119" s="150">
        <f>DATE($C$1+1,11,1)-WEEKDAY(DATE($C$1+1,10,31))</f>
        <v>43401</v>
      </c>
      <c r="F119" s="97" t="s">
        <v>521</v>
      </c>
      <c r="G119" s="97" t="s">
        <v>521</v>
      </c>
      <c r="P119" s="97" t="s">
        <v>521</v>
      </c>
      <c r="Q119" s="97" t="s">
        <v>521</v>
      </c>
      <c r="S119" s="97" t="s">
        <v>521</v>
      </c>
      <c r="T119" s="97" t="s">
        <v>521</v>
      </c>
      <c r="U119" s="97" t="s">
        <v>521</v>
      </c>
      <c r="V119" s="97" t="s">
        <v>521</v>
      </c>
      <c r="W119" s="97" t="s">
        <v>521</v>
      </c>
      <c r="X119" s="97" t="s">
        <v>521</v>
      </c>
      <c r="Y119" s="97" t="s">
        <v>521</v>
      </c>
      <c r="Z119" s="97" t="s">
        <v>521</v>
      </c>
      <c r="AA119" s="97" t="s">
        <v>521</v>
      </c>
      <c r="AB119" s="97" t="s">
        <v>521</v>
      </c>
      <c r="AC119" s="97" t="s">
        <v>521</v>
      </c>
      <c r="AD119" s="97" t="s">
        <v>521</v>
      </c>
      <c r="AE119" s="97" t="s">
        <v>521</v>
      </c>
      <c r="AF119" s="97" t="s">
        <v>521</v>
      </c>
      <c r="AG119" s="97" t="s">
        <v>521</v>
      </c>
      <c r="AH119" s="97" t="s">
        <v>521</v>
      </c>
      <c r="AI119" s="97" t="s">
        <v>521</v>
      </c>
      <c r="AJ119" s="97" t="s">
        <v>521</v>
      </c>
      <c r="AK119" s="97" t="s">
        <v>521</v>
      </c>
      <c r="AL119" s="97" t="s">
        <v>521</v>
      </c>
      <c r="AM119" s="97" t="s">
        <v>521</v>
      </c>
      <c r="AN119" s="97" t="s">
        <v>521</v>
      </c>
      <c r="AO119" s="97" t="s">
        <v>521</v>
      </c>
      <c r="AP119" s="97" t="s">
        <v>521</v>
      </c>
      <c r="AQ119" s="97" t="s">
        <v>521</v>
      </c>
      <c r="AR119" s="97" t="s">
        <v>521</v>
      </c>
      <c r="AS119" s="97" t="s">
        <v>521</v>
      </c>
    </row>
    <row r="120" spans="1:45" x14ac:dyDescent="0.25">
      <c r="A120" s="156">
        <v>43405</v>
      </c>
      <c r="B120" t="s">
        <v>21</v>
      </c>
      <c r="D120" s="150">
        <f>DATE($C$1+1,11,1)</f>
        <v>43405</v>
      </c>
      <c r="F120" s="97" t="s">
        <v>521</v>
      </c>
      <c r="G120" s="97" t="s">
        <v>521</v>
      </c>
      <c r="H120" s="97" t="s">
        <v>521</v>
      </c>
      <c r="I120" s="97" t="s">
        <v>521</v>
      </c>
      <c r="J120" s="97" t="s">
        <v>521</v>
      </c>
      <c r="K120" s="97" t="s">
        <v>521</v>
      </c>
      <c r="L120" s="97" t="s">
        <v>521</v>
      </c>
      <c r="M120" s="97" t="s">
        <v>521</v>
      </c>
      <c r="N120" s="97" t="s">
        <v>521</v>
      </c>
      <c r="O120" s="97" t="s">
        <v>521</v>
      </c>
      <c r="P120" s="97" t="s">
        <v>521</v>
      </c>
      <c r="Q120" s="97" t="s">
        <v>521</v>
      </c>
      <c r="T120" s="97" t="s">
        <v>521</v>
      </c>
      <c r="Z120" s="97" t="s">
        <v>521</v>
      </c>
      <c r="AB120" s="97" t="s">
        <v>521</v>
      </c>
      <c r="AE120" s="97" t="s">
        <v>521</v>
      </c>
      <c r="AG120" s="97" t="s">
        <v>521</v>
      </c>
      <c r="AH120" s="97" t="s">
        <v>521</v>
      </c>
      <c r="AI120" s="97" t="s">
        <v>521</v>
      </c>
      <c r="AK120" s="97" t="s">
        <v>521</v>
      </c>
      <c r="AL120" s="97" t="s">
        <v>521</v>
      </c>
      <c r="AN120" s="97" t="s">
        <v>521</v>
      </c>
      <c r="AO120" s="97" t="s">
        <v>521</v>
      </c>
      <c r="AQ120" s="97" t="s">
        <v>521</v>
      </c>
      <c r="AR120" s="97" t="s">
        <v>521</v>
      </c>
    </row>
    <row r="121" spans="1:45" x14ac:dyDescent="0.25">
      <c r="A121" s="156">
        <v>43415</v>
      </c>
      <c r="B121" t="s">
        <v>380</v>
      </c>
      <c r="D121" s="150">
        <f>DATE($C$1+1,11,11)</f>
        <v>43415</v>
      </c>
      <c r="F121" s="97" t="s">
        <v>521</v>
      </c>
      <c r="G121" s="97" t="s">
        <v>521</v>
      </c>
      <c r="H121" s="97" t="s">
        <v>521</v>
      </c>
      <c r="I121" s="97" t="s">
        <v>521</v>
      </c>
      <c r="J121" s="97" t="s">
        <v>521</v>
      </c>
      <c r="K121" s="97" t="s">
        <v>521</v>
      </c>
      <c r="L121" s="97" t="s">
        <v>521</v>
      </c>
      <c r="M121" s="97" t="s">
        <v>521</v>
      </c>
      <c r="N121" s="97" t="s">
        <v>521</v>
      </c>
      <c r="O121" s="97" t="s">
        <v>521</v>
      </c>
      <c r="P121" s="97" t="s">
        <v>521</v>
      </c>
    </row>
    <row r="122" spans="1:45" x14ac:dyDescent="0.25">
      <c r="A122" s="156">
        <v>42729</v>
      </c>
      <c r="B122" t="s">
        <v>13</v>
      </c>
      <c r="D122" s="150">
        <f>DATE($C$1-1,12,25)</f>
        <v>42729</v>
      </c>
      <c r="F122" s="97" t="s">
        <v>521</v>
      </c>
      <c r="G122" s="97" t="s">
        <v>521</v>
      </c>
      <c r="H122" s="97" t="s">
        <v>521</v>
      </c>
      <c r="I122" s="97" t="s">
        <v>521</v>
      </c>
      <c r="J122" s="97" t="s">
        <v>521</v>
      </c>
      <c r="K122" s="97" t="s">
        <v>521</v>
      </c>
      <c r="L122" s="97" t="s">
        <v>521</v>
      </c>
      <c r="M122" s="97" t="s">
        <v>521</v>
      </c>
      <c r="N122" s="97" t="s">
        <v>521</v>
      </c>
      <c r="O122" s="97" t="s">
        <v>521</v>
      </c>
      <c r="P122" s="97" t="s">
        <v>521</v>
      </c>
      <c r="Q122" s="97" t="s">
        <v>521</v>
      </c>
      <c r="R122" s="97" t="s">
        <v>521</v>
      </c>
      <c r="S122" s="97" t="s">
        <v>521</v>
      </c>
      <c r="T122" s="97" t="s">
        <v>521</v>
      </c>
      <c r="U122" s="97" t="s">
        <v>521</v>
      </c>
      <c r="V122" s="97" t="s">
        <v>521</v>
      </c>
      <c r="W122" s="97" t="s">
        <v>521</v>
      </c>
      <c r="X122" s="97" t="s">
        <v>521</v>
      </c>
      <c r="Y122" s="97" t="s">
        <v>521</v>
      </c>
      <c r="Z122" s="97" t="s">
        <v>521</v>
      </c>
      <c r="AA122" s="97" t="s">
        <v>521</v>
      </c>
      <c r="AB122" s="97" t="s">
        <v>521</v>
      </c>
      <c r="AC122" s="97" t="s">
        <v>521</v>
      </c>
      <c r="AD122" s="97" t="s">
        <v>521</v>
      </c>
      <c r="AE122" s="97" t="s">
        <v>521</v>
      </c>
      <c r="AF122" s="97" t="s">
        <v>521</v>
      </c>
      <c r="AG122" s="97" t="s">
        <v>521</v>
      </c>
      <c r="AH122" s="97" t="s">
        <v>521</v>
      </c>
      <c r="AI122" s="97" t="s">
        <v>521</v>
      </c>
      <c r="AJ122" s="97" t="s">
        <v>521</v>
      </c>
      <c r="AK122" s="97" t="s">
        <v>521</v>
      </c>
      <c r="AL122" s="97" t="s">
        <v>521</v>
      </c>
      <c r="AM122" s="97" t="s">
        <v>521</v>
      </c>
      <c r="AN122" s="97" t="s">
        <v>521</v>
      </c>
      <c r="AO122" s="97" t="s">
        <v>521</v>
      </c>
      <c r="AP122" s="97" t="s">
        <v>521</v>
      </c>
      <c r="AQ122" s="97" t="s">
        <v>521</v>
      </c>
      <c r="AR122" s="97" t="s">
        <v>521</v>
      </c>
      <c r="AS122" s="97" t="s">
        <v>521</v>
      </c>
    </row>
    <row r="123" spans="1:45" x14ac:dyDescent="0.25">
      <c r="A123" s="156" t="str">
        <v/>
      </c>
      <c r="B123" t="s">
        <v>536</v>
      </c>
      <c r="D123" s="150">
        <f>D122+1</f>
        <v>42730</v>
      </c>
      <c r="G123" s="97" t="s">
        <v>521</v>
      </c>
      <c r="Q123" s="97" t="s">
        <v>521</v>
      </c>
      <c r="T123" s="97" t="s">
        <v>521</v>
      </c>
      <c r="U123" s="97" t="s">
        <v>521</v>
      </c>
      <c r="V123" s="97" t="s">
        <v>521</v>
      </c>
      <c r="W123" s="97" t="s">
        <v>521</v>
      </c>
      <c r="X123" s="97" t="s">
        <v>521</v>
      </c>
      <c r="Y123" s="97" t="s">
        <v>521</v>
      </c>
      <c r="AB123" s="97" t="s">
        <v>521</v>
      </c>
      <c r="AC123" s="97" t="s">
        <v>521</v>
      </c>
      <c r="AE123" s="97" t="s">
        <v>521</v>
      </c>
      <c r="AF123" s="97" t="s">
        <v>521</v>
      </c>
      <c r="AI123" s="97" t="s">
        <v>521</v>
      </c>
      <c r="AJ123" s="97" t="s">
        <v>521</v>
      </c>
      <c r="AM123" s="97" t="s">
        <v>521</v>
      </c>
      <c r="AN123" s="97" t="s">
        <v>521</v>
      </c>
      <c r="AS123" s="97" t="s">
        <v>521</v>
      </c>
    </row>
    <row r="124" spans="1:45" x14ac:dyDescent="0.25">
      <c r="A124" s="156" t="str">
        <v/>
      </c>
      <c r="B124" t="s">
        <v>537</v>
      </c>
      <c r="C124" t="s">
        <v>483</v>
      </c>
      <c r="D124" s="150">
        <f>DATE($C$1-1,12,20)</f>
        <v>42724</v>
      </c>
      <c r="H124" s="97" t="s">
        <v>521</v>
      </c>
    </row>
    <row r="125" spans="1:45" x14ac:dyDescent="0.25">
      <c r="A125" s="156" t="str">
        <v/>
      </c>
      <c r="B125" t="s">
        <v>534</v>
      </c>
      <c r="C125" t="s">
        <v>491</v>
      </c>
      <c r="D125" s="150">
        <f>DATE($C$1+1,7,21)</f>
        <v>43302</v>
      </c>
      <c r="P125" s="97" t="s">
        <v>521</v>
      </c>
    </row>
    <row r="126" spans="1:45" x14ac:dyDescent="0.25">
      <c r="A126" s="156" t="str">
        <v/>
      </c>
      <c r="B126" t="s">
        <v>534</v>
      </c>
      <c r="C126" t="s">
        <v>492</v>
      </c>
      <c r="D126" s="150">
        <f>DATE($C$1+1,6,23)</f>
        <v>43274</v>
      </c>
      <c r="Q126" s="97" t="s">
        <v>521</v>
      </c>
    </row>
    <row r="127" spans="1:45" x14ac:dyDescent="0.25">
      <c r="A127" s="156" t="str">
        <v/>
      </c>
      <c r="B127" t="s">
        <v>534</v>
      </c>
      <c r="C127" t="s">
        <v>493</v>
      </c>
      <c r="D127" s="150">
        <f>DATE($C$1+1,6,24)</f>
        <v>43275</v>
      </c>
      <c r="R127" s="97" t="s">
        <v>521</v>
      </c>
    </row>
    <row r="128" spans="1:45" x14ac:dyDescent="0.25">
      <c r="A128" s="156" t="str">
        <v/>
      </c>
      <c r="B128" t="s">
        <v>532</v>
      </c>
      <c r="C128" t="s">
        <v>525</v>
      </c>
      <c r="D128" s="150">
        <f>DATE($C$1+1,9,8)-WEEKDAY(DATE($C$1+1,9,6))</f>
        <v>43346</v>
      </c>
      <c r="R128" s="97" t="s">
        <v>521</v>
      </c>
    </row>
    <row r="129" spans="1:44" x14ac:dyDescent="0.25">
      <c r="A129" s="156">
        <v>43247</v>
      </c>
      <c r="B129" t="s">
        <v>538</v>
      </c>
      <c r="D129" s="150">
        <f>DATE($C$1+1,6,1)-WEEKDAY(DATE($C$1+1,5,31))</f>
        <v>43247</v>
      </c>
      <c r="F129" s="97" t="s">
        <v>521</v>
      </c>
      <c r="G129" s="97" t="s">
        <v>521</v>
      </c>
      <c r="H129" s="97" t="s">
        <v>521</v>
      </c>
      <c r="I129" s="97" t="s">
        <v>521</v>
      </c>
      <c r="J129" s="97" t="s">
        <v>521</v>
      </c>
      <c r="K129" s="97" t="s">
        <v>521</v>
      </c>
      <c r="L129" s="97" t="s">
        <v>521</v>
      </c>
      <c r="M129" s="97" t="s">
        <v>521</v>
      </c>
      <c r="N129" s="97" t="s">
        <v>521</v>
      </c>
      <c r="O129" s="97" t="s">
        <v>521</v>
      </c>
    </row>
    <row r="130" spans="1:44" x14ac:dyDescent="0.25">
      <c r="A130" s="156" t="str">
        <v/>
      </c>
      <c r="B130" t="s">
        <v>538</v>
      </c>
      <c r="D130" s="150" t="str">
        <f>IF(D129=D115,D129+7,"")</f>
        <v/>
      </c>
      <c r="F130" s="97" t="s">
        <v>521</v>
      </c>
      <c r="G130" s="97" t="s">
        <v>521</v>
      </c>
      <c r="H130" s="97" t="s">
        <v>521</v>
      </c>
      <c r="I130" s="97" t="s">
        <v>521</v>
      </c>
      <c r="J130" s="97" t="s">
        <v>521</v>
      </c>
      <c r="K130" s="97" t="s">
        <v>521</v>
      </c>
      <c r="L130" s="97" t="s">
        <v>521</v>
      </c>
      <c r="M130" s="97" t="s">
        <v>521</v>
      </c>
      <c r="N130" s="97" t="s">
        <v>521</v>
      </c>
      <c r="O130" s="97" t="s">
        <v>521</v>
      </c>
    </row>
    <row r="131" spans="1:44" x14ac:dyDescent="0.25">
      <c r="A131" s="156" t="str">
        <v/>
      </c>
      <c r="B131" t="s">
        <v>539</v>
      </c>
      <c r="D131" s="150">
        <f>DATE($C$1+1,6,22)-WEEKDAY(DATE($C$1+1,6,7))</f>
        <v>43268</v>
      </c>
    </row>
    <row r="132" spans="1:44" x14ac:dyDescent="0.25">
      <c r="A132" s="156" t="str">
        <v/>
      </c>
      <c r="B132" t="s">
        <v>540</v>
      </c>
      <c r="D132" s="150">
        <f>DATE($C$1+1,3,8)-WEEKDAY(DATE($C$1+1,3,7))</f>
        <v>43163</v>
      </c>
    </row>
    <row r="133" spans="1:44" x14ac:dyDescent="0.25">
      <c r="A133" s="156" t="str">
        <v/>
      </c>
      <c r="B133" t="s">
        <v>541</v>
      </c>
      <c r="C133" t="s">
        <v>542</v>
      </c>
      <c r="D133" s="150">
        <f>DATE($C$1+1,1,9)-WEEKDAY(DATE($C$1+1,1,8))</f>
        <v>43107</v>
      </c>
    </row>
    <row r="134" spans="1:44" x14ac:dyDescent="0.25">
      <c r="A134" s="156" t="str">
        <v/>
      </c>
      <c r="B134" t="s">
        <v>541</v>
      </c>
      <c r="C134" t="s">
        <v>543</v>
      </c>
      <c r="D134" s="150">
        <f>DATE($C$1+1,1,6)</f>
        <v>43106</v>
      </c>
      <c r="AN134" s="97" t="s">
        <v>521</v>
      </c>
    </row>
    <row r="135" spans="1:44" x14ac:dyDescent="0.25">
      <c r="A135" s="156" t="str">
        <v/>
      </c>
      <c r="B135" t="s">
        <v>544</v>
      </c>
      <c r="D135" s="150">
        <f>D110+60</f>
        <v>43251</v>
      </c>
      <c r="T135" s="97" t="s">
        <v>521</v>
      </c>
      <c r="U135" s="97" t="s">
        <v>521</v>
      </c>
      <c r="Z135" s="97" t="s">
        <v>521</v>
      </c>
      <c r="AD135" s="97" t="s">
        <v>521</v>
      </c>
      <c r="AE135" s="97" t="s">
        <v>521</v>
      </c>
      <c r="AG135" s="97" t="s">
        <v>521</v>
      </c>
      <c r="AH135" s="97" t="s">
        <v>521</v>
      </c>
      <c r="AK135" s="97" t="s">
        <v>521</v>
      </c>
      <c r="AL135" s="97" t="s">
        <v>521</v>
      </c>
      <c r="AO135" s="97" t="s">
        <v>521</v>
      </c>
      <c r="AQ135" s="97" t="s">
        <v>521</v>
      </c>
      <c r="AR135" s="97" t="s">
        <v>521</v>
      </c>
    </row>
    <row r="136" spans="1:44" x14ac:dyDescent="0.25">
      <c r="A136" s="156" t="str">
        <v/>
      </c>
      <c r="B136" t="s">
        <v>405</v>
      </c>
      <c r="D136" s="150">
        <f>DATE($C$1-1,12,8)</f>
        <v>42712</v>
      </c>
      <c r="T136" s="97" t="s">
        <v>521</v>
      </c>
      <c r="Z136" s="97" t="s">
        <v>521</v>
      </c>
      <c r="AG136" s="97" t="s">
        <v>521</v>
      </c>
      <c r="AH136" s="97" t="s">
        <v>521</v>
      </c>
      <c r="AO136" s="97" t="s">
        <v>521</v>
      </c>
      <c r="AQ136" s="97" t="s">
        <v>521</v>
      </c>
      <c r="AR136" s="97" t="s">
        <v>521</v>
      </c>
    </row>
    <row r="137" spans="1:44" x14ac:dyDescent="0.25">
      <c r="A137" s="156" t="str">
        <v/>
      </c>
      <c r="B137" t="s">
        <v>535</v>
      </c>
      <c r="C137" t="s">
        <v>525</v>
      </c>
      <c r="D137" s="150">
        <f>DATE($C$1+1,11,8)-WEEKDAY(DATE($C$1+1,11,7))</f>
        <v>43408</v>
      </c>
      <c r="O137" s="97" t="s">
        <v>521</v>
      </c>
      <c r="R137" s="97" t="s">
        <v>521</v>
      </c>
    </row>
    <row r="138" spans="1:44" x14ac:dyDescent="0.25">
      <c r="A138" s="156" t="str">
        <v/>
      </c>
      <c r="B138" t="s">
        <v>545</v>
      </c>
      <c r="D138" s="150">
        <f>D139-1</f>
        <v>43144</v>
      </c>
      <c r="I138" s="97" t="s">
        <v>521</v>
      </c>
      <c r="J138" s="97" t="s">
        <v>521</v>
      </c>
      <c r="K138" s="97" t="s">
        <v>521</v>
      </c>
    </row>
    <row r="139" spans="1:44" x14ac:dyDescent="0.25">
      <c r="A139" s="156" t="str">
        <v/>
      </c>
      <c r="B139" t="s">
        <v>546</v>
      </c>
      <c r="C139" t="s">
        <v>547</v>
      </c>
      <c r="D139" s="150">
        <f>D110-46</f>
        <v>43145</v>
      </c>
      <c r="I139" s="97" t="s">
        <v>521</v>
      </c>
      <c r="J139" s="97" t="s">
        <v>521</v>
      </c>
      <c r="K139" s="97" t="s">
        <v>521</v>
      </c>
    </row>
    <row r="140" spans="1:44" x14ac:dyDescent="0.25">
      <c r="A140" s="156" t="str">
        <v/>
      </c>
      <c r="B140" t="s">
        <v>548</v>
      </c>
      <c r="D140" s="150">
        <f>D110-24</f>
        <v>43167</v>
      </c>
      <c r="I140" s="97" t="s">
        <v>521</v>
      </c>
      <c r="J140" s="97" t="s">
        <v>521</v>
      </c>
      <c r="K140" s="97" t="s">
        <v>521</v>
      </c>
    </row>
    <row r="141" spans="1:44" x14ac:dyDescent="0.25">
      <c r="A141" s="156" t="str">
        <v/>
      </c>
      <c r="B141" t="s">
        <v>537</v>
      </c>
      <c r="C141" t="s">
        <v>484</v>
      </c>
      <c r="D141" s="150">
        <f>DATE($C$1+1,5,22)</f>
        <v>43242</v>
      </c>
      <c r="I141" s="97" t="s">
        <v>521</v>
      </c>
    </row>
    <row r="142" spans="1:44" x14ac:dyDescent="0.25">
      <c r="A142" s="156" t="str">
        <v/>
      </c>
      <c r="B142" t="s">
        <v>537</v>
      </c>
      <c r="C142" t="s">
        <v>485</v>
      </c>
      <c r="D142" s="150">
        <f>DATE($C$1+1,5,27)</f>
        <v>43247</v>
      </c>
      <c r="J142" s="97" t="s">
        <v>521</v>
      </c>
    </row>
    <row r="143" spans="1:44" x14ac:dyDescent="0.25">
      <c r="A143" s="156" t="str">
        <v/>
      </c>
      <c r="B143" t="s">
        <v>537</v>
      </c>
      <c r="C143" t="s">
        <v>549</v>
      </c>
      <c r="D143" s="150">
        <f>DATE($C$1+1,6,10)</f>
        <v>43261</v>
      </c>
      <c r="K143" s="97" t="s">
        <v>521</v>
      </c>
    </row>
    <row r="144" spans="1:44" x14ac:dyDescent="0.25">
      <c r="A144" s="156" t="str">
        <v/>
      </c>
      <c r="B144" t="s">
        <v>550</v>
      </c>
      <c r="D144" s="150">
        <f>D120+1</f>
        <v>43406</v>
      </c>
      <c r="I144" s="97" t="s">
        <v>521</v>
      </c>
      <c r="J144" s="97" t="s">
        <v>521</v>
      </c>
      <c r="K144" s="97" t="s">
        <v>521</v>
      </c>
    </row>
    <row r="145" spans="1:45" x14ac:dyDescent="0.25">
      <c r="A145" s="156" t="str">
        <v/>
      </c>
      <c r="B145" t="s">
        <v>551</v>
      </c>
      <c r="C145" t="s">
        <v>493</v>
      </c>
      <c r="D145" s="150">
        <f>DATE($C$1+1,5,25)-WEEKDAY(DATE($C$1+1,5,23))</f>
        <v>43241</v>
      </c>
      <c r="R145" s="97" t="s">
        <v>521</v>
      </c>
    </row>
    <row r="146" spans="1:45" x14ac:dyDescent="0.25">
      <c r="A146" s="156" t="str">
        <v/>
      </c>
      <c r="B146" s="157" t="s">
        <v>527</v>
      </c>
      <c r="C146" t="s">
        <v>493</v>
      </c>
      <c r="D146" s="150">
        <f>IF(WEEKDAY(D127)=1,D127+1,"")</f>
        <v>43276</v>
      </c>
      <c r="R146" s="97" t="s">
        <v>521</v>
      </c>
    </row>
    <row r="147" spans="1:45" x14ac:dyDescent="0.25">
      <c r="A147" s="156" t="str">
        <v/>
      </c>
      <c r="B147" t="s">
        <v>552</v>
      </c>
      <c r="C147" t="s">
        <v>493</v>
      </c>
      <c r="D147" s="150">
        <f>DATE($C$1+1,7,1)</f>
        <v>43282</v>
      </c>
      <c r="R147" s="97" t="s">
        <v>521</v>
      </c>
    </row>
    <row r="148" spans="1:45" x14ac:dyDescent="0.25">
      <c r="A148" s="156" t="str">
        <v/>
      </c>
      <c r="B148" s="157" t="s">
        <v>527</v>
      </c>
      <c r="C148" t="s">
        <v>493</v>
      </c>
      <c r="D148" s="150">
        <f>IF(WEEKDAY(D147)=1,D147+1,"")</f>
        <v>43283</v>
      </c>
      <c r="R148" s="97" t="s">
        <v>521</v>
      </c>
    </row>
    <row r="149" spans="1:45" x14ac:dyDescent="0.25">
      <c r="A149" s="156" t="str">
        <v/>
      </c>
      <c r="B149" t="s">
        <v>553</v>
      </c>
      <c r="C149" t="s">
        <v>493</v>
      </c>
      <c r="D149" s="150">
        <f>DATE($C$1+1,10,15)-WEEKDAY(DATE($C$1+1,10,13))</f>
        <v>43381</v>
      </c>
      <c r="R149" s="97" t="s">
        <v>521</v>
      </c>
    </row>
    <row r="150" spans="1:45" x14ac:dyDescent="0.25">
      <c r="A150" s="156" t="str">
        <v/>
      </c>
      <c r="B150" t="s">
        <v>554</v>
      </c>
      <c r="C150" t="s">
        <v>494</v>
      </c>
      <c r="D150" s="150">
        <f>DATE($C$1+1,1,2)</f>
        <v>43102</v>
      </c>
      <c r="T150" s="97" t="s">
        <v>521</v>
      </c>
      <c r="W150" s="97" t="s">
        <v>521</v>
      </c>
      <c r="AF150" s="97" t="s">
        <v>521</v>
      </c>
      <c r="AM150" s="97" t="s">
        <v>521</v>
      </c>
    </row>
    <row r="151" spans="1:45" x14ac:dyDescent="0.25">
      <c r="A151" s="156" t="str">
        <v/>
      </c>
      <c r="B151" t="s">
        <v>555</v>
      </c>
      <c r="C151" t="s">
        <v>494</v>
      </c>
      <c r="D151" s="150">
        <f>DATE($C$1+1,3,1)</f>
        <v>43160</v>
      </c>
      <c r="AF151" s="97" t="s">
        <v>521</v>
      </c>
    </row>
    <row r="152" spans="1:45" x14ac:dyDescent="0.25">
      <c r="A152" s="156" t="str">
        <v/>
      </c>
      <c r="B152" t="s">
        <v>556</v>
      </c>
      <c r="C152" t="s">
        <v>494</v>
      </c>
      <c r="D152" s="150">
        <f>DATE($C$1+1,3,19)</f>
        <v>43178</v>
      </c>
      <c r="AI152" s="97" t="s">
        <v>521</v>
      </c>
      <c r="AQ152" s="97" t="s">
        <v>521</v>
      </c>
    </row>
    <row r="153" spans="1:45" x14ac:dyDescent="0.25">
      <c r="A153" s="156" t="str">
        <v/>
      </c>
      <c r="B153" t="s">
        <v>557</v>
      </c>
      <c r="C153" t="s">
        <v>494</v>
      </c>
      <c r="D153" s="150">
        <f>DATE($C$1+1,4,8)-WEEKDAY(DATE($C$1+1,4,3))</f>
        <v>43195</v>
      </c>
      <c r="AB153" s="97" t="s">
        <v>521</v>
      </c>
    </row>
    <row r="154" spans="1:45" x14ac:dyDescent="0.25">
      <c r="A154" s="156" t="str">
        <v/>
      </c>
      <c r="B154" t="s">
        <v>534</v>
      </c>
      <c r="C154" t="s">
        <v>494</v>
      </c>
      <c r="D154" s="150">
        <f>DATE($C$1+1,8,1)</f>
        <v>43313</v>
      </c>
      <c r="S154" s="97" t="s">
        <v>521</v>
      </c>
      <c r="T154" s="97" t="s">
        <v>521</v>
      </c>
      <c r="U154" s="97" t="s">
        <v>521</v>
      </c>
      <c r="V154" s="97" t="s">
        <v>521</v>
      </c>
      <c r="W154" s="97" t="s">
        <v>521</v>
      </c>
      <c r="X154" s="97" t="s">
        <v>521</v>
      </c>
      <c r="Y154" s="97" t="s">
        <v>521</v>
      </c>
      <c r="Z154" s="97" t="s">
        <v>521</v>
      </c>
      <c r="AA154" s="97" t="s">
        <v>521</v>
      </c>
      <c r="AB154" s="97" t="s">
        <v>521</v>
      </c>
      <c r="AC154" s="97" t="s">
        <v>521</v>
      </c>
      <c r="AD154" s="97" t="s">
        <v>521</v>
      </c>
      <c r="AE154" s="97" t="s">
        <v>521</v>
      </c>
      <c r="AF154" s="97" t="s">
        <v>521</v>
      </c>
      <c r="AG154" s="97" t="s">
        <v>521</v>
      </c>
      <c r="AH154" s="97" t="s">
        <v>521</v>
      </c>
      <c r="AI154" s="97" t="s">
        <v>521</v>
      </c>
      <c r="AJ154" s="97" t="s">
        <v>521</v>
      </c>
      <c r="AK154" s="97" t="s">
        <v>521</v>
      </c>
      <c r="AL154" s="97" t="s">
        <v>521</v>
      </c>
      <c r="AM154" s="97" t="s">
        <v>521</v>
      </c>
      <c r="AN154" s="97" t="s">
        <v>521</v>
      </c>
      <c r="AO154" s="97" t="s">
        <v>521</v>
      </c>
      <c r="AP154" s="97" t="s">
        <v>521</v>
      </c>
      <c r="AQ154" s="97" t="s">
        <v>521</v>
      </c>
      <c r="AR154" s="97" t="s">
        <v>521</v>
      </c>
      <c r="AS154" s="97" t="s">
        <v>521</v>
      </c>
    </row>
    <row r="155" spans="1:45" x14ac:dyDescent="0.25">
      <c r="A155" s="156" t="str">
        <v/>
      </c>
      <c r="B155" t="s">
        <v>558</v>
      </c>
      <c r="C155" t="s">
        <v>494</v>
      </c>
      <c r="D155" s="150">
        <f>DATE($C$1+1,9,22)-WEEKDAY(DATE($C$1+1,9,7))</f>
        <v>43359</v>
      </c>
      <c r="T155" s="97" t="s">
        <v>521</v>
      </c>
      <c r="U155" s="97" t="s">
        <v>521</v>
      </c>
      <c r="V155" s="97" t="s">
        <v>521</v>
      </c>
      <c r="W155" s="97" t="s">
        <v>521</v>
      </c>
      <c r="X155" s="97" t="s">
        <v>521</v>
      </c>
      <c r="Y155" s="97" t="s">
        <v>521</v>
      </c>
      <c r="Z155" s="97" t="s">
        <v>521</v>
      </c>
      <c r="AB155" s="97" t="s">
        <v>521</v>
      </c>
      <c r="AC155" s="97" t="s">
        <v>521</v>
      </c>
      <c r="AD155" s="97" t="s">
        <v>521</v>
      </c>
      <c r="AE155" s="97" t="s">
        <v>521</v>
      </c>
      <c r="AF155" s="97" t="s">
        <v>521</v>
      </c>
      <c r="AG155" s="97" t="s">
        <v>521</v>
      </c>
      <c r="AH155" s="97" t="s">
        <v>521</v>
      </c>
      <c r="AI155" s="97" t="s">
        <v>521</v>
      </c>
      <c r="AJ155" s="97" t="s">
        <v>521</v>
      </c>
      <c r="AK155" s="97" t="s">
        <v>521</v>
      </c>
      <c r="AL155" s="97" t="s">
        <v>521</v>
      </c>
      <c r="AM155" s="97" t="s">
        <v>521</v>
      </c>
      <c r="AN155" s="97" t="s">
        <v>521</v>
      </c>
      <c r="AO155" s="97" t="s">
        <v>521</v>
      </c>
      <c r="AP155" s="97" t="s">
        <v>521</v>
      </c>
      <c r="AQ155" s="97" t="s">
        <v>521</v>
      </c>
      <c r="AR155" s="97" t="s">
        <v>521</v>
      </c>
      <c r="AS155" s="97" t="s">
        <v>521</v>
      </c>
    </row>
    <row r="156" spans="1:45" x14ac:dyDescent="0.25">
      <c r="A156" s="156" t="str">
        <v/>
      </c>
      <c r="B156" t="s">
        <v>559</v>
      </c>
      <c r="C156" t="s">
        <v>494</v>
      </c>
      <c r="D156" s="150">
        <f>DATE($C$1+1,9,8)-WEEKDAY(DATE($C$1+1,9,7))+4</f>
        <v>43349</v>
      </c>
      <c r="AA156" s="97" t="s">
        <v>521</v>
      </c>
    </row>
    <row r="157" spans="1:45" x14ac:dyDescent="0.25">
      <c r="A157" s="156" t="str">
        <v/>
      </c>
      <c r="B157" t="s">
        <v>560</v>
      </c>
      <c r="C157" t="s">
        <v>561</v>
      </c>
      <c r="D157" s="150">
        <f>D155+1</f>
        <v>43360</v>
      </c>
      <c r="AP157" s="97" t="s">
        <v>521</v>
      </c>
    </row>
    <row r="158" spans="1:45" x14ac:dyDescent="0.25">
      <c r="A158" s="156" t="str">
        <v/>
      </c>
      <c r="B158" t="s">
        <v>562</v>
      </c>
      <c r="C158" t="s">
        <v>494</v>
      </c>
      <c r="D158" s="150">
        <f>DATE($C$1+1,9,25)</f>
        <v>43368</v>
      </c>
      <c r="AH158" s="97" t="s">
        <v>521</v>
      </c>
    </row>
    <row r="159" spans="1:45" x14ac:dyDescent="0.25">
      <c r="A159" s="156" t="str">
        <v/>
      </c>
      <c r="B159" t="s">
        <v>563</v>
      </c>
      <c r="C159" t="s">
        <v>494</v>
      </c>
      <c r="D159" s="150">
        <f>DATE($C$1-1,12,31)</f>
        <v>42735</v>
      </c>
      <c r="AA159" s="97" t="s">
        <v>521</v>
      </c>
    </row>
    <row r="160" spans="1:45" x14ac:dyDescent="0.25">
      <c r="A160" s="156" t="str">
        <v/>
      </c>
      <c r="B160" t="s">
        <v>564</v>
      </c>
      <c r="C160" t="s">
        <v>565</v>
      </c>
      <c r="D160" s="150">
        <f>DATE($C$1+1,3,5)</f>
        <v>43164</v>
      </c>
      <c r="L160" s="97" t="s">
        <v>521</v>
      </c>
    </row>
    <row r="161" spans="1:15" x14ac:dyDescent="0.25">
      <c r="A161" s="156" t="str">
        <v/>
      </c>
      <c r="B161" t="s">
        <v>566</v>
      </c>
      <c r="C161" t="s">
        <v>565</v>
      </c>
      <c r="D161" s="150">
        <f>DATE($C$1+1,6,29)</f>
        <v>43280</v>
      </c>
      <c r="L161" s="97" t="s">
        <v>521</v>
      </c>
    </row>
    <row r="162" spans="1:15" x14ac:dyDescent="0.25">
      <c r="A162" s="156" t="str">
        <v/>
      </c>
      <c r="B162" t="s">
        <v>567</v>
      </c>
      <c r="C162" s="157" t="s">
        <v>488</v>
      </c>
      <c r="D162" s="150">
        <f>DATE($C$1+1,9,24)</f>
        <v>43367</v>
      </c>
      <c r="M162" s="97" t="s">
        <v>521</v>
      </c>
    </row>
    <row r="163" spans="1:15" x14ac:dyDescent="0.25">
      <c r="A163" s="156" t="str">
        <v/>
      </c>
      <c r="B163" t="s">
        <v>537</v>
      </c>
      <c r="C163" t="s">
        <v>489</v>
      </c>
      <c r="D163" s="150">
        <f>DATE($C$1+1,4,27)</f>
        <v>43217</v>
      </c>
      <c r="N163" s="97" t="s">
        <v>521</v>
      </c>
    </row>
    <row r="164" spans="1:15" x14ac:dyDescent="0.25">
      <c r="A164" s="156" t="str">
        <v/>
      </c>
      <c r="B164" t="s">
        <v>568</v>
      </c>
      <c r="C164" t="s">
        <v>490</v>
      </c>
      <c r="D164" s="150">
        <f>DATE($C$1-1,12,24)</f>
        <v>42728</v>
      </c>
      <c r="O164" s="97" t="s">
        <v>521</v>
      </c>
    </row>
    <row r="165" spans="1:15" x14ac:dyDescent="0.25">
      <c r="A165" s="156" t="str">
        <v/>
      </c>
    </row>
    <row r="166" spans="1:15" x14ac:dyDescent="0.25">
      <c r="A166" s="156" t="str">
        <v/>
      </c>
    </row>
    <row r="167" spans="1:15" x14ac:dyDescent="0.25">
      <c r="A167" s="156" t="str">
        <v/>
      </c>
    </row>
    <row r="168" spans="1:15" x14ac:dyDescent="0.25">
      <c r="A168" s="156" t="str">
        <v/>
      </c>
    </row>
    <row r="169" spans="1:15" x14ac:dyDescent="0.25">
      <c r="A169" s="156" t="str">
        <v/>
      </c>
    </row>
    <row r="170" spans="1:15" x14ac:dyDescent="0.25">
      <c r="A170" s="156" t="str">
        <v/>
      </c>
    </row>
    <row r="171" spans="1:15" x14ac:dyDescent="0.25">
      <c r="A171" s="156" t="str">
        <v/>
      </c>
    </row>
    <row r="172" spans="1:15" x14ac:dyDescent="0.25">
      <c r="A172" s="156" t="str">
        <v/>
      </c>
    </row>
    <row r="173" spans="1:15" x14ac:dyDescent="0.25">
      <c r="A173" s="156" t="str">
        <v/>
      </c>
    </row>
    <row r="174" spans="1:15" x14ac:dyDescent="0.25">
      <c r="A174" s="156" t="str">
        <v/>
      </c>
    </row>
    <row r="175" spans="1:15" x14ac:dyDescent="0.25">
      <c r="A175" s="156" t="str">
        <v/>
      </c>
    </row>
    <row r="176" spans="1:15" x14ac:dyDescent="0.25">
      <c r="A176" s="156" t="str">
        <v/>
      </c>
    </row>
    <row r="177" spans="1:1" x14ac:dyDescent="0.25">
      <c r="A177" s="156" t="str">
        <v/>
      </c>
    </row>
    <row r="178" spans="1:1" x14ac:dyDescent="0.25">
      <c r="A178" s="156" t="str">
        <v/>
      </c>
    </row>
    <row r="179" spans="1:1" x14ac:dyDescent="0.25">
      <c r="A179" s="156" t="str">
        <v/>
      </c>
    </row>
    <row r="180" spans="1:1" x14ac:dyDescent="0.25">
      <c r="A180" s="156" t="str">
        <v/>
      </c>
    </row>
    <row r="181" spans="1:1" x14ac:dyDescent="0.25">
      <c r="A181" s="156" t="str">
        <v/>
      </c>
    </row>
    <row r="182" spans="1:1" x14ac:dyDescent="0.25">
      <c r="A182" s="156" t="str">
        <v/>
      </c>
    </row>
    <row r="183" spans="1:1" x14ac:dyDescent="0.25">
      <c r="A183" s="156" t="str">
        <v/>
      </c>
    </row>
    <row r="184" spans="1:1" x14ac:dyDescent="0.25">
      <c r="A184" s="156" t="str">
        <v/>
      </c>
    </row>
    <row r="185" spans="1:1" x14ac:dyDescent="0.25">
      <c r="A185" s="156" t="str">
        <v/>
      </c>
    </row>
    <row r="186" spans="1:1" x14ac:dyDescent="0.25">
      <c r="A186" s="156" t="str">
        <v/>
      </c>
    </row>
    <row r="187" spans="1:1" x14ac:dyDescent="0.25">
      <c r="A187" s="156" t="str">
        <v/>
      </c>
    </row>
    <row r="188" spans="1:1" x14ac:dyDescent="0.25">
      <c r="A188" s="156" t="str">
        <v/>
      </c>
    </row>
    <row r="189" spans="1:1" x14ac:dyDescent="0.25">
      <c r="A189" s="156" t="str">
        <v/>
      </c>
    </row>
    <row r="190" spans="1:1" x14ac:dyDescent="0.25">
      <c r="A190" s="156" t="str">
        <v/>
      </c>
    </row>
    <row r="191" spans="1:1" x14ac:dyDescent="0.25">
      <c r="A191" s="156" t="str">
        <v/>
      </c>
    </row>
    <row r="192" spans="1:1" x14ac:dyDescent="0.25">
      <c r="A192" s="156" t="str">
        <v/>
      </c>
    </row>
    <row r="193" spans="1:101" x14ac:dyDescent="0.25">
      <c r="A193" s="156" t="str">
        <v/>
      </c>
    </row>
    <row r="194" spans="1:101" x14ac:dyDescent="0.25">
      <c r="A194" s="156" t="str">
        <v/>
      </c>
    </row>
    <row r="195" spans="1:101" x14ac:dyDescent="0.25">
      <c r="A195" s="156" t="str">
        <v/>
      </c>
    </row>
    <row r="196" spans="1:101" x14ac:dyDescent="0.25">
      <c r="A196" s="156" t="str">
        <v/>
      </c>
    </row>
    <row r="197" spans="1:101" x14ac:dyDescent="0.25">
      <c r="A197" s="156" t="str">
        <v/>
      </c>
    </row>
    <row r="198" spans="1:101" x14ac:dyDescent="0.25">
      <c r="A198" s="156" t="str">
        <v/>
      </c>
    </row>
    <row r="199" spans="1:101" x14ac:dyDescent="0.25">
      <c r="A199" s="156" t="str">
        <v/>
      </c>
    </row>
    <row r="200" spans="1:101" x14ac:dyDescent="0.25">
      <c r="A200" s="156" t="str">
        <v/>
      </c>
    </row>
    <row r="201" spans="1:101" x14ac:dyDescent="0.25">
      <c r="A201" s="156" t="str">
        <v/>
      </c>
    </row>
    <row r="202" spans="1:101" x14ac:dyDescent="0.25">
      <c r="A202" s="156" t="str">
        <v/>
      </c>
    </row>
    <row r="203" spans="1:101" x14ac:dyDescent="0.25">
      <c r="A203" s="156" t="str">
        <v/>
      </c>
    </row>
    <row r="205" spans="1:101" x14ac:dyDescent="0.25">
      <c r="B205" t="s">
        <v>569</v>
      </c>
    </row>
    <row r="206" spans="1:101" x14ac:dyDescent="0.25">
      <c r="C206" s="70">
        <f>C1</f>
        <v>2017</v>
      </c>
      <c r="D206" s="70">
        <f>C206+1</f>
        <v>2018</v>
      </c>
      <c r="E206" s="70"/>
      <c r="F206" s="70"/>
      <c r="G206" s="70"/>
      <c r="H206" s="70"/>
      <c r="I206" s="70"/>
      <c r="J206" s="70"/>
      <c r="K206" s="70"/>
      <c r="L206" s="70"/>
      <c r="M206" s="70"/>
      <c r="N206" s="70"/>
      <c r="O206" s="70"/>
      <c r="P206" s="70"/>
      <c r="Q206" s="70"/>
      <c r="R206" s="70"/>
      <c r="S206" s="70"/>
      <c r="T206" s="70"/>
      <c r="U206" s="70"/>
      <c r="V206" s="70"/>
      <c r="W206" s="70"/>
      <c r="X206" s="70"/>
      <c r="Y206" s="70"/>
      <c r="Z206" s="70"/>
      <c r="AA206" s="70"/>
      <c r="AB206" s="70"/>
      <c r="AC206" s="70"/>
      <c r="AD206" s="70"/>
      <c r="AE206" s="70"/>
      <c r="AF206" s="70"/>
      <c r="AG206" s="70"/>
      <c r="AH206" s="70"/>
      <c r="AI206" s="70"/>
      <c r="AJ206" s="70"/>
      <c r="AK206" s="70"/>
      <c r="AL206" s="70"/>
      <c r="AM206" s="70"/>
      <c r="AN206" s="70"/>
      <c r="AO206" s="70"/>
      <c r="AP206" s="70"/>
      <c r="AQ206" s="70"/>
      <c r="AR206" s="70"/>
      <c r="AS206" s="70"/>
      <c r="AT206" s="70"/>
      <c r="AU206" s="70"/>
      <c r="AV206" s="70"/>
      <c r="AW206" s="70"/>
      <c r="AX206" s="70"/>
      <c r="AY206" s="70"/>
      <c r="AZ206" s="70"/>
      <c r="BA206" s="70"/>
      <c r="BB206" s="70"/>
      <c r="BC206" s="70"/>
      <c r="BD206" s="70"/>
      <c r="BE206" s="70"/>
      <c r="BF206" s="70"/>
      <c r="BG206" s="70"/>
      <c r="BH206" s="70"/>
      <c r="BI206" s="70"/>
      <c r="BJ206" s="70"/>
      <c r="BK206" s="70"/>
      <c r="BL206" s="70"/>
      <c r="BM206" s="70"/>
      <c r="BN206" s="70"/>
      <c r="BO206" s="70"/>
      <c r="BP206" s="70"/>
      <c r="BQ206" s="70"/>
      <c r="BR206" s="70"/>
      <c r="BS206" s="70"/>
      <c r="BT206" s="70"/>
      <c r="BU206" s="70"/>
      <c r="BV206" s="70"/>
      <c r="BW206" s="70"/>
      <c r="BX206" s="70"/>
      <c r="BY206" s="70"/>
      <c r="BZ206" s="70"/>
      <c r="CA206" s="70"/>
      <c r="CB206" s="70"/>
      <c r="CC206" s="70"/>
      <c r="CD206" s="70"/>
      <c r="CE206" s="70"/>
      <c r="CF206" s="70"/>
      <c r="CG206" s="70"/>
      <c r="CH206" s="70"/>
      <c r="CI206" s="70"/>
      <c r="CJ206" s="70"/>
      <c r="CK206" s="70"/>
      <c r="CL206" s="70"/>
      <c r="CM206" s="70"/>
      <c r="CN206" s="70"/>
      <c r="CO206" s="70"/>
      <c r="CP206" s="70"/>
      <c r="CQ206" s="70"/>
      <c r="CR206" s="70"/>
      <c r="CS206" s="70"/>
      <c r="CT206" s="70"/>
      <c r="CU206" s="70"/>
      <c r="CV206" s="70"/>
      <c r="CW206" s="70"/>
    </row>
    <row r="207" spans="1:101" x14ac:dyDescent="0.25">
      <c r="B207" t="s">
        <v>570</v>
      </c>
      <c r="C207">
        <f>MOD(C206,19)</f>
        <v>3</v>
      </c>
      <c r="D207">
        <f>MOD(D206,19)</f>
        <v>4</v>
      </c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</row>
    <row r="208" spans="1:101" x14ac:dyDescent="0.25">
      <c r="B208" t="s">
        <v>571</v>
      </c>
      <c r="C208">
        <f>ROUNDDOWN(C206/100,0)</f>
        <v>20</v>
      </c>
      <c r="D208">
        <f>ROUNDDOWN(D206/100,0)</f>
        <v>20</v>
      </c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</row>
    <row r="209" spans="2:101" x14ac:dyDescent="0.25">
      <c r="B209" t="s">
        <v>572</v>
      </c>
      <c r="C209">
        <f>ROUNDDOWN(C208/4,0)</f>
        <v>5</v>
      </c>
      <c r="D209">
        <f>ROUNDDOWN(D208/4,0)</f>
        <v>5</v>
      </c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</row>
    <row r="210" spans="2:101" x14ac:dyDescent="0.25">
      <c r="B210" t="s">
        <v>573</v>
      </c>
      <c r="C210">
        <f>ROUNDDOWN((8*C208+13)/25,0)</f>
        <v>6</v>
      </c>
      <c r="D210">
        <f>ROUNDDOWN((8*D208+13)/25,0)</f>
        <v>6</v>
      </c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</row>
    <row r="211" spans="2:101" x14ac:dyDescent="0.25">
      <c r="B211" t="s">
        <v>574</v>
      </c>
      <c r="C211">
        <f>MOD((19*C207+C208-C209-C210+15),30)</f>
        <v>21</v>
      </c>
      <c r="D211">
        <f>MOD((19*D207+D208-D209-D210+15),30)</f>
        <v>10</v>
      </c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</row>
    <row r="212" spans="2:101" x14ac:dyDescent="0.25">
      <c r="B212" t="s">
        <v>575</v>
      </c>
      <c r="C212">
        <f>ROUNDDOWN(C211/28,0)</f>
        <v>0</v>
      </c>
      <c r="D212">
        <f>ROUNDDOWN(D211/28,0)</f>
        <v>0</v>
      </c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</row>
    <row r="213" spans="2:101" x14ac:dyDescent="0.25">
      <c r="B213" t="s">
        <v>576</v>
      </c>
      <c r="C213">
        <f>ROUNDDOWN(29/(C211+1),0)</f>
        <v>1</v>
      </c>
      <c r="D213">
        <f>ROUNDDOWN(29/(D211+1),0)</f>
        <v>2</v>
      </c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</row>
    <row r="214" spans="2:101" x14ac:dyDescent="0.25">
      <c r="B214" t="s">
        <v>577</v>
      </c>
      <c r="C214">
        <f>ROUNDDOWN((21-C207)/11,0)</f>
        <v>1</v>
      </c>
      <c r="D214">
        <f>ROUNDDOWN((21-D207)/11,0)</f>
        <v>1</v>
      </c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</row>
    <row r="215" spans="2:101" x14ac:dyDescent="0.25">
      <c r="B215" t="s">
        <v>578</v>
      </c>
      <c r="C215">
        <f>(C212*C213*C214-1)*C212+C211</f>
        <v>21</v>
      </c>
      <c r="D215">
        <f>(D212*D213*D214-1)*D212+D211</f>
        <v>10</v>
      </c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</row>
    <row r="216" spans="2:101" x14ac:dyDescent="0.25">
      <c r="B216" t="s">
        <v>579</v>
      </c>
      <c r="C216">
        <f>ROUNDDOWN(C206/4,0)+C206</f>
        <v>2521</v>
      </c>
      <c r="D216">
        <f>ROUNDDOWN(D206/4,0)+D206</f>
        <v>2522</v>
      </c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</row>
    <row r="217" spans="2:101" x14ac:dyDescent="0.25">
      <c r="B217" t="s">
        <v>580</v>
      </c>
      <c r="C217">
        <f>(C216+C215+2+C209)-C208</f>
        <v>2529</v>
      </c>
      <c r="D217">
        <f>(D216+D215+2+D209)-D208</f>
        <v>2519</v>
      </c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</row>
    <row r="218" spans="2:101" x14ac:dyDescent="0.25">
      <c r="B218" t="s">
        <v>581</v>
      </c>
      <c r="C218">
        <f>MOD(C217,7)</f>
        <v>2</v>
      </c>
      <c r="D218">
        <f>MOD(D217,7)</f>
        <v>6</v>
      </c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</row>
    <row r="219" spans="2:101" x14ac:dyDescent="0.25">
      <c r="B219" t="s">
        <v>582</v>
      </c>
      <c r="C219">
        <f>28+C215-C218</f>
        <v>47</v>
      </c>
      <c r="D219">
        <f>28+D215-D218</f>
        <v>32</v>
      </c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</row>
    <row r="220" spans="2:101" x14ac:dyDescent="0.25">
      <c r="C220" s="99">
        <f>IF(C219&gt;31,DATE(C206,4,C219-31),DATE(C206,3,C219))</f>
        <v>42841</v>
      </c>
      <c r="D220" s="99">
        <f>IF(D219&gt;31,DATE(D206,4,D219-31),DATE(D206,3,D219))</f>
        <v>43191</v>
      </c>
      <c r="E220" s="99"/>
      <c r="F220" s="99"/>
      <c r="G220" s="99"/>
      <c r="H220" s="99"/>
      <c r="I220" s="99"/>
      <c r="J220" s="99"/>
      <c r="K220" s="99"/>
      <c r="L220" s="99"/>
      <c r="M220" s="99"/>
      <c r="N220" s="99"/>
      <c r="O220" s="99"/>
      <c r="P220" s="99"/>
      <c r="Q220" s="99"/>
      <c r="R220" s="99"/>
      <c r="S220" s="99"/>
      <c r="T220" s="99"/>
      <c r="U220" s="99"/>
      <c r="V220" s="99"/>
      <c r="W220" s="99"/>
      <c r="X220" s="99"/>
      <c r="Y220" s="99"/>
      <c r="Z220" s="99"/>
      <c r="AA220" s="99"/>
      <c r="AB220" s="99"/>
      <c r="AC220" s="99"/>
      <c r="AD220" s="99"/>
      <c r="AE220" s="99"/>
      <c r="AF220" s="99"/>
      <c r="AG220" s="99"/>
      <c r="AH220" s="99"/>
      <c r="AI220" s="99"/>
      <c r="AJ220" s="99"/>
      <c r="AK220" s="99"/>
      <c r="AL220" s="99"/>
      <c r="AM220" s="99"/>
      <c r="AN220" s="99"/>
      <c r="AO220" s="99"/>
      <c r="AP220" s="99"/>
      <c r="AQ220" s="99"/>
      <c r="AR220" s="99"/>
      <c r="AS220" s="99"/>
      <c r="AT220" s="99"/>
      <c r="AU220" s="99"/>
      <c r="AV220" s="99"/>
      <c r="AW220" s="99"/>
      <c r="AX220" s="99"/>
      <c r="AY220" s="99"/>
      <c r="AZ220" s="99"/>
      <c r="BA220" s="99"/>
      <c r="BB220" s="99"/>
      <c r="BC220" s="99"/>
      <c r="BD220" s="99"/>
      <c r="BE220" s="99"/>
      <c r="BF220" s="99"/>
      <c r="BG220" s="99"/>
      <c r="BH220" s="99"/>
      <c r="BI220" s="99"/>
      <c r="BJ220" s="99"/>
      <c r="BK220" s="99"/>
      <c r="BL220" s="99"/>
      <c r="BM220" s="99"/>
      <c r="BN220" s="99"/>
      <c r="BO220" s="99"/>
      <c r="BP220" s="99"/>
      <c r="BQ220" s="99"/>
      <c r="BR220" s="99"/>
      <c r="BS220" s="99"/>
      <c r="BT220" s="99"/>
      <c r="BU220" s="99"/>
      <c r="BV220" s="99"/>
      <c r="BW220" s="99"/>
      <c r="BX220" s="99"/>
      <c r="BY220" s="99"/>
      <c r="BZ220" s="99"/>
      <c r="CA220" s="99"/>
      <c r="CB220" s="99"/>
      <c r="CC220" s="99"/>
      <c r="CD220" s="99"/>
      <c r="CE220" s="99"/>
      <c r="CF220" s="99"/>
      <c r="CG220" s="99"/>
      <c r="CH220" s="99"/>
      <c r="CI220" s="99"/>
      <c r="CJ220" s="99"/>
      <c r="CK220" s="99"/>
      <c r="CL220" s="99"/>
      <c r="CM220" s="99"/>
      <c r="CN220" s="99"/>
      <c r="CO220" s="99"/>
      <c r="CP220" s="99"/>
      <c r="CQ220" s="99"/>
      <c r="CR220" s="99"/>
      <c r="CS220" s="99"/>
      <c r="CT220" s="99"/>
      <c r="CU220" s="99"/>
      <c r="CV220" s="99"/>
      <c r="CW220" s="99"/>
    </row>
    <row r="221" spans="2:101" x14ac:dyDescent="0.25">
      <c r="C221" s="150"/>
      <c r="E221" s="150"/>
      <c r="F221" s="150"/>
      <c r="G221" s="150"/>
      <c r="H221" s="150"/>
      <c r="I221" s="150"/>
      <c r="J221" s="150"/>
      <c r="K221" s="150"/>
      <c r="L221" s="150"/>
      <c r="M221" s="150"/>
      <c r="N221" s="150"/>
      <c r="O221" s="150"/>
      <c r="P221" s="150"/>
      <c r="Q221" s="150"/>
      <c r="R221" s="150"/>
      <c r="S221" s="150"/>
      <c r="T221" s="150"/>
      <c r="U221" s="150"/>
      <c r="V221" s="150"/>
      <c r="W221" s="150"/>
      <c r="X221" s="150"/>
      <c r="Y221" s="150"/>
      <c r="Z221" s="150"/>
      <c r="AA221" s="150"/>
      <c r="AB221" s="150"/>
      <c r="AC221" s="150"/>
      <c r="AD221" s="150"/>
      <c r="AE221" s="150"/>
      <c r="AF221" s="150"/>
      <c r="AG221" s="150"/>
      <c r="AH221" s="150"/>
      <c r="AI221" s="150"/>
      <c r="AJ221" s="150"/>
      <c r="AK221" s="150"/>
      <c r="AL221" s="150"/>
      <c r="AM221" s="150"/>
      <c r="AN221" s="150"/>
      <c r="AO221" s="150"/>
      <c r="AP221" s="150"/>
      <c r="AQ221" s="150"/>
      <c r="AR221" s="150"/>
      <c r="AS221" s="150"/>
      <c r="AT221" s="150"/>
      <c r="AU221" s="150"/>
      <c r="AV221" s="150"/>
      <c r="AW221" s="150"/>
      <c r="AX221" s="150"/>
      <c r="AY221" s="150"/>
      <c r="AZ221" s="150"/>
      <c r="BA221" s="150"/>
      <c r="BB221" s="150"/>
      <c r="BC221" s="150"/>
      <c r="BD221" s="150"/>
      <c r="BE221" s="150"/>
      <c r="BF221" s="150"/>
      <c r="BG221" s="150"/>
      <c r="BH221" s="150"/>
      <c r="BI221" s="150"/>
      <c r="BJ221" s="150"/>
      <c r="BK221" s="150"/>
      <c r="BL221" s="150"/>
      <c r="BM221" s="150"/>
      <c r="BN221" s="150"/>
      <c r="BO221" s="150"/>
      <c r="BP221" s="150"/>
      <c r="BQ221" s="150"/>
      <c r="BR221" s="150"/>
      <c r="BS221" s="150"/>
      <c r="BT221" s="150"/>
      <c r="BU221" s="150"/>
      <c r="BV221" s="150"/>
      <c r="BW221" s="150"/>
      <c r="BX221" s="150"/>
      <c r="BY221" s="150"/>
      <c r="BZ221" s="150"/>
      <c r="CA221" s="150"/>
      <c r="CB221" s="150"/>
      <c r="CC221" s="150"/>
      <c r="CD221" s="150"/>
      <c r="CE221" s="150"/>
      <c r="CF221" s="150"/>
      <c r="CG221" s="150"/>
      <c r="CH221" s="150"/>
      <c r="CI221" s="150"/>
      <c r="CJ221" s="150"/>
      <c r="CK221" s="150"/>
      <c r="CL221" s="150"/>
      <c r="CM221" s="150"/>
      <c r="CN221" s="150"/>
      <c r="CO221" s="150"/>
      <c r="CP221" s="150"/>
      <c r="CQ221" s="150"/>
      <c r="CR221" s="150"/>
      <c r="CS221" s="150"/>
      <c r="CT221" s="150"/>
      <c r="CU221" s="150"/>
      <c r="CV221" s="150"/>
      <c r="CW221" s="150"/>
    </row>
    <row r="222" spans="2:101" x14ac:dyDescent="0.25"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</row>
  </sheetData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68"/>
  <sheetViews>
    <sheetView workbookViewId="0">
      <pane xSplit="1" ySplit="3" topLeftCell="B4" activePane="bottomRight" state="frozen"/>
      <selection activeCell="F32" sqref="F32"/>
      <selection pane="topRight" activeCell="F32" sqref="F32"/>
      <selection pane="bottomLeft" activeCell="F32" sqref="F32"/>
      <selection pane="bottomRight" activeCell="G15" sqref="G15"/>
    </sheetView>
  </sheetViews>
  <sheetFormatPr baseColWidth="10" defaultRowHeight="15" x14ac:dyDescent="0.25"/>
  <cols>
    <col min="1" max="1" width="11.42578125" style="103"/>
    <col min="2" max="2" width="10.7109375" bestFit="1" customWidth="1"/>
    <col min="3" max="3" width="30" customWidth="1"/>
  </cols>
  <sheetData>
    <row r="1" spans="1:3" x14ac:dyDescent="0.25">
      <c r="A1" s="102" t="s">
        <v>68</v>
      </c>
      <c r="B1" s="97">
        <f>calendriers!An</f>
        <v>2017</v>
      </c>
      <c r="C1" s="98" t="s">
        <v>69</v>
      </c>
    </row>
    <row r="2" spans="1:3" ht="15" customHeight="1" x14ac:dyDescent="0.25">
      <c r="A2" s="101">
        <v>42736</v>
      </c>
      <c r="B2" s="99">
        <f>DATE($B$1,MONTH(A2),DAY(A2))</f>
        <v>42736</v>
      </c>
      <c r="C2" s="100" t="s">
        <v>70</v>
      </c>
    </row>
    <row r="3" spans="1:3" ht="15" customHeight="1" x14ac:dyDescent="0.25">
      <c r="A3" s="101">
        <v>42737</v>
      </c>
      <c r="B3" s="99">
        <f>DATE($B$1,MONTH(A3),DAY(A3))</f>
        <v>42737</v>
      </c>
      <c r="C3" s="100" t="s">
        <v>71</v>
      </c>
    </row>
    <row r="4" spans="1:3" ht="15" customHeight="1" x14ac:dyDescent="0.25">
      <c r="A4" s="101">
        <v>42738</v>
      </c>
      <c r="B4" s="99">
        <f>DATE($B$1,MONTH(A4),DAY(A4))</f>
        <v>42738</v>
      </c>
      <c r="C4" s="100" t="s">
        <v>72</v>
      </c>
    </row>
    <row r="5" spans="1:3" ht="15" customHeight="1" x14ac:dyDescent="0.25">
      <c r="A5" s="101">
        <v>42739</v>
      </c>
      <c r="B5" s="99">
        <f>DATE($B$1,MONTH(A5),DAY(A5))</f>
        <v>42739</v>
      </c>
      <c r="C5" s="100" t="s">
        <v>73</v>
      </c>
    </row>
    <row r="6" spans="1:3" ht="15" customHeight="1" x14ac:dyDescent="0.25">
      <c r="A6" s="101">
        <v>42740</v>
      </c>
      <c r="B6" s="99">
        <f>DATE($B$1,MONTH(A6),DAY(A6))</f>
        <v>42740</v>
      </c>
      <c r="C6" s="100" t="s">
        <v>74</v>
      </c>
    </row>
    <row r="7" spans="1:3" ht="15" customHeight="1" x14ac:dyDescent="0.25">
      <c r="A7" s="101">
        <v>42741</v>
      </c>
      <c r="B7" s="99">
        <f t="shared" ref="B7:B70" si="0">DATE($B$1,MONTH(A7),DAY(A7))</f>
        <v>42741</v>
      </c>
      <c r="C7" s="100" t="s">
        <v>75</v>
      </c>
    </row>
    <row r="8" spans="1:3" ht="15" customHeight="1" x14ac:dyDescent="0.25">
      <c r="A8" s="101">
        <v>42742</v>
      </c>
      <c r="B8" s="99">
        <f t="shared" si="0"/>
        <v>42742</v>
      </c>
      <c r="C8" s="100" t="s">
        <v>76</v>
      </c>
    </row>
    <row r="9" spans="1:3" ht="15" customHeight="1" x14ac:dyDescent="0.25">
      <c r="A9" s="101">
        <v>42743</v>
      </c>
      <c r="B9" s="99">
        <f t="shared" si="0"/>
        <v>42743</v>
      </c>
      <c r="C9" s="100" t="s">
        <v>77</v>
      </c>
    </row>
    <row r="10" spans="1:3" ht="15" customHeight="1" x14ac:dyDescent="0.25">
      <c r="A10" s="101">
        <v>42744</v>
      </c>
      <c r="B10" s="99">
        <f t="shared" si="0"/>
        <v>42744</v>
      </c>
      <c r="C10" s="100" t="s">
        <v>78</v>
      </c>
    </row>
    <row r="11" spans="1:3" ht="15" customHeight="1" x14ac:dyDescent="0.25">
      <c r="A11" s="101">
        <v>42745</v>
      </c>
      <c r="B11" s="99">
        <f t="shared" si="0"/>
        <v>42745</v>
      </c>
      <c r="C11" s="100" t="s">
        <v>79</v>
      </c>
    </row>
    <row r="12" spans="1:3" ht="15" customHeight="1" x14ac:dyDescent="0.25">
      <c r="A12" s="101">
        <v>42746</v>
      </c>
      <c r="B12" s="99">
        <f t="shared" si="0"/>
        <v>42746</v>
      </c>
      <c r="C12" s="100" t="s">
        <v>80</v>
      </c>
    </row>
    <row r="13" spans="1:3" ht="15" customHeight="1" x14ac:dyDescent="0.25">
      <c r="A13" s="101">
        <v>42747</v>
      </c>
      <c r="B13" s="99">
        <f t="shared" si="0"/>
        <v>42747</v>
      </c>
      <c r="C13" s="100" t="s">
        <v>81</v>
      </c>
    </row>
    <row r="14" spans="1:3" ht="15" customHeight="1" x14ac:dyDescent="0.25">
      <c r="A14" s="101">
        <v>42748</v>
      </c>
      <c r="B14" s="99">
        <f t="shared" si="0"/>
        <v>42748</v>
      </c>
      <c r="C14" s="100" t="s">
        <v>82</v>
      </c>
    </row>
    <row r="15" spans="1:3" ht="15" customHeight="1" x14ac:dyDescent="0.25">
      <c r="A15" s="101">
        <v>42749</v>
      </c>
      <c r="B15" s="99">
        <f t="shared" si="0"/>
        <v>42749</v>
      </c>
      <c r="C15" s="100" t="s">
        <v>83</v>
      </c>
    </row>
    <row r="16" spans="1:3" ht="15" customHeight="1" x14ac:dyDescent="0.25">
      <c r="A16" s="101">
        <v>42750</v>
      </c>
      <c r="B16" s="99">
        <f t="shared" si="0"/>
        <v>42750</v>
      </c>
      <c r="C16" s="100" t="s">
        <v>84</v>
      </c>
    </row>
    <row r="17" spans="1:3" ht="15" customHeight="1" x14ac:dyDescent="0.25">
      <c r="A17" s="101">
        <v>42751</v>
      </c>
      <c r="B17" s="99">
        <f t="shared" si="0"/>
        <v>42751</v>
      </c>
      <c r="C17" s="100" t="s">
        <v>85</v>
      </c>
    </row>
    <row r="18" spans="1:3" ht="15" customHeight="1" x14ac:dyDescent="0.25">
      <c r="A18" s="101">
        <v>42752</v>
      </c>
      <c r="B18" s="99">
        <f t="shared" si="0"/>
        <v>42752</v>
      </c>
      <c r="C18" s="100" t="s">
        <v>86</v>
      </c>
    </row>
    <row r="19" spans="1:3" ht="15" customHeight="1" x14ac:dyDescent="0.25">
      <c r="A19" s="101">
        <v>42753</v>
      </c>
      <c r="B19" s="99">
        <f t="shared" si="0"/>
        <v>42753</v>
      </c>
      <c r="C19" s="100" t="s">
        <v>87</v>
      </c>
    </row>
    <row r="20" spans="1:3" ht="15" customHeight="1" x14ac:dyDescent="0.25">
      <c r="A20" s="101">
        <v>42754</v>
      </c>
      <c r="B20" s="99">
        <f t="shared" si="0"/>
        <v>42754</v>
      </c>
      <c r="C20" s="100" t="s">
        <v>88</v>
      </c>
    </row>
    <row r="21" spans="1:3" ht="15" customHeight="1" x14ac:dyDescent="0.25">
      <c r="A21" s="101">
        <v>42755</v>
      </c>
      <c r="B21" s="99">
        <f t="shared" si="0"/>
        <v>42755</v>
      </c>
      <c r="C21" s="100" t="s">
        <v>89</v>
      </c>
    </row>
    <row r="22" spans="1:3" ht="15" customHeight="1" x14ac:dyDescent="0.25">
      <c r="A22" s="101">
        <v>42756</v>
      </c>
      <c r="B22" s="99">
        <f t="shared" si="0"/>
        <v>42756</v>
      </c>
      <c r="C22" s="100" t="s">
        <v>90</v>
      </c>
    </row>
    <row r="23" spans="1:3" ht="15" customHeight="1" x14ac:dyDescent="0.25">
      <c r="A23" s="101">
        <v>42757</v>
      </c>
      <c r="B23" s="99">
        <f t="shared" si="0"/>
        <v>42757</v>
      </c>
      <c r="C23" s="100" t="s">
        <v>91</v>
      </c>
    </row>
    <row r="24" spans="1:3" ht="15" customHeight="1" x14ac:dyDescent="0.25">
      <c r="A24" s="101">
        <v>42758</v>
      </c>
      <c r="B24" s="99">
        <f t="shared" si="0"/>
        <v>42758</v>
      </c>
      <c r="C24" s="100" t="s">
        <v>92</v>
      </c>
    </row>
    <row r="25" spans="1:3" ht="15" customHeight="1" x14ac:dyDescent="0.25">
      <c r="A25" s="101">
        <v>42759</v>
      </c>
      <c r="B25" s="99">
        <f t="shared" si="0"/>
        <v>42759</v>
      </c>
      <c r="C25" s="100" t="s">
        <v>93</v>
      </c>
    </row>
    <row r="26" spans="1:3" ht="15" customHeight="1" x14ac:dyDescent="0.25">
      <c r="A26" s="101">
        <v>42760</v>
      </c>
      <c r="B26" s="99">
        <f t="shared" si="0"/>
        <v>42760</v>
      </c>
      <c r="C26" s="100" t="s">
        <v>94</v>
      </c>
    </row>
    <row r="27" spans="1:3" ht="15" customHeight="1" x14ac:dyDescent="0.25">
      <c r="A27" s="101">
        <v>42761</v>
      </c>
      <c r="B27" s="99">
        <f t="shared" si="0"/>
        <v>42761</v>
      </c>
      <c r="C27" s="100" t="s">
        <v>95</v>
      </c>
    </row>
    <row r="28" spans="1:3" ht="15" customHeight="1" x14ac:dyDescent="0.25">
      <c r="A28" s="101">
        <v>42762</v>
      </c>
      <c r="B28" s="99">
        <f t="shared" si="0"/>
        <v>42762</v>
      </c>
      <c r="C28" s="100" t="s">
        <v>96</v>
      </c>
    </row>
    <row r="29" spans="1:3" ht="15" customHeight="1" x14ac:dyDescent="0.25">
      <c r="A29" s="101">
        <v>42763</v>
      </c>
      <c r="B29" s="99">
        <f t="shared" si="0"/>
        <v>42763</v>
      </c>
      <c r="C29" s="100" t="s">
        <v>97</v>
      </c>
    </row>
    <row r="30" spans="1:3" ht="15" customHeight="1" x14ac:dyDescent="0.25">
      <c r="A30" s="101">
        <v>42764</v>
      </c>
      <c r="B30" s="99">
        <f t="shared" si="0"/>
        <v>42764</v>
      </c>
      <c r="C30" s="100" t="s">
        <v>98</v>
      </c>
    </row>
    <row r="31" spans="1:3" ht="15" customHeight="1" x14ac:dyDescent="0.25">
      <c r="A31" s="101">
        <v>42765</v>
      </c>
      <c r="B31" s="99">
        <f t="shared" si="0"/>
        <v>42765</v>
      </c>
      <c r="C31" s="100" t="s">
        <v>99</v>
      </c>
    </row>
    <row r="32" spans="1:3" ht="15" customHeight="1" x14ac:dyDescent="0.25">
      <c r="A32" s="101">
        <v>42766</v>
      </c>
      <c r="B32" s="99">
        <f t="shared" si="0"/>
        <v>42766</v>
      </c>
      <c r="C32" s="100" t="s">
        <v>100</v>
      </c>
    </row>
    <row r="33" spans="1:3" ht="15" customHeight="1" x14ac:dyDescent="0.25">
      <c r="A33" s="101">
        <v>42767</v>
      </c>
      <c r="B33" s="99">
        <f t="shared" si="0"/>
        <v>42767</v>
      </c>
      <c r="C33" s="100" t="s">
        <v>101</v>
      </c>
    </row>
    <row r="34" spans="1:3" ht="15" customHeight="1" x14ac:dyDescent="0.25">
      <c r="A34" s="101">
        <v>42768</v>
      </c>
      <c r="B34" s="99">
        <f t="shared" si="0"/>
        <v>42768</v>
      </c>
      <c r="C34" s="100" t="s">
        <v>102</v>
      </c>
    </row>
    <row r="35" spans="1:3" ht="15" customHeight="1" x14ac:dyDescent="0.25">
      <c r="A35" s="101">
        <v>42769</v>
      </c>
      <c r="B35" s="99">
        <f t="shared" si="0"/>
        <v>42769</v>
      </c>
      <c r="C35" s="100" t="s">
        <v>103</v>
      </c>
    </row>
    <row r="36" spans="1:3" ht="15" customHeight="1" x14ac:dyDescent="0.25">
      <c r="A36" s="101">
        <v>42770</v>
      </c>
      <c r="B36" s="99">
        <f t="shared" si="0"/>
        <v>42770</v>
      </c>
      <c r="C36" s="100" t="s">
        <v>104</v>
      </c>
    </row>
    <row r="37" spans="1:3" ht="15" customHeight="1" x14ac:dyDescent="0.25">
      <c r="A37" s="101">
        <v>42771</v>
      </c>
      <c r="B37" s="99">
        <f t="shared" si="0"/>
        <v>42771</v>
      </c>
      <c r="C37" s="100" t="s">
        <v>105</v>
      </c>
    </row>
    <row r="38" spans="1:3" ht="15" customHeight="1" x14ac:dyDescent="0.25">
      <c r="A38" s="101">
        <v>42772</v>
      </c>
      <c r="B38" s="99">
        <f t="shared" si="0"/>
        <v>42772</v>
      </c>
      <c r="C38" s="100" t="s">
        <v>106</v>
      </c>
    </row>
    <row r="39" spans="1:3" ht="15" customHeight="1" x14ac:dyDescent="0.25">
      <c r="A39" s="101">
        <v>42773</v>
      </c>
      <c r="B39" s="99">
        <f t="shared" si="0"/>
        <v>42773</v>
      </c>
      <c r="C39" s="100" t="s">
        <v>107</v>
      </c>
    </row>
    <row r="40" spans="1:3" ht="15" customHeight="1" x14ac:dyDescent="0.25">
      <c r="A40" s="101">
        <v>42774</v>
      </c>
      <c r="B40" s="99">
        <f t="shared" si="0"/>
        <v>42774</v>
      </c>
      <c r="C40" s="100" t="s">
        <v>108</v>
      </c>
    </row>
    <row r="41" spans="1:3" ht="15" customHeight="1" x14ac:dyDescent="0.25">
      <c r="A41" s="101">
        <v>42775</v>
      </c>
      <c r="B41" s="99">
        <f t="shared" si="0"/>
        <v>42775</v>
      </c>
      <c r="C41" s="100" t="s">
        <v>109</v>
      </c>
    </row>
    <row r="42" spans="1:3" ht="15" customHeight="1" x14ac:dyDescent="0.25">
      <c r="A42" s="101">
        <v>42776</v>
      </c>
      <c r="B42" s="99">
        <f t="shared" si="0"/>
        <v>42776</v>
      </c>
      <c r="C42" s="100" t="s">
        <v>110</v>
      </c>
    </row>
    <row r="43" spans="1:3" ht="15" customHeight="1" x14ac:dyDescent="0.25">
      <c r="A43" s="101">
        <v>42777</v>
      </c>
      <c r="B43" s="99">
        <f t="shared" si="0"/>
        <v>42777</v>
      </c>
      <c r="C43" s="100" t="s">
        <v>111</v>
      </c>
    </row>
    <row r="44" spans="1:3" ht="15" customHeight="1" x14ac:dyDescent="0.25">
      <c r="A44" s="101">
        <v>42778</v>
      </c>
      <c r="B44" s="99">
        <f t="shared" si="0"/>
        <v>42778</v>
      </c>
      <c r="C44" s="100" t="s">
        <v>112</v>
      </c>
    </row>
    <row r="45" spans="1:3" ht="15" customHeight="1" x14ac:dyDescent="0.25">
      <c r="A45" s="101">
        <v>42779</v>
      </c>
      <c r="B45" s="99">
        <f t="shared" si="0"/>
        <v>42779</v>
      </c>
      <c r="C45" s="100" t="s">
        <v>113</v>
      </c>
    </row>
    <row r="46" spans="1:3" ht="15" customHeight="1" x14ac:dyDescent="0.25">
      <c r="A46" s="101">
        <v>42780</v>
      </c>
      <c r="B46" s="99">
        <f t="shared" si="0"/>
        <v>42780</v>
      </c>
      <c r="C46" s="100" t="s">
        <v>114</v>
      </c>
    </row>
    <row r="47" spans="1:3" ht="15" customHeight="1" x14ac:dyDescent="0.25">
      <c r="A47" s="101">
        <v>42781</v>
      </c>
      <c r="B47" s="99">
        <f t="shared" si="0"/>
        <v>42781</v>
      </c>
      <c r="C47" s="100" t="s">
        <v>115</v>
      </c>
    </row>
    <row r="48" spans="1:3" ht="15" customHeight="1" x14ac:dyDescent="0.25">
      <c r="A48" s="101">
        <v>42782</v>
      </c>
      <c r="B48" s="99">
        <f t="shared" si="0"/>
        <v>42782</v>
      </c>
      <c r="C48" s="100" t="s">
        <v>116</v>
      </c>
    </row>
    <row r="49" spans="1:3" ht="15" customHeight="1" x14ac:dyDescent="0.25">
      <c r="A49" s="101">
        <v>42783</v>
      </c>
      <c r="B49" s="99">
        <f t="shared" si="0"/>
        <v>42783</v>
      </c>
      <c r="C49" s="100" t="s">
        <v>117</v>
      </c>
    </row>
    <row r="50" spans="1:3" ht="15" customHeight="1" x14ac:dyDescent="0.25">
      <c r="A50" s="101">
        <v>42784</v>
      </c>
      <c r="B50" s="99">
        <f t="shared" si="0"/>
        <v>42784</v>
      </c>
      <c r="C50" s="100" t="s">
        <v>118</v>
      </c>
    </row>
    <row r="51" spans="1:3" ht="15" customHeight="1" x14ac:dyDescent="0.25">
      <c r="A51" s="101">
        <v>42785</v>
      </c>
      <c r="B51" s="99">
        <f t="shared" si="0"/>
        <v>42785</v>
      </c>
      <c r="C51" s="100" t="s">
        <v>119</v>
      </c>
    </row>
    <row r="52" spans="1:3" ht="15" customHeight="1" x14ac:dyDescent="0.25">
      <c r="A52" s="101">
        <v>42786</v>
      </c>
      <c r="B52" s="99">
        <f t="shared" si="0"/>
        <v>42786</v>
      </c>
      <c r="C52" s="100" t="s">
        <v>120</v>
      </c>
    </row>
    <row r="53" spans="1:3" ht="15" customHeight="1" x14ac:dyDescent="0.25">
      <c r="A53" s="101">
        <v>42787</v>
      </c>
      <c r="B53" s="99">
        <f t="shared" si="0"/>
        <v>42787</v>
      </c>
      <c r="C53" s="100" t="s">
        <v>121</v>
      </c>
    </row>
    <row r="54" spans="1:3" ht="15" customHeight="1" x14ac:dyDescent="0.25">
      <c r="A54" s="101">
        <v>42788</v>
      </c>
      <c r="B54" s="99">
        <f t="shared" si="0"/>
        <v>42788</v>
      </c>
      <c r="C54" s="100" t="s">
        <v>122</v>
      </c>
    </row>
    <row r="55" spans="1:3" ht="15" customHeight="1" x14ac:dyDescent="0.25">
      <c r="A55" s="101">
        <v>42789</v>
      </c>
      <c r="B55" s="99">
        <f t="shared" si="0"/>
        <v>42789</v>
      </c>
      <c r="C55" s="100" t="s">
        <v>123</v>
      </c>
    </row>
    <row r="56" spans="1:3" ht="15" customHeight="1" x14ac:dyDescent="0.25">
      <c r="A56" s="101">
        <v>42790</v>
      </c>
      <c r="B56" s="99">
        <f t="shared" si="0"/>
        <v>42790</v>
      </c>
      <c r="C56" s="100" t="s">
        <v>124</v>
      </c>
    </row>
    <row r="57" spans="1:3" ht="15" customHeight="1" x14ac:dyDescent="0.25">
      <c r="A57" s="101">
        <v>42791</v>
      </c>
      <c r="B57" s="99">
        <f t="shared" si="0"/>
        <v>42791</v>
      </c>
      <c r="C57" s="100" t="s">
        <v>125</v>
      </c>
    </row>
    <row r="58" spans="1:3" ht="15" customHeight="1" x14ac:dyDescent="0.25">
      <c r="A58" s="101">
        <v>42792</v>
      </c>
      <c r="B58" s="99">
        <f t="shared" si="0"/>
        <v>42792</v>
      </c>
      <c r="C58" s="100" t="s">
        <v>126</v>
      </c>
    </row>
    <row r="59" spans="1:3" ht="15" customHeight="1" x14ac:dyDescent="0.25">
      <c r="A59" s="101">
        <v>42793</v>
      </c>
      <c r="B59" s="99">
        <f t="shared" si="0"/>
        <v>42793</v>
      </c>
      <c r="C59" s="100" t="s">
        <v>127</v>
      </c>
    </row>
    <row r="60" spans="1:3" ht="15" customHeight="1" x14ac:dyDescent="0.25">
      <c r="A60" s="101">
        <v>42794</v>
      </c>
      <c r="B60" s="99">
        <f t="shared" si="0"/>
        <v>42794</v>
      </c>
      <c r="C60" s="100" t="s">
        <v>128</v>
      </c>
    </row>
    <row r="61" spans="1:3" ht="15" customHeight="1" x14ac:dyDescent="0.25">
      <c r="A61" s="101">
        <v>43890</v>
      </c>
      <c r="B61" s="99">
        <f t="shared" si="0"/>
        <v>42795</v>
      </c>
      <c r="C61" s="100" t="s">
        <v>129</v>
      </c>
    </row>
    <row r="62" spans="1:3" ht="15" customHeight="1" x14ac:dyDescent="0.25">
      <c r="A62" s="101">
        <v>42795</v>
      </c>
      <c r="B62" s="99">
        <f t="shared" si="0"/>
        <v>42795</v>
      </c>
      <c r="C62" s="100" t="s">
        <v>130</v>
      </c>
    </row>
    <row r="63" spans="1:3" ht="15" customHeight="1" x14ac:dyDescent="0.25">
      <c r="A63" s="101">
        <v>42796</v>
      </c>
      <c r="B63" s="99">
        <f t="shared" si="0"/>
        <v>42796</v>
      </c>
      <c r="C63" s="100" t="s">
        <v>131</v>
      </c>
    </row>
    <row r="64" spans="1:3" ht="15" customHeight="1" x14ac:dyDescent="0.25">
      <c r="A64" s="101">
        <v>42797</v>
      </c>
      <c r="B64" s="99">
        <f t="shared" si="0"/>
        <v>42797</v>
      </c>
      <c r="C64" s="100" t="s">
        <v>132</v>
      </c>
    </row>
    <row r="65" spans="1:3" ht="15" customHeight="1" x14ac:dyDescent="0.25">
      <c r="A65" s="101">
        <v>42798</v>
      </c>
      <c r="B65" s="99">
        <f t="shared" si="0"/>
        <v>42798</v>
      </c>
      <c r="C65" s="100" t="s">
        <v>133</v>
      </c>
    </row>
    <row r="66" spans="1:3" ht="15" customHeight="1" x14ac:dyDescent="0.25">
      <c r="A66" s="101">
        <v>42799</v>
      </c>
      <c r="B66" s="99">
        <f t="shared" si="0"/>
        <v>42799</v>
      </c>
      <c r="C66" s="100" t="s">
        <v>134</v>
      </c>
    </row>
    <row r="67" spans="1:3" ht="15" customHeight="1" x14ac:dyDescent="0.25">
      <c r="A67" s="101">
        <v>42800</v>
      </c>
      <c r="B67" s="99">
        <f t="shared" si="0"/>
        <v>42800</v>
      </c>
      <c r="C67" s="100" t="s">
        <v>135</v>
      </c>
    </row>
    <row r="68" spans="1:3" ht="15" customHeight="1" x14ac:dyDescent="0.25">
      <c r="A68" s="101">
        <v>42801</v>
      </c>
      <c r="B68" s="99">
        <f t="shared" si="0"/>
        <v>42801</v>
      </c>
      <c r="C68" s="100" t="s">
        <v>136</v>
      </c>
    </row>
    <row r="69" spans="1:3" ht="15" customHeight="1" x14ac:dyDescent="0.25">
      <c r="A69" s="101">
        <v>42802</v>
      </c>
      <c r="B69" s="99">
        <f t="shared" si="0"/>
        <v>42802</v>
      </c>
      <c r="C69" s="100" t="s">
        <v>137</v>
      </c>
    </row>
    <row r="70" spans="1:3" ht="15" customHeight="1" x14ac:dyDescent="0.25">
      <c r="A70" s="101">
        <v>42803</v>
      </c>
      <c r="B70" s="99">
        <f t="shared" si="0"/>
        <v>42803</v>
      </c>
      <c r="C70" s="100" t="s">
        <v>138</v>
      </c>
    </row>
    <row r="71" spans="1:3" ht="15" customHeight="1" x14ac:dyDescent="0.25">
      <c r="A71" s="101">
        <v>42804</v>
      </c>
      <c r="B71" s="99">
        <f t="shared" ref="B71:B134" si="1">DATE($B$1,MONTH(A71),DAY(A71))</f>
        <v>42804</v>
      </c>
      <c r="C71" s="100" t="s">
        <v>139</v>
      </c>
    </row>
    <row r="72" spans="1:3" ht="15" customHeight="1" x14ac:dyDescent="0.25">
      <c r="A72" s="101">
        <v>42805</v>
      </c>
      <c r="B72" s="99">
        <f t="shared" si="1"/>
        <v>42805</v>
      </c>
      <c r="C72" s="100" t="s">
        <v>140</v>
      </c>
    </row>
    <row r="73" spans="1:3" ht="15" customHeight="1" x14ac:dyDescent="0.25">
      <c r="A73" s="101">
        <v>42806</v>
      </c>
      <c r="B73" s="99">
        <f t="shared" si="1"/>
        <v>42806</v>
      </c>
      <c r="C73" s="100" t="s">
        <v>141</v>
      </c>
    </row>
    <row r="74" spans="1:3" ht="15" customHeight="1" x14ac:dyDescent="0.25">
      <c r="A74" s="101">
        <v>42807</v>
      </c>
      <c r="B74" s="99">
        <f t="shared" si="1"/>
        <v>42807</v>
      </c>
      <c r="C74" s="100" t="s">
        <v>142</v>
      </c>
    </row>
    <row r="75" spans="1:3" ht="15" customHeight="1" x14ac:dyDescent="0.25">
      <c r="A75" s="101">
        <v>42808</v>
      </c>
      <c r="B75" s="99">
        <f t="shared" si="1"/>
        <v>42808</v>
      </c>
      <c r="C75" s="100" t="s">
        <v>143</v>
      </c>
    </row>
    <row r="76" spans="1:3" ht="15" customHeight="1" x14ac:dyDescent="0.25">
      <c r="A76" s="101">
        <v>42809</v>
      </c>
      <c r="B76" s="99">
        <f t="shared" si="1"/>
        <v>42809</v>
      </c>
      <c r="C76" s="100" t="s">
        <v>144</v>
      </c>
    </row>
    <row r="77" spans="1:3" ht="15" customHeight="1" x14ac:dyDescent="0.25">
      <c r="A77" s="101">
        <v>42810</v>
      </c>
      <c r="B77" s="99">
        <f t="shared" si="1"/>
        <v>42810</v>
      </c>
      <c r="C77" s="100" t="s">
        <v>145</v>
      </c>
    </row>
    <row r="78" spans="1:3" ht="15" customHeight="1" x14ac:dyDescent="0.25">
      <c r="A78" s="101">
        <v>42811</v>
      </c>
      <c r="B78" s="99">
        <f t="shared" si="1"/>
        <v>42811</v>
      </c>
      <c r="C78" s="100" t="s">
        <v>146</v>
      </c>
    </row>
    <row r="79" spans="1:3" ht="15" customHeight="1" x14ac:dyDescent="0.25">
      <c r="A79" s="101">
        <v>42812</v>
      </c>
      <c r="B79" s="99">
        <f t="shared" si="1"/>
        <v>42812</v>
      </c>
      <c r="C79" s="100" t="s">
        <v>147</v>
      </c>
    </row>
    <row r="80" spans="1:3" ht="15" customHeight="1" x14ac:dyDescent="0.25">
      <c r="A80" s="101">
        <v>42813</v>
      </c>
      <c r="B80" s="99">
        <f t="shared" si="1"/>
        <v>42813</v>
      </c>
      <c r="C80" s="100" t="s">
        <v>148</v>
      </c>
    </row>
    <row r="81" spans="1:3" ht="15" customHeight="1" x14ac:dyDescent="0.25">
      <c r="A81" s="101">
        <v>42814</v>
      </c>
      <c r="B81" s="99">
        <f t="shared" si="1"/>
        <v>42814</v>
      </c>
      <c r="C81" s="100" t="s">
        <v>149</v>
      </c>
    </row>
    <row r="82" spans="1:3" ht="15" customHeight="1" x14ac:dyDescent="0.25">
      <c r="A82" s="101">
        <v>42815</v>
      </c>
      <c r="B82" s="99">
        <f t="shared" si="1"/>
        <v>42815</v>
      </c>
      <c r="C82" s="100" t="s">
        <v>150</v>
      </c>
    </row>
    <row r="83" spans="1:3" ht="15" customHeight="1" x14ac:dyDescent="0.25">
      <c r="A83" s="101">
        <v>42816</v>
      </c>
      <c r="B83" s="99">
        <f t="shared" si="1"/>
        <v>42816</v>
      </c>
      <c r="C83" s="100" t="s">
        <v>151</v>
      </c>
    </row>
    <row r="84" spans="1:3" ht="15" customHeight="1" x14ac:dyDescent="0.25">
      <c r="A84" s="101">
        <v>42817</v>
      </c>
      <c r="B84" s="99">
        <f t="shared" si="1"/>
        <v>42817</v>
      </c>
      <c r="C84" s="100" t="s">
        <v>152</v>
      </c>
    </row>
    <row r="85" spans="1:3" ht="15" customHeight="1" x14ac:dyDescent="0.25">
      <c r="A85" s="101">
        <v>42818</v>
      </c>
      <c r="B85" s="99">
        <f t="shared" si="1"/>
        <v>42818</v>
      </c>
      <c r="C85" s="100" t="s">
        <v>153</v>
      </c>
    </row>
    <row r="86" spans="1:3" ht="15" customHeight="1" x14ac:dyDescent="0.25">
      <c r="A86" s="101">
        <v>42819</v>
      </c>
      <c r="B86" s="99">
        <f t="shared" si="1"/>
        <v>42819</v>
      </c>
      <c r="C86" s="100" t="s">
        <v>154</v>
      </c>
    </row>
    <row r="87" spans="1:3" ht="15" customHeight="1" x14ac:dyDescent="0.25">
      <c r="A87" s="101">
        <v>42820</v>
      </c>
      <c r="B87" s="99">
        <f t="shared" si="1"/>
        <v>42820</v>
      </c>
      <c r="C87" s="100" t="s">
        <v>155</v>
      </c>
    </row>
    <row r="88" spans="1:3" ht="15" customHeight="1" x14ac:dyDescent="0.25">
      <c r="A88" s="101">
        <v>42821</v>
      </c>
      <c r="B88" s="99">
        <f t="shared" si="1"/>
        <v>42821</v>
      </c>
      <c r="C88" s="100" t="s">
        <v>156</v>
      </c>
    </row>
    <row r="89" spans="1:3" ht="15" customHeight="1" x14ac:dyDescent="0.25">
      <c r="A89" s="101">
        <v>42822</v>
      </c>
      <c r="B89" s="99">
        <f t="shared" si="1"/>
        <v>42822</v>
      </c>
      <c r="C89" s="100" t="s">
        <v>157</v>
      </c>
    </row>
    <row r="90" spans="1:3" ht="15" customHeight="1" x14ac:dyDescent="0.25">
      <c r="A90" s="101">
        <v>42823</v>
      </c>
      <c r="B90" s="99">
        <f t="shared" si="1"/>
        <v>42823</v>
      </c>
      <c r="C90" s="100" t="s">
        <v>158</v>
      </c>
    </row>
    <row r="91" spans="1:3" ht="15" customHeight="1" x14ac:dyDescent="0.25">
      <c r="A91" s="101">
        <v>42824</v>
      </c>
      <c r="B91" s="99">
        <f t="shared" si="1"/>
        <v>42824</v>
      </c>
      <c r="C91" s="100" t="s">
        <v>159</v>
      </c>
    </row>
    <row r="92" spans="1:3" ht="15" customHeight="1" x14ac:dyDescent="0.25">
      <c r="A92" s="101">
        <v>42825</v>
      </c>
      <c r="B92" s="99">
        <f t="shared" si="1"/>
        <v>42825</v>
      </c>
      <c r="C92" s="100" t="s">
        <v>160</v>
      </c>
    </row>
    <row r="93" spans="1:3" ht="15" customHeight="1" x14ac:dyDescent="0.25">
      <c r="A93" s="101">
        <v>42826</v>
      </c>
      <c r="B93" s="99">
        <f t="shared" si="1"/>
        <v>42826</v>
      </c>
      <c r="C93" s="100" t="s">
        <v>161</v>
      </c>
    </row>
    <row r="94" spans="1:3" ht="15" customHeight="1" x14ac:dyDescent="0.25">
      <c r="A94" s="101">
        <v>42827</v>
      </c>
      <c r="B94" s="99">
        <f t="shared" si="1"/>
        <v>42827</v>
      </c>
      <c r="C94" s="100" t="s">
        <v>162</v>
      </c>
    </row>
    <row r="95" spans="1:3" ht="15" customHeight="1" x14ac:dyDescent="0.25">
      <c r="A95" s="101">
        <v>42828</v>
      </c>
      <c r="B95" s="99">
        <f t="shared" si="1"/>
        <v>42828</v>
      </c>
      <c r="C95" s="100" t="s">
        <v>163</v>
      </c>
    </row>
    <row r="96" spans="1:3" ht="15" customHeight="1" x14ac:dyDescent="0.25">
      <c r="A96" s="101">
        <v>42829</v>
      </c>
      <c r="B96" s="99">
        <f t="shared" si="1"/>
        <v>42829</v>
      </c>
      <c r="C96" s="100" t="s">
        <v>164</v>
      </c>
    </row>
    <row r="97" spans="1:3" ht="15" customHeight="1" x14ac:dyDescent="0.25">
      <c r="A97" s="101">
        <v>42830</v>
      </c>
      <c r="B97" s="99">
        <f t="shared" si="1"/>
        <v>42830</v>
      </c>
      <c r="C97" s="100" t="s">
        <v>165</v>
      </c>
    </row>
    <row r="98" spans="1:3" ht="15" customHeight="1" x14ac:dyDescent="0.25">
      <c r="A98" s="101">
        <v>42831</v>
      </c>
      <c r="B98" s="99">
        <f t="shared" si="1"/>
        <v>42831</v>
      </c>
      <c r="C98" s="100" t="s">
        <v>166</v>
      </c>
    </row>
    <row r="99" spans="1:3" ht="15" customHeight="1" x14ac:dyDescent="0.25">
      <c r="A99" s="101">
        <v>42832</v>
      </c>
      <c r="B99" s="99">
        <f t="shared" si="1"/>
        <v>42832</v>
      </c>
      <c r="C99" s="100" t="s">
        <v>167</v>
      </c>
    </row>
    <row r="100" spans="1:3" ht="15" customHeight="1" x14ac:dyDescent="0.25">
      <c r="A100" s="101">
        <v>42833</v>
      </c>
      <c r="B100" s="99">
        <f t="shared" si="1"/>
        <v>42833</v>
      </c>
      <c r="C100" s="100" t="s">
        <v>168</v>
      </c>
    </row>
    <row r="101" spans="1:3" ht="15" customHeight="1" x14ac:dyDescent="0.25">
      <c r="A101" s="101">
        <v>42834</v>
      </c>
      <c r="B101" s="99">
        <f t="shared" si="1"/>
        <v>42834</v>
      </c>
      <c r="C101" s="100" t="s">
        <v>169</v>
      </c>
    </row>
    <row r="102" spans="1:3" ht="15" customHeight="1" x14ac:dyDescent="0.25">
      <c r="A102" s="101">
        <v>42835</v>
      </c>
      <c r="B102" s="99">
        <f t="shared" si="1"/>
        <v>42835</v>
      </c>
      <c r="C102" s="100" t="s">
        <v>170</v>
      </c>
    </row>
    <row r="103" spans="1:3" ht="15" customHeight="1" x14ac:dyDescent="0.25">
      <c r="A103" s="101">
        <v>42836</v>
      </c>
      <c r="B103" s="99">
        <f t="shared" si="1"/>
        <v>42836</v>
      </c>
      <c r="C103" s="100" t="s">
        <v>171</v>
      </c>
    </row>
    <row r="104" spans="1:3" ht="15" customHeight="1" x14ac:dyDescent="0.25">
      <c r="A104" s="101">
        <v>42837</v>
      </c>
      <c r="B104" s="99">
        <f t="shared" si="1"/>
        <v>42837</v>
      </c>
      <c r="C104" s="100" t="s">
        <v>172</v>
      </c>
    </row>
    <row r="105" spans="1:3" ht="15" customHeight="1" x14ac:dyDescent="0.25">
      <c r="A105" s="101">
        <v>42838</v>
      </c>
      <c r="B105" s="99">
        <f t="shared" si="1"/>
        <v>42838</v>
      </c>
      <c r="C105" s="100" t="s">
        <v>173</v>
      </c>
    </row>
    <row r="106" spans="1:3" ht="15" customHeight="1" x14ac:dyDescent="0.25">
      <c r="A106" s="101">
        <v>42839</v>
      </c>
      <c r="B106" s="99">
        <f t="shared" si="1"/>
        <v>42839</v>
      </c>
      <c r="C106" s="100" t="s">
        <v>174</v>
      </c>
    </row>
    <row r="107" spans="1:3" ht="15" customHeight="1" x14ac:dyDescent="0.25">
      <c r="A107" s="101">
        <v>42840</v>
      </c>
      <c r="B107" s="99">
        <f t="shared" si="1"/>
        <v>42840</v>
      </c>
      <c r="C107" s="100" t="s">
        <v>175</v>
      </c>
    </row>
    <row r="108" spans="1:3" ht="15" customHeight="1" x14ac:dyDescent="0.25">
      <c r="A108" s="101">
        <v>42841</v>
      </c>
      <c r="B108" s="99">
        <f t="shared" si="1"/>
        <v>42841</v>
      </c>
      <c r="C108" s="100" t="s">
        <v>176</v>
      </c>
    </row>
    <row r="109" spans="1:3" ht="15" customHeight="1" x14ac:dyDescent="0.25">
      <c r="A109" s="101">
        <v>42842</v>
      </c>
      <c r="B109" s="99">
        <f t="shared" si="1"/>
        <v>42842</v>
      </c>
      <c r="C109" s="100" t="s">
        <v>177</v>
      </c>
    </row>
    <row r="110" spans="1:3" ht="15" customHeight="1" x14ac:dyDescent="0.25">
      <c r="A110" s="101">
        <v>42843</v>
      </c>
      <c r="B110" s="99">
        <f t="shared" si="1"/>
        <v>42843</v>
      </c>
      <c r="C110" s="100" t="s">
        <v>178</v>
      </c>
    </row>
    <row r="111" spans="1:3" ht="15" customHeight="1" x14ac:dyDescent="0.25">
      <c r="A111" s="101">
        <v>42844</v>
      </c>
      <c r="B111" s="99">
        <f t="shared" si="1"/>
        <v>42844</v>
      </c>
      <c r="C111" s="100" t="s">
        <v>179</v>
      </c>
    </row>
    <row r="112" spans="1:3" ht="15" customHeight="1" x14ac:dyDescent="0.25">
      <c r="A112" s="101">
        <v>42845</v>
      </c>
      <c r="B112" s="99">
        <f t="shared" si="1"/>
        <v>42845</v>
      </c>
      <c r="C112" s="100" t="s">
        <v>180</v>
      </c>
    </row>
    <row r="113" spans="1:3" ht="15" customHeight="1" x14ac:dyDescent="0.25">
      <c r="A113" s="101">
        <v>42846</v>
      </c>
      <c r="B113" s="99">
        <f t="shared" si="1"/>
        <v>42846</v>
      </c>
      <c r="C113" s="100" t="s">
        <v>181</v>
      </c>
    </row>
    <row r="114" spans="1:3" ht="15" customHeight="1" x14ac:dyDescent="0.25">
      <c r="A114" s="101">
        <v>42847</v>
      </c>
      <c r="B114" s="99">
        <f t="shared" si="1"/>
        <v>42847</v>
      </c>
      <c r="C114" s="100" t="s">
        <v>66</v>
      </c>
    </row>
    <row r="115" spans="1:3" ht="15" customHeight="1" x14ac:dyDescent="0.25">
      <c r="A115" s="101">
        <v>42848</v>
      </c>
      <c r="B115" s="99">
        <f t="shared" si="1"/>
        <v>42848</v>
      </c>
      <c r="C115" s="100" t="s">
        <v>182</v>
      </c>
    </row>
    <row r="116" spans="1:3" ht="15" customHeight="1" x14ac:dyDescent="0.25">
      <c r="A116" s="101">
        <v>42849</v>
      </c>
      <c r="B116" s="99">
        <f t="shared" si="1"/>
        <v>42849</v>
      </c>
      <c r="C116" s="100" t="s">
        <v>183</v>
      </c>
    </row>
    <row r="117" spans="1:3" ht="15" customHeight="1" x14ac:dyDescent="0.25">
      <c r="A117" s="101">
        <v>42850</v>
      </c>
      <c r="B117" s="99">
        <f t="shared" si="1"/>
        <v>42850</v>
      </c>
      <c r="C117" s="100" t="s">
        <v>184</v>
      </c>
    </row>
    <row r="118" spans="1:3" ht="15" customHeight="1" x14ac:dyDescent="0.25">
      <c r="A118" s="101">
        <v>42851</v>
      </c>
      <c r="B118" s="99">
        <f t="shared" si="1"/>
        <v>42851</v>
      </c>
      <c r="C118" s="100" t="s">
        <v>185</v>
      </c>
    </row>
    <row r="119" spans="1:3" ht="15" customHeight="1" x14ac:dyDescent="0.25">
      <c r="A119" s="101">
        <v>42852</v>
      </c>
      <c r="B119" s="99">
        <f t="shared" si="1"/>
        <v>42852</v>
      </c>
      <c r="C119" s="100" t="s">
        <v>186</v>
      </c>
    </row>
    <row r="120" spans="1:3" ht="15" customHeight="1" x14ac:dyDescent="0.25">
      <c r="A120" s="101">
        <v>42853</v>
      </c>
      <c r="B120" s="99">
        <f t="shared" si="1"/>
        <v>42853</v>
      </c>
      <c r="C120" s="100" t="s">
        <v>187</v>
      </c>
    </row>
    <row r="121" spans="1:3" ht="15" customHeight="1" x14ac:dyDescent="0.25">
      <c r="A121" s="101">
        <v>42854</v>
      </c>
      <c r="B121" s="99">
        <f t="shared" si="1"/>
        <v>42854</v>
      </c>
      <c r="C121" s="100" t="s">
        <v>188</v>
      </c>
    </row>
    <row r="122" spans="1:3" ht="15" customHeight="1" x14ac:dyDescent="0.25">
      <c r="A122" s="101">
        <v>42855</v>
      </c>
      <c r="B122" s="99">
        <f t="shared" si="1"/>
        <v>42855</v>
      </c>
      <c r="C122" s="100" t="s">
        <v>189</v>
      </c>
    </row>
    <row r="123" spans="1:3" ht="15" customHeight="1" x14ac:dyDescent="0.25">
      <c r="A123" s="101">
        <v>42856</v>
      </c>
      <c r="B123" s="99">
        <f t="shared" si="1"/>
        <v>42856</v>
      </c>
      <c r="C123" s="100" t="s">
        <v>190</v>
      </c>
    </row>
    <row r="124" spans="1:3" ht="15" customHeight="1" x14ac:dyDescent="0.25">
      <c r="A124" s="101">
        <v>42857</v>
      </c>
      <c r="B124" s="99">
        <f t="shared" si="1"/>
        <v>42857</v>
      </c>
      <c r="C124" s="100" t="s">
        <v>191</v>
      </c>
    </row>
    <row r="125" spans="1:3" ht="15" customHeight="1" x14ac:dyDescent="0.25">
      <c r="A125" s="101">
        <v>42858</v>
      </c>
      <c r="B125" s="99">
        <f t="shared" si="1"/>
        <v>42858</v>
      </c>
      <c r="C125" s="100" t="s">
        <v>192</v>
      </c>
    </row>
    <row r="126" spans="1:3" ht="15" customHeight="1" x14ac:dyDescent="0.25">
      <c r="A126" s="101">
        <v>42859</v>
      </c>
      <c r="B126" s="99">
        <f t="shared" si="1"/>
        <v>42859</v>
      </c>
      <c r="C126" s="100" t="s">
        <v>193</v>
      </c>
    </row>
    <row r="127" spans="1:3" ht="15" customHeight="1" x14ac:dyDescent="0.25">
      <c r="A127" s="101">
        <v>42860</v>
      </c>
      <c r="B127" s="99">
        <f t="shared" si="1"/>
        <v>42860</v>
      </c>
      <c r="C127" s="100" t="s">
        <v>194</v>
      </c>
    </row>
    <row r="128" spans="1:3" ht="15" customHeight="1" x14ac:dyDescent="0.25">
      <c r="A128" s="101">
        <v>42861</v>
      </c>
      <c r="B128" s="99">
        <f t="shared" si="1"/>
        <v>42861</v>
      </c>
      <c r="C128" s="100" t="s">
        <v>195</v>
      </c>
    </row>
    <row r="129" spans="1:3" ht="15" customHeight="1" x14ac:dyDescent="0.25">
      <c r="A129" s="101">
        <v>42862</v>
      </c>
      <c r="B129" s="99">
        <f t="shared" si="1"/>
        <v>42862</v>
      </c>
      <c r="C129" s="100" t="s">
        <v>196</v>
      </c>
    </row>
    <row r="130" spans="1:3" ht="15" customHeight="1" x14ac:dyDescent="0.25">
      <c r="A130" s="101">
        <v>42863</v>
      </c>
      <c r="B130" s="99">
        <f t="shared" si="1"/>
        <v>42863</v>
      </c>
      <c r="C130" s="100" t="s">
        <v>197</v>
      </c>
    </row>
    <row r="131" spans="1:3" ht="15" customHeight="1" x14ac:dyDescent="0.25">
      <c r="A131" s="101">
        <v>42864</v>
      </c>
      <c r="B131" s="99">
        <f t="shared" si="1"/>
        <v>42864</v>
      </c>
      <c r="C131" s="100" t="s">
        <v>198</v>
      </c>
    </row>
    <row r="132" spans="1:3" ht="15" customHeight="1" x14ac:dyDescent="0.25">
      <c r="A132" s="101">
        <v>42865</v>
      </c>
      <c r="B132" s="99">
        <f t="shared" si="1"/>
        <v>42865</v>
      </c>
      <c r="C132" s="100" t="s">
        <v>199</v>
      </c>
    </row>
    <row r="133" spans="1:3" ht="15" customHeight="1" x14ac:dyDescent="0.25">
      <c r="A133" s="101">
        <v>42866</v>
      </c>
      <c r="B133" s="99">
        <f t="shared" si="1"/>
        <v>42866</v>
      </c>
      <c r="C133" s="100" t="s">
        <v>200</v>
      </c>
    </row>
    <row r="134" spans="1:3" ht="15" customHeight="1" x14ac:dyDescent="0.25">
      <c r="A134" s="101">
        <v>42867</v>
      </c>
      <c r="B134" s="99">
        <f t="shared" si="1"/>
        <v>42867</v>
      </c>
      <c r="C134" s="100" t="s">
        <v>201</v>
      </c>
    </row>
    <row r="135" spans="1:3" ht="15" customHeight="1" x14ac:dyDescent="0.25">
      <c r="A135" s="101">
        <v>42868</v>
      </c>
      <c r="B135" s="99">
        <f t="shared" ref="B135:B198" si="2">DATE($B$1,MONTH(A135),DAY(A135))</f>
        <v>42868</v>
      </c>
      <c r="C135" s="100" t="s">
        <v>202</v>
      </c>
    </row>
    <row r="136" spans="1:3" ht="15" customHeight="1" x14ac:dyDescent="0.25">
      <c r="A136" s="101">
        <v>42869</v>
      </c>
      <c r="B136" s="99">
        <f t="shared" si="2"/>
        <v>42869</v>
      </c>
      <c r="C136" s="100" t="s">
        <v>203</v>
      </c>
    </row>
    <row r="137" spans="1:3" ht="15" customHeight="1" x14ac:dyDescent="0.25">
      <c r="A137" s="101">
        <v>42870</v>
      </c>
      <c r="B137" s="99">
        <f t="shared" si="2"/>
        <v>42870</v>
      </c>
      <c r="C137" s="100" t="s">
        <v>204</v>
      </c>
    </row>
    <row r="138" spans="1:3" ht="15" customHeight="1" x14ac:dyDescent="0.25">
      <c r="A138" s="101">
        <v>42871</v>
      </c>
      <c r="B138" s="99">
        <f t="shared" si="2"/>
        <v>42871</v>
      </c>
      <c r="C138" s="100" t="s">
        <v>205</v>
      </c>
    </row>
    <row r="139" spans="1:3" ht="15" customHeight="1" x14ac:dyDescent="0.25">
      <c r="A139" s="101">
        <v>42872</v>
      </c>
      <c r="B139" s="99">
        <f t="shared" si="2"/>
        <v>42872</v>
      </c>
      <c r="C139" s="100" t="s">
        <v>206</v>
      </c>
    </row>
    <row r="140" spans="1:3" ht="15" customHeight="1" x14ac:dyDescent="0.25">
      <c r="A140" s="101">
        <v>42873</v>
      </c>
      <c r="B140" s="99">
        <f t="shared" si="2"/>
        <v>42873</v>
      </c>
      <c r="C140" s="100" t="s">
        <v>207</v>
      </c>
    </row>
    <row r="141" spans="1:3" ht="15" customHeight="1" x14ac:dyDescent="0.25">
      <c r="A141" s="101">
        <v>42874</v>
      </c>
      <c r="B141" s="99">
        <f t="shared" si="2"/>
        <v>42874</v>
      </c>
      <c r="C141" s="100" t="s">
        <v>208</v>
      </c>
    </row>
    <row r="142" spans="1:3" ht="15" customHeight="1" x14ac:dyDescent="0.25">
      <c r="A142" s="101">
        <v>42875</v>
      </c>
      <c r="B142" s="99">
        <f t="shared" si="2"/>
        <v>42875</v>
      </c>
      <c r="C142" s="100" t="s">
        <v>209</v>
      </c>
    </row>
    <row r="143" spans="1:3" ht="15" customHeight="1" x14ac:dyDescent="0.25">
      <c r="A143" s="101">
        <v>42876</v>
      </c>
      <c r="B143" s="99">
        <f t="shared" si="2"/>
        <v>42876</v>
      </c>
      <c r="C143" s="100" t="s">
        <v>210</v>
      </c>
    </row>
    <row r="144" spans="1:3" ht="15" customHeight="1" x14ac:dyDescent="0.25">
      <c r="A144" s="101">
        <v>42877</v>
      </c>
      <c r="B144" s="99">
        <f t="shared" si="2"/>
        <v>42877</v>
      </c>
      <c r="C144" s="100" t="s">
        <v>211</v>
      </c>
    </row>
    <row r="145" spans="1:3" ht="15" customHeight="1" x14ac:dyDescent="0.25">
      <c r="A145" s="101">
        <v>42878</v>
      </c>
      <c r="B145" s="99">
        <f t="shared" si="2"/>
        <v>42878</v>
      </c>
      <c r="C145" s="100" t="s">
        <v>212</v>
      </c>
    </row>
    <row r="146" spans="1:3" ht="15" customHeight="1" x14ac:dyDescent="0.25">
      <c r="A146" s="101">
        <v>42879</v>
      </c>
      <c r="B146" s="99">
        <f t="shared" si="2"/>
        <v>42879</v>
      </c>
      <c r="C146" s="100" t="s">
        <v>213</v>
      </c>
    </row>
    <row r="147" spans="1:3" ht="15" customHeight="1" x14ac:dyDescent="0.25">
      <c r="A147" s="101">
        <v>42880</v>
      </c>
      <c r="B147" s="99">
        <f t="shared" si="2"/>
        <v>42880</v>
      </c>
      <c r="C147" s="100" t="s">
        <v>214</v>
      </c>
    </row>
    <row r="148" spans="1:3" ht="15" customHeight="1" x14ac:dyDescent="0.25">
      <c r="A148" s="101">
        <v>42881</v>
      </c>
      <c r="B148" s="99">
        <f t="shared" si="2"/>
        <v>42881</v>
      </c>
      <c r="C148" s="100" t="s">
        <v>215</v>
      </c>
    </row>
    <row r="149" spans="1:3" ht="15" customHeight="1" x14ac:dyDescent="0.25">
      <c r="A149" s="101">
        <v>42882</v>
      </c>
      <c r="B149" s="99">
        <f t="shared" si="2"/>
        <v>42882</v>
      </c>
      <c r="C149" s="100" t="s">
        <v>216</v>
      </c>
    </row>
    <row r="150" spans="1:3" ht="15" customHeight="1" x14ac:dyDescent="0.25">
      <c r="A150" s="101">
        <v>42883</v>
      </c>
      <c r="B150" s="99">
        <f t="shared" si="2"/>
        <v>42883</v>
      </c>
      <c r="C150" s="100" t="s">
        <v>217</v>
      </c>
    </row>
    <row r="151" spans="1:3" ht="15" customHeight="1" x14ac:dyDescent="0.25">
      <c r="A151" s="101">
        <v>42884</v>
      </c>
      <c r="B151" s="99">
        <f t="shared" si="2"/>
        <v>42884</v>
      </c>
      <c r="C151" s="100" t="s">
        <v>218</v>
      </c>
    </row>
    <row r="152" spans="1:3" ht="15" customHeight="1" x14ac:dyDescent="0.25">
      <c r="A152" s="101">
        <v>42885</v>
      </c>
      <c r="B152" s="99">
        <f t="shared" si="2"/>
        <v>42885</v>
      </c>
      <c r="C152" s="100" t="s">
        <v>219</v>
      </c>
    </row>
    <row r="153" spans="1:3" ht="15" customHeight="1" x14ac:dyDescent="0.25">
      <c r="A153" s="101">
        <v>42886</v>
      </c>
      <c r="B153" s="99">
        <f t="shared" si="2"/>
        <v>42886</v>
      </c>
      <c r="C153" s="100" t="s">
        <v>220</v>
      </c>
    </row>
    <row r="154" spans="1:3" ht="15" customHeight="1" x14ac:dyDescent="0.25">
      <c r="A154" s="101">
        <v>42887</v>
      </c>
      <c r="B154" s="99">
        <f t="shared" si="2"/>
        <v>42887</v>
      </c>
      <c r="C154" s="100" t="s">
        <v>221</v>
      </c>
    </row>
    <row r="155" spans="1:3" ht="15" customHeight="1" x14ac:dyDescent="0.25">
      <c r="A155" s="101">
        <v>42888</v>
      </c>
      <c r="B155" s="99">
        <f t="shared" si="2"/>
        <v>42888</v>
      </c>
      <c r="C155" s="100" t="s">
        <v>222</v>
      </c>
    </row>
    <row r="156" spans="1:3" ht="15" customHeight="1" x14ac:dyDescent="0.25">
      <c r="A156" s="101">
        <v>42889</v>
      </c>
      <c r="B156" s="99">
        <f t="shared" si="2"/>
        <v>42889</v>
      </c>
      <c r="C156" s="100" t="s">
        <v>223</v>
      </c>
    </row>
    <row r="157" spans="1:3" ht="15" customHeight="1" x14ac:dyDescent="0.25">
      <c r="A157" s="101">
        <v>42890</v>
      </c>
      <c r="B157" s="99">
        <f t="shared" si="2"/>
        <v>42890</v>
      </c>
      <c r="C157" s="100" t="s">
        <v>224</v>
      </c>
    </row>
    <row r="158" spans="1:3" ht="15" customHeight="1" x14ac:dyDescent="0.25">
      <c r="A158" s="101">
        <v>42891</v>
      </c>
      <c r="B158" s="99">
        <f t="shared" si="2"/>
        <v>42891</v>
      </c>
      <c r="C158" s="100" t="s">
        <v>225</v>
      </c>
    </row>
    <row r="159" spans="1:3" ht="15" customHeight="1" x14ac:dyDescent="0.25">
      <c r="A159" s="101">
        <v>42892</v>
      </c>
      <c r="B159" s="99">
        <f t="shared" si="2"/>
        <v>42892</v>
      </c>
      <c r="C159" s="100" t="s">
        <v>226</v>
      </c>
    </row>
    <row r="160" spans="1:3" ht="15" customHeight="1" x14ac:dyDescent="0.25">
      <c r="A160" s="101">
        <v>42893</v>
      </c>
      <c r="B160" s="99">
        <f t="shared" si="2"/>
        <v>42893</v>
      </c>
      <c r="C160" s="100" t="s">
        <v>227</v>
      </c>
    </row>
    <row r="161" spans="1:3" ht="15" customHeight="1" x14ac:dyDescent="0.25">
      <c r="A161" s="101">
        <v>42894</v>
      </c>
      <c r="B161" s="99">
        <f t="shared" si="2"/>
        <v>42894</v>
      </c>
      <c r="C161" s="100" t="s">
        <v>228</v>
      </c>
    </row>
    <row r="162" spans="1:3" ht="15" customHeight="1" x14ac:dyDescent="0.25">
      <c r="A162" s="101">
        <v>42895</v>
      </c>
      <c r="B162" s="99">
        <f t="shared" si="2"/>
        <v>42895</v>
      </c>
      <c r="C162" s="100" t="s">
        <v>229</v>
      </c>
    </row>
    <row r="163" spans="1:3" ht="15" customHeight="1" x14ac:dyDescent="0.25">
      <c r="A163" s="101">
        <v>42896</v>
      </c>
      <c r="B163" s="99">
        <f t="shared" si="2"/>
        <v>42896</v>
      </c>
      <c r="C163" s="100" t="s">
        <v>230</v>
      </c>
    </row>
    <row r="164" spans="1:3" ht="15" customHeight="1" x14ac:dyDescent="0.25">
      <c r="A164" s="101">
        <v>42897</v>
      </c>
      <c r="B164" s="99">
        <f t="shared" si="2"/>
        <v>42897</v>
      </c>
      <c r="C164" s="100" t="s">
        <v>231</v>
      </c>
    </row>
    <row r="165" spans="1:3" ht="15" customHeight="1" x14ac:dyDescent="0.25">
      <c r="A165" s="101">
        <v>42898</v>
      </c>
      <c r="B165" s="99">
        <f t="shared" si="2"/>
        <v>42898</v>
      </c>
      <c r="C165" s="100" t="s">
        <v>232</v>
      </c>
    </row>
    <row r="166" spans="1:3" ht="15" customHeight="1" x14ac:dyDescent="0.25">
      <c r="A166" s="101">
        <v>42899</v>
      </c>
      <c r="B166" s="99">
        <f t="shared" si="2"/>
        <v>42899</v>
      </c>
      <c r="C166" s="100" t="s">
        <v>233</v>
      </c>
    </row>
    <row r="167" spans="1:3" ht="15" customHeight="1" x14ac:dyDescent="0.25">
      <c r="A167" s="101">
        <v>42900</v>
      </c>
      <c r="B167" s="99">
        <f t="shared" si="2"/>
        <v>42900</v>
      </c>
      <c r="C167" s="100" t="s">
        <v>234</v>
      </c>
    </row>
    <row r="168" spans="1:3" ht="15" customHeight="1" x14ac:dyDescent="0.25">
      <c r="A168" s="101">
        <v>42901</v>
      </c>
      <c r="B168" s="99">
        <f t="shared" si="2"/>
        <v>42901</v>
      </c>
      <c r="C168" s="100" t="s">
        <v>235</v>
      </c>
    </row>
    <row r="169" spans="1:3" ht="15" customHeight="1" x14ac:dyDescent="0.25">
      <c r="A169" s="101">
        <v>42902</v>
      </c>
      <c r="B169" s="99">
        <f t="shared" si="2"/>
        <v>42902</v>
      </c>
      <c r="C169" s="100" t="s">
        <v>236</v>
      </c>
    </row>
    <row r="170" spans="1:3" ht="15" customHeight="1" x14ac:dyDescent="0.25">
      <c r="A170" s="101">
        <v>42903</v>
      </c>
      <c r="B170" s="99">
        <f t="shared" si="2"/>
        <v>42903</v>
      </c>
      <c r="C170" s="100" t="s">
        <v>50</v>
      </c>
    </row>
    <row r="171" spans="1:3" ht="15" customHeight="1" x14ac:dyDescent="0.25">
      <c r="A171" s="101">
        <v>42904</v>
      </c>
      <c r="B171" s="99">
        <f t="shared" si="2"/>
        <v>42904</v>
      </c>
      <c r="C171" s="100" t="s">
        <v>237</v>
      </c>
    </row>
    <row r="172" spans="1:3" ht="15" customHeight="1" x14ac:dyDescent="0.25">
      <c r="A172" s="101">
        <v>42905</v>
      </c>
      <c r="B172" s="99">
        <f t="shared" si="2"/>
        <v>42905</v>
      </c>
      <c r="C172" s="100" t="s">
        <v>238</v>
      </c>
    </row>
    <row r="173" spans="1:3" ht="15" customHeight="1" x14ac:dyDescent="0.25">
      <c r="A173" s="101">
        <v>42906</v>
      </c>
      <c r="B173" s="99">
        <f t="shared" si="2"/>
        <v>42906</v>
      </c>
      <c r="C173" s="100" t="s">
        <v>239</v>
      </c>
    </row>
    <row r="174" spans="1:3" ht="15" customHeight="1" x14ac:dyDescent="0.25">
      <c r="A174" s="101">
        <v>42907</v>
      </c>
      <c r="B174" s="99">
        <f t="shared" si="2"/>
        <v>42907</v>
      </c>
      <c r="C174" s="100" t="s">
        <v>19</v>
      </c>
    </row>
    <row r="175" spans="1:3" ht="15" customHeight="1" x14ac:dyDescent="0.25">
      <c r="A175" s="101">
        <v>42908</v>
      </c>
      <c r="B175" s="99">
        <f t="shared" si="2"/>
        <v>42908</v>
      </c>
      <c r="C175" s="100" t="s">
        <v>240</v>
      </c>
    </row>
    <row r="176" spans="1:3" ht="15" customHeight="1" x14ac:dyDescent="0.25">
      <c r="A176" s="101">
        <v>42909</v>
      </c>
      <c r="B176" s="99">
        <f t="shared" si="2"/>
        <v>42909</v>
      </c>
      <c r="C176" s="100" t="s">
        <v>241</v>
      </c>
    </row>
    <row r="177" spans="1:3" ht="15" customHeight="1" x14ac:dyDescent="0.25">
      <c r="A177" s="101">
        <v>42910</v>
      </c>
      <c r="B177" s="99">
        <f t="shared" si="2"/>
        <v>42910</v>
      </c>
      <c r="C177" s="100" t="s">
        <v>242</v>
      </c>
    </row>
    <row r="178" spans="1:3" ht="15" customHeight="1" x14ac:dyDescent="0.25">
      <c r="A178" s="101">
        <v>42911</v>
      </c>
      <c r="B178" s="99">
        <f t="shared" si="2"/>
        <v>42911</v>
      </c>
      <c r="C178" s="100" t="s">
        <v>243</v>
      </c>
    </row>
    <row r="179" spans="1:3" ht="15" customHeight="1" x14ac:dyDescent="0.25">
      <c r="A179" s="101">
        <v>42912</v>
      </c>
      <c r="B179" s="99">
        <f t="shared" si="2"/>
        <v>42912</v>
      </c>
      <c r="C179" s="100" t="s">
        <v>244</v>
      </c>
    </row>
    <row r="180" spans="1:3" ht="15" customHeight="1" x14ac:dyDescent="0.25">
      <c r="A180" s="101">
        <v>42913</v>
      </c>
      <c r="B180" s="99">
        <f t="shared" si="2"/>
        <v>42913</v>
      </c>
      <c r="C180" s="100" t="s">
        <v>245</v>
      </c>
    </row>
    <row r="181" spans="1:3" ht="15" customHeight="1" x14ac:dyDescent="0.25">
      <c r="A181" s="101">
        <v>42914</v>
      </c>
      <c r="B181" s="99">
        <f t="shared" si="2"/>
        <v>42914</v>
      </c>
      <c r="C181" s="100" t="s">
        <v>246</v>
      </c>
    </row>
    <row r="182" spans="1:3" ht="15" customHeight="1" x14ac:dyDescent="0.25">
      <c r="A182" s="101">
        <v>42915</v>
      </c>
      <c r="B182" s="99">
        <f t="shared" si="2"/>
        <v>42915</v>
      </c>
      <c r="C182" s="100" t="s">
        <v>247</v>
      </c>
    </row>
    <row r="183" spans="1:3" ht="15" customHeight="1" x14ac:dyDescent="0.25">
      <c r="A183" s="101">
        <v>42916</v>
      </c>
      <c r="B183" s="99">
        <f t="shared" si="2"/>
        <v>42916</v>
      </c>
      <c r="C183" s="100" t="s">
        <v>248</v>
      </c>
    </row>
    <row r="184" spans="1:3" ht="15" customHeight="1" x14ac:dyDescent="0.25">
      <c r="A184" s="101">
        <v>42917</v>
      </c>
      <c r="B184" s="99">
        <f t="shared" si="2"/>
        <v>42917</v>
      </c>
      <c r="C184" s="100" t="s">
        <v>249</v>
      </c>
    </row>
    <row r="185" spans="1:3" ht="15" customHeight="1" x14ac:dyDescent="0.25">
      <c r="A185" s="101">
        <v>42918</v>
      </c>
      <c r="B185" s="99">
        <f t="shared" si="2"/>
        <v>42918</v>
      </c>
      <c r="C185" s="100" t="s">
        <v>250</v>
      </c>
    </row>
    <row r="186" spans="1:3" ht="15" customHeight="1" x14ac:dyDescent="0.25">
      <c r="A186" s="101">
        <v>42919</v>
      </c>
      <c r="B186" s="99">
        <f t="shared" si="2"/>
        <v>42919</v>
      </c>
      <c r="C186" s="100" t="s">
        <v>251</v>
      </c>
    </row>
    <row r="187" spans="1:3" ht="15" customHeight="1" x14ac:dyDescent="0.25">
      <c r="A187" s="101">
        <v>42920</v>
      </c>
      <c r="B187" s="99">
        <f t="shared" si="2"/>
        <v>42920</v>
      </c>
      <c r="C187" s="100" t="s">
        <v>252</v>
      </c>
    </row>
    <row r="188" spans="1:3" ht="15" customHeight="1" x14ac:dyDescent="0.25">
      <c r="A188" s="101">
        <v>42921</v>
      </c>
      <c r="B188" s="99">
        <f t="shared" si="2"/>
        <v>42921</v>
      </c>
      <c r="C188" s="100" t="s">
        <v>253</v>
      </c>
    </row>
    <row r="189" spans="1:3" ht="15" customHeight="1" x14ac:dyDescent="0.25">
      <c r="A189" s="101">
        <v>42922</v>
      </c>
      <c r="B189" s="99">
        <f t="shared" si="2"/>
        <v>42922</v>
      </c>
      <c r="C189" s="100" t="s">
        <v>254</v>
      </c>
    </row>
    <row r="190" spans="1:3" ht="15" customHeight="1" x14ac:dyDescent="0.25">
      <c r="A190" s="101">
        <v>42923</v>
      </c>
      <c r="B190" s="99">
        <f t="shared" si="2"/>
        <v>42923</v>
      </c>
      <c r="C190" s="100" t="s">
        <v>255</v>
      </c>
    </row>
    <row r="191" spans="1:3" ht="15" customHeight="1" x14ac:dyDescent="0.25">
      <c r="A191" s="101">
        <v>42924</v>
      </c>
      <c r="B191" s="99">
        <f t="shared" si="2"/>
        <v>42924</v>
      </c>
      <c r="C191" s="100" t="s">
        <v>256</v>
      </c>
    </row>
    <row r="192" spans="1:3" ht="15" customHeight="1" x14ac:dyDescent="0.25">
      <c r="A192" s="101">
        <v>42925</v>
      </c>
      <c r="B192" s="99">
        <f t="shared" si="2"/>
        <v>42925</v>
      </c>
      <c r="C192" s="100" t="s">
        <v>257</v>
      </c>
    </row>
    <row r="193" spans="1:3" ht="15" customHeight="1" x14ac:dyDescent="0.25">
      <c r="A193" s="101">
        <v>42926</v>
      </c>
      <c r="B193" s="99">
        <f t="shared" si="2"/>
        <v>42926</v>
      </c>
      <c r="C193" s="100" t="s">
        <v>258</v>
      </c>
    </row>
    <row r="194" spans="1:3" ht="15" customHeight="1" x14ac:dyDescent="0.25">
      <c r="A194" s="101">
        <v>42927</v>
      </c>
      <c r="B194" s="99">
        <f t="shared" si="2"/>
        <v>42927</v>
      </c>
      <c r="C194" s="100" t="s">
        <v>259</v>
      </c>
    </row>
    <row r="195" spans="1:3" ht="15" customHeight="1" x14ac:dyDescent="0.25">
      <c r="A195" s="101">
        <v>42928</v>
      </c>
      <c r="B195" s="99">
        <f t="shared" si="2"/>
        <v>42928</v>
      </c>
      <c r="C195" s="100" t="s">
        <v>260</v>
      </c>
    </row>
    <row r="196" spans="1:3" ht="15" customHeight="1" x14ac:dyDescent="0.25">
      <c r="A196" s="101">
        <v>42929</v>
      </c>
      <c r="B196" s="99">
        <f t="shared" si="2"/>
        <v>42929</v>
      </c>
      <c r="C196" s="100" t="s">
        <v>261</v>
      </c>
    </row>
    <row r="197" spans="1:3" ht="15" customHeight="1" x14ac:dyDescent="0.25">
      <c r="A197" s="101">
        <v>42930</v>
      </c>
      <c r="B197" s="99">
        <f t="shared" si="2"/>
        <v>42930</v>
      </c>
      <c r="C197" s="100" t="s">
        <v>262</v>
      </c>
    </row>
    <row r="198" spans="1:3" ht="15" customHeight="1" x14ac:dyDescent="0.25">
      <c r="A198" s="101">
        <v>42931</v>
      </c>
      <c r="B198" s="99">
        <f t="shared" si="2"/>
        <v>42931</v>
      </c>
      <c r="C198" s="100" t="s">
        <v>263</v>
      </c>
    </row>
    <row r="199" spans="1:3" ht="15" customHeight="1" x14ac:dyDescent="0.25">
      <c r="A199" s="101">
        <v>42932</v>
      </c>
      <c r="B199" s="99">
        <f t="shared" ref="B199:B262" si="3">DATE($B$1,MONTH(A199),DAY(A199))</f>
        <v>42932</v>
      </c>
      <c r="C199" s="100" t="s">
        <v>264</v>
      </c>
    </row>
    <row r="200" spans="1:3" ht="15" customHeight="1" x14ac:dyDescent="0.25">
      <c r="A200" s="101">
        <v>42933</v>
      </c>
      <c r="B200" s="99">
        <f t="shared" si="3"/>
        <v>42933</v>
      </c>
      <c r="C200" s="100" t="s">
        <v>265</v>
      </c>
    </row>
    <row r="201" spans="1:3" ht="15" customHeight="1" x14ac:dyDescent="0.25">
      <c r="A201" s="101">
        <v>42934</v>
      </c>
      <c r="B201" s="99">
        <f t="shared" si="3"/>
        <v>42934</v>
      </c>
      <c r="C201" s="100" t="s">
        <v>266</v>
      </c>
    </row>
    <row r="202" spans="1:3" ht="15" customHeight="1" x14ac:dyDescent="0.25">
      <c r="A202" s="101">
        <v>42935</v>
      </c>
      <c r="B202" s="99">
        <f t="shared" si="3"/>
        <v>42935</v>
      </c>
      <c r="C202" s="100" t="s">
        <v>267</v>
      </c>
    </row>
    <row r="203" spans="1:3" ht="15" customHeight="1" x14ac:dyDescent="0.25">
      <c r="A203" s="101">
        <v>42936</v>
      </c>
      <c r="B203" s="99">
        <f t="shared" si="3"/>
        <v>42936</v>
      </c>
      <c r="C203" s="100" t="s">
        <v>268</v>
      </c>
    </row>
    <row r="204" spans="1:3" ht="15" customHeight="1" x14ac:dyDescent="0.25">
      <c r="A204" s="101">
        <v>42937</v>
      </c>
      <c r="B204" s="99">
        <f t="shared" si="3"/>
        <v>42937</v>
      </c>
      <c r="C204" s="100" t="s">
        <v>269</v>
      </c>
    </row>
    <row r="205" spans="1:3" ht="15" customHeight="1" x14ac:dyDescent="0.25">
      <c r="A205" s="101">
        <v>42938</v>
      </c>
      <c r="B205" s="99">
        <f t="shared" si="3"/>
        <v>42938</v>
      </c>
      <c r="C205" s="100" t="s">
        <v>270</v>
      </c>
    </row>
    <row r="206" spans="1:3" ht="15" customHeight="1" x14ac:dyDescent="0.25">
      <c r="A206" s="101">
        <v>42939</v>
      </c>
      <c r="B206" s="99">
        <f t="shared" si="3"/>
        <v>42939</v>
      </c>
      <c r="C206" s="100" t="s">
        <v>271</v>
      </c>
    </row>
    <row r="207" spans="1:3" ht="15" customHeight="1" x14ac:dyDescent="0.25">
      <c r="A207" s="101">
        <v>42940</v>
      </c>
      <c r="B207" s="99">
        <f t="shared" si="3"/>
        <v>42940</v>
      </c>
      <c r="C207" s="100" t="s">
        <v>272</v>
      </c>
    </row>
    <row r="208" spans="1:3" ht="15" customHeight="1" x14ac:dyDescent="0.25">
      <c r="A208" s="101">
        <v>42941</v>
      </c>
      <c r="B208" s="99">
        <f t="shared" si="3"/>
        <v>42941</v>
      </c>
      <c r="C208" s="100" t="s">
        <v>273</v>
      </c>
    </row>
    <row r="209" spans="1:3" ht="15" customHeight="1" x14ac:dyDescent="0.25">
      <c r="A209" s="101">
        <v>42942</v>
      </c>
      <c r="B209" s="99">
        <f t="shared" si="3"/>
        <v>42942</v>
      </c>
      <c r="C209" s="100" t="s">
        <v>274</v>
      </c>
    </row>
    <row r="210" spans="1:3" ht="15" customHeight="1" x14ac:dyDescent="0.25">
      <c r="A210" s="101">
        <v>42943</v>
      </c>
      <c r="B210" s="99">
        <f t="shared" si="3"/>
        <v>42943</v>
      </c>
      <c r="C210" s="100" t="s">
        <v>275</v>
      </c>
    </row>
    <row r="211" spans="1:3" ht="15" customHeight="1" x14ac:dyDescent="0.25">
      <c r="A211" s="101">
        <v>42944</v>
      </c>
      <c r="B211" s="99">
        <f t="shared" si="3"/>
        <v>42944</v>
      </c>
      <c r="C211" s="100" t="s">
        <v>276</v>
      </c>
    </row>
    <row r="212" spans="1:3" ht="15" customHeight="1" x14ac:dyDescent="0.25">
      <c r="A212" s="101">
        <v>42945</v>
      </c>
      <c r="B212" s="99">
        <f t="shared" si="3"/>
        <v>42945</v>
      </c>
      <c r="C212" s="100" t="s">
        <v>277</v>
      </c>
    </row>
    <row r="213" spans="1:3" ht="15" customHeight="1" x14ac:dyDescent="0.25">
      <c r="A213" s="101">
        <v>42946</v>
      </c>
      <c r="B213" s="99">
        <f t="shared" si="3"/>
        <v>42946</v>
      </c>
      <c r="C213" s="100" t="s">
        <v>278</v>
      </c>
    </row>
    <row r="214" spans="1:3" ht="15" customHeight="1" x14ac:dyDescent="0.25">
      <c r="A214" s="101">
        <v>42947</v>
      </c>
      <c r="B214" s="99">
        <f t="shared" si="3"/>
        <v>42947</v>
      </c>
      <c r="C214" s="100" t="s">
        <v>279</v>
      </c>
    </row>
    <row r="215" spans="1:3" ht="15" customHeight="1" x14ac:dyDescent="0.25">
      <c r="A215" s="101">
        <v>42948</v>
      </c>
      <c r="B215" s="99">
        <f t="shared" si="3"/>
        <v>42948</v>
      </c>
      <c r="C215" s="100" t="s">
        <v>280</v>
      </c>
    </row>
    <row r="216" spans="1:3" ht="15" customHeight="1" x14ac:dyDescent="0.25">
      <c r="A216" s="101">
        <v>42949</v>
      </c>
      <c r="B216" s="99">
        <f t="shared" si="3"/>
        <v>42949</v>
      </c>
      <c r="C216" s="100" t="s">
        <v>281</v>
      </c>
    </row>
    <row r="217" spans="1:3" ht="15" customHeight="1" x14ac:dyDescent="0.25">
      <c r="A217" s="101">
        <v>42950</v>
      </c>
      <c r="B217" s="99">
        <f t="shared" si="3"/>
        <v>42950</v>
      </c>
      <c r="C217" s="100" t="s">
        <v>282</v>
      </c>
    </row>
    <row r="218" spans="1:3" ht="15" customHeight="1" x14ac:dyDescent="0.25">
      <c r="A218" s="101">
        <v>42951</v>
      </c>
      <c r="B218" s="99">
        <f t="shared" si="3"/>
        <v>42951</v>
      </c>
      <c r="C218" s="100" t="s">
        <v>283</v>
      </c>
    </row>
    <row r="219" spans="1:3" ht="15" customHeight="1" x14ac:dyDescent="0.25">
      <c r="A219" s="101">
        <v>42952</v>
      </c>
      <c r="B219" s="99">
        <f t="shared" si="3"/>
        <v>42952</v>
      </c>
      <c r="C219" s="100" t="s">
        <v>284</v>
      </c>
    </row>
    <row r="220" spans="1:3" ht="15" customHeight="1" x14ac:dyDescent="0.25">
      <c r="A220" s="101">
        <v>42953</v>
      </c>
      <c r="B220" s="99">
        <f t="shared" si="3"/>
        <v>42953</v>
      </c>
      <c r="C220" s="100" t="s">
        <v>285</v>
      </c>
    </row>
    <row r="221" spans="1:3" ht="15" customHeight="1" x14ac:dyDescent="0.25">
      <c r="A221" s="101">
        <v>42954</v>
      </c>
      <c r="B221" s="99">
        <f t="shared" si="3"/>
        <v>42954</v>
      </c>
      <c r="C221" s="100" t="s">
        <v>286</v>
      </c>
    </row>
    <row r="222" spans="1:3" ht="15" customHeight="1" x14ac:dyDescent="0.25">
      <c r="A222" s="101">
        <v>42955</v>
      </c>
      <c r="B222" s="99">
        <f t="shared" si="3"/>
        <v>42955</v>
      </c>
      <c r="C222" s="100" t="s">
        <v>287</v>
      </c>
    </row>
    <row r="223" spans="1:3" ht="15" customHeight="1" x14ac:dyDescent="0.25">
      <c r="A223" s="101">
        <v>42956</v>
      </c>
      <c r="B223" s="99">
        <f t="shared" si="3"/>
        <v>42956</v>
      </c>
      <c r="C223" s="100" t="s">
        <v>288</v>
      </c>
    </row>
    <row r="224" spans="1:3" ht="15" customHeight="1" x14ac:dyDescent="0.25">
      <c r="A224" s="101">
        <v>42957</v>
      </c>
      <c r="B224" s="99">
        <f t="shared" si="3"/>
        <v>42957</v>
      </c>
      <c r="C224" s="100" t="s">
        <v>289</v>
      </c>
    </row>
    <row r="225" spans="1:3" ht="15" customHeight="1" x14ac:dyDescent="0.25">
      <c r="A225" s="101">
        <v>42958</v>
      </c>
      <c r="B225" s="99">
        <f t="shared" si="3"/>
        <v>42958</v>
      </c>
      <c r="C225" s="100" t="s">
        <v>290</v>
      </c>
    </row>
    <row r="226" spans="1:3" ht="15" customHeight="1" x14ac:dyDescent="0.25">
      <c r="A226" s="101">
        <v>42959</v>
      </c>
      <c r="B226" s="99">
        <f t="shared" si="3"/>
        <v>42959</v>
      </c>
      <c r="C226" s="100" t="s">
        <v>291</v>
      </c>
    </row>
    <row r="227" spans="1:3" ht="15" customHeight="1" x14ac:dyDescent="0.25">
      <c r="A227" s="101">
        <v>42960</v>
      </c>
      <c r="B227" s="99">
        <f t="shared" si="3"/>
        <v>42960</v>
      </c>
      <c r="C227" s="100" t="s">
        <v>292</v>
      </c>
    </row>
    <row r="228" spans="1:3" ht="15" customHeight="1" x14ac:dyDescent="0.25">
      <c r="A228" s="101">
        <v>42961</v>
      </c>
      <c r="B228" s="99">
        <f t="shared" si="3"/>
        <v>42961</v>
      </c>
      <c r="C228" s="100" t="s">
        <v>293</v>
      </c>
    </row>
    <row r="229" spans="1:3" ht="15" customHeight="1" x14ac:dyDescent="0.25">
      <c r="A229" s="101">
        <v>42962</v>
      </c>
      <c r="B229" s="99">
        <f t="shared" si="3"/>
        <v>42962</v>
      </c>
      <c r="C229" s="100" t="s">
        <v>294</v>
      </c>
    </row>
    <row r="230" spans="1:3" ht="15" customHeight="1" x14ac:dyDescent="0.25">
      <c r="A230" s="101">
        <v>42963</v>
      </c>
      <c r="B230" s="99">
        <f t="shared" si="3"/>
        <v>42963</v>
      </c>
      <c r="C230" s="100" t="s">
        <v>295</v>
      </c>
    </row>
    <row r="231" spans="1:3" ht="15" customHeight="1" x14ac:dyDescent="0.25">
      <c r="A231" s="101">
        <v>42964</v>
      </c>
      <c r="B231" s="99">
        <f t="shared" si="3"/>
        <v>42964</v>
      </c>
      <c r="C231" s="100" t="s">
        <v>296</v>
      </c>
    </row>
    <row r="232" spans="1:3" ht="15" customHeight="1" x14ac:dyDescent="0.25">
      <c r="A232" s="101">
        <v>42965</v>
      </c>
      <c r="B232" s="99">
        <f t="shared" si="3"/>
        <v>42965</v>
      </c>
      <c r="C232" s="100" t="s">
        <v>297</v>
      </c>
    </row>
    <row r="233" spans="1:3" ht="15" customHeight="1" x14ac:dyDescent="0.25">
      <c r="A233" s="101">
        <v>42966</v>
      </c>
      <c r="B233" s="99">
        <f t="shared" si="3"/>
        <v>42966</v>
      </c>
      <c r="C233" s="100" t="s">
        <v>298</v>
      </c>
    </row>
    <row r="234" spans="1:3" ht="15" customHeight="1" x14ac:dyDescent="0.25">
      <c r="A234" s="101">
        <v>42967</v>
      </c>
      <c r="B234" s="99">
        <f t="shared" si="3"/>
        <v>42967</v>
      </c>
      <c r="C234" s="100" t="s">
        <v>299</v>
      </c>
    </row>
    <row r="235" spans="1:3" ht="15" customHeight="1" x14ac:dyDescent="0.25">
      <c r="A235" s="101">
        <v>42968</v>
      </c>
      <c r="B235" s="99">
        <f t="shared" si="3"/>
        <v>42968</v>
      </c>
      <c r="C235" s="100" t="s">
        <v>300</v>
      </c>
    </row>
    <row r="236" spans="1:3" ht="15" customHeight="1" x14ac:dyDescent="0.25">
      <c r="A236" s="101">
        <v>42969</v>
      </c>
      <c r="B236" s="99">
        <f t="shared" si="3"/>
        <v>42969</v>
      </c>
      <c r="C236" s="100" t="s">
        <v>301</v>
      </c>
    </row>
    <row r="237" spans="1:3" ht="15" customHeight="1" x14ac:dyDescent="0.25">
      <c r="A237" s="101">
        <v>42970</v>
      </c>
      <c r="B237" s="99">
        <f t="shared" si="3"/>
        <v>42970</v>
      </c>
      <c r="C237" s="100" t="s">
        <v>302</v>
      </c>
    </row>
    <row r="238" spans="1:3" ht="15" customHeight="1" x14ac:dyDescent="0.25">
      <c r="A238" s="101">
        <v>42971</v>
      </c>
      <c r="B238" s="99">
        <f t="shared" si="3"/>
        <v>42971</v>
      </c>
      <c r="C238" s="100" t="s">
        <v>303</v>
      </c>
    </row>
    <row r="239" spans="1:3" ht="15" customHeight="1" x14ac:dyDescent="0.25">
      <c r="A239" s="101">
        <v>42972</v>
      </c>
      <c r="B239" s="99">
        <f t="shared" si="3"/>
        <v>42972</v>
      </c>
      <c r="C239" s="100" t="s">
        <v>304</v>
      </c>
    </row>
    <row r="240" spans="1:3" ht="15" customHeight="1" x14ac:dyDescent="0.25">
      <c r="A240" s="101">
        <v>42973</v>
      </c>
      <c r="B240" s="99">
        <f t="shared" si="3"/>
        <v>42973</v>
      </c>
      <c r="C240" s="100" t="s">
        <v>305</v>
      </c>
    </row>
    <row r="241" spans="1:3" ht="15" customHeight="1" x14ac:dyDescent="0.25">
      <c r="A241" s="101">
        <v>42974</v>
      </c>
      <c r="B241" s="99">
        <f t="shared" si="3"/>
        <v>42974</v>
      </c>
      <c r="C241" s="100" t="s">
        <v>306</v>
      </c>
    </row>
    <row r="242" spans="1:3" ht="15" customHeight="1" x14ac:dyDescent="0.25">
      <c r="A242" s="101">
        <v>42975</v>
      </c>
      <c r="B242" s="99">
        <f t="shared" si="3"/>
        <v>42975</v>
      </c>
      <c r="C242" s="100" t="s">
        <v>216</v>
      </c>
    </row>
    <row r="243" spans="1:3" ht="15" customHeight="1" x14ac:dyDescent="0.25">
      <c r="A243" s="101">
        <v>42976</v>
      </c>
      <c r="B243" s="99">
        <f t="shared" si="3"/>
        <v>42976</v>
      </c>
      <c r="C243" s="100" t="s">
        <v>307</v>
      </c>
    </row>
    <row r="244" spans="1:3" ht="15" customHeight="1" x14ac:dyDescent="0.25">
      <c r="A244" s="101">
        <v>42977</v>
      </c>
      <c r="B244" s="99">
        <f t="shared" si="3"/>
        <v>42977</v>
      </c>
      <c r="C244" s="100" t="s">
        <v>308</v>
      </c>
    </row>
    <row r="245" spans="1:3" ht="15" customHeight="1" x14ac:dyDescent="0.25">
      <c r="A245" s="101">
        <v>42978</v>
      </c>
      <c r="B245" s="99">
        <f t="shared" si="3"/>
        <v>42978</v>
      </c>
      <c r="C245" s="100" t="s">
        <v>309</v>
      </c>
    </row>
    <row r="246" spans="1:3" ht="15" customHeight="1" x14ac:dyDescent="0.25">
      <c r="A246" s="101">
        <v>42979</v>
      </c>
      <c r="B246" s="99">
        <f t="shared" si="3"/>
        <v>42979</v>
      </c>
      <c r="C246" s="100" t="s">
        <v>310</v>
      </c>
    </row>
    <row r="247" spans="1:3" ht="15" customHeight="1" x14ac:dyDescent="0.25">
      <c r="A247" s="101">
        <v>42980</v>
      </c>
      <c r="B247" s="99">
        <f t="shared" si="3"/>
        <v>42980</v>
      </c>
      <c r="C247" s="100" t="s">
        <v>311</v>
      </c>
    </row>
    <row r="248" spans="1:3" ht="15" customHeight="1" x14ac:dyDescent="0.25">
      <c r="A248" s="101">
        <v>42981</v>
      </c>
      <c r="B248" s="99">
        <f t="shared" si="3"/>
        <v>42981</v>
      </c>
      <c r="C248" s="100" t="s">
        <v>312</v>
      </c>
    </row>
    <row r="249" spans="1:3" ht="15" customHeight="1" x14ac:dyDescent="0.25">
      <c r="A249" s="101">
        <v>42982</v>
      </c>
      <c r="B249" s="99">
        <f t="shared" si="3"/>
        <v>42982</v>
      </c>
      <c r="C249" s="100" t="s">
        <v>313</v>
      </c>
    </row>
    <row r="250" spans="1:3" ht="15" customHeight="1" x14ac:dyDescent="0.25">
      <c r="A250" s="101">
        <v>42983</v>
      </c>
      <c r="B250" s="99">
        <f t="shared" si="3"/>
        <v>42983</v>
      </c>
      <c r="C250" s="100" t="s">
        <v>314</v>
      </c>
    </row>
    <row r="251" spans="1:3" ht="15" customHeight="1" x14ac:dyDescent="0.25">
      <c r="A251" s="101">
        <v>42984</v>
      </c>
      <c r="B251" s="99">
        <f t="shared" si="3"/>
        <v>42984</v>
      </c>
      <c r="C251" s="100" t="s">
        <v>315</v>
      </c>
    </row>
    <row r="252" spans="1:3" ht="15" customHeight="1" x14ac:dyDescent="0.25">
      <c r="A252" s="101">
        <v>42985</v>
      </c>
      <c r="B252" s="99">
        <f t="shared" si="3"/>
        <v>42985</v>
      </c>
      <c r="C252" s="100" t="s">
        <v>316</v>
      </c>
    </row>
    <row r="253" spans="1:3" ht="15" customHeight="1" x14ac:dyDescent="0.25">
      <c r="A253" s="101">
        <v>42986</v>
      </c>
      <c r="B253" s="99">
        <f t="shared" si="3"/>
        <v>42986</v>
      </c>
      <c r="C253" s="100" t="s">
        <v>317</v>
      </c>
    </row>
    <row r="254" spans="1:3" ht="15" customHeight="1" x14ac:dyDescent="0.25">
      <c r="A254" s="101">
        <v>42987</v>
      </c>
      <c r="B254" s="99">
        <f t="shared" si="3"/>
        <v>42987</v>
      </c>
      <c r="C254" s="100" t="s">
        <v>318</v>
      </c>
    </row>
    <row r="255" spans="1:3" ht="15" customHeight="1" x14ac:dyDescent="0.25">
      <c r="A255" s="101">
        <v>42988</v>
      </c>
      <c r="B255" s="99">
        <f t="shared" si="3"/>
        <v>42988</v>
      </c>
      <c r="C255" s="100" t="s">
        <v>319</v>
      </c>
    </row>
    <row r="256" spans="1:3" ht="15" customHeight="1" x14ac:dyDescent="0.25">
      <c r="A256" s="101">
        <v>42989</v>
      </c>
      <c r="B256" s="99">
        <f t="shared" si="3"/>
        <v>42989</v>
      </c>
      <c r="C256" s="100" t="s">
        <v>320</v>
      </c>
    </row>
    <row r="257" spans="1:3" ht="15" customHeight="1" x14ac:dyDescent="0.25">
      <c r="A257" s="101">
        <v>42990</v>
      </c>
      <c r="B257" s="99">
        <f t="shared" si="3"/>
        <v>42990</v>
      </c>
      <c r="C257" s="100" t="s">
        <v>321</v>
      </c>
    </row>
    <row r="258" spans="1:3" ht="15" customHeight="1" x14ac:dyDescent="0.25">
      <c r="A258" s="101">
        <v>42991</v>
      </c>
      <c r="B258" s="99">
        <f t="shared" si="3"/>
        <v>42991</v>
      </c>
      <c r="C258" s="100" t="s">
        <v>322</v>
      </c>
    </row>
    <row r="259" spans="1:3" ht="15" customHeight="1" x14ac:dyDescent="0.25">
      <c r="A259" s="101">
        <v>42992</v>
      </c>
      <c r="B259" s="99">
        <f t="shared" si="3"/>
        <v>42992</v>
      </c>
      <c r="C259" s="100" t="s">
        <v>323</v>
      </c>
    </row>
    <row r="260" spans="1:3" ht="15" customHeight="1" x14ac:dyDescent="0.25">
      <c r="A260" s="101">
        <v>42993</v>
      </c>
      <c r="B260" s="99">
        <f t="shared" si="3"/>
        <v>42993</v>
      </c>
      <c r="C260" s="100" t="s">
        <v>324</v>
      </c>
    </row>
    <row r="261" spans="1:3" ht="15" customHeight="1" x14ac:dyDescent="0.25">
      <c r="A261" s="101">
        <v>42994</v>
      </c>
      <c r="B261" s="99">
        <f t="shared" si="3"/>
        <v>42994</v>
      </c>
      <c r="C261" s="100" t="s">
        <v>325</v>
      </c>
    </row>
    <row r="262" spans="1:3" ht="15" customHeight="1" x14ac:dyDescent="0.25">
      <c r="A262" s="101">
        <v>42995</v>
      </c>
      <c r="B262" s="99">
        <f t="shared" si="3"/>
        <v>42995</v>
      </c>
      <c r="C262" s="100" t="s">
        <v>326</v>
      </c>
    </row>
    <row r="263" spans="1:3" ht="15" customHeight="1" x14ac:dyDescent="0.25">
      <c r="A263" s="101">
        <v>42996</v>
      </c>
      <c r="B263" s="99">
        <f t="shared" ref="B263:B326" si="4">DATE($B$1,MONTH(A263),DAY(A263))</f>
        <v>42996</v>
      </c>
      <c r="C263" s="100" t="s">
        <v>327</v>
      </c>
    </row>
    <row r="264" spans="1:3" ht="15" customHeight="1" x14ac:dyDescent="0.25">
      <c r="A264" s="101">
        <v>42997</v>
      </c>
      <c r="B264" s="99">
        <f t="shared" si="4"/>
        <v>42997</v>
      </c>
      <c r="C264" s="100" t="s">
        <v>328</v>
      </c>
    </row>
    <row r="265" spans="1:3" ht="15" customHeight="1" x14ac:dyDescent="0.25">
      <c r="A265" s="101">
        <v>42998</v>
      </c>
      <c r="B265" s="99">
        <f t="shared" si="4"/>
        <v>42998</v>
      </c>
      <c r="C265" s="100" t="s">
        <v>329</v>
      </c>
    </row>
    <row r="266" spans="1:3" ht="15" customHeight="1" x14ac:dyDescent="0.25">
      <c r="A266" s="101">
        <v>42999</v>
      </c>
      <c r="B266" s="99">
        <f t="shared" si="4"/>
        <v>42999</v>
      </c>
      <c r="C266" s="100" t="s">
        <v>330</v>
      </c>
    </row>
    <row r="267" spans="1:3" ht="15" customHeight="1" x14ac:dyDescent="0.25">
      <c r="A267" s="101">
        <v>43000</v>
      </c>
      <c r="B267" s="99">
        <f t="shared" si="4"/>
        <v>43000</v>
      </c>
      <c r="C267" s="100" t="s">
        <v>331</v>
      </c>
    </row>
    <row r="268" spans="1:3" ht="15" customHeight="1" x14ac:dyDescent="0.25">
      <c r="A268" s="101">
        <v>43001</v>
      </c>
      <c r="B268" s="99">
        <f t="shared" si="4"/>
        <v>43001</v>
      </c>
      <c r="C268" s="100" t="s">
        <v>332</v>
      </c>
    </row>
    <row r="269" spans="1:3" ht="15" customHeight="1" x14ac:dyDescent="0.25">
      <c r="A269" s="101">
        <v>43002</v>
      </c>
      <c r="B269" s="99">
        <f t="shared" si="4"/>
        <v>43002</v>
      </c>
      <c r="C269" s="100" t="s">
        <v>333</v>
      </c>
    </row>
    <row r="270" spans="1:3" ht="15" customHeight="1" x14ac:dyDescent="0.25">
      <c r="A270" s="101">
        <v>43003</v>
      </c>
      <c r="B270" s="99">
        <f t="shared" si="4"/>
        <v>43003</v>
      </c>
      <c r="C270" s="100" t="s">
        <v>334</v>
      </c>
    </row>
    <row r="271" spans="1:3" ht="15" customHeight="1" x14ac:dyDescent="0.25">
      <c r="A271" s="101">
        <v>43004</v>
      </c>
      <c r="B271" s="99">
        <f t="shared" si="4"/>
        <v>43004</v>
      </c>
      <c r="C271" s="100" t="s">
        <v>335</v>
      </c>
    </row>
    <row r="272" spans="1:3" ht="15" customHeight="1" x14ac:dyDescent="0.25">
      <c r="A272" s="101">
        <v>43005</v>
      </c>
      <c r="B272" s="99">
        <f t="shared" si="4"/>
        <v>43005</v>
      </c>
      <c r="C272" s="100" t="s">
        <v>336</v>
      </c>
    </row>
    <row r="273" spans="1:3" ht="15" customHeight="1" x14ac:dyDescent="0.25">
      <c r="A273" s="101">
        <v>43006</v>
      </c>
      <c r="B273" s="99">
        <f t="shared" si="4"/>
        <v>43006</v>
      </c>
      <c r="C273" s="100" t="s">
        <v>337</v>
      </c>
    </row>
    <row r="274" spans="1:3" ht="15" customHeight="1" x14ac:dyDescent="0.25">
      <c r="A274" s="101">
        <v>43007</v>
      </c>
      <c r="B274" s="99">
        <f t="shared" si="4"/>
        <v>43007</v>
      </c>
      <c r="C274" s="100" t="s">
        <v>338</v>
      </c>
    </row>
    <row r="275" spans="1:3" ht="15" customHeight="1" x14ac:dyDescent="0.25">
      <c r="A275" s="101">
        <v>43008</v>
      </c>
      <c r="B275" s="99">
        <f t="shared" si="4"/>
        <v>43008</v>
      </c>
      <c r="C275" s="100" t="s">
        <v>339</v>
      </c>
    </row>
    <row r="276" spans="1:3" ht="15" customHeight="1" x14ac:dyDescent="0.25">
      <c r="A276" s="101">
        <v>43009</v>
      </c>
      <c r="B276" s="99">
        <f t="shared" si="4"/>
        <v>43009</v>
      </c>
      <c r="C276" s="100" t="s">
        <v>340</v>
      </c>
    </row>
    <row r="277" spans="1:3" ht="15" customHeight="1" x14ac:dyDescent="0.25">
      <c r="A277" s="101">
        <v>43010</v>
      </c>
      <c r="B277" s="99">
        <f t="shared" si="4"/>
        <v>43010</v>
      </c>
      <c r="C277" s="100" t="s">
        <v>341</v>
      </c>
    </row>
    <row r="278" spans="1:3" ht="15" customHeight="1" x14ac:dyDescent="0.25">
      <c r="A278" s="101">
        <v>43011</v>
      </c>
      <c r="B278" s="99">
        <f t="shared" si="4"/>
        <v>43011</v>
      </c>
      <c r="C278" s="100" t="s">
        <v>342</v>
      </c>
    </row>
    <row r="279" spans="1:3" ht="15" customHeight="1" x14ac:dyDescent="0.25">
      <c r="A279" s="101">
        <v>43012</v>
      </c>
      <c r="B279" s="99">
        <f t="shared" si="4"/>
        <v>43012</v>
      </c>
      <c r="C279" s="100" t="s">
        <v>343</v>
      </c>
    </row>
    <row r="280" spans="1:3" ht="15" customHeight="1" x14ac:dyDescent="0.25">
      <c r="A280" s="101">
        <v>43013</v>
      </c>
      <c r="B280" s="99">
        <f t="shared" si="4"/>
        <v>43013</v>
      </c>
      <c r="C280" s="100" t="s">
        <v>344</v>
      </c>
    </row>
    <row r="281" spans="1:3" ht="15" customHeight="1" x14ac:dyDescent="0.25">
      <c r="A281" s="101">
        <v>43014</v>
      </c>
      <c r="B281" s="99">
        <f t="shared" si="4"/>
        <v>43014</v>
      </c>
      <c r="C281" s="100" t="s">
        <v>345</v>
      </c>
    </row>
    <row r="282" spans="1:3" ht="15" customHeight="1" x14ac:dyDescent="0.25">
      <c r="A282" s="101">
        <v>43015</v>
      </c>
      <c r="B282" s="99">
        <f t="shared" si="4"/>
        <v>43015</v>
      </c>
      <c r="C282" s="100" t="s">
        <v>346</v>
      </c>
    </row>
    <row r="283" spans="1:3" ht="15" customHeight="1" x14ac:dyDescent="0.25">
      <c r="A283" s="101">
        <v>43016</v>
      </c>
      <c r="B283" s="99">
        <f t="shared" si="4"/>
        <v>43016</v>
      </c>
      <c r="C283" s="100" t="s">
        <v>347</v>
      </c>
    </row>
    <row r="284" spans="1:3" ht="15" customHeight="1" x14ac:dyDescent="0.25">
      <c r="A284" s="101">
        <v>43017</v>
      </c>
      <c r="B284" s="99">
        <f t="shared" si="4"/>
        <v>43017</v>
      </c>
      <c r="C284" s="100" t="s">
        <v>348</v>
      </c>
    </row>
    <row r="285" spans="1:3" ht="15" customHeight="1" x14ac:dyDescent="0.25">
      <c r="A285" s="101">
        <v>43018</v>
      </c>
      <c r="B285" s="99">
        <f t="shared" si="4"/>
        <v>43018</v>
      </c>
      <c r="C285" s="100" t="s">
        <v>349</v>
      </c>
    </row>
    <row r="286" spans="1:3" ht="15" customHeight="1" x14ac:dyDescent="0.25">
      <c r="A286" s="101">
        <v>43019</v>
      </c>
      <c r="B286" s="99">
        <f t="shared" si="4"/>
        <v>43019</v>
      </c>
      <c r="C286" s="100" t="s">
        <v>350</v>
      </c>
    </row>
    <row r="287" spans="1:3" ht="15" customHeight="1" x14ac:dyDescent="0.25">
      <c r="A287" s="101">
        <v>43020</v>
      </c>
      <c r="B287" s="99">
        <f t="shared" si="4"/>
        <v>43020</v>
      </c>
      <c r="C287" s="100" t="s">
        <v>351</v>
      </c>
    </row>
    <row r="288" spans="1:3" ht="15" customHeight="1" x14ac:dyDescent="0.25">
      <c r="A288" s="101">
        <v>43021</v>
      </c>
      <c r="B288" s="99">
        <f t="shared" si="4"/>
        <v>43021</v>
      </c>
      <c r="C288" s="100" t="s">
        <v>352</v>
      </c>
    </row>
    <row r="289" spans="1:3" ht="15" customHeight="1" x14ac:dyDescent="0.25">
      <c r="A289" s="101">
        <v>43022</v>
      </c>
      <c r="B289" s="99">
        <f t="shared" si="4"/>
        <v>43022</v>
      </c>
      <c r="C289" s="100" t="s">
        <v>353</v>
      </c>
    </row>
    <row r="290" spans="1:3" ht="15" customHeight="1" x14ac:dyDescent="0.25">
      <c r="A290" s="101">
        <v>43023</v>
      </c>
      <c r="B290" s="99">
        <f t="shared" si="4"/>
        <v>43023</v>
      </c>
      <c r="C290" s="100" t="s">
        <v>354</v>
      </c>
    </row>
    <row r="291" spans="1:3" ht="15" customHeight="1" x14ac:dyDescent="0.25">
      <c r="A291" s="101">
        <v>43024</v>
      </c>
      <c r="B291" s="99">
        <f t="shared" si="4"/>
        <v>43024</v>
      </c>
      <c r="C291" s="100" t="s">
        <v>355</v>
      </c>
    </row>
    <row r="292" spans="1:3" ht="15" customHeight="1" x14ac:dyDescent="0.25">
      <c r="A292" s="101">
        <v>43025</v>
      </c>
      <c r="B292" s="99">
        <f t="shared" si="4"/>
        <v>43025</v>
      </c>
      <c r="C292" s="100" t="s">
        <v>356</v>
      </c>
    </row>
    <row r="293" spans="1:3" ht="15" customHeight="1" x14ac:dyDescent="0.25">
      <c r="A293" s="101">
        <v>43026</v>
      </c>
      <c r="B293" s="99">
        <f t="shared" si="4"/>
        <v>43026</v>
      </c>
      <c r="C293" s="100" t="s">
        <v>357</v>
      </c>
    </row>
    <row r="294" spans="1:3" ht="15" customHeight="1" x14ac:dyDescent="0.25">
      <c r="A294" s="101">
        <v>43027</v>
      </c>
      <c r="B294" s="99">
        <f t="shared" si="4"/>
        <v>43027</v>
      </c>
      <c r="C294" s="100" t="s">
        <v>358</v>
      </c>
    </row>
    <row r="295" spans="1:3" ht="15" customHeight="1" x14ac:dyDescent="0.25">
      <c r="A295" s="101">
        <v>43028</v>
      </c>
      <c r="B295" s="99">
        <f t="shared" si="4"/>
        <v>43028</v>
      </c>
      <c r="C295" s="100" t="s">
        <v>359</v>
      </c>
    </row>
    <row r="296" spans="1:3" ht="15" customHeight="1" x14ac:dyDescent="0.25">
      <c r="A296" s="101">
        <v>43029</v>
      </c>
      <c r="B296" s="99">
        <f t="shared" si="4"/>
        <v>43029</v>
      </c>
      <c r="C296" s="100" t="s">
        <v>360</v>
      </c>
    </row>
    <row r="297" spans="1:3" ht="15" customHeight="1" x14ac:dyDescent="0.25">
      <c r="A297" s="101">
        <v>43030</v>
      </c>
      <c r="B297" s="99">
        <f t="shared" si="4"/>
        <v>43030</v>
      </c>
      <c r="C297" s="100" t="s">
        <v>361</v>
      </c>
    </row>
    <row r="298" spans="1:3" ht="15" customHeight="1" x14ac:dyDescent="0.25">
      <c r="A298" s="101">
        <v>43031</v>
      </c>
      <c r="B298" s="99">
        <f t="shared" si="4"/>
        <v>43031</v>
      </c>
      <c r="C298" s="100" t="s">
        <v>362</v>
      </c>
    </row>
    <row r="299" spans="1:3" ht="15" customHeight="1" x14ac:dyDescent="0.25">
      <c r="A299" s="101">
        <v>43032</v>
      </c>
      <c r="B299" s="99">
        <f t="shared" si="4"/>
        <v>43032</v>
      </c>
      <c r="C299" s="100" t="s">
        <v>363</v>
      </c>
    </row>
    <row r="300" spans="1:3" ht="15" customHeight="1" x14ac:dyDescent="0.25">
      <c r="A300" s="101">
        <v>43033</v>
      </c>
      <c r="B300" s="99">
        <f t="shared" si="4"/>
        <v>43033</v>
      </c>
      <c r="C300" s="100" t="s">
        <v>364</v>
      </c>
    </row>
    <row r="301" spans="1:3" ht="15" customHeight="1" x14ac:dyDescent="0.25">
      <c r="A301" s="101">
        <v>43034</v>
      </c>
      <c r="B301" s="99">
        <f t="shared" si="4"/>
        <v>43034</v>
      </c>
      <c r="C301" s="100" t="s">
        <v>365</v>
      </c>
    </row>
    <row r="302" spans="1:3" ht="15" customHeight="1" x14ac:dyDescent="0.25">
      <c r="A302" s="101">
        <v>43035</v>
      </c>
      <c r="B302" s="99">
        <f t="shared" si="4"/>
        <v>43035</v>
      </c>
      <c r="C302" s="100" t="s">
        <v>366</v>
      </c>
    </row>
    <row r="303" spans="1:3" ht="15" customHeight="1" x14ac:dyDescent="0.25">
      <c r="A303" s="101">
        <v>43036</v>
      </c>
      <c r="B303" s="99">
        <f t="shared" si="4"/>
        <v>43036</v>
      </c>
      <c r="C303" s="100" t="s">
        <v>367</v>
      </c>
    </row>
    <row r="304" spans="1:3" ht="15" customHeight="1" x14ac:dyDescent="0.25">
      <c r="A304" s="101">
        <v>43037</v>
      </c>
      <c r="B304" s="99">
        <f t="shared" si="4"/>
        <v>43037</v>
      </c>
      <c r="C304" s="100" t="s">
        <v>368</v>
      </c>
    </row>
    <row r="305" spans="1:3" ht="15" customHeight="1" x14ac:dyDescent="0.25">
      <c r="A305" s="101">
        <v>43038</v>
      </c>
      <c r="B305" s="99">
        <f t="shared" si="4"/>
        <v>43038</v>
      </c>
      <c r="C305" s="100" t="s">
        <v>369</v>
      </c>
    </row>
    <row r="306" spans="1:3" ht="15" customHeight="1" x14ac:dyDescent="0.25">
      <c r="A306" s="101">
        <v>43039</v>
      </c>
      <c r="B306" s="99">
        <f t="shared" si="4"/>
        <v>43039</v>
      </c>
      <c r="C306" s="100" t="s">
        <v>370</v>
      </c>
    </row>
    <row r="307" spans="1:3" ht="15" customHeight="1" x14ac:dyDescent="0.25">
      <c r="A307" s="101">
        <v>43040</v>
      </c>
      <c r="B307" s="99">
        <f t="shared" si="4"/>
        <v>43040</v>
      </c>
      <c r="C307" s="100" t="s">
        <v>21</v>
      </c>
    </row>
    <row r="308" spans="1:3" ht="15" customHeight="1" x14ac:dyDescent="0.25">
      <c r="A308" s="101">
        <v>43041</v>
      </c>
      <c r="B308" s="99">
        <f t="shared" si="4"/>
        <v>43041</v>
      </c>
      <c r="C308" s="100" t="s">
        <v>371</v>
      </c>
    </row>
    <row r="309" spans="1:3" ht="15" customHeight="1" x14ac:dyDescent="0.25">
      <c r="A309" s="101">
        <v>43042</v>
      </c>
      <c r="B309" s="99">
        <f t="shared" si="4"/>
        <v>43042</v>
      </c>
      <c r="C309" s="100" t="s">
        <v>372</v>
      </c>
    </row>
    <row r="310" spans="1:3" ht="15" customHeight="1" x14ac:dyDescent="0.25">
      <c r="A310" s="101">
        <v>43043</v>
      </c>
      <c r="B310" s="99">
        <f t="shared" si="4"/>
        <v>43043</v>
      </c>
      <c r="C310" s="100" t="s">
        <v>373</v>
      </c>
    </row>
    <row r="311" spans="1:3" ht="15" customHeight="1" x14ac:dyDescent="0.25">
      <c r="A311" s="101">
        <v>43044</v>
      </c>
      <c r="B311" s="99">
        <f t="shared" si="4"/>
        <v>43044</v>
      </c>
      <c r="C311" s="100" t="s">
        <v>374</v>
      </c>
    </row>
    <row r="312" spans="1:3" ht="15" customHeight="1" x14ac:dyDescent="0.25">
      <c r="A312" s="101">
        <v>43045</v>
      </c>
      <c r="B312" s="99">
        <f t="shared" si="4"/>
        <v>43045</v>
      </c>
      <c r="C312" s="100" t="s">
        <v>375</v>
      </c>
    </row>
    <row r="313" spans="1:3" ht="15" customHeight="1" x14ac:dyDescent="0.25">
      <c r="A313" s="101">
        <v>43046</v>
      </c>
      <c r="B313" s="99">
        <f t="shared" si="4"/>
        <v>43046</v>
      </c>
      <c r="C313" s="100" t="s">
        <v>376</v>
      </c>
    </row>
    <row r="314" spans="1:3" ht="15" customHeight="1" x14ac:dyDescent="0.25">
      <c r="A314" s="101">
        <v>43047</v>
      </c>
      <c r="B314" s="99">
        <f t="shared" si="4"/>
        <v>43047</v>
      </c>
      <c r="C314" s="100" t="s">
        <v>377</v>
      </c>
    </row>
    <row r="315" spans="1:3" ht="15" customHeight="1" x14ac:dyDescent="0.25">
      <c r="A315" s="101">
        <v>43048</v>
      </c>
      <c r="B315" s="99">
        <f t="shared" si="4"/>
        <v>43048</v>
      </c>
      <c r="C315" s="100" t="s">
        <v>378</v>
      </c>
    </row>
    <row r="316" spans="1:3" ht="15" customHeight="1" x14ac:dyDescent="0.25">
      <c r="A316" s="101">
        <v>43049</v>
      </c>
      <c r="B316" s="99">
        <f t="shared" si="4"/>
        <v>43049</v>
      </c>
      <c r="C316" s="100" t="s">
        <v>379</v>
      </c>
    </row>
    <row r="317" spans="1:3" ht="15" customHeight="1" x14ac:dyDescent="0.25">
      <c r="A317" s="101">
        <v>43050</v>
      </c>
      <c r="B317" s="99">
        <f t="shared" si="4"/>
        <v>43050</v>
      </c>
      <c r="C317" s="100" t="s">
        <v>380</v>
      </c>
    </row>
    <row r="318" spans="1:3" ht="15" customHeight="1" x14ac:dyDescent="0.25">
      <c r="A318" s="101">
        <v>43051</v>
      </c>
      <c r="B318" s="99">
        <f t="shared" si="4"/>
        <v>43051</v>
      </c>
      <c r="C318" s="100" t="s">
        <v>381</v>
      </c>
    </row>
    <row r="319" spans="1:3" ht="15" customHeight="1" x14ac:dyDescent="0.25">
      <c r="A319" s="101">
        <v>43052</v>
      </c>
      <c r="B319" s="99">
        <f t="shared" si="4"/>
        <v>43052</v>
      </c>
      <c r="C319" s="100" t="s">
        <v>382</v>
      </c>
    </row>
    <row r="320" spans="1:3" ht="15" customHeight="1" x14ac:dyDescent="0.25">
      <c r="A320" s="101">
        <v>43053</v>
      </c>
      <c r="B320" s="99">
        <f t="shared" si="4"/>
        <v>43053</v>
      </c>
      <c r="C320" s="100" t="s">
        <v>383</v>
      </c>
    </row>
    <row r="321" spans="1:3" ht="15" customHeight="1" x14ac:dyDescent="0.25">
      <c r="A321" s="101">
        <v>43054</v>
      </c>
      <c r="B321" s="99">
        <f t="shared" si="4"/>
        <v>43054</v>
      </c>
      <c r="C321" s="100" t="s">
        <v>384</v>
      </c>
    </row>
    <row r="322" spans="1:3" ht="15" customHeight="1" x14ac:dyDescent="0.25">
      <c r="A322" s="101">
        <v>43055</v>
      </c>
      <c r="B322" s="99">
        <f t="shared" si="4"/>
        <v>43055</v>
      </c>
      <c r="C322" s="100" t="s">
        <v>385</v>
      </c>
    </row>
    <row r="323" spans="1:3" ht="15" customHeight="1" x14ac:dyDescent="0.25">
      <c r="A323" s="101">
        <v>43056</v>
      </c>
      <c r="B323" s="99">
        <f t="shared" si="4"/>
        <v>43056</v>
      </c>
      <c r="C323" s="100" t="s">
        <v>386</v>
      </c>
    </row>
    <row r="324" spans="1:3" ht="15" customHeight="1" x14ac:dyDescent="0.25">
      <c r="A324" s="101">
        <v>43057</v>
      </c>
      <c r="B324" s="99">
        <f t="shared" si="4"/>
        <v>43057</v>
      </c>
      <c r="C324" s="100" t="s">
        <v>387</v>
      </c>
    </row>
    <row r="325" spans="1:3" ht="15" customHeight="1" x14ac:dyDescent="0.25">
      <c r="A325" s="101">
        <v>43058</v>
      </c>
      <c r="B325" s="99">
        <f t="shared" si="4"/>
        <v>43058</v>
      </c>
      <c r="C325" s="100" t="s">
        <v>388</v>
      </c>
    </row>
    <row r="326" spans="1:3" ht="15" customHeight="1" x14ac:dyDescent="0.25">
      <c r="A326" s="101">
        <v>43059</v>
      </c>
      <c r="B326" s="99">
        <f t="shared" si="4"/>
        <v>43059</v>
      </c>
      <c r="C326" s="100" t="s">
        <v>389</v>
      </c>
    </row>
    <row r="327" spans="1:3" ht="15" customHeight="1" x14ac:dyDescent="0.25">
      <c r="A327" s="101">
        <v>43060</v>
      </c>
      <c r="B327" s="99">
        <f t="shared" ref="B327:B367" si="5">DATE($B$1,MONTH(A327),DAY(A327))</f>
        <v>43060</v>
      </c>
      <c r="C327" s="100" t="s">
        <v>390</v>
      </c>
    </row>
    <row r="328" spans="1:3" ht="15" customHeight="1" x14ac:dyDescent="0.25">
      <c r="A328" s="101">
        <v>43061</v>
      </c>
      <c r="B328" s="99">
        <f t="shared" si="5"/>
        <v>43061</v>
      </c>
      <c r="C328" s="100" t="s">
        <v>391</v>
      </c>
    </row>
    <row r="329" spans="1:3" ht="15" customHeight="1" x14ac:dyDescent="0.25">
      <c r="A329" s="101">
        <v>43062</v>
      </c>
      <c r="B329" s="99">
        <f t="shared" si="5"/>
        <v>43062</v>
      </c>
      <c r="C329" s="100" t="s">
        <v>64</v>
      </c>
    </row>
    <row r="330" spans="1:3" ht="15" customHeight="1" x14ac:dyDescent="0.25">
      <c r="A330" s="101">
        <v>43063</v>
      </c>
      <c r="B330" s="99">
        <f t="shared" si="5"/>
        <v>43063</v>
      </c>
      <c r="C330" s="100" t="s">
        <v>392</v>
      </c>
    </row>
    <row r="331" spans="1:3" ht="15" customHeight="1" x14ac:dyDescent="0.25">
      <c r="A331" s="101">
        <v>43064</v>
      </c>
      <c r="B331" s="99">
        <f t="shared" si="5"/>
        <v>43064</v>
      </c>
      <c r="C331" s="100" t="s">
        <v>153</v>
      </c>
    </row>
    <row r="332" spans="1:3" ht="15" customHeight="1" x14ac:dyDescent="0.25">
      <c r="A332" s="101">
        <v>43065</v>
      </c>
      <c r="B332" s="99">
        <f t="shared" si="5"/>
        <v>43065</v>
      </c>
      <c r="C332" s="100" t="s">
        <v>393</v>
      </c>
    </row>
    <row r="333" spans="1:3" ht="15" customHeight="1" x14ac:dyDescent="0.25">
      <c r="A333" s="101">
        <v>43066</v>
      </c>
      <c r="B333" s="99">
        <f t="shared" si="5"/>
        <v>43066</v>
      </c>
      <c r="C333" s="100" t="s">
        <v>394</v>
      </c>
    </row>
    <row r="334" spans="1:3" ht="15" customHeight="1" x14ac:dyDescent="0.25">
      <c r="A334" s="101">
        <v>43067</v>
      </c>
      <c r="B334" s="99">
        <f t="shared" si="5"/>
        <v>43067</v>
      </c>
      <c r="C334" s="100" t="s">
        <v>395</v>
      </c>
    </row>
    <row r="335" spans="1:3" ht="15" customHeight="1" x14ac:dyDescent="0.25">
      <c r="A335" s="101">
        <v>43068</v>
      </c>
      <c r="B335" s="99">
        <f t="shared" si="5"/>
        <v>43068</v>
      </c>
      <c r="C335" s="100" t="s">
        <v>396</v>
      </c>
    </row>
    <row r="336" spans="1:3" ht="15" customHeight="1" x14ac:dyDescent="0.25">
      <c r="A336" s="101">
        <v>43069</v>
      </c>
      <c r="B336" s="99">
        <f t="shared" si="5"/>
        <v>43069</v>
      </c>
      <c r="C336" s="100" t="s">
        <v>397</v>
      </c>
    </row>
    <row r="337" spans="1:3" ht="15" customHeight="1" x14ac:dyDescent="0.25">
      <c r="A337" s="101">
        <v>43070</v>
      </c>
      <c r="B337" s="99">
        <f t="shared" si="5"/>
        <v>43070</v>
      </c>
      <c r="C337" s="100" t="s">
        <v>398</v>
      </c>
    </row>
    <row r="338" spans="1:3" ht="15" customHeight="1" x14ac:dyDescent="0.25">
      <c r="A338" s="101">
        <v>43071</v>
      </c>
      <c r="B338" s="99">
        <f t="shared" si="5"/>
        <v>43071</v>
      </c>
      <c r="C338" s="100" t="s">
        <v>399</v>
      </c>
    </row>
    <row r="339" spans="1:3" ht="15" customHeight="1" x14ac:dyDescent="0.25">
      <c r="A339" s="101">
        <v>43072</v>
      </c>
      <c r="B339" s="99">
        <f t="shared" si="5"/>
        <v>43072</v>
      </c>
      <c r="C339" s="100" t="s">
        <v>400</v>
      </c>
    </row>
    <row r="340" spans="1:3" ht="15" customHeight="1" x14ac:dyDescent="0.25">
      <c r="A340" s="101">
        <v>43073</v>
      </c>
      <c r="B340" s="99">
        <f t="shared" si="5"/>
        <v>43073</v>
      </c>
      <c r="C340" s="100" t="s">
        <v>401</v>
      </c>
    </row>
    <row r="341" spans="1:3" ht="15" customHeight="1" x14ac:dyDescent="0.25">
      <c r="A341" s="101">
        <v>43074</v>
      </c>
      <c r="B341" s="99">
        <f t="shared" si="5"/>
        <v>43074</v>
      </c>
      <c r="C341" s="100" t="s">
        <v>402</v>
      </c>
    </row>
    <row r="342" spans="1:3" ht="15" customHeight="1" x14ac:dyDescent="0.25">
      <c r="A342" s="101">
        <v>43075</v>
      </c>
      <c r="B342" s="99">
        <f t="shared" si="5"/>
        <v>43075</v>
      </c>
      <c r="C342" s="100" t="s">
        <v>403</v>
      </c>
    </row>
    <row r="343" spans="1:3" ht="15" customHeight="1" x14ac:dyDescent="0.25">
      <c r="A343" s="101">
        <v>43076</v>
      </c>
      <c r="B343" s="99">
        <f t="shared" si="5"/>
        <v>43076</v>
      </c>
      <c r="C343" s="100" t="s">
        <v>404</v>
      </c>
    </row>
    <row r="344" spans="1:3" ht="15" customHeight="1" x14ac:dyDescent="0.25">
      <c r="A344" s="101">
        <v>43077</v>
      </c>
      <c r="B344" s="99">
        <f t="shared" si="5"/>
        <v>43077</v>
      </c>
      <c r="C344" s="100" t="s">
        <v>405</v>
      </c>
    </row>
    <row r="345" spans="1:3" ht="15" customHeight="1" x14ac:dyDescent="0.25">
      <c r="A345" s="101">
        <v>43078</v>
      </c>
      <c r="B345" s="99">
        <f t="shared" si="5"/>
        <v>43078</v>
      </c>
      <c r="C345" s="100" t="s">
        <v>406</v>
      </c>
    </row>
    <row r="346" spans="1:3" ht="15" customHeight="1" x14ac:dyDescent="0.25">
      <c r="A346" s="101">
        <v>43079</v>
      </c>
      <c r="B346" s="99">
        <f t="shared" si="5"/>
        <v>43079</v>
      </c>
      <c r="C346" s="100" t="s">
        <v>407</v>
      </c>
    </row>
    <row r="347" spans="1:3" ht="15" customHeight="1" x14ac:dyDescent="0.25">
      <c r="A347" s="101">
        <v>43080</v>
      </c>
      <c r="B347" s="99">
        <f t="shared" si="5"/>
        <v>43080</v>
      </c>
      <c r="C347" s="100" t="s">
        <v>408</v>
      </c>
    </row>
    <row r="348" spans="1:3" ht="15" customHeight="1" x14ac:dyDescent="0.25">
      <c r="A348" s="101">
        <v>43081</v>
      </c>
      <c r="B348" s="99">
        <f t="shared" si="5"/>
        <v>43081</v>
      </c>
      <c r="C348" s="100" t="s">
        <v>409</v>
      </c>
    </row>
    <row r="349" spans="1:3" ht="15" customHeight="1" x14ac:dyDescent="0.25">
      <c r="A349" s="101">
        <v>43082</v>
      </c>
      <c r="B349" s="99">
        <f t="shared" si="5"/>
        <v>43082</v>
      </c>
      <c r="C349" s="100" t="s">
        <v>410</v>
      </c>
    </row>
    <row r="350" spans="1:3" ht="15" customHeight="1" x14ac:dyDescent="0.25">
      <c r="A350" s="101">
        <v>43083</v>
      </c>
      <c r="B350" s="99">
        <f t="shared" si="5"/>
        <v>43083</v>
      </c>
      <c r="C350" s="100" t="s">
        <v>411</v>
      </c>
    </row>
    <row r="351" spans="1:3" ht="15" customHeight="1" x14ac:dyDescent="0.25">
      <c r="A351" s="101">
        <v>43084</v>
      </c>
      <c r="B351" s="99">
        <f t="shared" si="5"/>
        <v>43084</v>
      </c>
      <c r="C351" s="100" t="s">
        <v>412</v>
      </c>
    </row>
    <row r="352" spans="1:3" ht="15" customHeight="1" x14ac:dyDescent="0.25">
      <c r="A352" s="101">
        <v>43085</v>
      </c>
      <c r="B352" s="99">
        <f t="shared" si="5"/>
        <v>43085</v>
      </c>
      <c r="C352" s="100" t="s">
        <v>413</v>
      </c>
    </row>
    <row r="353" spans="1:3" ht="15" customHeight="1" x14ac:dyDescent="0.25">
      <c r="A353" s="101">
        <v>43086</v>
      </c>
      <c r="B353" s="99">
        <f t="shared" si="5"/>
        <v>43086</v>
      </c>
      <c r="C353" s="100" t="s">
        <v>414</v>
      </c>
    </row>
    <row r="354" spans="1:3" ht="15" customHeight="1" x14ac:dyDescent="0.25">
      <c r="A354" s="101">
        <v>43087</v>
      </c>
      <c r="B354" s="99">
        <f t="shared" si="5"/>
        <v>43087</v>
      </c>
      <c r="C354" s="100" t="s">
        <v>415</v>
      </c>
    </row>
    <row r="355" spans="1:3" ht="15" customHeight="1" x14ac:dyDescent="0.25">
      <c r="A355" s="101">
        <v>43088</v>
      </c>
      <c r="B355" s="99">
        <f t="shared" si="5"/>
        <v>43088</v>
      </c>
      <c r="C355" s="100" t="s">
        <v>416</v>
      </c>
    </row>
    <row r="356" spans="1:3" ht="15" customHeight="1" x14ac:dyDescent="0.25">
      <c r="A356" s="101">
        <v>43089</v>
      </c>
      <c r="B356" s="99">
        <f t="shared" si="5"/>
        <v>43089</v>
      </c>
      <c r="C356" s="100" t="s">
        <v>417</v>
      </c>
    </row>
    <row r="357" spans="1:3" ht="15" customHeight="1" x14ac:dyDescent="0.25">
      <c r="A357" s="101">
        <v>43090</v>
      </c>
      <c r="B357" s="99">
        <f t="shared" si="5"/>
        <v>43090</v>
      </c>
      <c r="C357" s="100" t="s">
        <v>15</v>
      </c>
    </row>
    <row r="358" spans="1:3" ht="15" customHeight="1" x14ac:dyDescent="0.25">
      <c r="A358" s="101">
        <v>43091</v>
      </c>
      <c r="B358" s="99">
        <f t="shared" si="5"/>
        <v>43091</v>
      </c>
      <c r="C358" s="100" t="s">
        <v>418</v>
      </c>
    </row>
    <row r="359" spans="1:3" ht="15" customHeight="1" x14ac:dyDescent="0.25">
      <c r="A359" s="101">
        <v>43092</v>
      </c>
      <c r="B359" s="99">
        <f t="shared" si="5"/>
        <v>43092</v>
      </c>
      <c r="C359" s="100" t="s">
        <v>419</v>
      </c>
    </row>
    <row r="360" spans="1:3" ht="15" customHeight="1" x14ac:dyDescent="0.25">
      <c r="A360" s="101">
        <v>43093</v>
      </c>
      <c r="B360" s="99">
        <f t="shared" si="5"/>
        <v>43093</v>
      </c>
      <c r="C360" s="100" t="s">
        <v>420</v>
      </c>
    </row>
    <row r="361" spans="1:3" ht="15" customHeight="1" x14ac:dyDescent="0.25">
      <c r="A361" s="101">
        <v>43094</v>
      </c>
      <c r="B361" s="99">
        <f t="shared" si="5"/>
        <v>43094</v>
      </c>
      <c r="C361" s="100" t="s">
        <v>13</v>
      </c>
    </row>
    <row r="362" spans="1:3" ht="15" customHeight="1" x14ac:dyDescent="0.25">
      <c r="A362" s="101">
        <v>43095</v>
      </c>
      <c r="B362" s="99">
        <f t="shared" si="5"/>
        <v>43095</v>
      </c>
      <c r="C362" s="100" t="s">
        <v>421</v>
      </c>
    </row>
    <row r="363" spans="1:3" ht="15" customHeight="1" x14ac:dyDescent="0.25">
      <c r="A363" s="101">
        <v>43096</v>
      </c>
      <c r="B363" s="99">
        <f t="shared" si="5"/>
        <v>43096</v>
      </c>
      <c r="C363" s="100" t="s">
        <v>422</v>
      </c>
    </row>
    <row r="364" spans="1:3" ht="15" customHeight="1" x14ac:dyDescent="0.25">
      <c r="A364" s="101">
        <v>43097</v>
      </c>
      <c r="B364" s="99">
        <f t="shared" si="5"/>
        <v>43097</v>
      </c>
      <c r="C364" s="100" t="s">
        <v>423</v>
      </c>
    </row>
    <row r="365" spans="1:3" ht="15" customHeight="1" x14ac:dyDescent="0.25">
      <c r="A365" s="101">
        <v>43098</v>
      </c>
      <c r="B365" s="99">
        <f t="shared" si="5"/>
        <v>43098</v>
      </c>
      <c r="C365" s="100" t="s">
        <v>424</v>
      </c>
    </row>
    <row r="366" spans="1:3" ht="15" customHeight="1" x14ac:dyDescent="0.25">
      <c r="A366" s="101">
        <v>43099</v>
      </c>
      <c r="B366" s="99">
        <f t="shared" si="5"/>
        <v>43099</v>
      </c>
      <c r="C366" s="100" t="s">
        <v>425</v>
      </c>
    </row>
    <row r="367" spans="1:3" ht="15" customHeight="1" x14ac:dyDescent="0.25">
      <c r="A367" s="101">
        <v>43100</v>
      </c>
      <c r="B367" s="99">
        <f t="shared" si="5"/>
        <v>43100</v>
      </c>
      <c r="C367" s="100" t="s">
        <v>426</v>
      </c>
    </row>
    <row r="368" spans="1:3" ht="15" customHeight="1" x14ac:dyDescent="0.25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Q44"/>
  <sheetViews>
    <sheetView showGridLines="0" topLeftCell="A4" zoomScaleNormal="100" workbookViewId="0">
      <selection activeCell="J27" sqref="J27"/>
    </sheetView>
  </sheetViews>
  <sheetFormatPr baseColWidth="10" defaultColWidth="10.7109375" defaultRowHeight="15" x14ac:dyDescent="0.25"/>
  <cols>
    <col min="8" max="8" width="12.42578125" customWidth="1"/>
    <col min="9" max="9" width="10.7109375" customWidth="1"/>
  </cols>
  <sheetData>
    <row r="1" spans="1:8" ht="15.75" thickBot="1" x14ac:dyDescent="0.3">
      <c r="G1" s="55" t="s">
        <v>26</v>
      </c>
      <c r="H1" s="56" t="s">
        <v>27</v>
      </c>
    </row>
    <row r="2" spans="1:8" ht="15.75" thickBot="1" x14ac:dyDescent="0.3">
      <c r="G2" s="57" t="s">
        <v>14</v>
      </c>
      <c r="H2" s="57">
        <f>calendriers!An</f>
        <v>2017</v>
      </c>
    </row>
    <row r="3" spans="1:8" x14ac:dyDescent="0.25">
      <c r="A3" s="335" t="str">
        <f>CONCATENATE(G2," ",H2)</f>
        <v>Mai 2017</v>
      </c>
      <c r="B3" s="335"/>
    </row>
    <row r="4" spans="1:8" ht="15.75" customHeight="1" thickBot="1" x14ac:dyDescent="0.3"/>
    <row r="5" spans="1:8" ht="15.75" thickBot="1" x14ac:dyDescent="0.3">
      <c r="C5" s="332" t="s">
        <v>34</v>
      </c>
      <c r="D5" s="333"/>
      <c r="E5" s="334"/>
      <c r="G5" s="99"/>
    </row>
    <row r="6" spans="1:8" ht="15.75" thickBot="1" x14ac:dyDescent="0.3"/>
    <row r="7" spans="1:8" ht="15.75" customHeight="1" thickBot="1" x14ac:dyDescent="0.3">
      <c r="B7" s="58" t="s">
        <v>28</v>
      </c>
      <c r="C7" s="58" t="s">
        <v>29</v>
      </c>
      <c r="D7" s="59" t="s">
        <v>30</v>
      </c>
      <c r="E7" s="59" t="s">
        <v>31</v>
      </c>
      <c r="F7" s="59" t="s">
        <v>30</v>
      </c>
      <c r="G7" s="59" t="s">
        <v>31</v>
      </c>
      <c r="H7" s="59" t="s">
        <v>32</v>
      </c>
    </row>
    <row r="8" spans="1:8" ht="15.75" thickBot="1" x14ac:dyDescent="0.3">
      <c r="B8" s="71">
        <f>DATE(calendriers!An,MONTH("1/"&amp;$G$2),1)</f>
        <v>42856</v>
      </c>
      <c r="C8" s="72">
        <f>B8</f>
        <v>42856</v>
      </c>
      <c r="D8" s="63"/>
      <c r="E8" s="73"/>
      <c r="F8" s="63"/>
      <c r="G8" s="63"/>
      <c r="H8" s="63">
        <f>SUM(E8-D8,G8-F8)</f>
        <v>0</v>
      </c>
    </row>
    <row r="9" spans="1:8" ht="15.75" thickBot="1" x14ac:dyDescent="0.3">
      <c r="B9" s="64">
        <f>B8+1</f>
        <v>42857</v>
      </c>
      <c r="C9" s="60">
        <f t="shared" ref="C9:C35" si="0">B9</f>
        <v>42857</v>
      </c>
      <c r="D9" s="61">
        <v>0.33333333333333331</v>
      </c>
      <c r="E9" s="62">
        <v>0.5</v>
      </c>
      <c r="F9" s="61">
        <v>0.58333333333333337</v>
      </c>
      <c r="G9" s="61">
        <v>0.70833333333333337</v>
      </c>
      <c r="H9" s="63">
        <f t="shared" ref="H9:H38" si="1">SUM(E9-D9,G9-F9)</f>
        <v>0.29166666666666669</v>
      </c>
    </row>
    <row r="10" spans="1:8" ht="15.75" thickBot="1" x14ac:dyDescent="0.3">
      <c r="B10" s="64">
        <f t="shared" ref="B10:B32" si="2">B9+1</f>
        <v>42858</v>
      </c>
      <c r="C10" s="60">
        <f t="shared" si="0"/>
        <v>42858</v>
      </c>
      <c r="D10" s="61">
        <v>0.33333333333333331</v>
      </c>
      <c r="E10" s="62">
        <v>0.5</v>
      </c>
      <c r="F10" s="61">
        <v>0.58333333333333337</v>
      </c>
      <c r="G10" s="61">
        <v>0.70833333333333337</v>
      </c>
      <c r="H10" s="63">
        <f t="shared" si="1"/>
        <v>0.29166666666666669</v>
      </c>
    </row>
    <row r="11" spans="1:8" ht="15.75" thickBot="1" x14ac:dyDescent="0.3">
      <c r="B11" s="64">
        <f t="shared" si="2"/>
        <v>42859</v>
      </c>
      <c r="C11" s="60">
        <f t="shared" si="0"/>
        <v>42859</v>
      </c>
      <c r="D11" s="61">
        <v>0.33333333333333331</v>
      </c>
      <c r="E11" s="62">
        <v>0.5</v>
      </c>
      <c r="F11" s="61">
        <v>0.58333333333333337</v>
      </c>
      <c r="G11" s="61">
        <v>0.70833333333333337</v>
      </c>
      <c r="H11" s="63">
        <f t="shared" si="1"/>
        <v>0.29166666666666669</v>
      </c>
    </row>
    <row r="12" spans="1:8" ht="15.75" thickBot="1" x14ac:dyDescent="0.3">
      <c r="B12" s="64">
        <f t="shared" si="2"/>
        <v>42860</v>
      </c>
      <c r="C12" s="60">
        <f t="shared" si="0"/>
        <v>42860</v>
      </c>
      <c r="D12" s="61"/>
      <c r="E12" s="62"/>
      <c r="F12" s="61">
        <v>0.58333333333333337</v>
      </c>
      <c r="G12" s="61">
        <v>0.70833333333333337</v>
      </c>
      <c r="H12" s="63">
        <f t="shared" si="1"/>
        <v>0.125</v>
      </c>
    </row>
    <row r="13" spans="1:8" ht="15.75" thickBot="1" x14ac:dyDescent="0.3">
      <c r="B13" s="64">
        <f t="shared" si="2"/>
        <v>42861</v>
      </c>
      <c r="C13" s="60">
        <f t="shared" si="0"/>
        <v>42861</v>
      </c>
      <c r="D13" s="61"/>
      <c r="E13" s="62"/>
      <c r="F13" s="61"/>
      <c r="G13" s="61"/>
      <c r="H13" s="63">
        <f t="shared" si="1"/>
        <v>0</v>
      </c>
    </row>
    <row r="14" spans="1:8" ht="15.75" thickBot="1" x14ac:dyDescent="0.3">
      <c r="B14" s="64">
        <f t="shared" si="2"/>
        <v>42862</v>
      </c>
      <c r="C14" s="60">
        <f t="shared" si="0"/>
        <v>42862</v>
      </c>
      <c r="D14" s="61"/>
      <c r="E14" s="62"/>
      <c r="F14" s="61"/>
      <c r="G14" s="61"/>
      <c r="H14" s="63">
        <f t="shared" si="1"/>
        <v>0</v>
      </c>
    </row>
    <row r="15" spans="1:8" ht="15.75" thickBot="1" x14ac:dyDescent="0.3">
      <c r="B15" s="64">
        <f>B14+1</f>
        <v>42863</v>
      </c>
      <c r="C15" s="60">
        <f t="shared" si="0"/>
        <v>42863</v>
      </c>
      <c r="D15" s="61"/>
      <c r="E15" s="62"/>
      <c r="F15" s="61"/>
      <c r="G15" s="61"/>
      <c r="H15" s="63">
        <f t="shared" si="1"/>
        <v>0</v>
      </c>
    </row>
    <row r="16" spans="1:8" ht="15.75" thickBot="1" x14ac:dyDescent="0.3">
      <c r="B16" s="64">
        <f t="shared" si="2"/>
        <v>42864</v>
      </c>
      <c r="C16" s="60">
        <f t="shared" si="0"/>
        <v>42864</v>
      </c>
      <c r="D16" s="61">
        <v>0.33333333333333331</v>
      </c>
      <c r="E16" s="62">
        <v>0.5</v>
      </c>
      <c r="F16" s="61">
        <v>0.58333333333333337</v>
      </c>
      <c r="G16" s="61">
        <v>0.70833333333333337</v>
      </c>
      <c r="H16" s="63">
        <f t="shared" si="1"/>
        <v>0.29166666666666669</v>
      </c>
    </row>
    <row r="17" spans="2:17" ht="15.75" thickBot="1" x14ac:dyDescent="0.3">
      <c r="B17" s="64">
        <f t="shared" si="2"/>
        <v>42865</v>
      </c>
      <c r="C17" s="60">
        <f t="shared" si="0"/>
        <v>42865</v>
      </c>
      <c r="D17" s="61">
        <v>0.33333333333333331</v>
      </c>
      <c r="E17" s="62">
        <v>0.5</v>
      </c>
      <c r="F17" s="61">
        <v>0.58333333333333337</v>
      </c>
      <c r="G17" s="61">
        <v>0.70833333333333337</v>
      </c>
      <c r="H17" s="63">
        <f t="shared" si="1"/>
        <v>0.29166666666666669</v>
      </c>
    </row>
    <row r="18" spans="2:17" ht="15.75" thickBot="1" x14ac:dyDescent="0.3">
      <c r="B18" s="64">
        <f t="shared" si="2"/>
        <v>42866</v>
      </c>
      <c r="C18" s="60">
        <f t="shared" si="0"/>
        <v>42866</v>
      </c>
      <c r="D18" s="61">
        <v>0.33333333333333331</v>
      </c>
      <c r="E18" s="62">
        <v>0.5</v>
      </c>
      <c r="F18" s="61">
        <v>0.58333333333333337</v>
      </c>
      <c r="G18" s="61">
        <v>0.70833333333333337</v>
      </c>
      <c r="H18" s="63">
        <f t="shared" si="1"/>
        <v>0.29166666666666669</v>
      </c>
    </row>
    <row r="19" spans="2:17" ht="15.75" thickBot="1" x14ac:dyDescent="0.3">
      <c r="B19" s="64">
        <f t="shared" si="2"/>
        <v>42867</v>
      </c>
      <c r="C19" s="60">
        <f t="shared" si="0"/>
        <v>42867</v>
      </c>
      <c r="D19" s="61">
        <v>0.33333333333333331</v>
      </c>
      <c r="E19" s="62">
        <v>0.5</v>
      </c>
      <c r="F19" s="61">
        <v>0.58333333333333337</v>
      </c>
      <c r="G19" s="61">
        <v>0.70833333333333337</v>
      </c>
      <c r="H19" s="63">
        <f t="shared" si="1"/>
        <v>0.29166666666666669</v>
      </c>
    </row>
    <row r="20" spans="2:17" ht="15.75" thickBot="1" x14ac:dyDescent="0.3">
      <c r="B20" s="64">
        <f t="shared" si="2"/>
        <v>42868</v>
      </c>
      <c r="C20" s="60">
        <f t="shared" si="0"/>
        <v>42868</v>
      </c>
      <c r="D20" s="61"/>
      <c r="E20" s="62"/>
      <c r="F20" s="61"/>
      <c r="G20" s="61"/>
      <c r="H20" s="63">
        <f t="shared" si="1"/>
        <v>0</v>
      </c>
    </row>
    <row r="21" spans="2:17" ht="15.75" thickBot="1" x14ac:dyDescent="0.3">
      <c r="B21" s="64">
        <f t="shared" si="2"/>
        <v>42869</v>
      </c>
      <c r="C21" s="60">
        <f t="shared" si="0"/>
        <v>42869</v>
      </c>
      <c r="D21" s="61"/>
      <c r="E21" s="62"/>
      <c r="F21" s="61"/>
      <c r="G21" s="61"/>
      <c r="H21" s="63">
        <f t="shared" si="1"/>
        <v>0</v>
      </c>
    </row>
    <row r="22" spans="2:17" ht="15.75" thickBot="1" x14ac:dyDescent="0.3">
      <c r="B22" s="64">
        <f>B21+1</f>
        <v>42870</v>
      </c>
      <c r="C22" s="60">
        <f t="shared" si="0"/>
        <v>42870</v>
      </c>
      <c r="D22" s="61">
        <v>0.33333333333333331</v>
      </c>
      <c r="E22" s="62">
        <v>0.5</v>
      </c>
      <c r="F22" s="61">
        <v>0.58333333333333337</v>
      </c>
      <c r="G22" s="61">
        <v>0.70833333333333337</v>
      </c>
      <c r="H22" s="63">
        <f t="shared" si="1"/>
        <v>0.29166666666666669</v>
      </c>
    </row>
    <row r="23" spans="2:17" ht="15.75" thickBot="1" x14ac:dyDescent="0.3">
      <c r="B23" s="64">
        <f t="shared" si="2"/>
        <v>42871</v>
      </c>
      <c r="C23" s="60">
        <f t="shared" si="0"/>
        <v>42871</v>
      </c>
      <c r="D23" s="61">
        <v>0.33333333333333331</v>
      </c>
      <c r="E23" s="62">
        <v>0.5</v>
      </c>
      <c r="F23" s="61">
        <v>0.58333333333333337</v>
      </c>
      <c r="G23" s="61">
        <v>0.70833333333333337</v>
      </c>
      <c r="H23" s="63">
        <f t="shared" si="1"/>
        <v>0.29166666666666669</v>
      </c>
    </row>
    <row r="24" spans="2:17" ht="15.75" thickBot="1" x14ac:dyDescent="0.3">
      <c r="B24" s="64">
        <f t="shared" si="2"/>
        <v>42872</v>
      </c>
      <c r="C24" s="60">
        <f t="shared" si="0"/>
        <v>42872</v>
      </c>
      <c r="D24" s="61">
        <v>0.33333333333333331</v>
      </c>
      <c r="E24" s="62">
        <v>0.5</v>
      </c>
      <c r="F24" s="61">
        <v>0.58333333333333337</v>
      </c>
      <c r="G24" s="61">
        <v>0.70833333333333337</v>
      </c>
      <c r="H24" s="63">
        <f t="shared" si="1"/>
        <v>0.29166666666666669</v>
      </c>
    </row>
    <row r="25" spans="2:17" ht="15.75" thickBot="1" x14ac:dyDescent="0.3">
      <c r="B25" s="64">
        <f t="shared" si="2"/>
        <v>42873</v>
      </c>
      <c r="C25" s="60">
        <f t="shared" si="0"/>
        <v>42873</v>
      </c>
      <c r="D25" s="61">
        <v>0.33333333333333331</v>
      </c>
      <c r="E25" s="62">
        <v>0.5</v>
      </c>
      <c r="F25" s="61">
        <v>0.58333333333333337</v>
      </c>
      <c r="G25" s="61">
        <v>0.70833333333333337</v>
      </c>
      <c r="H25" s="63">
        <f t="shared" si="1"/>
        <v>0.29166666666666669</v>
      </c>
      <c r="P25" s="70"/>
      <c r="Q25" s="70"/>
    </row>
    <row r="26" spans="2:17" ht="15.75" thickBot="1" x14ac:dyDescent="0.3">
      <c r="B26" s="64">
        <f t="shared" si="2"/>
        <v>42874</v>
      </c>
      <c r="C26" s="60">
        <f t="shared" si="0"/>
        <v>42874</v>
      </c>
      <c r="D26" s="61">
        <v>0.33333333333333331</v>
      </c>
      <c r="E26" s="62">
        <v>0.5</v>
      </c>
      <c r="F26" s="61">
        <v>0.58333333333333337</v>
      </c>
      <c r="G26" s="61">
        <v>0.70833333333333337</v>
      </c>
      <c r="H26" s="63">
        <f t="shared" si="1"/>
        <v>0.29166666666666669</v>
      </c>
      <c r="P26" s="68"/>
      <c r="Q26" s="68"/>
    </row>
    <row r="27" spans="2:17" ht="15.75" thickBot="1" x14ac:dyDescent="0.3">
      <c r="B27" s="64">
        <f t="shared" si="2"/>
        <v>42875</v>
      </c>
      <c r="C27" s="60">
        <f t="shared" si="0"/>
        <v>42875</v>
      </c>
      <c r="D27" s="61"/>
      <c r="E27" s="62"/>
      <c r="F27" s="61"/>
      <c r="G27" s="61"/>
      <c r="H27" s="63">
        <f t="shared" si="1"/>
        <v>0</v>
      </c>
    </row>
    <row r="28" spans="2:17" ht="15.75" thickBot="1" x14ac:dyDescent="0.3">
      <c r="B28" s="64">
        <f t="shared" si="2"/>
        <v>42876</v>
      </c>
      <c r="C28" s="60">
        <f t="shared" si="0"/>
        <v>42876</v>
      </c>
      <c r="D28" s="61"/>
      <c r="E28" s="62"/>
      <c r="F28" s="61"/>
      <c r="G28" s="61"/>
      <c r="H28" s="63">
        <f t="shared" si="1"/>
        <v>0</v>
      </c>
    </row>
    <row r="29" spans="2:17" ht="15.75" thickBot="1" x14ac:dyDescent="0.3">
      <c r="B29" s="64">
        <f>B28+1</f>
        <v>42877</v>
      </c>
      <c r="C29" s="60">
        <f t="shared" si="0"/>
        <v>42877</v>
      </c>
      <c r="D29" s="61"/>
      <c r="E29" s="62"/>
      <c r="F29" s="61"/>
      <c r="G29" s="61"/>
      <c r="H29" s="63">
        <f t="shared" si="1"/>
        <v>0</v>
      </c>
    </row>
    <row r="30" spans="2:17" ht="15.75" thickBot="1" x14ac:dyDescent="0.3">
      <c r="B30" s="64">
        <f t="shared" si="2"/>
        <v>42878</v>
      </c>
      <c r="C30" s="60">
        <f t="shared" si="0"/>
        <v>42878</v>
      </c>
      <c r="D30" s="61"/>
      <c r="E30" s="62"/>
      <c r="F30" s="61"/>
      <c r="G30" s="61"/>
      <c r="H30" s="63">
        <f t="shared" si="1"/>
        <v>0</v>
      </c>
    </row>
    <row r="31" spans="2:17" ht="15.75" thickBot="1" x14ac:dyDescent="0.3">
      <c r="B31" s="64">
        <f t="shared" si="2"/>
        <v>42879</v>
      </c>
      <c r="C31" s="60">
        <f t="shared" si="0"/>
        <v>42879</v>
      </c>
      <c r="D31" s="61"/>
      <c r="E31" s="62"/>
      <c r="F31" s="61"/>
      <c r="G31" s="61"/>
      <c r="H31" s="63">
        <f t="shared" si="1"/>
        <v>0</v>
      </c>
    </row>
    <row r="32" spans="2:17" ht="15.75" thickBot="1" x14ac:dyDescent="0.3">
      <c r="B32" s="64">
        <f t="shared" si="2"/>
        <v>42880</v>
      </c>
      <c r="C32" s="60">
        <f t="shared" si="0"/>
        <v>42880</v>
      </c>
      <c r="D32" s="61"/>
      <c r="E32" s="62"/>
      <c r="F32" s="61"/>
      <c r="G32" s="61"/>
      <c r="H32" s="63">
        <f t="shared" si="1"/>
        <v>0</v>
      </c>
    </row>
    <row r="33" spans="2:12" ht="15.75" thickBot="1" x14ac:dyDescent="0.3">
      <c r="B33" s="64">
        <f>B32+1</f>
        <v>42881</v>
      </c>
      <c r="C33" s="60">
        <f t="shared" si="0"/>
        <v>42881</v>
      </c>
      <c r="D33" s="61"/>
      <c r="E33" s="62"/>
      <c r="F33" s="61"/>
      <c r="G33" s="61"/>
      <c r="H33" s="63">
        <f t="shared" si="1"/>
        <v>0</v>
      </c>
    </row>
    <row r="34" spans="2:12" ht="15.75" thickBot="1" x14ac:dyDescent="0.3">
      <c r="B34" s="64">
        <f>B33+1</f>
        <v>42882</v>
      </c>
      <c r="C34" s="60">
        <f t="shared" si="0"/>
        <v>42882</v>
      </c>
      <c r="D34" s="61"/>
      <c r="E34" s="62"/>
      <c r="F34" s="61"/>
      <c r="G34" s="61"/>
      <c r="H34" s="63">
        <f t="shared" si="1"/>
        <v>0</v>
      </c>
    </row>
    <row r="35" spans="2:12" ht="15.75" thickBot="1" x14ac:dyDescent="0.3">
      <c r="B35" s="64">
        <f>B34+1</f>
        <v>42883</v>
      </c>
      <c r="C35" s="60">
        <f t="shared" si="0"/>
        <v>42883</v>
      </c>
      <c r="D35" s="61"/>
      <c r="E35" s="62"/>
      <c r="F35" s="61"/>
      <c r="G35" s="61"/>
      <c r="H35" s="63">
        <f t="shared" si="1"/>
        <v>0</v>
      </c>
    </row>
    <row r="36" spans="2:12" ht="15.75" thickBot="1" x14ac:dyDescent="0.3">
      <c r="B36" s="64">
        <f>IF(MONTH($B$35+1)=MONTH($B$35),$B$35+1,"")</f>
        <v>42884</v>
      </c>
      <c r="C36" s="60">
        <f>IF(B36="","",C35+1)</f>
        <v>42884</v>
      </c>
      <c r="D36" s="61"/>
      <c r="E36" s="62"/>
      <c r="F36" s="61"/>
      <c r="G36" s="61"/>
      <c r="H36" s="63">
        <f t="shared" si="1"/>
        <v>0</v>
      </c>
    </row>
    <row r="37" spans="2:12" ht="15.75" thickBot="1" x14ac:dyDescent="0.3">
      <c r="B37" s="64">
        <f>IF(MONTH($B$35+2)=MONTH($B$35),$B$35+2,"")</f>
        <v>42885</v>
      </c>
      <c r="C37" s="60">
        <f>IF(B37="","",C36+1)</f>
        <v>42885</v>
      </c>
      <c r="D37" s="61"/>
      <c r="E37" s="62"/>
      <c r="F37" s="61"/>
      <c r="G37" s="61"/>
      <c r="H37" s="63">
        <f t="shared" si="1"/>
        <v>0</v>
      </c>
    </row>
    <row r="38" spans="2:12" ht="15.75" thickBot="1" x14ac:dyDescent="0.3">
      <c r="B38" s="64">
        <f>IF(MONTH($B$35+3)=MONTH($B$35),$B$35+3,"")</f>
        <v>42886</v>
      </c>
      <c r="C38" s="60">
        <f>IF(B38="","",C37+1)</f>
        <v>42886</v>
      </c>
      <c r="D38" s="61"/>
      <c r="E38" s="62"/>
      <c r="F38" s="61"/>
      <c r="G38" s="61"/>
      <c r="H38" s="63">
        <f t="shared" si="1"/>
        <v>0</v>
      </c>
    </row>
    <row r="39" spans="2:12" ht="15.75" thickBot="1" x14ac:dyDescent="0.3">
      <c r="B39" s="65"/>
      <c r="C39" s="65"/>
      <c r="D39" s="67"/>
      <c r="E39" s="52"/>
      <c r="F39" s="67"/>
      <c r="G39" s="59" t="s">
        <v>33</v>
      </c>
      <c r="H39" s="66">
        <f>SUM(H8:H38)</f>
        <v>3.6249999999999996</v>
      </c>
    </row>
    <row r="41" spans="2:12" x14ac:dyDescent="0.25">
      <c r="G41" s="69"/>
      <c r="H41" s="69"/>
    </row>
    <row r="42" spans="2:12" x14ac:dyDescent="0.25">
      <c r="K42" s="104"/>
      <c r="L42" s="68"/>
    </row>
    <row r="43" spans="2:12" x14ac:dyDescent="0.25">
      <c r="H43" s="69"/>
      <c r="K43" s="70"/>
      <c r="L43" s="70"/>
    </row>
    <row r="44" spans="2:12" x14ac:dyDescent="0.25">
      <c r="K44" s="70"/>
      <c r="L44" s="70"/>
    </row>
  </sheetData>
  <mergeCells count="2">
    <mergeCell ref="C5:E5"/>
    <mergeCell ref="A3:B3"/>
  </mergeCells>
  <conditionalFormatting sqref="B32:H32 B29:C31 H29:H31 B34:H35 B33:C33 H33 B36:C38 H36:H38 B27:H28 B8:H8 B9:C26 H9:H26">
    <cfRule type="expression" dxfId="1952" priority="134" stopIfTrue="1">
      <formula>COUNTIF(Fériés,$B8)&gt;0</formula>
    </cfRule>
    <cfRule type="expression" dxfId="1951" priority="135" stopIfTrue="1">
      <formula>WEEKDAY($B8,2)&gt;5</formula>
    </cfRule>
  </conditionalFormatting>
  <conditionalFormatting sqref="D34:G35">
    <cfRule type="expression" dxfId="1950" priority="54" stopIfTrue="1">
      <formula>COUNTIF(Fériés,$B34)&gt;0</formula>
    </cfRule>
    <cfRule type="expression" dxfId="1949" priority="55" stopIfTrue="1">
      <formula>WEEKDAY($B34,2)&gt;5</formula>
    </cfRule>
  </conditionalFormatting>
  <conditionalFormatting sqref="E34:F34">
    <cfRule type="expression" dxfId="1948" priority="56" stopIfTrue="1">
      <formula>COUNTIF(Fériés,$B34)&gt;0</formula>
    </cfRule>
    <cfRule type="expression" dxfId="1947" priority="57" stopIfTrue="1">
      <formula>WEEKDAY($B34,2)&gt;5</formula>
    </cfRule>
  </conditionalFormatting>
  <conditionalFormatting sqref="E35:F35">
    <cfRule type="expression" dxfId="1946" priority="52" stopIfTrue="1">
      <formula>COUNTIF(Fériés,$B35)&gt;0</formula>
    </cfRule>
    <cfRule type="expression" dxfId="1945" priority="53" stopIfTrue="1">
      <formula>WEEKDAY($B35,2)&gt;5</formula>
    </cfRule>
  </conditionalFormatting>
  <conditionalFormatting sqref="E8:F8">
    <cfRule type="expression" dxfId="1944" priority="46" stopIfTrue="1">
      <formula>COUNTIF(Fériés,$B8)&gt;0</formula>
    </cfRule>
    <cfRule type="expression" dxfId="1943" priority="47" stopIfTrue="1">
      <formula>WEEKDAY($B8,2)&gt;5</formula>
    </cfRule>
  </conditionalFormatting>
  <conditionalFormatting sqref="D13:G15">
    <cfRule type="expression" dxfId="1942" priority="42" stopIfTrue="1">
      <formula>COUNTIF(Fériés,$B13)&gt;0</formula>
    </cfRule>
    <cfRule type="expression" dxfId="1941" priority="43" stopIfTrue="1">
      <formula>WEEKDAY($B13,2)&gt;5</formula>
    </cfRule>
  </conditionalFormatting>
  <conditionalFormatting sqref="E13:F15">
    <cfRule type="expression" dxfId="1940" priority="44" stopIfTrue="1">
      <formula>COUNTIF(Fériés,$B13)&gt;0</formula>
    </cfRule>
    <cfRule type="expression" dxfId="1939" priority="45" stopIfTrue="1">
      <formula>WEEKDAY($B13,2)&gt;5</formula>
    </cfRule>
  </conditionalFormatting>
  <conditionalFormatting sqref="D20:G21">
    <cfRule type="expression" dxfId="1938" priority="38" stopIfTrue="1">
      <formula>COUNTIF(Fériés,$B20)&gt;0</formula>
    </cfRule>
    <cfRule type="expression" dxfId="1937" priority="39" stopIfTrue="1">
      <formula>WEEKDAY($B20,2)&gt;5</formula>
    </cfRule>
  </conditionalFormatting>
  <conditionalFormatting sqref="E20:F21">
    <cfRule type="expression" dxfId="1936" priority="40" stopIfTrue="1">
      <formula>COUNTIF(Fériés,$B20)&gt;0</formula>
    </cfRule>
    <cfRule type="expression" dxfId="1935" priority="41" stopIfTrue="1">
      <formula>WEEKDAY($B20,2)&gt;5</formula>
    </cfRule>
  </conditionalFormatting>
  <conditionalFormatting sqref="E27:F28">
    <cfRule type="expression" dxfId="1934" priority="36" stopIfTrue="1">
      <formula>COUNTIF(Fériés,$B27)&gt;0</formula>
    </cfRule>
    <cfRule type="expression" dxfId="1933" priority="37" stopIfTrue="1">
      <formula>WEEKDAY($B27,2)&gt;5</formula>
    </cfRule>
  </conditionalFormatting>
  <conditionalFormatting sqref="B8:C38">
    <cfRule type="cellIs" dxfId="1932" priority="29" operator="equal">
      <formula>TODAY()</formula>
    </cfRule>
  </conditionalFormatting>
  <conditionalFormatting sqref="D36:G38 D33:G33 D29:G31 D22:G26">
    <cfRule type="expression" dxfId="1931" priority="25" stopIfTrue="1">
      <formula>COUNTIF(Fériés,$B22)&gt;0</formula>
    </cfRule>
    <cfRule type="expression" dxfId="1930" priority="26" stopIfTrue="1">
      <formula>WEEKDAY($B22,2)&gt;5</formula>
    </cfRule>
  </conditionalFormatting>
  <conditionalFormatting sqref="E29:F31 E33:F33 E36:F38 E22:F26">
    <cfRule type="expression" dxfId="1929" priority="27" stopIfTrue="1">
      <formula>COUNTIF(Fériés,$B22)&gt;0</formula>
    </cfRule>
    <cfRule type="expression" dxfId="1928" priority="28" stopIfTrue="1">
      <formula>WEEKDAY($B22,2)&gt;5</formula>
    </cfRule>
  </conditionalFormatting>
  <conditionalFormatting sqref="D12:E12">
    <cfRule type="expression" dxfId="1927" priority="21" stopIfTrue="1">
      <formula>COUNTIF(Fériés,$B12)&gt;0</formula>
    </cfRule>
    <cfRule type="expression" dxfId="1926" priority="22" stopIfTrue="1">
      <formula>WEEKDAY($B12,2)&gt;5</formula>
    </cfRule>
  </conditionalFormatting>
  <conditionalFormatting sqref="E12">
    <cfRule type="expression" dxfId="1925" priority="23" stopIfTrue="1">
      <formula>COUNTIF(Fériés,$B12)&gt;0</formula>
    </cfRule>
    <cfRule type="expression" dxfId="1924" priority="24" stopIfTrue="1">
      <formula>WEEKDAY($B12,2)&gt;5</formula>
    </cfRule>
  </conditionalFormatting>
  <conditionalFormatting sqref="D9:G11">
    <cfRule type="expression" dxfId="1923" priority="5" stopIfTrue="1">
      <formula>COUNTIF(Fériés,$B9)&gt;0</formula>
    </cfRule>
    <cfRule type="expression" dxfId="1922" priority="6" stopIfTrue="1">
      <formula>WEEKDAY($B9,2)&gt;5</formula>
    </cfRule>
  </conditionalFormatting>
  <conditionalFormatting sqref="E9:F11">
    <cfRule type="expression" dxfId="1921" priority="7" stopIfTrue="1">
      <formula>COUNTIF(Fériés,$B9)&gt;0</formula>
    </cfRule>
    <cfRule type="expression" dxfId="1920" priority="8" stopIfTrue="1">
      <formula>WEEKDAY($B9,2)&gt;5</formula>
    </cfRule>
  </conditionalFormatting>
  <conditionalFormatting sqref="F12:G12">
    <cfRule type="expression" dxfId="1919" priority="1" stopIfTrue="1">
      <formula>COUNTIF(Fériés,$B12)&gt;0</formula>
    </cfRule>
    <cfRule type="expression" dxfId="1918" priority="2" stopIfTrue="1">
      <formula>WEEKDAY($B12,2)&gt;5</formula>
    </cfRule>
  </conditionalFormatting>
  <conditionalFormatting sqref="F12">
    <cfRule type="expression" dxfId="1917" priority="3" stopIfTrue="1">
      <formula>COUNTIF(Fériés,$B12)&gt;0</formula>
    </cfRule>
    <cfRule type="expression" dxfId="1916" priority="4" stopIfTrue="1">
      <formula>WEEKDAY($B12,2)&gt;5</formula>
    </cfRule>
  </conditionalFormatting>
  <conditionalFormatting sqref="D16:G19">
    <cfRule type="expression" dxfId="1915" priority="9" stopIfTrue="1">
      <formula>COUNTIF(Fériés,$B16)&gt;0</formula>
    </cfRule>
    <cfRule type="expression" dxfId="1914" priority="10" stopIfTrue="1">
      <formula>WEEKDAY($B16,2)&gt;5</formula>
    </cfRule>
  </conditionalFormatting>
  <conditionalFormatting sqref="E16:F19">
    <cfRule type="expression" dxfId="1913" priority="11" stopIfTrue="1">
      <formula>COUNTIF(Fériés,$B16)&gt;0</formula>
    </cfRule>
    <cfRule type="expression" dxfId="1912" priority="12" stopIfTrue="1">
      <formula>WEEKDAY($B16,2)&gt;5</formula>
    </cfRule>
  </conditionalFormatting>
  <dataValidations disablePrompts="1" count="1">
    <dataValidation type="list" allowBlank="1" showInputMessage="1" showErrorMessage="1" sqref="G2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scale="8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19</vt:i4>
      </vt:variant>
    </vt:vector>
  </HeadingPairs>
  <TitlesOfParts>
    <vt:vector size="29" baseType="lpstr">
      <vt:lpstr>BD_CAL</vt:lpstr>
      <vt:lpstr>calendriers</vt:lpstr>
      <vt:lpstr>Mensuel</vt:lpstr>
      <vt:lpstr>anniversaire</vt:lpstr>
      <vt:lpstr>évènements</vt:lpstr>
      <vt:lpstr>Événements</vt:lpstr>
      <vt:lpstr>Lune</vt:lpstr>
      <vt:lpstr>Jours fériés</vt:lpstr>
      <vt:lpstr>fête</vt:lpstr>
      <vt:lpstr>horaires mois</vt:lpstr>
      <vt:lpstr>calendriers!An</vt:lpstr>
      <vt:lpstr>Datedebut</vt:lpstr>
      <vt:lpstr>Datefin</vt:lpstr>
      <vt:lpstr>Dbut</vt:lpstr>
      <vt:lpstr>Ddebut</vt:lpstr>
      <vt:lpstr>début</vt:lpstr>
      <vt:lpstr>débutm</vt:lpstr>
      <vt:lpstr>Dfin</vt:lpstr>
      <vt:lpstr>DVac</vt:lpstr>
      <vt:lpstr>F</vt:lpstr>
      <vt:lpstr>Fériés</vt:lpstr>
      <vt:lpstr>fin</vt:lpstr>
      <vt:lpstr>finm</vt:lpstr>
      <vt:lpstr>FVac</vt:lpstr>
      <vt:lpstr>onglets</vt:lpstr>
      <vt:lpstr>Plage_calendrier</vt:lpstr>
      <vt:lpstr>calendriers!Zone_d_impression</vt:lpstr>
      <vt:lpstr>'horaires mois'!Zone_d_impression</vt:lpstr>
      <vt:lpstr>Mensuel!Zone_d_impression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AUDEOUD Dominique (UT092)</cp:lastModifiedBy>
  <cp:revision/>
  <dcterms:created xsi:type="dcterms:W3CDTF">2012-06-21T15:41:37Z</dcterms:created>
  <dcterms:modified xsi:type="dcterms:W3CDTF">2017-06-01T10:25:42Z</dcterms:modified>
</cp:coreProperties>
</file>