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drawings/drawing6.xml" ContentType="application/vnd.openxmlformats-officedocument.drawing+xml"/>
  <Override PartName="/xl/ctrlProps/ctrlProp10.xml" ContentType="application/vnd.ms-excel.controlproperties+xml"/>
  <Override PartName="/xl/drawings/drawing7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f46df06458e7a1dc/Bureau/"/>
    </mc:Choice>
  </mc:AlternateContent>
  <xr:revisionPtr revIDLastSave="68" documentId="13_ncr:1_{2A4EC302-7DD0-4384-A9D1-2F3EC25CB4E7}" xr6:coauthVersionLast="46" xr6:coauthVersionMax="46" xr10:uidLastSave="{C623A0AA-E9A0-4933-88BC-F5E3F60E0383}"/>
  <bookViews>
    <workbookView xWindow="-120" yWindow="-120" windowWidth="29040" windowHeight="18240" tabRatio="624" firstSheet="1" activeTab="1" xr2:uid="{00000000-000D-0000-FFFF-FFFF00000000}"/>
  </bookViews>
  <sheets>
    <sheet name="NOTES" sheetId="11" state="hidden" r:id="rId1"/>
    <sheet name="INFOS" sheetId="1" r:id="rId2"/>
    <sheet name="P.ADM" sheetId="10" r:id="rId3"/>
    <sheet name="DEVIS" sheetId="2" r:id="rId4"/>
    <sheet name="PROJET" sheetId="3" r:id="rId5"/>
    <sheet name="SOLDE" sheetId="15" r:id="rId6"/>
    <sheet name="FACT" sheetId="4" r:id="rId7"/>
    <sheet name="FACT_RGT" sheetId="14" r:id="rId8"/>
    <sheet name="Paiement_CC" sheetId="6" r:id="rId9"/>
    <sheet name="Kms" sheetId="7" r:id="rId10"/>
    <sheet name="Base_Ent" sheetId="13" state="hidden" r:id="rId11"/>
    <sheet name="B_D" sheetId="9" state="hidden" r:id="rId12"/>
    <sheet name="Plan_ALS_Anah" sheetId="12" state="hidden" r:id="rId13"/>
  </sheets>
  <externalReferences>
    <externalReference r:id="rId14"/>
  </externalReferences>
  <definedNames>
    <definedName name="ALS_Date_Convention">INFOS!$M$33</definedName>
    <definedName name="ALS_Date_Depot">INFOS!$L$33</definedName>
    <definedName name="ALS_Date_Ouverture">INFOS!$K$33</definedName>
    <definedName name="ALS_Date_Paiement">INFOS!$N$33</definedName>
    <definedName name="ALS_Frais_AMO">INFOS!$H$33</definedName>
    <definedName name="ALS_OuiNon">INFOS!$G$32</definedName>
    <definedName name="ALS_Type_Dossier">INFOS!$G$33</definedName>
    <definedName name="Anah_Date_Acompte">INFOS!$L$29</definedName>
    <definedName name="Anah_Date_Agrement">INFOS!$I$29</definedName>
    <definedName name="Anah_Date_Avance">INFOS!$K$29</definedName>
    <definedName name="Anah_Date_Demande_Paiement">INFOS!$M$29</definedName>
    <definedName name="Anah_Date_Depot">INFOS!$H$29</definedName>
    <definedName name="Anah_Date_Solde">INFOS!$N$29</definedName>
    <definedName name="Anah_Dossier_Depose">INFOS!$G$27</definedName>
    <definedName name="Anah_Num_Depot">INFOS!$L$27</definedName>
    <definedName name="Anah_Num_Dossier">INFOS!$N$27</definedName>
    <definedName name="Anah_Num_Plateforme">INFOS!$I$27</definedName>
    <definedName name="Anim_ref">INFOS!$L$1</definedName>
    <definedName name="AUTO">B_D!$L$68:$L$72</definedName>
    <definedName name="BaseCalcul_HT_Sim1">PROJET!$S$21</definedName>
    <definedName name="BaseCalcul_HT_Sim2">PROJET!$S$42</definedName>
    <definedName name="BaseCalcul_TTC_Sim1">PROJET!$R$21</definedName>
    <definedName name="BaseCalcul_TTC_Sim2">PROJET!$R$42</definedName>
    <definedName name="Calcul_prime_ANAH_Sim1.1">B_D!$M$20</definedName>
    <definedName name="Calcul_prime_ANAH_Sim1.2">B_D!$N$20</definedName>
    <definedName name="Calcul_prime_ANAH_Sim1.3">B_D!$O$20</definedName>
    <definedName name="Calcul_prime_ANAH_Sim1.4">B_D!$P$20</definedName>
    <definedName name="Calcul_prime_ANAH_Sim2.1">B_D!$M$26</definedName>
    <definedName name="Calcul_prime_ANAH_Sim2.2">B_D!$N$26</definedName>
    <definedName name="Calcul_prime_ANAH_Sim2.3">B_D!$O$26</definedName>
    <definedName name="Calcul_prime_ANAH_Sim2.4">B_D!$P$26</definedName>
    <definedName name="Calcul_prime_ASE_Sim1.1">B_D!$G$20</definedName>
    <definedName name="Calcul_prime_ASE_Sim1.2">B_D!$H$20</definedName>
    <definedName name="Calcul_prime_ASE_Sim1.3">B_D!$I$20</definedName>
    <definedName name="Calcul_prime_ASE_Sim1.4">B_D!$J$20</definedName>
    <definedName name="Calcul_prime_ASE_Sim2.1">B_D!$G$26</definedName>
    <definedName name="Calcul_prime_ASE_Sim2.2">B_D!$H$26</definedName>
    <definedName name="Calcul_prime_ASE_Sim2.3">B_D!$I$26</definedName>
    <definedName name="Calcul_prime_ASE_Sim2.4">B_D!$J$26</definedName>
    <definedName name="Cat_RFR">INFOS!$N$12</definedName>
    <definedName name="CC_Nom">INFOS!$M$1</definedName>
    <definedName name="CCCT">B_D!$G$54:$G$67</definedName>
    <definedName name="CCMAV">B_D!$F$54:$F$67</definedName>
    <definedName name="Cep_Actuel">PROJET!$F$2</definedName>
    <definedName name="Cep_Sim_Solde">SOLDE!$G$4</definedName>
    <definedName name="Cep_Sim1">PROJET!$G$4</definedName>
    <definedName name="Cep_Sim2">PROJET!$H$4</definedName>
    <definedName name="Code_Dossier">B_D!$V$30</definedName>
    <definedName name="Commentaire1">INFOS!$F$43</definedName>
    <definedName name="Commentaire2">INFOS!$F$44</definedName>
    <definedName name="Commentaire3">INFOS!$F$45</definedName>
    <definedName name="Commentaire4">INFOS!$F$46</definedName>
    <definedName name="Commentaire5">INFOS!$F$47</definedName>
    <definedName name="Commentaire6">INFOS!$F$48</definedName>
    <definedName name="Commentaire7">INFOS!$F$49</definedName>
    <definedName name="Conformité_Devis_Facture">PROJET!#REF!</definedName>
    <definedName name="Date_Commission_AideCC">INFOS!$H$39</definedName>
    <definedName name="Date_Commission_PrimeCC">INFOS!$H$38</definedName>
    <definedName name="Date_Conseil_AideCC">INFOS!$I$39</definedName>
    <definedName name="Date_Conseil_PrimeCC">INFOS!$I$38</definedName>
    <definedName name="Date_Courrier_AideCC">INFOS!$L$39</definedName>
    <definedName name="Date_Courrier_PrimeCC">INFOS!$L$38</definedName>
    <definedName name="Date_Demande_Participation">INFOS!$H$41</definedName>
    <definedName name="Date_DPE_Remise">INFOS!$M$23</definedName>
    <definedName name="Date_DPE_Remise_Ref">INFOS!$N$23</definedName>
    <definedName name="Date_DPE_Visite">INFOS!$M$22</definedName>
    <definedName name="Date_DPE_Visite_Ref">INFOS!$N$22</definedName>
    <definedName name="Date_Paiement_AideCC_Def">INFOS!$M$39</definedName>
    <definedName name="Date_Paiement_PrimeCC_Def">INFOS!$M$38</definedName>
    <definedName name="Date_Visite_Auto">INFOS!$M$21</definedName>
    <definedName name="Date_Visite_Auto_Ref">INFOS!$N$21</definedName>
    <definedName name="Date_Visite_Finance">INFOS!$M$24</definedName>
    <definedName name="Date_Visite_Finance_Ref">INFOS!$N$24</definedName>
    <definedName name="Date_Visite_Initiale">INFOS!$M$20</definedName>
    <definedName name="Date_Visite_Initiale_Ref">INFOS!$N$20</definedName>
    <definedName name="Date_Visite_Solde">INFOS!$M$25</definedName>
    <definedName name="Date_Visite_Solde_Ref">INFOS!$N$25</definedName>
    <definedName name="Devis_recap">DEVIS!$J$2:$O$9</definedName>
    <definedName name="Devis_Recap_Auto_HT">DEVIS!$H$2</definedName>
    <definedName name="Devis_Recap_Auto_TTC">DEVIS!$H$3</definedName>
    <definedName name="Devis_Recap_NRJ_HT">DEVIS!$H$4</definedName>
    <definedName name="Devis_Recap_NRJ_TTC">DEVIS!$H$5</definedName>
    <definedName name="Devis_Recap_Projet_HT">DEVIS!$H$8</definedName>
    <definedName name="Devis_Recap_Projet_TTC">DEVIS!$H$9</definedName>
    <definedName name="Devis_Recap_TRX_LOURD_HT">DEVIS!$H$6</definedName>
    <definedName name="Devis_Recap_TRX_LOURD_TTC">DEVIS!$H$7</definedName>
    <definedName name="Devis1_Adresse1_Entreprise">DEVIS!$C$14</definedName>
    <definedName name="Devis1_Adresse2_Entreprise">DEVIS!$C$15</definedName>
    <definedName name="Devis1_Cat_Travaux">DEVIS!$C$12</definedName>
    <definedName name="Devis1_CP_Entreprise">DEVIS!$C$16</definedName>
    <definedName name="Devis1_HT">DEVIS!$H$14</definedName>
    <definedName name="Devis1_Mat_HT">DEVIS!$G$18</definedName>
    <definedName name="Devis1_Mat_TTC">DEVIS!$H$18</definedName>
    <definedName name="Devis1_MO_HT">DEVIS!$G$21</definedName>
    <definedName name="Devis1_MO_TTC">DEVIS!$H$21</definedName>
    <definedName name="Devis1_Nom_Entreprise">DEVIS!$C$13</definedName>
    <definedName name="Devis1_Siret_Entreprise">DEVIS!$F$13</definedName>
    <definedName name="Devis1_Titre_Travaux">DEVIS!$C$11</definedName>
    <definedName name="Devis1_TTC">DEVIS!$H$15</definedName>
    <definedName name="Devis1_Type_Travaux">DEVIS!$H$11</definedName>
    <definedName name="Devis1_Ville_Entreprise">DEVIS!$D$16</definedName>
    <definedName name="Devis2_Adresse1_Entreprise">DEVIS!$C$28</definedName>
    <definedName name="Devis2_Adresse2_Entreprise">DEVIS!$C$29</definedName>
    <definedName name="Devis2_Cat_Travaux">DEVIS!$C$26</definedName>
    <definedName name="Devis2_CP_Entreprise">DEVIS!$C$30</definedName>
    <definedName name="Devis2_HT">DEVIS!$H$28</definedName>
    <definedName name="Devis2_Mat_HT">DEVIS!$G$32</definedName>
    <definedName name="Devis2_Mat_TTC">DEVIS!$H$32</definedName>
    <definedName name="Devis2_MO_HT">DEVIS!$G$35</definedName>
    <definedName name="Devis2_MO_TTC">DEVIS!$H$35</definedName>
    <definedName name="Devis2_Nom_Entreprise">DEVIS!$C$27</definedName>
    <definedName name="Devis2_Siret_Entreprise">DEVIS!$F$27</definedName>
    <definedName name="Devis2_Titre_Travaux">DEVIS!$C$25</definedName>
    <definedName name="Devis2_TTC">DEVIS!$H$29</definedName>
    <definedName name="Devis2_Type_Travaux">DEVIS!$H$25</definedName>
    <definedName name="Devis2_Ville_Entreprise">DEVIS!$D$30</definedName>
    <definedName name="Devis3_Adresse1_Entreprise">DEVIS!$C$42</definedName>
    <definedName name="Devis3_Adresse2_Entreprise">DEVIS!$C$43</definedName>
    <definedName name="Devis3_Cat_Travaux">DEVIS!$C$40</definedName>
    <definedName name="Devis3_CP_Entreprise">DEVIS!$C$44</definedName>
    <definedName name="Devis3_HT">DEVIS!$H$42</definedName>
    <definedName name="Devis3_Mat_HT">DEVIS!$G$46</definedName>
    <definedName name="Devis3_Mat_TTC">DEVIS!$H$46</definedName>
    <definedName name="Devis3_MO_HT">DEVIS!$G$49</definedName>
    <definedName name="Devis3_MO_TTC">DEVIS!$H$49</definedName>
    <definedName name="Devis3_Nom_Entreprise">DEVIS!$C$41</definedName>
    <definedName name="Devis3_Siret_Entreprise">DEVIS!$F$41</definedName>
    <definedName name="Devis3_Titre_Travaux">DEVIS!$C$39</definedName>
    <definedName name="Devis3_TTC">DEVIS!$H$43</definedName>
    <definedName name="Devis3_Type_Travaux">DEVIS!$H$39</definedName>
    <definedName name="Devis3_Ville_Entreprise">DEVIS!$D$44</definedName>
    <definedName name="Devis4_Adresse1_Entreprise">DEVIS!$C$56</definedName>
    <definedName name="Devis4_Adresse2_Entreprise">DEVIS!$C$57</definedName>
    <definedName name="Devis4_Cat_Travaux">DEVIS!$C$54</definedName>
    <definedName name="Devis4_CP_Entreprise">DEVIS!$C$58</definedName>
    <definedName name="Devis4_HT">DEVIS!$H$56</definedName>
    <definedName name="Devis4_Mat_HT">DEVIS!$G$60</definedName>
    <definedName name="Devis4_Mat_TTC">DEVIS!$H$60</definedName>
    <definedName name="Devis4_MO_HT">DEVIS!$G$63</definedName>
    <definedName name="Devis4_MO_TTC">DEVIS!$H$63</definedName>
    <definedName name="Devis4_Nom_Entreprise">DEVIS!$C$55</definedName>
    <definedName name="Devis4_Siret_Entreprise">DEVIS!$F$55</definedName>
    <definedName name="Devis4_Titre_Travaux">DEVIS!$C$53</definedName>
    <definedName name="Devis4_TTC">DEVIS!$H$57</definedName>
    <definedName name="Devis4_Type_Travaux">DEVIS!$H$53</definedName>
    <definedName name="Devis4_Ville_Entreprise">DEVIS!$D$58</definedName>
    <definedName name="Devis5_Adresse1_Entreprise">DEVIS!$C$70</definedName>
    <definedName name="Devis5_Adresse2_Entreprise">DEVIS!$C$71</definedName>
    <definedName name="Devis5_Cat_Travaux">DEVIS!$C$68</definedName>
    <definedName name="Devis5_CP_Entreprise">DEVIS!$C$72</definedName>
    <definedName name="Devis5_HT">DEVIS!$H$70</definedName>
    <definedName name="Devis5_Mat_HT">DEVIS!$G$74</definedName>
    <definedName name="Devis5_Mat_TTC">DEVIS!$H$74</definedName>
    <definedName name="Devis5_MO_HT">DEVIS!$G$77</definedName>
    <definedName name="Devis5_MO_TTC">DEVIS!$H$77</definedName>
    <definedName name="Devis5_Nom_Entreprise">DEVIS!$C$69</definedName>
    <definedName name="Devis5_Siret_Entreprise">DEVIS!$F$69</definedName>
    <definedName name="Devis5_Titre_Travaux">DEVIS!$C$67</definedName>
    <definedName name="Devis5_TTC">DEVIS!$H$71</definedName>
    <definedName name="Devis5_Type_Travaux">DEVIS!$H$67</definedName>
    <definedName name="Devis5_Ville_Entreprise">DEVIS!$D$72</definedName>
    <definedName name="Devis6_Adresse1_Entreprise">DEVIS!$C$84</definedName>
    <definedName name="Devis6_Adresse2_Entreprise">DEVIS!$C$85</definedName>
    <definedName name="Devis6_Cat_Travaux">DEVIS!$C$82</definedName>
    <definedName name="Devis6_CP_Entreprise">DEVIS!$C$86</definedName>
    <definedName name="Devis6_HT">DEVIS!$H$84</definedName>
    <definedName name="Devis6_Mat_HT">DEVIS!$G$88</definedName>
    <definedName name="Devis6_Mat_TTC">DEVIS!$H$88</definedName>
    <definedName name="Devis6_MO_HT">DEVIS!$G$91</definedName>
    <definedName name="Devis6_MO_TTC">DEVIS!$H$91</definedName>
    <definedName name="Devis6_Nom_Entreprise">DEVIS!$C$83</definedName>
    <definedName name="Devis6_Siret_Entreprise">DEVIS!$F$83</definedName>
    <definedName name="Devis6_Titre_Travaux">DEVIS!$C$81</definedName>
    <definedName name="Devis6_TTC">DEVIS!$H$85</definedName>
    <definedName name="Devis6_Type_Travaux">DEVIS!$H$81</definedName>
    <definedName name="Devis6_Ville_Entreprise">DEVIS!$D$86</definedName>
    <definedName name="Devis7_Adresse1_Entreprise">DEVIS!$C$98</definedName>
    <definedName name="Devis7_Adresse2_Entreprise">DEVIS!$C$99</definedName>
    <definedName name="Devis7_Cat_Travaux">DEVIS!$C$96</definedName>
    <definedName name="Devis7_CP_Entreprise">DEVIS!$C$100</definedName>
    <definedName name="Devis7_HT">DEVIS!$H$98</definedName>
    <definedName name="Devis7_Mat_HT">DEVIS!$G$102</definedName>
    <definedName name="Devis7_Mat_TTC">DEVIS!$H$102</definedName>
    <definedName name="Devis7_MO_HT">DEVIS!$G$105</definedName>
    <definedName name="Devis7_MO_TTC">DEVIS!$H$105</definedName>
    <definedName name="Devis7_Nom_Entreprise">DEVIS!$C$97</definedName>
    <definedName name="Devis7_Siret_Entreprise">DEVIS!$F$97</definedName>
    <definedName name="Devis7_Titre_Travaux">DEVIS!$C$95</definedName>
    <definedName name="Devis7_TTC">DEVIS!$H$99</definedName>
    <definedName name="Devis7_Type_Travaux">DEVIS!$H$95</definedName>
    <definedName name="Devis7_Ville_Entreprise">DEVIS!$D$100</definedName>
    <definedName name="Devis8_Adresse1_Entreprise">DEVIS!$C$112</definedName>
    <definedName name="Devis8_Adresse2_Entreprise">DEVIS!$C$113</definedName>
    <definedName name="Devis8_Cat_Travaux">DEVIS!$C$110</definedName>
    <definedName name="Devis8_CP_Entreprise">DEVIS!$C$114</definedName>
    <definedName name="Devis8_HT">DEVIS!$H$112</definedName>
    <definedName name="Devis8_Mat_HT">DEVIS!$G$116</definedName>
    <definedName name="Devis8_Mat_TTC">DEVIS!$H$116</definedName>
    <definedName name="Devis8_MO_HT">DEVIS!$G$119</definedName>
    <definedName name="Devis8_MO_TTC">DEVIS!$H$119</definedName>
    <definedName name="Devis8_Nom_Entreprise">DEVIS!$C$111</definedName>
    <definedName name="Devis8_Siret_Entreprise">DEVIS!$F$111</definedName>
    <definedName name="Devis8_Titre_Travaux">DEVIS!$C$109</definedName>
    <definedName name="Devis8_TTC">DEVIS!$H$113</definedName>
    <definedName name="Devis8_Type_Travaux">DEVIS!$H$109</definedName>
    <definedName name="Devis8_Ville_Entreprise">DEVIS!$D$114</definedName>
    <definedName name="Dist_Ent1">Kms!$C$4</definedName>
    <definedName name="Dist_Ent2">Kms!$C$10</definedName>
    <definedName name="Dist_Ent3">Kms!$C$16</definedName>
    <definedName name="Dist_Ent4">Kms!$C$22</definedName>
    <definedName name="Dist_Ent5">Kms!$C$28</definedName>
    <definedName name="Dist_Ent6">Kms!$C$34</definedName>
    <definedName name="Dist_Ent7">Kms!$C$40</definedName>
    <definedName name="Dist_Ent8">Kms!$C$46</definedName>
    <definedName name="Dist_Max">Kms!$E$10</definedName>
    <definedName name="Dist_Min">Kms!$E$9</definedName>
    <definedName name="Dist_Moy">Kms!$E$11</definedName>
    <definedName name="Dist_Totale">Kms!$E$12</definedName>
    <definedName name="Dossier_Auto">B_D!$A$9</definedName>
    <definedName name="Dossier_Energie">B_D!$A$5</definedName>
    <definedName name="Dossier_Energie_Plus">B_D!$A$6</definedName>
    <definedName name="Dossier_Mixte">B_D!$A$7</definedName>
    <definedName name="Dossier_Mixte_Plus">B_D!$A$8</definedName>
    <definedName name="Dossier_Trx_Lourd">B_D!$A$10</definedName>
    <definedName name="Dossier_Trx_Lourd_Plus">B_D!$A$11</definedName>
    <definedName name="ENERGIE">B_D!$K$68:$K$75</definedName>
    <definedName name="Etage">[1]Data!$F$2:$F$37</definedName>
    <definedName name="Etiquette_Actuel">PROJET!$G$2</definedName>
    <definedName name="Etiquette_DPE">B_D!$K$79:$M$85</definedName>
    <definedName name="Etiquette_DPE_Sim1">PROJET!$G$22</definedName>
    <definedName name="Etiquette_DPE_Sim2">PROJET!$H$22</definedName>
    <definedName name="Etiquette_GES">B_D!$K$88:$M$94</definedName>
    <definedName name="Ev1_Categorie">INFOS!$G$51</definedName>
    <definedName name="Ev1_Date">INFOS!$F$51</definedName>
    <definedName name="Ev1_Texte">INFOS!$H$51</definedName>
    <definedName name="Ev2_Categorie">INFOS!$G$52</definedName>
    <definedName name="Ev2_Date">INFOS!$F$52</definedName>
    <definedName name="Ev2_Texte">INFOS!$H$52</definedName>
    <definedName name="Ev3_Categorie">INFOS!$G$53</definedName>
    <definedName name="Ev3_Date">INFOS!$F$53</definedName>
    <definedName name="Ev3_Texte">INFOS!$H$53</definedName>
    <definedName name="Ev4_Categorie">INFOS!$G$54</definedName>
    <definedName name="Ev4_Date">INFOS!$F$54</definedName>
    <definedName name="Ev4_Texte">INFOS!$H$54</definedName>
    <definedName name="FACT_RGT">FACT_RGT!$A$50:$B$50</definedName>
    <definedName name="Fact1_Siret_Entreprise">FACT!$F$13</definedName>
    <definedName name="Fact2_Siret_Entreprise">FACT!$F$27</definedName>
    <definedName name="Fact3_Siret_Entreprise">FACT!$F$41</definedName>
    <definedName name="Fact4_Siret_Entreprise">FACT!$F$55</definedName>
    <definedName name="Fact5_Siret_Entreprise">FACT!$F$69</definedName>
    <definedName name="Fact6_Siret_Entreprise">FACT!$F$83</definedName>
    <definedName name="Fact7_Siret_Entreprise">FACT!$F$97</definedName>
    <definedName name="Fact8_Siret_Entreprise">FACT!$F$111</definedName>
    <definedName name="FACTURE">FACT_RGT!$A$51:$A$53</definedName>
    <definedName name="Facture_Recap_Auto_HT">FACT!$H$2</definedName>
    <definedName name="Facture_Recap_Auto_TTC">FACT!$H$3</definedName>
    <definedName name="Facture_Recap_Energie_HT">FACT!$H$4</definedName>
    <definedName name="Facture_Recap_Energie_TTC">FACT!$H$5</definedName>
    <definedName name="Facture_Recap_Travaux_HT">FACT!$H$8</definedName>
    <definedName name="Facture_Recap_Travaux_TTC">FACT!$H$9</definedName>
    <definedName name="Facture_Recap_Trx_Lourd_HT">FACT!$H$6</definedName>
    <definedName name="Facture_Recap_Trx_Lourd_TTC">FACT!$H$7</definedName>
    <definedName name="Facture1_Adresse1_Entreprise">FACT!$C$14</definedName>
    <definedName name="Facture1_Adresse2_Entreprise">FACT!$C$15</definedName>
    <definedName name="Facture1_Cat_Travaux">FACT!$C$12</definedName>
    <definedName name="Facture1_CP_Entreprise">FACT!$C$16</definedName>
    <definedName name="Facture1_HT">FACT!$H$14</definedName>
    <definedName name="Facture1_Nom_Entreprise">FACT!$C$13</definedName>
    <definedName name="Facture1_Titre_Travaux">FACT!$C$11</definedName>
    <definedName name="Facture1_TTC">FACT!$H$15</definedName>
    <definedName name="Facture1_Type_Travaux">FACT!$H$11</definedName>
    <definedName name="Facture1_Ville_Entreprise">FACT!$D$16</definedName>
    <definedName name="Facture2_Adresse1_Entreprise">FACT!$C$28</definedName>
    <definedName name="Facture2_Adresse2_Entreprise">FACT!$C$29</definedName>
    <definedName name="Facture2_Cat_Travaux">FACT!$C$26</definedName>
    <definedName name="Facture2_CP_Entreprise">FACT!$C$30</definedName>
    <definedName name="Facture2_HT">FACT!$H$28</definedName>
    <definedName name="Facture2_Nom_Entreprise">FACT!$C$27</definedName>
    <definedName name="Facture2_Titre_Travaux">FACT!$C$25</definedName>
    <definedName name="Facture2_TTC">FACT!$H$29</definedName>
    <definedName name="Facture2_Type_Travaux">FACT!$H$25</definedName>
    <definedName name="Facture2_Ville_Entreprise">FACT!$D$30</definedName>
    <definedName name="Facture3_Adresse1_Entreprise">FACT!$C$42</definedName>
    <definedName name="Facture3_Adresse2_Entreprise">FACT!$C$43</definedName>
    <definedName name="Facture3_Cat_Travaux">FACT!$C$40</definedName>
    <definedName name="Facture3_CP_Entreprise">FACT!$C$44</definedName>
    <definedName name="Facture3_HT">FACT!$H$42</definedName>
    <definedName name="Facture3_Nom_Entreprise">FACT!$C$41</definedName>
    <definedName name="Facture3_Titre_Travaux">FACT!$C$39</definedName>
    <definedName name="Facture3_TTC">FACT!$H$43</definedName>
    <definedName name="Facture3_Type_Travaux">FACT!$H$39</definedName>
    <definedName name="Facture3_Ville_Entreprise">FACT!$D$44</definedName>
    <definedName name="Facture4_Adresse1_Entreprise">FACT!$C$56</definedName>
    <definedName name="Facture4_Adresse2_Entreprise">FACT!$C$57</definedName>
    <definedName name="Facture4_Cat_Travaux">FACT!$C$54</definedName>
    <definedName name="Facture4_CP_Entreprise">FACT!$C$58</definedName>
    <definedName name="Facture4_HT">FACT!$H$56</definedName>
    <definedName name="Facture4_Nom_Entreprise">FACT!$C$55</definedName>
    <definedName name="Facture4_Titre_Travaux">FACT!$C$53</definedName>
    <definedName name="Facture4_TTC">FACT!$H$57</definedName>
    <definedName name="Facture4_Type_Travaux">FACT!$H$53</definedName>
    <definedName name="Facture4_Ville_Entreprise">FACT!$D$58</definedName>
    <definedName name="Facture5_Adresse1_Entreprise">FACT!$C$70</definedName>
    <definedName name="Facture5_Adresse2_Entreprise">FACT!$C$71</definedName>
    <definedName name="Facture5_Cat_Travaux">FACT!$C$68</definedName>
    <definedName name="Facture5_CP_Entreprise">FACT!$C$72</definedName>
    <definedName name="Facture5_HT">FACT!$H$70</definedName>
    <definedName name="Facture5_Nom_Entreprise">FACT!$C$69</definedName>
    <definedName name="Facture5_Titre_Travaux">FACT!$C$67</definedName>
    <definedName name="Facture5_TTC">FACT!$H$71</definedName>
    <definedName name="Facture5_Type_Travaux">FACT!$H$67</definedName>
    <definedName name="Facture5_Ville_Entreprise">FACT!$D$72</definedName>
    <definedName name="Facture6_Adresse1_Entreprise">FACT!$C$84</definedName>
    <definedName name="Facture6_Adresse2_Entreprise">FACT!$C$85</definedName>
    <definedName name="Facture6_Cat_Travaux">FACT!$C$82</definedName>
    <definedName name="Facture6_CP_Entreprise">FACT!$C$86</definedName>
    <definedName name="Facture6_HT">FACT!$H$84</definedName>
    <definedName name="Facture6_Nom_Entreprise">FACT!$C$83</definedName>
    <definedName name="Facture6_Titre_Travaux">FACT!$C$81</definedName>
    <definedName name="Facture6_TTC">FACT!$H$85</definedName>
    <definedName name="Facture6_Type_Travaux">FACT!$H$81</definedName>
    <definedName name="Facture6_Ville_Entreprise">FACT!$D$86</definedName>
    <definedName name="Facture7_Adresse1_Entreprise">FACT!$C$98</definedName>
    <definedName name="Facture7_Adresse2_Entreprise">FACT!$C$99</definedName>
    <definedName name="Facture7_Cat_Travaux">FACT!$C$96</definedName>
    <definedName name="Facture7_CP_Entreprise">FACT!$C$100</definedName>
    <definedName name="Facture7_HT">FACT!$H$98</definedName>
    <definedName name="Facture7_Nom_Entreprise">FACT!$C$97</definedName>
    <definedName name="Facture7_Titre_Travaux">FACT!$C$95</definedName>
    <definedName name="Facture7_TTC">FACT!$H$99</definedName>
    <definedName name="Facture7_Type_Travaux">FACT!$H$95</definedName>
    <definedName name="Facture7_Ville_Entreprise">FACT!$D$100</definedName>
    <definedName name="Facture8_Adresse1_Entreprise">FACT!$C$112</definedName>
    <definedName name="Facture8_Adresse2_Entreprise">FACT!$C$113</definedName>
    <definedName name="Facture8_Cat_Travaux">FACT!$C$110</definedName>
    <definedName name="Facture8_CP_Entreprise">FACT!$C$114</definedName>
    <definedName name="Facture8_HT">FACT!$H$112</definedName>
    <definedName name="Facture8_Nom_Entreprise">FACT!$C$111</definedName>
    <definedName name="Facture8_Titre_Travaux">FACT!$C$109</definedName>
    <definedName name="Facture8_TTC">FACT!$H$113</definedName>
    <definedName name="Facture8_Type_Travaux">FACT!$H$109</definedName>
    <definedName name="Facture8_Ville_Entreprise">FACT!$D$114</definedName>
    <definedName name="Financeur1">B_D!$I$63</definedName>
    <definedName name="Financeur2">B_D!$J$63</definedName>
    <definedName name="Financeur3">B_D!$K$63</definedName>
    <definedName name="Financeur4">B_D!$L$63</definedName>
    <definedName name="Financeur5">B_D!$M$63</definedName>
    <definedName name="Gain_Sim1">PROJET!$G$21</definedName>
    <definedName name="Gain_Sim2">PROJET!$H$21</definedName>
    <definedName name="GainCep25">B_D!$D$5</definedName>
    <definedName name="GainCep35">B_D!$D$6</definedName>
    <definedName name="Ges_Actuel">PROJET!$H$2</definedName>
    <definedName name="Liste_CC">B_D!$F$53:$G$53</definedName>
    <definedName name="Liste_Type_Travaux">B_D!$K$67:$M$67</definedName>
    <definedName name="Montant_AideCC_Def">Paiement_CC!$E$34</definedName>
    <definedName name="Montant_AideCC_Prev">Paiement_CC!$E$25</definedName>
    <definedName name="Montant_Ecret_Anah_Sim1">PROJET!$G$45</definedName>
    <definedName name="Montant_Ecret_Anah_Sim2">PROJET!$H$45</definedName>
    <definedName name="Montant_Participation_Commune">INFOS!$K$41</definedName>
    <definedName name="Montant_PrimeCC_Def">Paiement_CC!$E$35</definedName>
    <definedName name="Montant_PrimeCC_Prev">Paiement_CC!$E$26</definedName>
    <definedName name="Nombre_de_pièces">[1]Data!$G$2:$G$8</definedName>
    <definedName name="Opah_Annee">INFOS!$N$1</definedName>
    <definedName name="PB">B_D!$C$6</definedName>
    <definedName name="Plafond_Anah_Dossier">B_D!$U$31</definedName>
    <definedName name="Plafond_Anah_Ecretement_Sim1">B_D!$U$37</definedName>
    <definedName name="Plafond_Anah_Ecretement_Sim2">B_D!$U$38</definedName>
    <definedName name="Plafond_ANAH_Tx_20k">B_D!$G$5</definedName>
    <definedName name="Plafond_ANAH_Tx_30k">B_D!$G$6</definedName>
    <definedName name="Plafond_ANAH_Tx_50k">B_D!$G$7</definedName>
    <definedName name="Plafond_ASE_Dossier">B_D!$U$32</definedName>
    <definedName name="Plafond_ASE1600">B_D!$I$5</definedName>
    <definedName name="Plafond_ASE2000">B_D!$I$6</definedName>
    <definedName name="Plafond_ASE3000">B_D!$I$8</definedName>
    <definedName name="Plafond_ASE4000">B_D!$I$7</definedName>
    <definedName name="Plafond_CC_Sim1">B_D!$U$33</definedName>
    <definedName name="Plafond_CC_Sim2">B_D!$U$34</definedName>
    <definedName name="Plafond_CC80">B_D!$M$5</definedName>
    <definedName name="Plafond_Prime_ALS_Auto">B_D!$N$7</definedName>
    <definedName name="Plafond_Prime_ALS_PB">B_D!$N$5</definedName>
    <definedName name="Plafond_Prime_ALS_PO">B_D!$N$6</definedName>
    <definedName name="Plafond_RFR_ANAH">B_D!$A$14:$C$20</definedName>
    <definedName name="Plage_Devis1">DEVIS!$C$11:$E$12,DEVIS!$C$18:$C$23,DEVIS!$H$11,DEVIS!$F$13</definedName>
    <definedName name="Plage_Devis2">DEVIS!$C$25:$E$26,DEVIS!$H$25,DEVIS!$F$27,DEVIS!$C$32:$C$37</definedName>
    <definedName name="Plage_Devis3">DEVIS!$C$39:$E$40,DEVIS!$H$39,DEVIS!$F$41,DEVIS!$C$46:$C$51</definedName>
    <definedName name="Plage_Devis4">DEVIS!$C$53:$E$54,DEVIS!$H$53,DEVIS!$F$55,DEVIS!$C$60:$C$65</definedName>
    <definedName name="Plage_Devis5">DEVIS!$C$67:$E$68,DEVIS!$H$67,DEVIS!$F$69,DEVIS!$C$74:$C$79</definedName>
    <definedName name="Plage_Devis6">DEVIS!$C$81:$E$82,DEVIS!$H$81,DEVIS!$F$83,DEVIS!$C$88:$C$93</definedName>
    <definedName name="Plage_Devis7">DEVIS!$C$95:$E$96,DEVIS!$H$95,DEVIS!$F$97,DEVIS!$C$102:$C$107</definedName>
    <definedName name="Plage_Devis8">DEVIS!$C$109:$E$110,DEVIS!$H$109,DEVIS!$F$111,DEVIS!$C$116:$C$121</definedName>
    <definedName name="PO">B_D!$C$5</definedName>
    <definedName name="Prime_3CT_Sim1">PROJET!$G$48</definedName>
    <definedName name="Prime_3CT_Sim2">PROJET!$H$48</definedName>
    <definedName name="Prime_ALS_Sim1">PROJET!$G$32</definedName>
    <definedName name="Prime_ALS_Sim2">PROJET!$H$32</definedName>
    <definedName name="Prime_Anah_Sim1">PROJET!$G$38</definedName>
    <definedName name="Prime_Anah_Sim2">PROJET!$H$38</definedName>
    <definedName name="Prime_ASE_BBC">B_D!$I$11</definedName>
    <definedName name="Prime_ASE_BBC_Sim1">PROJET!$G$41</definedName>
    <definedName name="Prime_ASE_BBC_Sim2">PROJET!$H$41</definedName>
    <definedName name="Prime_ASE_Passoire">B_D!$I$10</definedName>
    <definedName name="Prime_ASE_Passoire_Sim1">PROJET!$G$40</definedName>
    <definedName name="Prime_ASE_Passoire_Sim2">PROJET!$H$40</definedName>
    <definedName name="Prime_ASE_Sim1">PROJET!$G$39</definedName>
    <definedName name="Prime_ASE_Sim2">PROJET!$H$39</definedName>
    <definedName name="Prime_AvantCC_Sim1">PROJET!$E$55</definedName>
    <definedName name="Prime_AvantCC_Sim2">PROJET!$G$55</definedName>
    <definedName name="Prime_CC_Sim1">PROJET!$G$47</definedName>
    <definedName name="Prime_CC_Sim2">PROJET!$H$47</definedName>
    <definedName name="Prime_CR_Def">INFOS!$M$35</definedName>
    <definedName name="Prime_CR_Sim1">PROJET!$G$43</definedName>
    <definedName name="Prime_CR_Sim2">PROJET!$H$43</definedName>
    <definedName name="Prime_Public_Autre_Sim1">PROJET!$G$44</definedName>
    <definedName name="Prime_Public_Autre_Sim2">PROJET!$H$44</definedName>
    <definedName name="Prime_region">B_D!$K$5</definedName>
    <definedName name="Prime_Region_Date_Agrement">INFOS!$L$31</definedName>
    <definedName name="Prime_Region_Date_Depot">INFOS!$K$31</definedName>
    <definedName name="Prime_Region_Date_Ouverture">INFOS!$I$31</definedName>
    <definedName name="Prime_Region_ouinon">INFOS!$G$30</definedName>
    <definedName name="Prime_Region_Sim1">PROJET!$G$42</definedName>
    <definedName name="Prime_Region_Sim2">PROJET!$H$42</definedName>
    <definedName name="Prime_Totale_Projet_Sim1">PROJET!#REF!</definedName>
    <definedName name="Prime_Totale_Projet_Sim2">PROJET!$H$59</definedName>
    <definedName name="Print_Aera" localSheetId="1">INFOS!$F$1:$N$49</definedName>
    <definedName name="Print_Area" localSheetId="1">INFOS!$F$1:$N$49,INFOS!$P$1:$W$42</definedName>
    <definedName name="Print_Area" localSheetId="8">Paiement_CC!$A$1:$G$42</definedName>
    <definedName name="Prop_Adresse_Bien">INFOS!$J$10</definedName>
    <definedName name="Prop_Adresse1">INFOS!$G$5</definedName>
    <definedName name="Prop_Adresse2">INFOS!$G$6</definedName>
    <definedName name="Prop_Aides_Logement">INFOS!$M$5</definedName>
    <definedName name="Prop_Annee_Construction">INFOS!$M$2</definedName>
    <definedName name="Prop_Caisse_Retraite">INFOS!$M$19</definedName>
    <definedName name="Prop_Categorie">INFOS!$G$1</definedName>
    <definedName name="Prop_Coprop_Date_Naissance">INFOS!$H$22</definedName>
    <definedName name="Prop_Coprop_Lieu_Naissance">INFOS!$H$23</definedName>
    <definedName name="Prop_Coprop_Mail">INFOS!$G$19</definedName>
    <definedName name="Prop_Coprop_Nom">INFOS!$G$17</definedName>
    <definedName name="Prop_Coprop_Prenom">INFOS!$G$18</definedName>
    <definedName name="Prop_Coprop_RFR">INFOS!$M$13</definedName>
    <definedName name="Prop_Coprop_Statut">INFOS!$H$16</definedName>
    <definedName name="Prop_Coprop_Telephone1">INFOS!$G$20</definedName>
    <definedName name="Prop_Coprop_Telephone2">INFOS!$G$21</definedName>
    <definedName name="Prop_CP">INFOS!$G$7</definedName>
    <definedName name="Prop_CP_Bien">INFOS!$J$11</definedName>
    <definedName name="Prop_Date_Acquisition">INFOS!$N$3</definedName>
    <definedName name="Prop_Date_Entree">INFOS!$M$3</definedName>
    <definedName name="Prop_Date_Naissance">INFOS!$H$12</definedName>
    <definedName name="Prop_GIR">INFOS!$M$17</definedName>
    <definedName name="Prop_Lieu_Naissance">INFOS!$H$13</definedName>
    <definedName name="Prop_Mail">INFOS!$G$9</definedName>
    <definedName name="Prop_Nb_Occupant">INFOS!$M$4</definedName>
    <definedName name="Prop_Nom">INFOS!$G$3</definedName>
    <definedName name="Prop_Num_Invariant">INFOS!$M$6</definedName>
    <definedName name="Prop_Parts_Fiscales">INFOS!$M$15</definedName>
    <definedName name="Prop_Prenom">INFOS!$G$4</definedName>
    <definedName name="Prop_Primo_Acc">INFOS!$M$8</definedName>
    <definedName name="Prop_RF_Brut">INFOS!$M$18</definedName>
    <definedName name="Prop_RFR">INFOS!$M$12</definedName>
    <definedName name="Prop_RFR_Somme">INFOS!$M$14</definedName>
    <definedName name="Prop_S.Hab_ApTx">PROJET!$C$22</definedName>
    <definedName name="Prop_S.Hab_AvTx">PROJET!$C$21</definedName>
    <definedName name="Prop_Statut_Lgt">INFOS!$M$7</definedName>
    <definedName name="Prop_statut_pro">INFOS!$H$14</definedName>
    <definedName name="Prop_statut_pro_activite">INFOS!$H$15</definedName>
    <definedName name="Prop_Statutpro_Coprop">INFOS!$H$24</definedName>
    <definedName name="Prop_Statutpro_Coprop_activite">INFOS!$H$25</definedName>
    <definedName name="Prop_telephone1">INFOS!$G$10</definedName>
    <definedName name="Prop_telephone2">INFOS!$G$11</definedName>
    <definedName name="Prop_Type_Lgt">INFOS!$N$2</definedName>
    <definedName name="Prop_Ville">INFOS!$G$8</definedName>
    <definedName name="Prop_Ville_Bien">INFOS!$L$11</definedName>
    <definedName name="Ref_Delib_CCMAV">Paiement_CC!$B$38</definedName>
    <definedName name="REGLEMENT">FACT_RGT!$B$51:$B$56</definedName>
    <definedName name="Reste_a_charge_Sim1">PROJET!$G$49</definedName>
    <definedName name="Reste_a_charge_Sim2">PROJET!$H$49</definedName>
    <definedName name="Retraite_Date_Soliha">INFOS!$I$35</definedName>
    <definedName name="Retraite_OuiNon">INFOS!$G$34</definedName>
    <definedName name="RFR_Modeste">B_D!$B$6</definedName>
    <definedName name="RFR_Tres_Modeste">B_D!$B$5</definedName>
    <definedName name="Seuil_Cep_NRJ_Bonifie">B_D!$E$5</definedName>
    <definedName name="Sim_Retenue">INFOS!$G$26</definedName>
    <definedName name="Solde_Anah_Dossier_Depose">SOLDE!$D$1</definedName>
    <definedName name="Solde_BaseCalcul_HT_Sim_Solde">SOLDE!$R$21</definedName>
    <definedName name="Solde_BaseCalcul_TTC_Sim_Solde">SOLDE!$Q$21</definedName>
    <definedName name="Solde_Cep_Actuel">SOLDE!$F$2</definedName>
    <definedName name="Solde_Cep_Sim_Solde">SOLDE!$G$4</definedName>
    <definedName name="Solde_Code_dossier">B_D!$V$70</definedName>
    <definedName name="Solde_Etiquette_DPE_Sim_Solde">SOLDE!$G$22</definedName>
    <definedName name="Solde_Gain_Sim_Solde">SOLDE!$G$21</definedName>
    <definedName name="Solde_Montant_Ecret_Anah_Sim_Solde">SOLDE!$G$45</definedName>
    <definedName name="Solde_OuiNon">INFOS!$M$40</definedName>
    <definedName name="Solde_Plafond_Anah_Dossier">B_D!$U$71</definedName>
    <definedName name="Solde_Plafond_Anah_Ecretement_Sim_Solde">B_D!$U$77</definedName>
    <definedName name="Solde_Plafond_ASE_Dossier">B_D!$U$72</definedName>
    <definedName name="Solde_Plafond_CC_Sim_Solde">B_D!$U$73</definedName>
    <definedName name="Solde_Prime_3CT_Sim_Solde">SOLDE!$G$48</definedName>
    <definedName name="Solde_Prime_ALS_Sim_Solde">SOLDE!$G$32</definedName>
    <definedName name="Solde_Prime_Anah_Sim_Solde">SOLDE!$G$38</definedName>
    <definedName name="Solde_Prime_ASE_BBC">SOLDE!$G$41</definedName>
    <definedName name="Solde_Prime_ASE_Passoire">SOLDE!$G$40</definedName>
    <definedName name="Solde_Prime_ASE_Sim_Solde">SOLDE!$G$39</definedName>
    <definedName name="Solde_Prime_AvantCC_Sim_Solde">SOLDE!$M$42</definedName>
    <definedName name="Solde_Prime_CC_Sim_Solde">SOLDE!$G$47</definedName>
    <definedName name="Solde_Prime_CR_Sim_Solde">SOLDE!$G$43</definedName>
    <definedName name="Solde_Prime_Public_Autre_Sim_Solde">SOLDE!$G$44</definedName>
    <definedName name="Solde_Prime_Region_Sim_Solde">SOLDE!$G$42</definedName>
    <definedName name="Solde_Prime_Totale">SOLDE!$O$46</definedName>
    <definedName name="Solde_Reste_a_charge_Sim_Solde">SOLDE!$G$49</definedName>
    <definedName name="Solde_Table_Cond">B_D!$R$42:$AR$66</definedName>
    <definedName name="Solde_Taux_Calcul_ANAH_Sim_Solde">SOLDE!$D$38</definedName>
    <definedName name="Solde_Taux_Calcul_ASE_Sim_Solde">SOLDE!$D$39</definedName>
    <definedName name="Solde_Taux_Calcul_CC_Sim_Solde">SOLDE!$G$46</definedName>
    <definedName name="Solde_TOTAL_HT_Projet_Sim_Solde">SOLDE!$G$29</definedName>
    <definedName name="Solde_TOTAL_HT_Travaux_Auto">SOLDE!$G$25</definedName>
    <definedName name="Solde_TOTAL_HT_Travaux_NRJ_Sim_Solde">SOLDE!$G$23</definedName>
    <definedName name="Solde_TOTAL_HT_TRX_LOURD_HT">SOLDE!$G$27</definedName>
    <definedName name="Solde_TOTAL_HT_TRX_LOURD_TTC">SOLDE!$G$28</definedName>
    <definedName name="Solde_TOTAL_TTC_Projet_Sim_Solde">SOLDE!$G$30</definedName>
    <definedName name="Solde_TOTAL_TTC_Travaux_Auto">SOLDE!$G$26</definedName>
    <definedName name="Solde_TOTAL_TTC_Travaux_NRJ_Sim_Solde">SOLDE!$G$24</definedName>
    <definedName name="Solde_Type_Dossier">SOLDE!$E$2</definedName>
    <definedName name="Table_Cond_Projet">B_D!$R$2:$AS$26</definedName>
    <definedName name="Table_Entreprise">Base_Ent!$A$2:$H$300</definedName>
    <definedName name="Table_Frais_AMO">B_D!$I$53:$M$60</definedName>
    <definedName name="Taux_Anah_Ecretement">B_D!$J$5</definedName>
    <definedName name="Taux_ANAH35">B_D!$F$6</definedName>
    <definedName name="Taux_ANAH50">B_D!$F$5</definedName>
    <definedName name="Taux_ASE10">B_D!$H$5</definedName>
    <definedName name="Taux_ASE20">B_D!$H$6</definedName>
    <definedName name="Taux_Calcul_ANAH_Sim1">PROJET!$D$38</definedName>
    <definedName name="Taux_Calcul_ANAH_Sim2">PROJET!$E$38</definedName>
    <definedName name="Taux_Calcul_ASE_Sim1">PROJET!$D$39</definedName>
    <definedName name="Taux_Calcul_ASE_Sim2">PROJET!$E$39</definedName>
    <definedName name="Taux_Calcul_CC_Sim1">PROJET!$G$46</definedName>
    <definedName name="Taux_Calcul_CC_Sim2">PROJET!$H$46</definedName>
    <definedName name="Taux_CC10">B_D!$L$5</definedName>
    <definedName name="Taux_CC15">B_D!$L$6</definedName>
    <definedName name="Taux_CC20">B_D!$L$7</definedName>
    <definedName name="Taux_Subv_sur_HT_Avant_CC_Sim1">PROJET!#REF!</definedName>
    <definedName name="Taux_Subv_sur_HT_Avant_CC_Sim2">PROJET!#REF!</definedName>
    <definedName name="Taux_Subv_sur_HT_Final_Sim1">PROJET!#REF!</definedName>
    <definedName name="Taux_Subv_sur_HT_Final_Sim2">PROJET!#REF!</definedName>
    <definedName name="Taux_Subv_sur_TTC_Final_Sim1">PROJET!#REF!</definedName>
    <definedName name="Taux_Subv_sur_TTC_Final_Sim2">PROJET!#REF!</definedName>
    <definedName name="TOTAL_HT_Projet_Sim1">PROJET!$G$29</definedName>
    <definedName name="TOTAL_HT_Projet_Sim2">PROJET!$H$29</definedName>
    <definedName name="TOTAL_HT_Travaux_Auto">PROJET!$G$25</definedName>
    <definedName name="TOTAL_HT_Travaux_NRJ_Sim1">PROJET!$G$23</definedName>
    <definedName name="TOTAL_HT_Travaux_NRJ_Sim2">PROJET!$H$23</definedName>
    <definedName name="TOTAL_HT_TRX_LOURD_HT">PROJET!$G$27</definedName>
    <definedName name="TOTAL_HT_TRX_LOURD_TTC">PROJET!$G$28</definedName>
    <definedName name="TOTAL_TTC_Projet_Sim1">PROJET!$G$30</definedName>
    <definedName name="TOTAL_TTC_Projet_Sim2">PROJET!$H$30</definedName>
    <definedName name="TOTAL_TTC_Travaux_Auto">PROJET!$G$26</definedName>
    <definedName name="TOTAL_TTC_Travaux_NRJ_Sim1">PROJET!$G$24</definedName>
    <definedName name="TOTAL_TTC_Travaux_NRJ_Sim2">PROJET!$H$24</definedName>
    <definedName name="TRX_LOURD">B_D!$M$68:$M$75</definedName>
    <definedName name="TVA_1">B_D!$B$24</definedName>
    <definedName name="TVA_2">B_D!$B$25</definedName>
    <definedName name="TVA_3">B_D!$B$26</definedName>
    <definedName name="type_de_logement">[1]Data!$E$2:$E$5</definedName>
    <definedName name="Type_Dossier">PROJET!$E$2</definedName>
    <definedName name="Ventilation">[1]Data!$H$2:$H$3</definedName>
    <definedName name="Z_A63F3AF0_420C_4EB7_9C04_DE4CC40F156A_.wvu.Cols" localSheetId="4" hidden="1">PROJET!$R:$R</definedName>
    <definedName name="Z_A63F3AF0_420C_4EB7_9C04_DE4CC40F156A_.wvu.Cols" localSheetId="5" hidden="1">SOLDE!$Q:$Q</definedName>
    <definedName name="Z_A63F3AF0_420C_4EB7_9C04_DE4CC40F156A_.wvu.PrintArea" localSheetId="1" hidden="1">INFOS!$F$1:$N$49</definedName>
    <definedName name="Z_A63F3AF0_420C_4EB7_9C04_DE4CC40F156A_.wvu.PrintArea" localSheetId="8" hidden="1">Paiement_CC!$A$1:$G$42</definedName>
    <definedName name="_xlnm.Print_Area" localSheetId="1">INFOS!$F$1:$N$49</definedName>
    <definedName name="_xlnm.Print_Area" localSheetId="12">Plan_ALS_Anah!$A$1:$J$27</definedName>
  </definedNames>
  <calcPr calcId="191029" iterateDelta="1E-4"/>
  <customWorkbookViews>
    <customWorkbookView name="OPAH_Philippe - Affichage personnalisé" guid="{A63F3AF0-420C-4EB7-9C04-DE4CC40F156A}" mergeInterval="0" personalView="1" maximized="1" xWindow="-8" yWindow="-8" windowWidth="1936" windowHeight="1096" tabRatio="624" activeSheetId="2" showComments="commIndAndComment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1" i="6" l="1"/>
  <c r="B37" i="6"/>
  <c r="D35" i="6"/>
  <c r="A4" i="6"/>
  <c r="A48" i="6" l="1"/>
  <c r="D26" i="6"/>
  <c r="D37" i="6"/>
  <c r="E34" i="6" l="1"/>
  <c r="N39" i="1" l="1"/>
  <c r="E33" i="6"/>
  <c r="AO44" i="9" l="1"/>
  <c r="AO45" i="9"/>
  <c r="AO46" i="9"/>
  <c r="AO47" i="9"/>
  <c r="AO48" i="9"/>
  <c r="AO49" i="9"/>
  <c r="AO50" i="9"/>
  <c r="AO51" i="9"/>
  <c r="AO52" i="9"/>
  <c r="AO53" i="9"/>
  <c r="AO54" i="9"/>
  <c r="AO55" i="9"/>
  <c r="AO56" i="9"/>
  <c r="AO57" i="9"/>
  <c r="AO58" i="9"/>
  <c r="AO59" i="9"/>
  <c r="AO60" i="9"/>
  <c r="AO61" i="9"/>
  <c r="AO62" i="9"/>
  <c r="AO63" i="9"/>
  <c r="AO64" i="9"/>
  <c r="AO65" i="9"/>
  <c r="AO66" i="9"/>
  <c r="AO43" i="9"/>
  <c r="W25" i="3"/>
  <c r="V25" i="3"/>
  <c r="AA64" i="9" l="1"/>
  <c r="AA60" i="9"/>
  <c r="AA56" i="9"/>
  <c r="AA52" i="9"/>
  <c r="AA46" i="9"/>
  <c r="AA44" i="9"/>
  <c r="AA65" i="9"/>
  <c r="AA63" i="9"/>
  <c r="AA61" i="9"/>
  <c r="AA59" i="9"/>
  <c r="AA57" i="9"/>
  <c r="AA55" i="9"/>
  <c r="AA53" i="9"/>
  <c r="AA51" i="9"/>
  <c r="AA47" i="9"/>
  <c r="AA45" i="9"/>
  <c r="AA43" i="9"/>
  <c r="Z66" i="9"/>
  <c r="Z65" i="9"/>
  <c r="Z62" i="9"/>
  <c r="Z61" i="9"/>
  <c r="Z58" i="9"/>
  <c r="Z57" i="9"/>
  <c r="Z54" i="9"/>
  <c r="Z53" i="9"/>
  <c r="Z48" i="9"/>
  <c r="Z47" i="9"/>
  <c r="Z26" i="9"/>
  <c r="Z25" i="9"/>
  <c r="Z22" i="9"/>
  <c r="Z21" i="9"/>
  <c r="Z18" i="9"/>
  <c r="Z17" i="9"/>
  <c r="Z14" i="9"/>
  <c r="Z13" i="9"/>
  <c r="Z8" i="9"/>
  <c r="Z7" i="9"/>
  <c r="AA24" i="9"/>
  <c r="AA20" i="9"/>
  <c r="AA16" i="9"/>
  <c r="AA12" i="9"/>
  <c r="AA6" i="9"/>
  <c r="AA4" i="9"/>
  <c r="AA25" i="9"/>
  <c r="AA23" i="9"/>
  <c r="AA21" i="9"/>
  <c r="AA19" i="9"/>
  <c r="AA17" i="9"/>
  <c r="AA15" i="9"/>
  <c r="AA13" i="9"/>
  <c r="AA11" i="9"/>
  <c r="AA7" i="9"/>
  <c r="AA5" i="9"/>
  <c r="AA3" i="9"/>
  <c r="Y12" i="9"/>
  <c r="Y11" i="9"/>
  <c r="Y6" i="9"/>
  <c r="Y5" i="9"/>
  <c r="Y4" i="9"/>
  <c r="Y3" i="9"/>
  <c r="Y52" i="9"/>
  <c r="Y51" i="9"/>
  <c r="Y46" i="9"/>
  <c r="Y45" i="9"/>
  <c r="Y44" i="9"/>
  <c r="Y43" i="9"/>
  <c r="V64" i="9"/>
  <c r="V63" i="9"/>
  <c r="V60" i="9"/>
  <c r="V59" i="9"/>
  <c r="V55" i="9"/>
  <c r="V56" i="9"/>
  <c r="V52" i="9"/>
  <c r="V51" i="9"/>
  <c r="V44" i="9"/>
  <c r="V43" i="9"/>
  <c r="AQ44" i="9"/>
  <c r="AQ45" i="9"/>
  <c r="AQ46" i="9"/>
  <c r="AQ47" i="9"/>
  <c r="AQ48" i="9"/>
  <c r="AQ49" i="9"/>
  <c r="AQ50" i="9"/>
  <c r="AQ51" i="9"/>
  <c r="AQ52" i="9"/>
  <c r="AQ53" i="9"/>
  <c r="AQ54" i="9"/>
  <c r="AQ55" i="9"/>
  <c r="AQ56" i="9"/>
  <c r="AQ57" i="9"/>
  <c r="AQ58" i="9"/>
  <c r="AQ59" i="9"/>
  <c r="AQ60" i="9"/>
  <c r="AQ61" i="9"/>
  <c r="AQ62" i="9"/>
  <c r="AQ63" i="9"/>
  <c r="AQ64" i="9"/>
  <c r="AQ65" i="9"/>
  <c r="AQ66" i="9"/>
  <c r="AQ43" i="9"/>
  <c r="AS4" i="9"/>
  <c r="AS5" i="9"/>
  <c r="AS6" i="9"/>
  <c r="AS7" i="9"/>
  <c r="AS8" i="9"/>
  <c r="AS9" i="9"/>
  <c r="AS10" i="9"/>
  <c r="AS11" i="9"/>
  <c r="AS12" i="9"/>
  <c r="AS13" i="9"/>
  <c r="AS14" i="9"/>
  <c r="AS15" i="9"/>
  <c r="AS16" i="9"/>
  <c r="AS17" i="9"/>
  <c r="AS18" i="9"/>
  <c r="AS19" i="9"/>
  <c r="AS20" i="9"/>
  <c r="AS21" i="9"/>
  <c r="AS22" i="9"/>
  <c r="AS23" i="9"/>
  <c r="AS24" i="9"/>
  <c r="AS25" i="9"/>
  <c r="AS26" i="9"/>
  <c r="AS3" i="9"/>
  <c r="AR4" i="9"/>
  <c r="AR5" i="9"/>
  <c r="AR6" i="9"/>
  <c r="AR7" i="9"/>
  <c r="AR8" i="9"/>
  <c r="AR9" i="9"/>
  <c r="AR10" i="9"/>
  <c r="AR11" i="9"/>
  <c r="AR12" i="9"/>
  <c r="AR13" i="9"/>
  <c r="AR14" i="9"/>
  <c r="AR15" i="9"/>
  <c r="AR16" i="9"/>
  <c r="AR17" i="9"/>
  <c r="AR18" i="9"/>
  <c r="AR19" i="9"/>
  <c r="AR20" i="9"/>
  <c r="AR21" i="9"/>
  <c r="AR22" i="9"/>
  <c r="AR23" i="9"/>
  <c r="AR24" i="9"/>
  <c r="AR25" i="9"/>
  <c r="AR26" i="9"/>
  <c r="AR3" i="9"/>
  <c r="AQ4" i="9"/>
  <c r="AQ5" i="9"/>
  <c r="AQ6" i="9"/>
  <c r="AQ7" i="9"/>
  <c r="AQ8" i="9"/>
  <c r="AQ9" i="9"/>
  <c r="AQ10" i="9"/>
  <c r="AQ11" i="9"/>
  <c r="AQ12" i="9"/>
  <c r="AQ13" i="9"/>
  <c r="AQ14" i="9"/>
  <c r="AQ15" i="9"/>
  <c r="AQ16" i="9"/>
  <c r="AQ17" i="9"/>
  <c r="AQ18" i="9"/>
  <c r="AQ19" i="9"/>
  <c r="AQ20" i="9"/>
  <c r="AQ21" i="9"/>
  <c r="AQ22" i="9"/>
  <c r="AQ23" i="9"/>
  <c r="AQ24" i="9"/>
  <c r="AQ25" i="9"/>
  <c r="AQ26" i="9"/>
  <c r="AQ3" i="9"/>
  <c r="AP3" i="9"/>
  <c r="AP4" i="9"/>
  <c r="AP5" i="9"/>
  <c r="AP6" i="9"/>
  <c r="AP7" i="9"/>
  <c r="AP8" i="9"/>
  <c r="AP9" i="9"/>
  <c r="AP10" i="9"/>
  <c r="AP11" i="9"/>
  <c r="AP12" i="9"/>
  <c r="AP13" i="9"/>
  <c r="AP14" i="9"/>
  <c r="AP15" i="9"/>
  <c r="AP16" i="9"/>
  <c r="AP17" i="9"/>
  <c r="AP18" i="9"/>
  <c r="AP19" i="9"/>
  <c r="AP20" i="9"/>
  <c r="AP21" i="9"/>
  <c r="AP22" i="9"/>
  <c r="AP23" i="9"/>
  <c r="AP24" i="9"/>
  <c r="AP25" i="9"/>
  <c r="AP26" i="9"/>
  <c r="V24" i="9"/>
  <c r="V23" i="9"/>
  <c r="V20" i="9"/>
  <c r="V19" i="9"/>
  <c r="V16" i="9"/>
  <c r="V15" i="9"/>
  <c r="V12" i="9"/>
  <c r="V11" i="9"/>
  <c r="V4" i="9"/>
  <c r="V3" i="9"/>
  <c r="V13" i="9"/>
  <c r="Y7" i="9"/>
  <c r="Y8" i="9"/>
  <c r="Y13" i="9"/>
  <c r="Y14" i="9"/>
  <c r="M19" i="14"/>
  <c r="I19" i="14"/>
  <c r="E19" i="14"/>
  <c r="M3" i="14"/>
  <c r="I3" i="14"/>
  <c r="E3" i="14"/>
  <c r="P20" i="14"/>
  <c r="L20" i="14"/>
  <c r="H20" i="14"/>
  <c r="D20" i="14"/>
  <c r="P4" i="14"/>
  <c r="L4" i="14"/>
  <c r="H4" i="14"/>
  <c r="P15" i="14"/>
  <c r="P16" i="14"/>
  <c r="A19" i="14"/>
  <c r="A3" i="14"/>
  <c r="D114" i="4" l="1"/>
  <c r="C114" i="4"/>
  <c r="C113" i="4"/>
  <c r="C112" i="4"/>
  <c r="C111" i="4"/>
  <c r="D100" i="4"/>
  <c r="C100" i="4"/>
  <c r="C99" i="4"/>
  <c r="C98" i="4"/>
  <c r="C97" i="4"/>
  <c r="D86" i="4"/>
  <c r="C86" i="4"/>
  <c r="C85" i="4"/>
  <c r="C84" i="4"/>
  <c r="C83" i="4"/>
  <c r="D72" i="4"/>
  <c r="C72" i="4"/>
  <c r="C71" i="4"/>
  <c r="C70" i="4"/>
  <c r="C69" i="4"/>
  <c r="D58" i="4"/>
  <c r="C58" i="4"/>
  <c r="C57" i="4"/>
  <c r="C56" i="4"/>
  <c r="C55" i="4"/>
  <c r="D44" i="4"/>
  <c r="C44" i="4"/>
  <c r="C43" i="4"/>
  <c r="C42" i="4"/>
  <c r="C41" i="4"/>
  <c r="D30" i="4"/>
  <c r="C30" i="4"/>
  <c r="C29" i="4"/>
  <c r="C28" i="4"/>
  <c r="C27" i="4"/>
  <c r="D16" i="4"/>
  <c r="C16" i="4"/>
  <c r="C15" i="4"/>
  <c r="C14" i="4"/>
  <c r="C13" i="4"/>
  <c r="C13" i="2"/>
  <c r="V7" i="15" l="1"/>
  <c r="V9" i="15"/>
  <c r="V11" i="15"/>
  <c r="V13" i="15"/>
  <c r="V15" i="15"/>
  <c r="V17" i="15"/>
  <c r="V19" i="15"/>
  <c r="V5" i="15"/>
  <c r="E35" i="14" l="1"/>
  <c r="AC66" i="9" l="1"/>
  <c r="AC65" i="9"/>
  <c r="AC64" i="9"/>
  <c r="AC63" i="9"/>
  <c r="AC62" i="9"/>
  <c r="AC61" i="9"/>
  <c r="AC60" i="9"/>
  <c r="AC59" i="9"/>
  <c r="AC58" i="9"/>
  <c r="AC57" i="9"/>
  <c r="AC56" i="9"/>
  <c r="AC55" i="9"/>
  <c r="AC54" i="9"/>
  <c r="AC53" i="9"/>
  <c r="AC52" i="9"/>
  <c r="AC51" i="9"/>
  <c r="AC50" i="9"/>
  <c r="AC49" i="9"/>
  <c r="AC48" i="9"/>
  <c r="AC47" i="9"/>
  <c r="AC46" i="9"/>
  <c r="AC45" i="9"/>
  <c r="AC44" i="9"/>
  <c r="AC43" i="9"/>
  <c r="AC26" i="9"/>
  <c r="AC25" i="9"/>
  <c r="AC24" i="9"/>
  <c r="AC23" i="9"/>
  <c r="AC22" i="9"/>
  <c r="AC21" i="9"/>
  <c r="AC20" i="9"/>
  <c r="AC19" i="9"/>
  <c r="AC18" i="9"/>
  <c r="AC17" i="9"/>
  <c r="AC16" i="9"/>
  <c r="AC15" i="9"/>
  <c r="AC14" i="9"/>
  <c r="AC13" i="9"/>
  <c r="AC12" i="9"/>
  <c r="AC11" i="9"/>
  <c r="AC10" i="9"/>
  <c r="AC9" i="9"/>
  <c r="AC8" i="9"/>
  <c r="AC7" i="9"/>
  <c r="AC6" i="9"/>
  <c r="AC5" i="9"/>
  <c r="AC4" i="9"/>
  <c r="AC3" i="9"/>
  <c r="AD66" i="9"/>
  <c r="AA66" i="9"/>
  <c r="Y66" i="9"/>
  <c r="V66" i="9"/>
  <c r="U66" i="9"/>
  <c r="T66" i="9"/>
  <c r="S66" i="9"/>
  <c r="AD65" i="9"/>
  <c r="Y65" i="9"/>
  <c r="V65" i="9"/>
  <c r="U65" i="9"/>
  <c r="T65" i="9"/>
  <c r="S65" i="9"/>
  <c r="AD64" i="9"/>
  <c r="Z64" i="9"/>
  <c r="Y64" i="9"/>
  <c r="U64" i="9"/>
  <c r="T64" i="9"/>
  <c r="S64" i="9"/>
  <c r="AD63" i="9"/>
  <c r="Z63" i="9"/>
  <c r="Y63" i="9"/>
  <c r="U63" i="9"/>
  <c r="T63" i="9"/>
  <c r="S63" i="9"/>
  <c r="AA62" i="9"/>
  <c r="Y62" i="9"/>
  <c r="V62" i="9"/>
  <c r="U62" i="9"/>
  <c r="T62" i="9"/>
  <c r="S62" i="9"/>
  <c r="Y61" i="9"/>
  <c r="AE61" i="9" s="1"/>
  <c r="V61" i="9"/>
  <c r="U61" i="9"/>
  <c r="T61" i="9"/>
  <c r="S61" i="9"/>
  <c r="Z60" i="9"/>
  <c r="Y60" i="9"/>
  <c r="U60" i="9"/>
  <c r="T60" i="9"/>
  <c r="S60" i="9"/>
  <c r="Z59" i="9"/>
  <c r="Y59" i="9"/>
  <c r="AE59" i="9" s="1"/>
  <c r="U59" i="9"/>
  <c r="T59" i="9"/>
  <c r="S59" i="9"/>
  <c r="AD58" i="9"/>
  <c r="AA58" i="9"/>
  <c r="Y58" i="9"/>
  <c r="V58" i="9"/>
  <c r="U58" i="9"/>
  <c r="T58" i="9"/>
  <c r="S58" i="9"/>
  <c r="AD57" i="9"/>
  <c r="Y57" i="9"/>
  <c r="V57" i="9"/>
  <c r="U57" i="9"/>
  <c r="T57" i="9"/>
  <c r="S57" i="9"/>
  <c r="AD56" i="9"/>
  <c r="Z56" i="9"/>
  <c r="Y56" i="9"/>
  <c r="U56" i="9"/>
  <c r="T56" i="9"/>
  <c r="S56" i="9"/>
  <c r="AD55" i="9"/>
  <c r="Z55" i="9"/>
  <c r="Y55" i="9"/>
  <c r="U55" i="9"/>
  <c r="T55" i="9"/>
  <c r="S55" i="9"/>
  <c r="AD54" i="9"/>
  <c r="AA54" i="9"/>
  <c r="Y54" i="9"/>
  <c r="V54" i="9"/>
  <c r="U54" i="9"/>
  <c r="T54" i="9"/>
  <c r="S54" i="9"/>
  <c r="AD53" i="9"/>
  <c r="Y53" i="9"/>
  <c r="V53" i="9"/>
  <c r="U53" i="9"/>
  <c r="T53" i="9"/>
  <c r="S53" i="9"/>
  <c r="AD52" i="9"/>
  <c r="Z52" i="9"/>
  <c r="U52" i="9"/>
  <c r="T52" i="9"/>
  <c r="S52" i="9"/>
  <c r="AD51" i="9"/>
  <c r="Z51" i="9"/>
  <c r="U51" i="9"/>
  <c r="T51" i="9"/>
  <c r="S51" i="9"/>
  <c r="AD50" i="9"/>
  <c r="Y50" i="9"/>
  <c r="W50" i="9"/>
  <c r="U50" i="9"/>
  <c r="T50" i="9"/>
  <c r="S50" i="9"/>
  <c r="AD49" i="9"/>
  <c r="Y49" i="9"/>
  <c r="W49" i="9"/>
  <c r="U49" i="9"/>
  <c r="T49" i="9"/>
  <c r="S49" i="9"/>
  <c r="AA48" i="9"/>
  <c r="Y48" i="9"/>
  <c r="AE48" i="9" s="1"/>
  <c r="V48" i="9"/>
  <c r="U48" i="9"/>
  <c r="T48" i="9"/>
  <c r="S48" i="9"/>
  <c r="Y47" i="9"/>
  <c r="V47" i="9"/>
  <c r="U47" i="9"/>
  <c r="T47" i="9"/>
  <c r="S47" i="9"/>
  <c r="Z46" i="9"/>
  <c r="AE46" i="9"/>
  <c r="V46" i="9"/>
  <c r="U46" i="9"/>
  <c r="T46" i="9"/>
  <c r="S46" i="9"/>
  <c r="Z45" i="9"/>
  <c r="V45" i="9"/>
  <c r="U45" i="9"/>
  <c r="T45" i="9"/>
  <c r="S45" i="9"/>
  <c r="Z44" i="9"/>
  <c r="AE44" i="9"/>
  <c r="U44" i="9"/>
  <c r="T44" i="9"/>
  <c r="S44" i="9"/>
  <c r="Z43" i="9"/>
  <c r="U43" i="9"/>
  <c r="T43" i="9"/>
  <c r="S43" i="9"/>
  <c r="G22" i="15"/>
  <c r="C22" i="15"/>
  <c r="C21" i="15"/>
  <c r="G21" i="15"/>
  <c r="G42" i="15" s="1"/>
  <c r="R53" i="9" l="1"/>
  <c r="AE55" i="9"/>
  <c r="AE63" i="9"/>
  <c r="R44" i="9"/>
  <c r="R48" i="9"/>
  <c r="R49" i="9"/>
  <c r="AE49" i="9"/>
  <c r="D35" i="14"/>
  <c r="E31" i="6"/>
  <c r="R58" i="9"/>
  <c r="R61" i="9"/>
  <c r="AE56" i="9"/>
  <c r="AE57" i="9"/>
  <c r="AE58" i="9"/>
  <c r="R45" i="9"/>
  <c r="R65" i="9"/>
  <c r="R55" i="9"/>
  <c r="R59" i="9"/>
  <c r="R63" i="9"/>
  <c r="R52" i="9"/>
  <c r="R57" i="9"/>
  <c r="AE50" i="9"/>
  <c r="AE51" i="9"/>
  <c r="AE52" i="9"/>
  <c r="AE64" i="9"/>
  <c r="AE65" i="9"/>
  <c r="AE66" i="9"/>
  <c r="R46" i="9"/>
  <c r="W51" i="9"/>
  <c r="W59" i="9"/>
  <c r="W52" i="9"/>
  <c r="W60" i="9"/>
  <c r="W45" i="9"/>
  <c r="W55" i="9"/>
  <c r="W63" i="9"/>
  <c r="W46" i="9"/>
  <c r="W56" i="9"/>
  <c r="W64" i="9"/>
  <c r="W43" i="9"/>
  <c r="W47" i="9"/>
  <c r="W53" i="9"/>
  <c r="W57" i="9"/>
  <c r="W61" i="9"/>
  <c r="W65" i="9"/>
  <c r="W44" i="9"/>
  <c r="W48" i="9"/>
  <c r="W54" i="9"/>
  <c r="W58" i="9"/>
  <c r="W62" i="9"/>
  <c r="W66" i="9"/>
  <c r="R54" i="9"/>
  <c r="R43" i="9"/>
  <c r="R47" i="9"/>
  <c r="R50" i="9"/>
  <c r="R51" i="9"/>
  <c r="R56" i="9"/>
  <c r="R60" i="9"/>
  <c r="R62" i="9"/>
  <c r="R64" i="9"/>
  <c r="R66" i="9"/>
  <c r="AE43" i="9"/>
  <c r="AE47" i="9"/>
  <c r="AE60" i="9"/>
  <c r="AE62" i="9"/>
  <c r="AE45" i="9"/>
  <c r="K47" i="15"/>
  <c r="K46" i="15"/>
  <c r="O22" i="15"/>
  <c r="N19" i="15"/>
  <c r="R19" i="15" s="1"/>
  <c r="L19" i="15"/>
  <c r="N17" i="15"/>
  <c r="R17" i="15" s="1"/>
  <c r="L17" i="15"/>
  <c r="N15" i="15"/>
  <c r="R15" i="15" s="1"/>
  <c r="L15" i="15"/>
  <c r="P3" i="15"/>
  <c r="G2" i="15"/>
  <c r="A2" i="15"/>
  <c r="B56" i="14" l="1"/>
  <c r="B55" i="14"/>
  <c r="B54" i="14"/>
  <c r="B53" i="14"/>
  <c r="B52" i="14"/>
  <c r="B51" i="14"/>
  <c r="E36" i="14"/>
  <c r="D36" i="14"/>
  <c r="O19" i="14"/>
  <c r="K19" i="14"/>
  <c r="G19" i="14"/>
  <c r="C19" i="14"/>
  <c r="O3" i="14"/>
  <c r="K3" i="14"/>
  <c r="G3" i="14"/>
  <c r="C14" i="2" l="1"/>
  <c r="D16" i="2"/>
  <c r="C16" i="2"/>
  <c r="C15" i="2"/>
  <c r="D114" i="2"/>
  <c r="C114" i="2"/>
  <c r="C113" i="2"/>
  <c r="C112" i="2"/>
  <c r="C111" i="2"/>
  <c r="D100" i="2"/>
  <c r="C100" i="2"/>
  <c r="C99" i="2"/>
  <c r="C98" i="2"/>
  <c r="C97" i="2"/>
  <c r="D86" i="2"/>
  <c r="C86" i="2"/>
  <c r="C85" i="2"/>
  <c r="C84" i="2"/>
  <c r="C83" i="2"/>
  <c r="D72" i="2"/>
  <c r="C72" i="2"/>
  <c r="C71" i="2"/>
  <c r="C70" i="2"/>
  <c r="C69" i="2"/>
  <c r="D58" i="2"/>
  <c r="C58" i="2"/>
  <c r="C57" i="2"/>
  <c r="C56" i="2"/>
  <c r="C55" i="2"/>
  <c r="D44" i="2"/>
  <c r="C44" i="2"/>
  <c r="C43" i="2"/>
  <c r="C42" i="2"/>
  <c r="C41" i="2"/>
  <c r="D30" i="2"/>
  <c r="C30" i="2"/>
  <c r="C29" i="2"/>
  <c r="C28" i="2"/>
  <c r="C27" i="2"/>
  <c r="K4" i="2" l="1"/>
  <c r="K2" i="2"/>
  <c r="K3" i="2"/>
  <c r="F19" i="3" l="1"/>
  <c r="F17" i="3"/>
  <c r="F15" i="3"/>
  <c r="F13" i="3"/>
  <c r="F11" i="3"/>
  <c r="F9" i="3"/>
  <c r="F7" i="3"/>
  <c r="F5" i="3"/>
  <c r="B19" i="3"/>
  <c r="B17" i="3"/>
  <c r="B15" i="3"/>
  <c r="B13" i="3"/>
  <c r="B9" i="3"/>
  <c r="B7" i="3"/>
  <c r="B5" i="3"/>
  <c r="B11" i="3"/>
  <c r="AB24" i="3" l="1"/>
  <c r="O40" i="3" l="1"/>
  <c r="O38" i="3"/>
  <c r="O36" i="3"/>
  <c r="O19" i="3"/>
  <c r="O17" i="3"/>
  <c r="O15" i="3"/>
  <c r="B27" i="12"/>
  <c r="L5" i="3" l="1"/>
  <c r="N6" i="12" s="1"/>
  <c r="L7" i="3"/>
  <c r="N7" i="12" s="1"/>
  <c r="L9" i="3"/>
  <c r="N8" i="12" s="1"/>
  <c r="L11" i="3"/>
  <c r="N9" i="12" s="1"/>
  <c r="L13" i="3"/>
  <c r="N10" i="12" s="1"/>
  <c r="C60" i="3" l="1"/>
  <c r="C59" i="3"/>
  <c r="X10" i="9" l="1"/>
  <c r="W10" i="9"/>
  <c r="X9" i="9"/>
  <c r="W9" i="9"/>
  <c r="V25" i="9" l="1"/>
  <c r="V21" i="9"/>
  <c r="V18" i="9"/>
  <c r="V17" i="9"/>
  <c r="V14" i="9"/>
  <c r="V8" i="9"/>
  <c r="V7" i="9"/>
  <c r="V6" i="9"/>
  <c r="V5" i="9"/>
  <c r="V22" i="9"/>
  <c r="V26" i="9"/>
  <c r="M14" i="1" l="1"/>
  <c r="N12" i="1" s="1"/>
  <c r="V70" i="9" s="1"/>
  <c r="G39" i="15" l="1"/>
  <c r="G38" i="15"/>
  <c r="G41" i="15"/>
  <c r="G40" i="15"/>
  <c r="E1" i="15"/>
  <c r="G26" i="1"/>
  <c r="K39" i="15" l="1"/>
  <c r="E26" i="6"/>
  <c r="E21" i="6"/>
  <c r="E25" i="6"/>
  <c r="K39" i="1" s="1"/>
  <c r="E19" i="6"/>
  <c r="E24" i="6"/>
  <c r="E23" i="6"/>
  <c r="E30" i="6"/>
  <c r="D39" i="15"/>
  <c r="D38" i="15"/>
  <c r="G46" i="15"/>
  <c r="L6" i="12"/>
  <c r="I19" i="12"/>
  <c r="I27" i="12" s="1"/>
  <c r="M6" i="12"/>
  <c r="L10" i="12"/>
  <c r="M13" i="12"/>
  <c r="M9" i="12"/>
  <c r="L13" i="12"/>
  <c r="D13" i="12" s="1"/>
  <c r="L9" i="12"/>
  <c r="M12" i="12"/>
  <c r="M8" i="12"/>
  <c r="L12" i="12"/>
  <c r="D12" i="12" s="1"/>
  <c r="L8" i="12"/>
  <c r="M11" i="12"/>
  <c r="M7" i="12"/>
  <c r="L4" i="12"/>
  <c r="L11" i="12"/>
  <c r="D11" i="12" s="1"/>
  <c r="L7" i="12"/>
  <c r="M10" i="12"/>
  <c r="C52" i="3"/>
  <c r="AA22" i="9"/>
  <c r="Z19" i="9"/>
  <c r="AA26" i="9"/>
  <c r="T26" i="9"/>
  <c r="T25" i="9"/>
  <c r="T22" i="9"/>
  <c r="T21" i="9"/>
  <c r="T18" i="9"/>
  <c r="T17" i="9"/>
  <c r="Z20" i="9"/>
  <c r="Z23" i="9"/>
  <c r="Z24" i="9"/>
  <c r="AA8" i="9"/>
  <c r="AA14" i="9"/>
  <c r="AA18" i="9"/>
  <c r="B11" i="12" l="1"/>
  <c r="B24" i="12" s="1"/>
  <c r="O11" i="12"/>
  <c r="C11" i="12" s="1"/>
  <c r="P11" i="12"/>
  <c r="B13" i="12"/>
  <c r="B26" i="12" s="1"/>
  <c r="P13" i="12"/>
  <c r="O13" i="12"/>
  <c r="C13" i="12" s="1"/>
  <c r="B6" i="12"/>
  <c r="B19" i="12" s="1"/>
  <c r="B8" i="12"/>
  <c r="B21" i="12" s="1"/>
  <c r="B10" i="12"/>
  <c r="B23" i="12" s="1"/>
  <c r="B12" i="12"/>
  <c r="B25" i="12" s="1"/>
  <c r="P12" i="12"/>
  <c r="O12" i="12"/>
  <c r="C12" i="12" s="1"/>
  <c r="B7" i="12"/>
  <c r="B20" i="12" s="1"/>
  <c r="B9" i="12"/>
  <c r="B22" i="12" s="1"/>
  <c r="Z6" i="9"/>
  <c r="Z5" i="9"/>
  <c r="U6" i="9"/>
  <c r="U5" i="9"/>
  <c r="T6" i="9"/>
  <c r="T5" i="9"/>
  <c r="S5" i="9"/>
  <c r="S6" i="9"/>
  <c r="E6" i="12" l="1"/>
  <c r="E9" i="12"/>
  <c r="E7" i="12"/>
  <c r="E10" i="12"/>
  <c r="E11" i="12"/>
  <c r="F11" i="12" s="1"/>
  <c r="E8" i="12"/>
  <c r="E13" i="12"/>
  <c r="F13" i="12" s="1"/>
  <c r="E12" i="12"/>
  <c r="F12" i="12" s="1"/>
  <c r="R6" i="9"/>
  <c r="R5" i="9"/>
  <c r="J5" i="3" l="1"/>
  <c r="M23" i="10" l="1"/>
  <c r="J40" i="3"/>
  <c r="J19" i="3"/>
  <c r="M16" i="10"/>
  <c r="J17" i="3"/>
  <c r="J38" i="3"/>
  <c r="M9" i="10"/>
  <c r="J15" i="3"/>
  <c r="J36" i="3"/>
  <c r="M2" i="10"/>
  <c r="J34" i="3"/>
  <c r="J13" i="3"/>
  <c r="I23" i="10"/>
  <c r="J11" i="3"/>
  <c r="J32" i="3"/>
  <c r="I16" i="10"/>
  <c r="J9" i="3"/>
  <c r="J30" i="3"/>
  <c r="I9" i="10"/>
  <c r="J28" i="3"/>
  <c r="J7" i="3"/>
  <c r="I2" i="10"/>
  <c r="J26" i="3"/>
  <c r="P22" i="3" l="1"/>
  <c r="B5" i="15" l="1"/>
  <c r="I5" i="15"/>
  <c r="K2" i="4" l="1"/>
  <c r="A2" i="14"/>
  <c r="L2" i="4"/>
  <c r="J63" i="9"/>
  <c r="M63" i="9"/>
  <c r="K63" i="9"/>
  <c r="L63" i="9"/>
  <c r="I63" i="9"/>
  <c r="F37" i="6"/>
  <c r="I56" i="9" l="1"/>
  <c r="I57" i="9"/>
  <c r="I58" i="9"/>
  <c r="I59" i="9"/>
  <c r="I60" i="9"/>
  <c r="I55" i="9"/>
  <c r="D15" i="6"/>
  <c r="D14" i="6"/>
  <c r="D13" i="6"/>
  <c r="C12" i="6"/>
  <c r="H33" i="1" l="1"/>
  <c r="D15" i="12" s="1"/>
  <c r="C15" i="12" s="1"/>
  <c r="G32" i="15"/>
  <c r="E32" i="6" s="1"/>
  <c r="AD17" i="9"/>
  <c r="AD15" i="9"/>
  <c r="AD26" i="9"/>
  <c r="AD25" i="9"/>
  <c r="AD24" i="9"/>
  <c r="AD23" i="9"/>
  <c r="AD18" i="9"/>
  <c r="AD16" i="9"/>
  <c r="AD14" i="9"/>
  <c r="AD13" i="9"/>
  <c r="AD12" i="9"/>
  <c r="AD11" i="9"/>
  <c r="AD10" i="9"/>
  <c r="AD9" i="9"/>
  <c r="Y26" i="9"/>
  <c r="Y25" i="9"/>
  <c r="Y24" i="9"/>
  <c r="Y23" i="9"/>
  <c r="U26" i="9"/>
  <c r="U25" i="9"/>
  <c r="U24" i="9"/>
  <c r="U23" i="9"/>
  <c r="T23" i="9"/>
  <c r="T24" i="9"/>
  <c r="S24" i="9"/>
  <c r="S25" i="9"/>
  <c r="S26" i="9"/>
  <c r="S20" i="9"/>
  <c r="S21" i="9"/>
  <c r="S22" i="9"/>
  <c r="S23" i="9"/>
  <c r="Y22" i="9"/>
  <c r="U22" i="9"/>
  <c r="Y21" i="9"/>
  <c r="U21" i="9"/>
  <c r="Y20" i="9"/>
  <c r="U20" i="9"/>
  <c r="T20" i="9"/>
  <c r="Y19" i="9"/>
  <c r="U19" i="9"/>
  <c r="T19" i="9"/>
  <c r="S19" i="9"/>
  <c r="Y18" i="9"/>
  <c r="U18" i="9"/>
  <c r="Y17" i="9"/>
  <c r="U17" i="9"/>
  <c r="Z16" i="9"/>
  <c r="Z15" i="9"/>
  <c r="Y16" i="9"/>
  <c r="Y15" i="9"/>
  <c r="Z12" i="9"/>
  <c r="Z11" i="9"/>
  <c r="Y10" i="9"/>
  <c r="Y9" i="9"/>
  <c r="U16" i="9"/>
  <c r="U15" i="9"/>
  <c r="T16" i="9"/>
  <c r="T15" i="9"/>
  <c r="U14" i="9"/>
  <c r="U13" i="9"/>
  <c r="U12" i="9"/>
  <c r="U11" i="9"/>
  <c r="T14" i="9"/>
  <c r="T13" i="9"/>
  <c r="T10" i="9"/>
  <c r="T9" i="9"/>
  <c r="U10" i="9"/>
  <c r="U9" i="9"/>
  <c r="T12" i="9"/>
  <c r="T11" i="9"/>
  <c r="T8" i="9"/>
  <c r="U8" i="9"/>
  <c r="U7" i="9"/>
  <c r="T7" i="9"/>
  <c r="Z4" i="9"/>
  <c r="G15" i="12" l="1"/>
  <c r="N22" i="15"/>
  <c r="O22" i="3"/>
  <c r="G35" i="14"/>
  <c r="G36" i="14" s="1"/>
  <c r="R26" i="9"/>
  <c r="R25" i="9"/>
  <c r="R21" i="9"/>
  <c r="R24" i="9"/>
  <c r="R19" i="9"/>
  <c r="R20" i="9"/>
  <c r="R23" i="9"/>
  <c r="R22" i="9"/>
  <c r="U4" i="9" l="1"/>
  <c r="Z3" i="9"/>
  <c r="U3" i="9"/>
  <c r="T4" i="9"/>
  <c r="T3" i="9"/>
  <c r="S4" i="9"/>
  <c r="S7" i="9"/>
  <c r="R7" i="9" s="1"/>
  <c r="S8" i="9"/>
  <c r="R8" i="9" s="1"/>
  <c r="S9" i="9"/>
  <c r="R9" i="9" s="1"/>
  <c r="S10" i="9"/>
  <c r="R10" i="9" s="1"/>
  <c r="S11" i="9"/>
  <c r="R11" i="9" s="1"/>
  <c r="S12" i="9"/>
  <c r="R12" i="9" s="1"/>
  <c r="S13" i="9"/>
  <c r="R13" i="9" s="1"/>
  <c r="S14" i="9"/>
  <c r="R14" i="9" s="1"/>
  <c r="S15" i="9"/>
  <c r="R15" i="9" s="1"/>
  <c r="S16" i="9"/>
  <c r="R16" i="9" s="1"/>
  <c r="S17" i="9"/>
  <c r="R17" i="9" s="1"/>
  <c r="S18" i="9"/>
  <c r="R18" i="9" s="1"/>
  <c r="S3" i="9"/>
  <c r="R4" i="9" l="1"/>
  <c r="R3" i="9"/>
  <c r="P43" i="3"/>
  <c r="O43" i="3"/>
  <c r="U72" i="9" l="1"/>
  <c r="U71" i="9"/>
  <c r="A2" i="3"/>
  <c r="C9" i="6"/>
  <c r="C8" i="6"/>
  <c r="C7" i="6"/>
  <c r="H21" i="3"/>
  <c r="G21" i="3"/>
  <c r="G2" i="3"/>
  <c r="H22" i="3"/>
  <c r="G22" i="3"/>
  <c r="Q24" i="3"/>
  <c r="M19" i="3"/>
  <c r="Q3" i="3"/>
  <c r="Y17" i="3" l="1"/>
  <c r="Y9" i="3"/>
  <c r="Y13" i="3"/>
  <c r="Y11" i="3"/>
  <c r="Y15" i="3"/>
  <c r="Y7" i="3"/>
  <c r="Y5" i="3"/>
  <c r="Y19" i="3"/>
  <c r="Y40" i="3"/>
  <c r="H26" i="12" s="1"/>
  <c r="Y32" i="3"/>
  <c r="H22" i="12" s="1"/>
  <c r="Y36" i="3"/>
  <c r="H24" i="12" s="1"/>
  <c r="Y34" i="3"/>
  <c r="H23" i="12" s="1"/>
  <c r="Y38" i="3"/>
  <c r="H25" i="12" s="1"/>
  <c r="Y30" i="3"/>
  <c r="H21" i="12" s="1"/>
  <c r="Y28" i="3"/>
  <c r="H20" i="12" s="1"/>
  <c r="Y26" i="3"/>
  <c r="W26" i="9"/>
  <c r="W16" i="9"/>
  <c r="W7" i="9"/>
  <c r="W25" i="9"/>
  <c r="W24" i="9"/>
  <c r="W15" i="9"/>
  <c r="W6" i="9"/>
  <c r="W5" i="9"/>
  <c r="W4" i="9"/>
  <c r="W19" i="9"/>
  <c r="W8" i="9"/>
  <c r="W23" i="9"/>
  <c r="W14" i="9"/>
  <c r="W3" i="9"/>
  <c r="W18" i="9"/>
  <c r="W22" i="9"/>
  <c r="W13" i="9"/>
  <c r="W11" i="9"/>
  <c r="W21" i="9"/>
  <c r="W17" i="9"/>
  <c r="W20" i="9"/>
  <c r="W12" i="9"/>
  <c r="X14" i="9"/>
  <c r="X6" i="9"/>
  <c r="X12" i="9"/>
  <c r="X4" i="9"/>
  <c r="X8" i="9"/>
  <c r="X18" i="9"/>
  <c r="X16" i="9"/>
  <c r="X5" i="9"/>
  <c r="X15" i="9"/>
  <c r="X24" i="9"/>
  <c r="X25" i="9"/>
  <c r="X13" i="9"/>
  <c r="X17" i="9"/>
  <c r="X11" i="9"/>
  <c r="X21" i="9"/>
  <c r="X20" i="9"/>
  <c r="X26" i="9"/>
  <c r="X22" i="9"/>
  <c r="X7" i="9"/>
  <c r="X19" i="9"/>
  <c r="X23" i="9"/>
  <c r="X3" i="9"/>
  <c r="H18" i="9"/>
  <c r="I18" i="9"/>
  <c r="J18" i="9"/>
  <c r="G18" i="9"/>
  <c r="L40" i="3"/>
  <c r="L38" i="3"/>
  <c r="L36" i="3"/>
  <c r="L34" i="3"/>
  <c r="L32" i="3"/>
  <c r="L30" i="3"/>
  <c r="L28" i="3"/>
  <c r="L26" i="3"/>
  <c r="L19" i="3"/>
  <c r="N13" i="12" s="1"/>
  <c r="L17" i="3"/>
  <c r="N12" i="12" s="1"/>
  <c r="L15" i="3"/>
  <c r="N11" i="12" s="1"/>
  <c r="I19" i="15"/>
  <c r="B19" i="15"/>
  <c r="I17" i="15"/>
  <c r="B17" i="15"/>
  <c r="I15" i="15"/>
  <c r="B15" i="15"/>
  <c r="I13" i="15"/>
  <c r="B13" i="15"/>
  <c r="I11" i="15"/>
  <c r="B11" i="15"/>
  <c r="I9" i="15"/>
  <c r="B9" i="15"/>
  <c r="I7" i="15"/>
  <c r="B7" i="15"/>
  <c r="B109" i="4"/>
  <c r="B81" i="4"/>
  <c r="B53" i="4"/>
  <c r="B95" i="4"/>
  <c r="B67" i="4"/>
  <c r="B39" i="4"/>
  <c r="B25" i="4"/>
  <c r="B11" i="4"/>
  <c r="D121" i="4"/>
  <c r="D120" i="4"/>
  <c r="D119" i="4"/>
  <c r="D118" i="4"/>
  <c r="D117" i="4"/>
  <c r="D116" i="4"/>
  <c r="D107" i="4"/>
  <c r="D106" i="4"/>
  <c r="D105" i="4"/>
  <c r="D104" i="4"/>
  <c r="D103" i="4"/>
  <c r="D102" i="4"/>
  <c r="D93" i="4"/>
  <c r="D92" i="4"/>
  <c r="D91" i="4"/>
  <c r="D90" i="4"/>
  <c r="D89" i="4"/>
  <c r="D88" i="4"/>
  <c r="D79" i="4"/>
  <c r="D78" i="4"/>
  <c r="D77" i="4"/>
  <c r="D76" i="4"/>
  <c r="D75" i="4"/>
  <c r="D74" i="4"/>
  <c r="D65" i="4"/>
  <c r="D64" i="4"/>
  <c r="D63" i="4"/>
  <c r="D62" i="4"/>
  <c r="D61" i="4"/>
  <c r="D60" i="4"/>
  <c r="D51" i="4"/>
  <c r="D50" i="4"/>
  <c r="D49" i="4"/>
  <c r="D48" i="4"/>
  <c r="D47" i="4"/>
  <c r="D46" i="4"/>
  <c r="D37" i="4"/>
  <c r="D36" i="4"/>
  <c r="D35" i="4"/>
  <c r="D34" i="4"/>
  <c r="D33" i="4"/>
  <c r="D32" i="4"/>
  <c r="D23" i="4"/>
  <c r="D22" i="4"/>
  <c r="D21" i="4"/>
  <c r="D20" i="4"/>
  <c r="D19" i="4"/>
  <c r="D18" i="4"/>
  <c r="B7" i="4"/>
  <c r="B6" i="4"/>
  <c r="B5" i="4"/>
  <c r="B4" i="4"/>
  <c r="B3" i="4"/>
  <c r="B2" i="4"/>
  <c r="A1" i="4"/>
  <c r="K19" i="15" l="1"/>
  <c r="N19" i="14"/>
  <c r="K5" i="15"/>
  <c r="B3" i="14"/>
  <c r="K13" i="15"/>
  <c r="B19" i="14"/>
  <c r="K7" i="15"/>
  <c r="F3" i="14"/>
  <c r="K15" i="15"/>
  <c r="F19" i="14"/>
  <c r="K11" i="15"/>
  <c r="N3" i="14"/>
  <c r="K9" i="15"/>
  <c r="J3" i="14"/>
  <c r="K17" i="15"/>
  <c r="J19" i="14"/>
  <c r="F5" i="15"/>
  <c r="F13" i="15"/>
  <c r="F7" i="15"/>
  <c r="F15" i="15"/>
  <c r="F9" i="15"/>
  <c r="F17" i="15"/>
  <c r="F11" i="15"/>
  <c r="F19" i="15"/>
  <c r="K9" i="4"/>
  <c r="M18" i="14"/>
  <c r="K3" i="4"/>
  <c r="E2" i="14"/>
  <c r="K5" i="4"/>
  <c r="M2" i="14"/>
  <c r="K8" i="4"/>
  <c r="I18" i="14"/>
  <c r="K7" i="4"/>
  <c r="E18" i="14"/>
  <c r="K4" i="4"/>
  <c r="I2" i="14"/>
  <c r="K6" i="4"/>
  <c r="A18" i="14"/>
  <c r="H19" i="12"/>
  <c r="H27" i="12" s="1"/>
  <c r="E119" i="4"/>
  <c r="E37" i="4"/>
  <c r="E121" i="4"/>
  <c r="E120" i="4"/>
  <c r="E105" i="4"/>
  <c r="E104" i="4"/>
  <c r="E79" i="4"/>
  <c r="E47" i="4"/>
  <c r="E93" i="4"/>
  <c r="E89" i="4"/>
  <c r="E35" i="4"/>
  <c r="E75" i="4"/>
  <c r="E107" i="4"/>
  <c r="E92" i="4"/>
  <c r="E103" i="4"/>
  <c r="G63" i="4"/>
  <c r="E51" i="4"/>
  <c r="G49" i="4"/>
  <c r="E49" i="4"/>
  <c r="E33" i="4"/>
  <c r="E23" i="4"/>
  <c r="G119" i="4"/>
  <c r="E118" i="4"/>
  <c r="E117" i="4"/>
  <c r="G116" i="4"/>
  <c r="M9" i="4"/>
  <c r="E102" i="4"/>
  <c r="E77" i="4"/>
  <c r="E48" i="4"/>
  <c r="E20" i="4"/>
  <c r="E78" i="4"/>
  <c r="G105" i="4"/>
  <c r="G102" i="4"/>
  <c r="M8" i="4"/>
  <c r="G91" i="4"/>
  <c r="G88" i="4"/>
  <c r="G35" i="4"/>
  <c r="E32" i="4"/>
  <c r="E36" i="4"/>
  <c r="G74" i="4"/>
  <c r="E46" i="4"/>
  <c r="M7" i="4"/>
  <c r="G77" i="4"/>
  <c r="E50" i="4"/>
  <c r="G32" i="4"/>
  <c r="G21" i="4"/>
  <c r="L9" i="4"/>
  <c r="L8" i="4"/>
  <c r="L7" i="4"/>
  <c r="M6" i="4"/>
  <c r="E74" i="4"/>
  <c r="E63" i="4"/>
  <c r="G60" i="4"/>
  <c r="E64" i="4"/>
  <c r="M4" i="4"/>
  <c r="G46" i="4"/>
  <c r="M3" i="4"/>
  <c r="M2" i="4"/>
  <c r="E21" i="4"/>
  <c r="L6" i="4"/>
  <c r="L5" i="4"/>
  <c r="M5" i="4"/>
  <c r="L4" i="4"/>
  <c r="L3" i="4"/>
  <c r="E88" i="4"/>
  <c r="E19" i="4"/>
  <c r="E22" i="4"/>
  <c r="E60" i="4"/>
  <c r="E116" i="4"/>
  <c r="E106" i="4"/>
  <c r="E90" i="4"/>
  <c r="E91" i="4"/>
  <c r="E76" i="4"/>
  <c r="E61" i="4"/>
  <c r="E62" i="4"/>
  <c r="E65" i="4"/>
  <c r="E34" i="4"/>
  <c r="G18" i="4"/>
  <c r="E18" i="4"/>
  <c r="H119" i="4" l="1"/>
  <c r="H105" i="4"/>
  <c r="H91" i="4"/>
  <c r="H35" i="4"/>
  <c r="H42" i="4"/>
  <c r="D9" i="15" s="1"/>
  <c r="H56" i="4"/>
  <c r="D11" i="15" s="1"/>
  <c r="H49" i="4"/>
  <c r="H46" i="4"/>
  <c r="H102" i="4"/>
  <c r="H112" i="4"/>
  <c r="H116" i="4"/>
  <c r="H98" i="4"/>
  <c r="D17" i="15" s="1"/>
  <c r="H77" i="4"/>
  <c r="H70" i="4"/>
  <c r="D13" i="15" s="1"/>
  <c r="H28" i="4"/>
  <c r="D7" i="15" s="1"/>
  <c r="H84" i="4"/>
  <c r="H32" i="4"/>
  <c r="H14" i="4"/>
  <c r="D5" i="15" s="1"/>
  <c r="G23" i="15" s="1"/>
  <c r="H74" i="4"/>
  <c r="H63" i="4"/>
  <c r="H21" i="4"/>
  <c r="H18" i="4"/>
  <c r="H88" i="4"/>
  <c r="H60" i="4"/>
  <c r="N9" i="4" l="1"/>
  <c r="D19" i="15"/>
  <c r="N7" i="4"/>
  <c r="D15" i="15"/>
  <c r="H113" i="4"/>
  <c r="O9" i="4" s="1"/>
  <c r="H85" i="4"/>
  <c r="H99" i="4"/>
  <c r="N4" i="4"/>
  <c r="N5" i="4"/>
  <c r="H71" i="4"/>
  <c r="H29" i="4"/>
  <c r="H43" i="4"/>
  <c r="N8" i="4"/>
  <c r="N6" i="4"/>
  <c r="N3" i="4"/>
  <c r="N2" i="4"/>
  <c r="H15" i="4"/>
  <c r="H57" i="4"/>
  <c r="L3" i="14" l="1"/>
  <c r="K15" i="14" s="1"/>
  <c r="E9" i="15"/>
  <c r="H3" i="14"/>
  <c r="G15" i="14" s="1"/>
  <c r="E7" i="15"/>
  <c r="L19" i="14"/>
  <c r="K31" i="14" s="1"/>
  <c r="E17" i="15"/>
  <c r="P3" i="14"/>
  <c r="E11" i="15"/>
  <c r="L11" i="15" s="1"/>
  <c r="N11" i="15" s="1"/>
  <c r="D19" i="14"/>
  <c r="C31" i="14" s="1"/>
  <c r="E13" i="15"/>
  <c r="H19" i="14"/>
  <c r="G32" i="14" s="1"/>
  <c r="E15" i="15"/>
  <c r="D3" i="14"/>
  <c r="C15" i="14" s="1"/>
  <c r="E5" i="15"/>
  <c r="P19" i="14"/>
  <c r="O31" i="14" s="1"/>
  <c r="E19" i="15"/>
  <c r="O8" i="4"/>
  <c r="H4" i="4"/>
  <c r="O7" i="4"/>
  <c r="O6" i="4"/>
  <c r="O4" i="4"/>
  <c r="O3" i="4"/>
  <c r="O2" i="4"/>
  <c r="H7" i="4"/>
  <c r="G28" i="15" s="1"/>
  <c r="O5" i="4"/>
  <c r="M9" i="2"/>
  <c r="M7" i="2"/>
  <c r="M8" i="2"/>
  <c r="M6" i="2"/>
  <c r="M5" i="2"/>
  <c r="M4" i="2"/>
  <c r="M3" i="2"/>
  <c r="M2" i="2"/>
  <c r="C32" i="14" l="1"/>
  <c r="K16" i="14"/>
  <c r="K32" i="14"/>
  <c r="C16" i="14"/>
  <c r="O32" i="14"/>
  <c r="O16" i="14"/>
  <c r="G16" i="14"/>
  <c r="G31" i="14"/>
  <c r="H5" i="4"/>
  <c r="F16" i="1"/>
  <c r="D3" i="7"/>
  <c r="A1" i="2"/>
  <c r="F2" i="1"/>
  <c r="O15" i="14" l="1"/>
  <c r="K5" i="2"/>
  <c r="K6" i="2"/>
  <c r="K7" i="2"/>
  <c r="K8" i="2"/>
  <c r="K9" i="2"/>
  <c r="E11" i="7"/>
  <c r="E10" i="7"/>
  <c r="E9" i="7"/>
  <c r="E12" i="7"/>
  <c r="B13" i="7"/>
  <c r="B19" i="7"/>
  <c r="B25" i="7"/>
  <c r="B31" i="7"/>
  <c r="B37" i="7"/>
  <c r="B43" i="7"/>
  <c r="B49" i="7"/>
  <c r="A49" i="7"/>
  <c r="A48" i="7"/>
  <c r="A47" i="7"/>
  <c r="A46" i="7"/>
  <c r="A43" i="7"/>
  <c r="A42" i="7"/>
  <c r="A41" i="7"/>
  <c r="A40" i="7"/>
  <c r="A36" i="7"/>
  <c r="A37" i="7"/>
  <c r="A35" i="7"/>
  <c r="A34" i="7"/>
  <c r="A31" i="7"/>
  <c r="A30" i="7"/>
  <c r="A29" i="7"/>
  <c r="A28" i="7"/>
  <c r="A25" i="7"/>
  <c r="A24" i="7"/>
  <c r="A23" i="7"/>
  <c r="A22" i="7"/>
  <c r="A19" i="7"/>
  <c r="A18" i="7"/>
  <c r="A17" i="7"/>
  <c r="A16" i="7"/>
  <c r="A13" i="7"/>
  <c r="A12" i="7"/>
  <c r="A11" i="7"/>
  <c r="A10" i="7"/>
  <c r="E7" i="7"/>
  <c r="D7" i="7"/>
  <c r="D6" i="7"/>
  <c r="D5" i="7"/>
  <c r="D4" i="7"/>
  <c r="B7" i="7"/>
  <c r="A7" i="7"/>
  <c r="A6" i="7"/>
  <c r="A5" i="7"/>
  <c r="A4" i="7"/>
  <c r="H34" i="9"/>
  <c r="K34" i="9"/>
  <c r="H36" i="9"/>
  <c r="K36" i="9"/>
  <c r="H38" i="9"/>
  <c r="K38" i="9"/>
  <c r="H40" i="9"/>
  <c r="K40" i="9"/>
  <c r="H42" i="9"/>
  <c r="K42" i="9"/>
  <c r="H44" i="9"/>
  <c r="K44" i="9"/>
  <c r="H46" i="9"/>
  <c r="K46" i="9"/>
  <c r="H48" i="9"/>
  <c r="K48" i="9"/>
  <c r="G35" i="2"/>
  <c r="G32" i="2"/>
  <c r="P25" i="9"/>
  <c r="O25" i="9"/>
  <c r="N25" i="9"/>
  <c r="M25" i="9"/>
  <c r="J25" i="9"/>
  <c r="I25" i="9"/>
  <c r="H25" i="9"/>
  <c r="G25" i="9"/>
  <c r="P24" i="9"/>
  <c r="O24" i="9"/>
  <c r="N24" i="9"/>
  <c r="M24" i="9"/>
  <c r="J24" i="9"/>
  <c r="I24" i="9"/>
  <c r="H24" i="9"/>
  <c r="G24" i="9"/>
  <c r="P19" i="9"/>
  <c r="O19" i="9"/>
  <c r="N19" i="9"/>
  <c r="M19" i="9"/>
  <c r="J19" i="9"/>
  <c r="I19" i="9"/>
  <c r="H19" i="9"/>
  <c r="G19" i="9"/>
  <c r="P18" i="9"/>
  <c r="O18" i="9"/>
  <c r="N18" i="9"/>
  <c r="M18" i="9"/>
  <c r="B7" i="2"/>
  <c r="B6" i="2"/>
  <c r="B5" i="2"/>
  <c r="B4" i="2"/>
  <c r="B3" i="2"/>
  <c r="B2" i="2"/>
  <c r="L9" i="2"/>
  <c r="L8" i="2"/>
  <c r="L7" i="2"/>
  <c r="L6" i="2"/>
  <c r="L5" i="2"/>
  <c r="L4" i="2"/>
  <c r="L3" i="2"/>
  <c r="L2" i="2"/>
  <c r="G60" i="2"/>
  <c r="D32" i="2"/>
  <c r="D33" i="2"/>
  <c r="E33" i="2" s="1"/>
  <c r="D34" i="2"/>
  <c r="E34" i="2" s="1"/>
  <c r="D35" i="2"/>
  <c r="D36" i="2"/>
  <c r="E36" i="2" s="1"/>
  <c r="D37" i="2"/>
  <c r="E37" i="2" s="1"/>
  <c r="D46" i="2"/>
  <c r="E46" i="2" s="1"/>
  <c r="G46" i="2"/>
  <c r="D47" i="2"/>
  <c r="E47" i="2" s="1"/>
  <c r="D48" i="2"/>
  <c r="E48" i="2" s="1"/>
  <c r="D49" i="2"/>
  <c r="E49" i="2" s="1"/>
  <c r="G49" i="2"/>
  <c r="D50" i="2"/>
  <c r="E50" i="2" s="1"/>
  <c r="D51" i="2"/>
  <c r="E51" i="2" s="1"/>
  <c r="D60" i="2"/>
  <c r="E60" i="2" s="1"/>
  <c r="D61" i="2"/>
  <c r="E61" i="2" s="1"/>
  <c r="D62" i="2"/>
  <c r="D63" i="2"/>
  <c r="E63" i="2" s="1"/>
  <c r="G63" i="2"/>
  <c r="D64" i="2"/>
  <c r="E64" i="2" s="1"/>
  <c r="D65" i="2"/>
  <c r="E65" i="2" s="1"/>
  <c r="D74" i="2"/>
  <c r="E74" i="2" s="1"/>
  <c r="G74" i="2"/>
  <c r="D75" i="2"/>
  <c r="E75" i="2" s="1"/>
  <c r="D76" i="2"/>
  <c r="E76" i="2" s="1"/>
  <c r="D77" i="2"/>
  <c r="E77" i="2" s="1"/>
  <c r="G77" i="2"/>
  <c r="D78" i="2"/>
  <c r="E78" i="2" s="1"/>
  <c r="D79" i="2"/>
  <c r="E79" i="2" s="1"/>
  <c r="D88" i="2"/>
  <c r="E88" i="2" s="1"/>
  <c r="G88" i="2"/>
  <c r="D89" i="2"/>
  <c r="E89" i="2" s="1"/>
  <c r="D90" i="2"/>
  <c r="E90" i="2" s="1"/>
  <c r="D91" i="2"/>
  <c r="E91" i="2" s="1"/>
  <c r="G91" i="2"/>
  <c r="D92" i="2"/>
  <c r="E92" i="2" s="1"/>
  <c r="D93" i="2"/>
  <c r="E93" i="2" s="1"/>
  <c r="D102" i="2"/>
  <c r="E102" i="2" s="1"/>
  <c r="G102" i="2"/>
  <c r="D103" i="2"/>
  <c r="E103" i="2" s="1"/>
  <c r="D104" i="2"/>
  <c r="E104" i="2" s="1"/>
  <c r="D105" i="2"/>
  <c r="E105" i="2" s="1"/>
  <c r="G105" i="2"/>
  <c r="D106" i="2"/>
  <c r="E106" i="2" s="1"/>
  <c r="D107" i="2"/>
  <c r="E107" i="2" s="1"/>
  <c r="D116" i="2"/>
  <c r="E116" i="2" s="1"/>
  <c r="G116" i="2"/>
  <c r="D117" i="2"/>
  <c r="E117" i="2" s="1"/>
  <c r="D118" i="2"/>
  <c r="E118" i="2" s="1"/>
  <c r="D119" i="2"/>
  <c r="E119" i="2" s="1"/>
  <c r="G119" i="2"/>
  <c r="D120" i="2"/>
  <c r="E120" i="2" s="1"/>
  <c r="D121" i="2"/>
  <c r="E121" i="2" s="1"/>
  <c r="G18" i="2"/>
  <c r="G21" i="2"/>
  <c r="L34" i="9" l="1"/>
  <c r="I34" i="9"/>
  <c r="Z5" i="3" s="1"/>
  <c r="L46" i="9"/>
  <c r="L47" i="9"/>
  <c r="M46" i="9"/>
  <c r="L42" i="9"/>
  <c r="L43" i="9"/>
  <c r="L38" i="9"/>
  <c r="L39" i="9"/>
  <c r="J46" i="9"/>
  <c r="I46" i="9"/>
  <c r="Z17" i="3" s="1"/>
  <c r="I47" i="9"/>
  <c r="AA17" i="3" s="1"/>
  <c r="I43" i="9"/>
  <c r="AA13" i="3" s="1"/>
  <c r="I42" i="9"/>
  <c r="Z13" i="3" s="1"/>
  <c r="I38" i="9"/>
  <c r="Z9" i="3" s="1"/>
  <c r="I39" i="9"/>
  <c r="AA9" i="3" s="1"/>
  <c r="L48" i="9"/>
  <c r="L49" i="9"/>
  <c r="M48" i="9"/>
  <c r="M44" i="9"/>
  <c r="L45" i="9"/>
  <c r="L44" i="9"/>
  <c r="L40" i="9"/>
  <c r="L41" i="9"/>
  <c r="L36" i="9"/>
  <c r="L37" i="9"/>
  <c r="I49" i="9"/>
  <c r="AA19" i="3" s="1"/>
  <c r="I48" i="9"/>
  <c r="Z19" i="3" s="1"/>
  <c r="J48" i="9"/>
  <c r="I45" i="9"/>
  <c r="AA15" i="3" s="1"/>
  <c r="I44" i="9"/>
  <c r="Z15" i="3" s="1"/>
  <c r="J44" i="9"/>
  <c r="I41" i="9"/>
  <c r="AA11" i="3" s="1"/>
  <c r="I40" i="9"/>
  <c r="Z11" i="3" s="1"/>
  <c r="I37" i="9"/>
  <c r="AA7" i="3" s="1"/>
  <c r="I36" i="9"/>
  <c r="Z7" i="3" s="1"/>
  <c r="I35" i="9"/>
  <c r="AA5" i="3" s="1"/>
  <c r="L35" i="9"/>
  <c r="H42" i="2"/>
  <c r="O8" i="12" s="1"/>
  <c r="C8" i="12" s="1"/>
  <c r="E1" i="3"/>
  <c r="E62" i="2"/>
  <c r="H60" i="2" s="1"/>
  <c r="E35" i="2"/>
  <c r="H35" i="2" s="1"/>
  <c r="E32" i="2"/>
  <c r="H32" i="2" s="1"/>
  <c r="H49" i="2"/>
  <c r="H112" i="2"/>
  <c r="H84" i="2"/>
  <c r="H98" i="2"/>
  <c r="H46" i="2"/>
  <c r="H105" i="2"/>
  <c r="H119" i="2"/>
  <c r="H116" i="2"/>
  <c r="H102" i="2"/>
  <c r="H91" i="2"/>
  <c r="H88" i="2"/>
  <c r="H77" i="2"/>
  <c r="H74" i="2"/>
  <c r="H70" i="2"/>
  <c r="O10" i="12" s="1"/>
  <c r="C10" i="12" s="1"/>
  <c r="H56" i="2"/>
  <c r="O9" i="12" s="1"/>
  <c r="C9" i="12" s="1"/>
  <c r="H63" i="2"/>
  <c r="H28" i="2"/>
  <c r="O7" i="12" s="1"/>
  <c r="C7" i="12" s="1"/>
  <c r="AA32" i="3" l="1"/>
  <c r="Z30" i="3"/>
  <c r="AA38" i="3"/>
  <c r="Z32" i="3"/>
  <c r="AA34" i="3"/>
  <c r="Z38" i="3"/>
  <c r="AA26" i="3"/>
  <c r="AA28" i="3"/>
  <c r="Z36" i="3"/>
  <c r="AA40" i="3"/>
  <c r="Z34" i="3"/>
  <c r="Z28" i="3"/>
  <c r="AA36" i="3"/>
  <c r="Z40" i="3"/>
  <c r="AA30" i="3"/>
  <c r="Z26" i="3"/>
  <c r="Z21" i="3"/>
  <c r="N9" i="2"/>
  <c r="D19" i="3"/>
  <c r="N8" i="2"/>
  <c r="D17" i="3"/>
  <c r="D15" i="3"/>
  <c r="N7" i="2"/>
  <c r="D13" i="3"/>
  <c r="N6" i="2"/>
  <c r="N5" i="2"/>
  <c r="D11" i="3"/>
  <c r="D9" i="3"/>
  <c r="N4" i="2"/>
  <c r="N3" i="2"/>
  <c r="D7" i="3"/>
  <c r="H2" i="4"/>
  <c r="G25" i="15" s="1"/>
  <c r="N10" i="4"/>
  <c r="H6" i="4" s="1"/>
  <c r="G27" i="15" s="1"/>
  <c r="H43" i="2"/>
  <c r="H71" i="2"/>
  <c r="H29" i="2"/>
  <c r="H85" i="2"/>
  <c r="H99" i="2"/>
  <c r="H113" i="2"/>
  <c r="H57" i="2"/>
  <c r="Q15" i="15" l="1"/>
  <c r="J40" i="9"/>
  <c r="L7" i="15"/>
  <c r="N7" i="15" s="1"/>
  <c r="Q19" i="15"/>
  <c r="L13" i="15"/>
  <c r="N13" i="15" s="1"/>
  <c r="Q17" i="15"/>
  <c r="L9" i="15"/>
  <c r="N9" i="15" s="1"/>
  <c r="P10" i="12"/>
  <c r="D10" i="12" s="1"/>
  <c r="F10" i="12" s="1"/>
  <c r="M42" i="9"/>
  <c r="J42" i="9"/>
  <c r="P7" i="12"/>
  <c r="M36" i="9"/>
  <c r="J36" i="9"/>
  <c r="P9" i="12"/>
  <c r="M40" i="9"/>
  <c r="P8" i="12"/>
  <c r="M38" i="9"/>
  <c r="J38" i="9"/>
  <c r="E17" i="3"/>
  <c r="M17" i="3" s="1"/>
  <c r="O8" i="2"/>
  <c r="E9" i="3"/>
  <c r="O4" i="2"/>
  <c r="E15" i="3"/>
  <c r="M15" i="3" s="1"/>
  <c r="O7" i="2"/>
  <c r="E11" i="3"/>
  <c r="O5" i="2"/>
  <c r="E7" i="3"/>
  <c r="O3" i="2"/>
  <c r="E19" i="3"/>
  <c r="O9" i="2"/>
  <c r="H3" i="4"/>
  <c r="G26" i="15" s="1"/>
  <c r="E13" i="3"/>
  <c r="O6" i="2"/>
  <c r="M40" i="3"/>
  <c r="M38" i="3"/>
  <c r="M36" i="3"/>
  <c r="D23" i="2"/>
  <c r="E23" i="2" s="1"/>
  <c r="D22" i="2"/>
  <c r="E22" i="2" s="1"/>
  <c r="D21" i="2"/>
  <c r="E21" i="2" s="1"/>
  <c r="D20" i="2"/>
  <c r="E20" i="2" s="1"/>
  <c r="D19" i="2"/>
  <c r="E19" i="2" s="1"/>
  <c r="D18" i="2"/>
  <c r="E18" i="2" s="1"/>
  <c r="D8" i="12" l="1"/>
  <c r="F8" i="12" s="1"/>
  <c r="D9" i="12"/>
  <c r="F9" i="12" s="1"/>
  <c r="D7" i="12"/>
  <c r="F7" i="12" s="1"/>
  <c r="M11" i="3"/>
  <c r="M32" i="3"/>
  <c r="M7" i="3"/>
  <c r="O7" i="3" s="1"/>
  <c r="M28" i="3"/>
  <c r="O28" i="3" s="1"/>
  <c r="M30" i="3"/>
  <c r="M9" i="3"/>
  <c r="M34" i="3"/>
  <c r="O34" i="3" s="1"/>
  <c r="M13" i="3"/>
  <c r="O13" i="3" s="1"/>
  <c r="H18" i="2"/>
  <c r="H21" i="2"/>
  <c r="H14" i="2"/>
  <c r="O6" i="12" s="1"/>
  <c r="C6" i="12" s="1"/>
  <c r="C14" i="12" s="1"/>
  <c r="C19" i="9"/>
  <c r="C20" i="9" s="1"/>
  <c r="B19" i="9"/>
  <c r="B20" i="9" s="1"/>
  <c r="O9" i="3" l="1"/>
  <c r="O32" i="3"/>
  <c r="O30" i="3"/>
  <c r="O11" i="3"/>
  <c r="D5" i="3"/>
  <c r="G23" i="3" s="1"/>
  <c r="N2" i="2"/>
  <c r="H15" i="2"/>
  <c r="L5" i="15" l="1"/>
  <c r="N5" i="15" s="1"/>
  <c r="G24" i="15"/>
  <c r="H7" i="2"/>
  <c r="E5" i="3"/>
  <c r="J34" i="9"/>
  <c r="M34" i="9"/>
  <c r="P6" i="12"/>
  <c r="N10" i="2"/>
  <c r="O10" i="4"/>
  <c r="O2" i="2"/>
  <c r="H5" i="2" s="1"/>
  <c r="H23" i="3"/>
  <c r="M21" i="15" l="1"/>
  <c r="O21" i="15" s="1"/>
  <c r="L21" i="15"/>
  <c r="D6" i="12"/>
  <c r="D14" i="12" s="1"/>
  <c r="H6" i="2"/>
  <c r="H4" i="2"/>
  <c r="G28" i="3"/>
  <c r="M26" i="3"/>
  <c r="M5" i="3"/>
  <c r="G24" i="3"/>
  <c r="H24" i="3"/>
  <c r="G42" i="3"/>
  <c r="H42" i="3"/>
  <c r="E22" i="6" s="1"/>
  <c r="E20" i="6" s="1"/>
  <c r="H3" i="2"/>
  <c r="G30" i="15" s="1"/>
  <c r="H2" i="2"/>
  <c r="O10" i="2"/>
  <c r="O5" i="15" l="1"/>
  <c r="P5" i="15" s="1"/>
  <c r="R5" i="15" s="1"/>
  <c r="G29" i="15"/>
  <c r="E29" i="6" s="1"/>
  <c r="O17" i="15"/>
  <c r="P17" i="15" s="1"/>
  <c r="O15" i="15"/>
  <c r="P15" i="15" s="1"/>
  <c r="O13" i="15"/>
  <c r="P13" i="15" s="1"/>
  <c r="R13" i="15" s="1"/>
  <c r="Q13" i="15" s="1"/>
  <c r="O19" i="15"/>
  <c r="P19" i="15" s="1"/>
  <c r="O11" i="15"/>
  <c r="P11" i="15" s="1"/>
  <c r="R11" i="15" s="1"/>
  <c r="Q11" i="15" s="1"/>
  <c r="O7" i="15"/>
  <c r="P7" i="15" s="1"/>
  <c r="R7" i="15" s="1"/>
  <c r="Q7" i="15" s="1"/>
  <c r="O9" i="15"/>
  <c r="P9" i="15" s="1"/>
  <c r="R9" i="15" s="1"/>
  <c r="Q9" i="15" s="1"/>
  <c r="F6" i="12"/>
  <c r="F14" i="12" s="1"/>
  <c r="G27" i="3"/>
  <c r="O26" i="3"/>
  <c r="O5" i="3"/>
  <c r="N21" i="3" s="1"/>
  <c r="P21" i="3" s="1"/>
  <c r="M42" i="3"/>
  <c r="H8" i="4"/>
  <c r="G26" i="3"/>
  <c r="H30" i="3" s="1"/>
  <c r="AA21" i="3"/>
  <c r="Z42" i="3"/>
  <c r="AA42" i="3"/>
  <c r="M21" i="3"/>
  <c r="H9" i="2"/>
  <c r="H9" i="4"/>
  <c r="G25" i="3"/>
  <c r="H8" i="2"/>
  <c r="P21" i="15" l="1"/>
  <c r="R21" i="15"/>
  <c r="G35" i="15" s="1"/>
  <c r="Q5" i="15"/>
  <c r="Q21" i="15" s="1"/>
  <c r="P15" i="3"/>
  <c r="P5" i="3"/>
  <c r="P7" i="3"/>
  <c r="P13" i="3"/>
  <c r="P19" i="3"/>
  <c r="P11" i="3"/>
  <c r="P17" i="3"/>
  <c r="P9" i="3"/>
  <c r="G32" i="3"/>
  <c r="G29" i="3"/>
  <c r="H29" i="3"/>
  <c r="G30" i="3"/>
  <c r="N42" i="3"/>
  <c r="Z22" i="3"/>
  <c r="Z43" i="3"/>
  <c r="AL45" i="9" l="1"/>
  <c r="AL49" i="9"/>
  <c r="AL53" i="9"/>
  <c r="AL57" i="9"/>
  <c r="AL61" i="9"/>
  <c r="AL65" i="9"/>
  <c r="AL46" i="9"/>
  <c r="AL50" i="9"/>
  <c r="AL54" i="9"/>
  <c r="AL58" i="9"/>
  <c r="AL62" i="9"/>
  <c r="AL66" i="9"/>
  <c r="AL47" i="9"/>
  <c r="AL51" i="9"/>
  <c r="AL55" i="9"/>
  <c r="AL59" i="9"/>
  <c r="AL63" i="9"/>
  <c r="AL43" i="9"/>
  <c r="AL44" i="9"/>
  <c r="AL48" i="9"/>
  <c r="AL52" i="9"/>
  <c r="AL56" i="9"/>
  <c r="AL60" i="9"/>
  <c r="AL64" i="9"/>
  <c r="AJ47" i="9"/>
  <c r="AJ51" i="9"/>
  <c r="AJ55" i="9"/>
  <c r="AJ59" i="9"/>
  <c r="AJ63" i="9"/>
  <c r="AJ43" i="9"/>
  <c r="AJ44" i="9"/>
  <c r="AJ48" i="9"/>
  <c r="AJ52" i="9"/>
  <c r="AJ56" i="9"/>
  <c r="AJ60" i="9"/>
  <c r="AJ64" i="9"/>
  <c r="AJ46" i="9"/>
  <c r="AJ50" i="9"/>
  <c r="AJ54" i="9"/>
  <c r="AJ58" i="9"/>
  <c r="AJ62" i="9"/>
  <c r="AJ66" i="9"/>
  <c r="AJ45" i="9"/>
  <c r="AJ49" i="9"/>
  <c r="AJ53" i="9"/>
  <c r="AJ57" i="9"/>
  <c r="AJ61" i="9"/>
  <c r="AJ65" i="9"/>
  <c r="G36" i="15"/>
  <c r="U77" i="9"/>
  <c r="AF47" i="9"/>
  <c r="AF51" i="9"/>
  <c r="AF55" i="9"/>
  <c r="AF59" i="9"/>
  <c r="AF63" i="9"/>
  <c r="AF43" i="9"/>
  <c r="AF50" i="9"/>
  <c r="AF58" i="9"/>
  <c r="U73" i="9"/>
  <c r="AF44" i="9"/>
  <c r="AF48" i="9"/>
  <c r="AF52" i="9"/>
  <c r="AF56" i="9"/>
  <c r="AF60" i="9"/>
  <c r="AF64" i="9"/>
  <c r="AF54" i="9"/>
  <c r="AF62" i="9"/>
  <c r="AF45" i="9"/>
  <c r="AF49" i="9"/>
  <c r="AF53" i="9"/>
  <c r="AF57" i="9"/>
  <c r="AF61" i="9"/>
  <c r="AF65" i="9"/>
  <c r="AF46" i="9"/>
  <c r="AF66" i="9"/>
  <c r="Q17" i="3"/>
  <c r="Q13" i="3"/>
  <c r="S13" i="3" s="1"/>
  <c r="Q7" i="3"/>
  <c r="S7" i="3" s="1"/>
  <c r="Q9" i="3"/>
  <c r="S9" i="3" s="1"/>
  <c r="Q11" i="3"/>
  <c r="S11" i="3" s="1"/>
  <c r="Q5" i="3"/>
  <c r="S5" i="3" s="1"/>
  <c r="S19" i="3"/>
  <c r="Q19" i="3"/>
  <c r="S15" i="3"/>
  <c r="Q15" i="3"/>
  <c r="S17" i="3"/>
  <c r="U31" i="9"/>
  <c r="U32" i="9"/>
  <c r="V30" i="9"/>
  <c r="H40" i="3" s="1"/>
  <c r="V42" i="3" s="1"/>
  <c r="P42" i="3"/>
  <c r="H32" i="3" l="1"/>
  <c r="R17" i="3"/>
  <c r="R19" i="3"/>
  <c r="R5" i="3"/>
  <c r="R13" i="3"/>
  <c r="R15" i="3"/>
  <c r="H41" i="3"/>
  <c r="W42" i="3" s="1"/>
  <c r="G41" i="3"/>
  <c r="W21" i="3" s="1"/>
  <c r="G40" i="3"/>
  <c r="V21" i="3" s="1"/>
  <c r="P34" i="3"/>
  <c r="P26" i="3"/>
  <c r="P40" i="3"/>
  <c r="P32" i="3"/>
  <c r="P38" i="3"/>
  <c r="P30" i="3"/>
  <c r="P36" i="3"/>
  <c r="P28" i="3"/>
  <c r="D39" i="3"/>
  <c r="G46" i="3"/>
  <c r="E38" i="3"/>
  <c r="D38" i="3"/>
  <c r="E39" i="3"/>
  <c r="H46" i="3"/>
  <c r="G45" i="15" l="1"/>
  <c r="M42" i="15" s="1"/>
  <c r="C35" i="14"/>
  <c r="C36" i="14" s="1"/>
  <c r="Q30" i="3"/>
  <c r="H8" i="12" s="1"/>
  <c r="Q26" i="3"/>
  <c r="H6" i="12" s="1"/>
  <c r="Q34" i="3"/>
  <c r="S34" i="3" s="1"/>
  <c r="Q36" i="3"/>
  <c r="Q40" i="3"/>
  <c r="Q38" i="3"/>
  <c r="Q32" i="3"/>
  <c r="H9" i="12" s="1"/>
  <c r="Q28" i="3"/>
  <c r="H7" i="12" s="1"/>
  <c r="G11" i="12"/>
  <c r="S36" i="3"/>
  <c r="G7" i="12"/>
  <c r="G9" i="12"/>
  <c r="G6" i="12"/>
  <c r="G13" i="12"/>
  <c r="S40" i="3"/>
  <c r="G8" i="12"/>
  <c r="G12" i="12"/>
  <c r="S38" i="3"/>
  <c r="G10" i="12"/>
  <c r="R9" i="3"/>
  <c r="R7" i="3"/>
  <c r="R11" i="3"/>
  <c r="O42" i="15" l="1"/>
  <c r="O46" i="15" s="1"/>
  <c r="S28" i="3"/>
  <c r="S26" i="3"/>
  <c r="S30" i="3"/>
  <c r="S32" i="3"/>
  <c r="G14" i="12"/>
  <c r="H10" i="12"/>
  <c r="H12" i="12"/>
  <c r="H13" i="12"/>
  <c r="R38" i="3"/>
  <c r="D25" i="12" s="1"/>
  <c r="C25" i="12"/>
  <c r="H11" i="12"/>
  <c r="R34" i="3"/>
  <c r="D23" i="12" s="1"/>
  <c r="C23" i="12"/>
  <c r="Q42" i="3"/>
  <c r="R28" i="3" l="1"/>
  <c r="D20" i="12" s="1"/>
  <c r="R32" i="3"/>
  <c r="D22" i="12" s="1"/>
  <c r="R30" i="3"/>
  <c r="D21" i="12" s="1"/>
  <c r="R26" i="3"/>
  <c r="D19" i="12" s="1"/>
  <c r="C21" i="12"/>
  <c r="F21" i="12" s="1"/>
  <c r="C22" i="12"/>
  <c r="F22" i="12" s="1"/>
  <c r="C19" i="12"/>
  <c r="F19" i="12" s="1"/>
  <c r="H14" i="12"/>
  <c r="S42" i="3"/>
  <c r="V28" i="3" s="1"/>
  <c r="R40" i="3"/>
  <c r="D26" i="12" s="1"/>
  <c r="C26" i="12"/>
  <c r="E25" i="12"/>
  <c r="F25" i="12"/>
  <c r="R36" i="3"/>
  <c r="D24" i="12" s="1"/>
  <c r="C24" i="12"/>
  <c r="E23" i="12"/>
  <c r="F23" i="12"/>
  <c r="C20" i="12"/>
  <c r="R21" i="3"/>
  <c r="U37" i="9" s="1"/>
  <c r="V30" i="3" l="1"/>
  <c r="W26" i="3"/>
  <c r="V26" i="3"/>
  <c r="W28" i="3"/>
  <c r="W32" i="3"/>
  <c r="H35" i="3"/>
  <c r="W36" i="3"/>
  <c r="W38" i="3"/>
  <c r="V38" i="3"/>
  <c r="V40" i="3"/>
  <c r="W40" i="3"/>
  <c r="V34" i="3"/>
  <c r="W34" i="3"/>
  <c r="V36" i="3"/>
  <c r="W30" i="3"/>
  <c r="V32" i="3"/>
  <c r="E21" i="12"/>
  <c r="E22" i="12"/>
  <c r="E19" i="12"/>
  <c r="AG13" i="9"/>
  <c r="M26" i="9"/>
  <c r="AG8" i="9"/>
  <c r="O26" i="9"/>
  <c r="N26" i="9"/>
  <c r="AG22" i="9"/>
  <c r="AM19" i="9"/>
  <c r="AM24" i="9"/>
  <c r="AG18" i="9"/>
  <c r="AG23" i="9"/>
  <c r="AG7" i="9"/>
  <c r="AM17" i="9"/>
  <c r="AM18" i="9"/>
  <c r="P26" i="9"/>
  <c r="AG26" i="9"/>
  <c r="AG16" i="9"/>
  <c r="AG21" i="9"/>
  <c r="AG5" i="9"/>
  <c r="AK3" i="9"/>
  <c r="AM11" i="9"/>
  <c r="AM8" i="9"/>
  <c r="AG24" i="9"/>
  <c r="AG10" i="9"/>
  <c r="AG15" i="9"/>
  <c r="AM25" i="9"/>
  <c r="AM9" i="9"/>
  <c r="AM4" i="9"/>
  <c r="AK21" i="9"/>
  <c r="AK23" i="9"/>
  <c r="AG14" i="9"/>
  <c r="AG6" i="9"/>
  <c r="AG19" i="9"/>
  <c r="AG11" i="9"/>
  <c r="AG3" i="9"/>
  <c r="AM23" i="9"/>
  <c r="AM15" i="9"/>
  <c r="AM7" i="9"/>
  <c r="H39" i="3" s="1"/>
  <c r="AM14" i="9"/>
  <c r="AM3" i="9"/>
  <c r="AK19" i="9"/>
  <c r="AG4" i="9"/>
  <c r="AG20" i="9"/>
  <c r="AG12" i="9"/>
  <c r="AG25" i="9"/>
  <c r="AG17" i="9"/>
  <c r="AG9" i="9"/>
  <c r="U34" i="9"/>
  <c r="AM20" i="9"/>
  <c r="AM21" i="9"/>
  <c r="AM13" i="9"/>
  <c r="AM5" i="9"/>
  <c r="AM12" i="9"/>
  <c r="AK25" i="9"/>
  <c r="AK15" i="9"/>
  <c r="AK17" i="9"/>
  <c r="AK13" i="9"/>
  <c r="AK9" i="9"/>
  <c r="AK11" i="9"/>
  <c r="AM26" i="9"/>
  <c r="AK7" i="9"/>
  <c r="AK5" i="9"/>
  <c r="AM22" i="9"/>
  <c r="AM6" i="9"/>
  <c r="AM16" i="9"/>
  <c r="AM10" i="9"/>
  <c r="AK26" i="9"/>
  <c r="AK24" i="9"/>
  <c r="AK22" i="9"/>
  <c r="AK16" i="9"/>
  <c r="AK20" i="9"/>
  <c r="AK14" i="9"/>
  <c r="AK8" i="9"/>
  <c r="AK6" i="9"/>
  <c r="AK12" i="9"/>
  <c r="AK4" i="9"/>
  <c r="AK18" i="9"/>
  <c r="AK10" i="9"/>
  <c r="D27" i="12"/>
  <c r="C27" i="12"/>
  <c r="R42" i="3"/>
  <c r="U38" i="9" s="1"/>
  <c r="E26" i="12"/>
  <c r="F26" i="12"/>
  <c r="E24" i="12"/>
  <c r="F24" i="12"/>
  <c r="E20" i="12"/>
  <c r="F20" i="12"/>
  <c r="G36" i="3"/>
  <c r="Q21" i="3"/>
  <c r="S21" i="3"/>
  <c r="H38" i="3" l="1"/>
  <c r="W13" i="3"/>
  <c r="V19" i="3"/>
  <c r="V15" i="3"/>
  <c r="V17" i="3"/>
  <c r="W5" i="3"/>
  <c r="V7" i="3"/>
  <c r="W7" i="3"/>
  <c r="W9" i="3"/>
  <c r="W19" i="3"/>
  <c r="V9" i="3"/>
  <c r="W15" i="3"/>
  <c r="V11" i="3"/>
  <c r="W17" i="3"/>
  <c r="W11" i="3"/>
  <c r="V13" i="3"/>
  <c r="V5" i="3"/>
  <c r="U42" i="3"/>
  <c r="U34" i="3" s="1"/>
  <c r="U36" i="9"/>
  <c r="AJ4" i="9"/>
  <c r="AJ5" i="9"/>
  <c r="AJ6" i="9"/>
  <c r="AJ7" i="9"/>
  <c r="AJ8" i="9"/>
  <c r="AJ9" i="9"/>
  <c r="AJ10" i="9"/>
  <c r="AJ11" i="9"/>
  <c r="AJ12" i="9"/>
  <c r="AJ13" i="9"/>
  <c r="AJ14" i="9"/>
  <c r="AJ15" i="9"/>
  <c r="AJ16" i="9"/>
  <c r="AJ17" i="9"/>
  <c r="AJ18" i="9"/>
  <c r="AJ19" i="9"/>
  <c r="AJ20" i="9"/>
  <c r="AJ21" i="9"/>
  <c r="AJ22" i="9"/>
  <c r="AJ23" i="9"/>
  <c r="AJ24" i="9"/>
  <c r="AJ25" i="9"/>
  <c r="AJ26" i="9"/>
  <c r="AL3" i="9"/>
  <c r="AL4" i="9"/>
  <c r="AL5" i="9"/>
  <c r="AL6" i="9"/>
  <c r="AL7" i="9"/>
  <c r="AL8" i="9"/>
  <c r="AL9" i="9"/>
  <c r="AL10" i="9"/>
  <c r="AL11" i="9"/>
  <c r="AL12" i="9"/>
  <c r="AL13" i="9"/>
  <c r="AL14" i="9"/>
  <c r="AL15" i="9"/>
  <c r="AL16" i="9"/>
  <c r="AL17" i="9"/>
  <c r="AL18" i="9"/>
  <c r="AL19" i="9"/>
  <c r="AL20" i="9"/>
  <c r="AL21" i="9"/>
  <c r="AL22" i="9"/>
  <c r="AL23" i="9"/>
  <c r="AL24" i="9"/>
  <c r="AL25" i="9"/>
  <c r="AL26" i="9"/>
  <c r="AJ3" i="9"/>
  <c r="F27" i="12"/>
  <c r="H36" i="3"/>
  <c r="G35" i="3"/>
  <c r="AF5" i="9"/>
  <c r="AF7" i="9"/>
  <c r="U75" i="9" s="1"/>
  <c r="AF9" i="9"/>
  <c r="AF11" i="9"/>
  <c r="AF13" i="9"/>
  <c r="AF15" i="9"/>
  <c r="AF17" i="9"/>
  <c r="AF19" i="9"/>
  <c r="AF21" i="9"/>
  <c r="AF23" i="9"/>
  <c r="AF25" i="9"/>
  <c r="AF3" i="9"/>
  <c r="U33" i="9"/>
  <c r="AF4" i="9"/>
  <c r="AF6" i="9"/>
  <c r="AF8" i="9"/>
  <c r="AF10" i="9"/>
  <c r="AF12" i="9"/>
  <c r="AF14" i="9"/>
  <c r="AF16" i="9"/>
  <c r="AF18" i="9"/>
  <c r="AF20" i="9"/>
  <c r="AF22" i="9"/>
  <c r="AF24" i="9"/>
  <c r="AF26" i="9"/>
  <c r="N20" i="9"/>
  <c r="M20" i="9"/>
  <c r="P20" i="9"/>
  <c r="O20" i="9"/>
  <c r="H45" i="3" l="1"/>
  <c r="G55" i="3" s="1"/>
  <c r="G38" i="3"/>
  <c r="T21" i="15"/>
  <c r="S21" i="15"/>
  <c r="U28" i="3"/>
  <c r="U30" i="3"/>
  <c r="U32" i="3"/>
  <c r="U36" i="3"/>
  <c r="U40" i="3"/>
  <c r="U38" i="3"/>
  <c r="U26" i="3"/>
  <c r="T42" i="3"/>
  <c r="AB42" i="3" s="1"/>
  <c r="U35" i="9"/>
  <c r="G39" i="3"/>
  <c r="U21" i="3" s="1"/>
  <c r="G45" i="3" l="1"/>
  <c r="E55" i="3" s="1"/>
  <c r="S13" i="15"/>
  <c r="S17" i="15"/>
  <c r="S15" i="15"/>
  <c r="S9" i="15"/>
  <c r="S7" i="15"/>
  <c r="S19" i="15"/>
  <c r="S11" i="15"/>
  <c r="S5" i="15"/>
  <c r="T30" i="3"/>
  <c r="T40" i="3"/>
  <c r="AB40" i="3" s="1"/>
  <c r="T34" i="3"/>
  <c r="AB34" i="3" s="1"/>
  <c r="T28" i="3"/>
  <c r="AB28" i="3" s="1"/>
  <c r="T32" i="3"/>
  <c r="AB32" i="3" s="1"/>
  <c r="T36" i="3"/>
  <c r="AB36" i="3" s="1"/>
  <c r="T26" i="3"/>
  <c r="T38" i="3"/>
  <c r="T21" i="3"/>
  <c r="AB21" i="3" s="1"/>
  <c r="U19" i="3"/>
  <c r="U13" i="3"/>
  <c r="U5" i="3"/>
  <c r="U15" i="3"/>
  <c r="U11" i="3"/>
  <c r="U17" i="3"/>
  <c r="U9" i="3"/>
  <c r="U7" i="3"/>
  <c r="G56" i="3"/>
  <c r="G20" i="9"/>
  <c r="G26" i="9"/>
  <c r="J26" i="9"/>
  <c r="J20" i="9"/>
  <c r="I26" i="9"/>
  <c r="I20" i="9"/>
  <c r="H20" i="9"/>
  <c r="H26" i="9"/>
  <c r="AB26" i="3"/>
  <c r="AB38" i="3"/>
  <c r="AB30" i="3"/>
  <c r="E56" i="3" l="1"/>
  <c r="AH53" i="9"/>
  <c r="AN53" i="9" s="1"/>
  <c r="AH54" i="9"/>
  <c r="AN54" i="9" s="1"/>
  <c r="AH49" i="9"/>
  <c r="AN49" i="9" s="1"/>
  <c r="AH66" i="9"/>
  <c r="AN66" i="9" s="1"/>
  <c r="AH48" i="9"/>
  <c r="AN48" i="9" s="1"/>
  <c r="AH59" i="9"/>
  <c r="AN59" i="9" s="1"/>
  <c r="AH50" i="9"/>
  <c r="AN50" i="9" s="1"/>
  <c r="AH55" i="9"/>
  <c r="AN55" i="9" s="1"/>
  <c r="AH56" i="9"/>
  <c r="AN56" i="9" s="1"/>
  <c r="AH51" i="9"/>
  <c r="AN51" i="9" s="1"/>
  <c r="AH64" i="9"/>
  <c r="AN64" i="9" s="1"/>
  <c r="AH63" i="9"/>
  <c r="AN63" i="9" s="1"/>
  <c r="AH58" i="9"/>
  <c r="AN58" i="9" s="1"/>
  <c r="AH52" i="9"/>
  <c r="AN52" i="9" s="1"/>
  <c r="AH46" i="9"/>
  <c r="AN46" i="9" s="1"/>
  <c r="AH44" i="9"/>
  <c r="AN44" i="9" s="1"/>
  <c r="AH61" i="9"/>
  <c r="AN61" i="9" s="1"/>
  <c r="AH57" i="9"/>
  <c r="AN57" i="9" s="1"/>
  <c r="AH65" i="9"/>
  <c r="AN65" i="9" s="1"/>
  <c r="AH45" i="9"/>
  <c r="AN45" i="9" s="1"/>
  <c r="AH43" i="9"/>
  <c r="AN43" i="9" s="1"/>
  <c r="AH62" i="9"/>
  <c r="AN62" i="9" s="1"/>
  <c r="AH60" i="9"/>
  <c r="AN60" i="9" s="1"/>
  <c r="AH47" i="9"/>
  <c r="T15" i="15"/>
  <c r="T5" i="15"/>
  <c r="T7" i="15"/>
  <c r="T19" i="15"/>
  <c r="T17" i="15"/>
  <c r="T11" i="15"/>
  <c r="T13" i="15"/>
  <c r="T9" i="15"/>
  <c r="T5" i="3"/>
  <c r="AB5" i="3" s="1"/>
  <c r="T19" i="3"/>
  <c r="AB19" i="3" s="1"/>
  <c r="T17" i="3"/>
  <c r="AB17" i="3" s="1"/>
  <c r="T15" i="3"/>
  <c r="AB15" i="3" s="1"/>
  <c r="T13" i="3"/>
  <c r="AB13" i="3" s="1"/>
  <c r="T9" i="3"/>
  <c r="AB9" i="3" s="1"/>
  <c r="T7" i="3"/>
  <c r="AB7" i="3" s="1"/>
  <c r="T11" i="3"/>
  <c r="AB11" i="3" s="1"/>
  <c r="AH25" i="9"/>
  <c r="AN25" i="9" s="1"/>
  <c r="AN47" i="9" l="1"/>
  <c r="G47" i="15" s="1"/>
  <c r="G19" i="12"/>
  <c r="G23" i="12"/>
  <c r="G26" i="12"/>
  <c r="G20" i="12"/>
  <c r="G25" i="12"/>
  <c r="G22" i="12"/>
  <c r="G24" i="12"/>
  <c r="G21" i="12"/>
  <c r="AH3" i="9"/>
  <c r="AN3" i="9" s="1"/>
  <c r="AH4" i="9"/>
  <c r="AN4" i="9" s="1"/>
  <c r="AH23" i="9"/>
  <c r="AN23" i="9" s="1"/>
  <c r="AH19" i="9"/>
  <c r="AN19" i="9" s="1"/>
  <c r="AH16" i="9"/>
  <c r="AN16" i="9" s="1"/>
  <c r="AH6" i="9"/>
  <c r="AN6" i="9" s="1"/>
  <c r="AH7" i="9"/>
  <c r="AN7" i="9" s="1"/>
  <c r="AH10" i="9"/>
  <c r="AN10" i="9" s="1"/>
  <c r="AH8" i="9"/>
  <c r="AN8" i="9" s="1"/>
  <c r="AH12" i="9"/>
  <c r="AN12" i="9" s="1"/>
  <c r="AH21" i="9"/>
  <c r="AN21" i="9" s="1"/>
  <c r="AH20" i="9"/>
  <c r="AN20" i="9" s="1"/>
  <c r="AH17" i="9"/>
  <c r="AN17" i="9" s="1"/>
  <c r="AH14" i="9"/>
  <c r="AN14" i="9" s="1"/>
  <c r="AH15" i="9"/>
  <c r="AN15" i="9" s="1"/>
  <c r="AH9" i="9"/>
  <c r="AN9" i="9" s="1"/>
  <c r="AH13" i="9"/>
  <c r="AN13" i="9" s="1"/>
  <c r="AH5" i="9"/>
  <c r="AN5" i="9" s="1"/>
  <c r="AH26" i="9"/>
  <c r="AN26" i="9" s="1"/>
  <c r="AH24" i="9"/>
  <c r="AN24" i="9" s="1"/>
  <c r="AH18" i="9"/>
  <c r="AN18" i="9" s="1"/>
  <c r="AH11" i="9"/>
  <c r="AN11" i="9" s="1"/>
  <c r="AH22" i="9"/>
  <c r="AN22" i="9" s="1"/>
  <c r="G49" i="15" l="1"/>
  <c r="H35" i="14" s="1"/>
  <c r="M46" i="15"/>
  <c r="O48" i="15" s="1"/>
  <c r="E35" i="6"/>
  <c r="N38" i="1" s="1"/>
  <c r="K41" i="1" s="1"/>
  <c r="F35" i="14"/>
  <c r="F36" i="14" s="1"/>
  <c r="D47" i="15"/>
  <c r="G27" i="12"/>
  <c r="J27" i="12" s="1"/>
  <c r="G47" i="3"/>
  <c r="E59" i="3" l="1"/>
  <c r="E61" i="3" s="1"/>
  <c r="G49" i="3"/>
  <c r="O47" i="15"/>
  <c r="H36" i="14"/>
  <c r="B36" i="14" s="1"/>
  <c r="B35" i="14"/>
  <c r="D47" i="3"/>
  <c r="E60" i="3" l="1"/>
  <c r="AI3" i="9"/>
  <c r="AO3" i="9" s="1"/>
  <c r="AI4" i="9"/>
  <c r="AO4" i="9" s="1"/>
  <c r="AI12" i="9"/>
  <c r="AO12" i="9" s="1"/>
  <c r="AI20" i="9"/>
  <c r="AO20" i="9" s="1"/>
  <c r="AI5" i="9"/>
  <c r="AO5" i="9" s="1"/>
  <c r="AI13" i="9"/>
  <c r="AO13" i="9" s="1"/>
  <c r="AI21" i="9"/>
  <c r="AO21" i="9" s="1"/>
  <c r="AI6" i="9"/>
  <c r="AO6" i="9" s="1"/>
  <c r="AI14" i="9"/>
  <c r="AO14" i="9" s="1"/>
  <c r="AI7" i="9"/>
  <c r="AO7" i="9" s="1"/>
  <c r="AI15" i="9"/>
  <c r="AO15" i="9" s="1"/>
  <c r="AI23" i="9"/>
  <c r="AO23" i="9" s="1"/>
  <c r="AI8" i="9"/>
  <c r="AO8" i="9" s="1"/>
  <c r="AI16" i="9"/>
  <c r="AO16" i="9" s="1"/>
  <c r="AI24" i="9"/>
  <c r="AO24" i="9" s="1"/>
  <c r="AI9" i="9"/>
  <c r="AO9" i="9" s="1"/>
  <c r="AI17" i="9"/>
  <c r="AO17" i="9" s="1"/>
  <c r="AI18" i="9"/>
  <c r="AO18" i="9" s="1"/>
  <c r="AI26" i="9"/>
  <c r="AO26" i="9" s="1"/>
  <c r="AI11" i="9"/>
  <c r="AO11" i="9" s="1"/>
  <c r="AI19" i="9"/>
  <c r="AO19" i="9" s="1"/>
  <c r="AI22" i="9"/>
  <c r="AO22" i="9" s="1"/>
  <c r="AI25" i="9"/>
  <c r="AO25" i="9" s="1"/>
  <c r="AI10" i="9"/>
  <c r="AO10" i="9" s="1"/>
  <c r="H47" i="3" l="1"/>
  <c r="G59" i="3" l="1"/>
  <c r="H49" i="3"/>
  <c r="M40" i="1"/>
  <c r="E47" i="3"/>
  <c r="G61" i="3" l="1"/>
  <c r="G60" i="3"/>
  <c r="K38" i="1"/>
  <c r="M43" i="15" l="1"/>
  <c r="O43" i="15"/>
  <c r="M48" i="15" l="1"/>
  <c r="M47" i="15"/>
</calcChain>
</file>

<file path=xl/sharedStrings.xml><?xml version="1.0" encoding="utf-8"?>
<sst xmlns="http://schemas.openxmlformats.org/spreadsheetml/2006/main" count="1869" uniqueCount="1031">
  <si>
    <t>M</t>
  </si>
  <si>
    <t>Type de dossier</t>
  </si>
  <si>
    <t>TM</t>
  </si>
  <si>
    <t>NRJ</t>
  </si>
  <si>
    <t>MIXTE</t>
  </si>
  <si>
    <t>TRAVAUX</t>
  </si>
  <si>
    <t>SIM 1</t>
  </si>
  <si>
    <t>Entreprise</t>
  </si>
  <si>
    <t>ANAH</t>
  </si>
  <si>
    <t>ASE</t>
  </si>
  <si>
    <t>REGION</t>
  </si>
  <si>
    <t>ALS</t>
  </si>
  <si>
    <t>HT</t>
  </si>
  <si>
    <t>TTC</t>
  </si>
  <si>
    <t>TOTAL</t>
  </si>
  <si>
    <t>MONTANT TRAVAUX</t>
  </si>
  <si>
    <t>Eco-Chèque Occitanie</t>
  </si>
  <si>
    <t>Caisse retraite</t>
  </si>
  <si>
    <t>Prime MAV</t>
  </si>
  <si>
    <t>Prime CCCT</t>
  </si>
  <si>
    <t>SYNTHESE</t>
  </si>
  <si>
    <t>Taux ANAH</t>
  </si>
  <si>
    <t>Taux ASE</t>
  </si>
  <si>
    <t>Plafond ASE</t>
  </si>
  <si>
    <t>CEP</t>
  </si>
  <si>
    <t>Gain</t>
  </si>
  <si>
    <t>Seuil NRJ+</t>
  </si>
  <si>
    <t>CC</t>
  </si>
  <si>
    <t>PO</t>
  </si>
  <si>
    <t>PB</t>
  </si>
  <si>
    <t>Plafond travaux HT</t>
  </si>
  <si>
    <t>Taux CC</t>
  </si>
  <si>
    <t>x</t>
  </si>
  <si>
    <t>Aide OCC</t>
  </si>
  <si>
    <t>RFR</t>
  </si>
  <si>
    <t>Prop</t>
  </si>
  <si>
    <t>Catégorie</t>
  </si>
  <si>
    <t>Gain Cep =&gt;</t>
  </si>
  <si>
    <t>NRJ/TM</t>
  </si>
  <si>
    <t>NRJ+/TM</t>
  </si>
  <si>
    <t>NRJ/M</t>
  </si>
  <si>
    <t>NRJ+/M</t>
  </si>
  <si>
    <t>Taux</t>
  </si>
  <si>
    <t>Plafond</t>
  </si>
  <si>
    <t>CELLULE RELAIS POUR CALCUL ASE</t>
  </si>
  <si>
    <t>Prime</t>
  </si>
  <si>
    <t>SIM1</t>
  </si>
  <si>
    <t>SIM2</t>
  </si>
  <si>
    <t>Dossier</t>
  </si>
  <si>
    <t>Plafond travaux</t>
  </si>
  <si>
    <t>CELLULE RELAIS POUR CALCUL ANAH</t>
  </si>
  <si>
    <t>Adresse</t>
  </si>
  <si>
    <t>CP</t>
  </si>
  <si>
    <t>Ville</t>
  </si>
  <si>
    <t>Plafond de ressources applicables</t>
  </si>
  <si>
    <t>DEVIS 1</t>
  </si>
  <si>
    <t>Nom</t>
  </si>
  <si>
    <t>Prénom</t>
  </si>
  <si>
    <t>TVA</t>
  </si>
  <si>
    <t>Main d'œuvre</t>
  </si>
  <si>
    <t>Taux de TVA</t>
  </si>
  <si>
    <t>Matériel</t>
  </si>
  <si>
    <t>TOTAL HT</t>
  </si>
  <si>
    <t>TOTAL TTC</t>
  </si>
  <si>
    <t>HT Devis</t>
  </si>
  <si>
    <t>TTC Devis</t>
  </si>
  <si>
    <t>AUTO</t>
  </si>
  <si>
    <t>Autonomie</t>
  </si>
  <si>
    <t>Eco Energie</t>
  </si>
  <si>
    <t>CP/Ville</t>
  </si>
  <si>
    <t>TOTAUX</t>
  </si>
  <si>
    <t>Auto</t>
  </si>
  <si>
    <t>REALMONT</t>
  </si>
  <si>
    <t>DEVIS 2</t>
  </si>
  <si>
    <t>DEVIS 3</t>
  </si>
  <si>
    <t>DEVIS 4</t>
  </si>
  <si>
    <t>DEVIS 5</t>
  </si>
  <si>
    <t>DEVIS 6</t>
  </si>
  <si>
    <t>DEVIS 7</t>
  </si>
  <si>
    <t>DEVIS 8</t>
  </si>
  <si>
    <t>RECAPITULATIF DEVIS</t>
  </si>
  <si>
    <t>N° Devis</t>
  </si>
  <si>
    <t>Nom Entreprise</t>
  </si>
  <si>
    <t>Titre devis</t>
  </si>
  <si>
    <t>CONDITIONS GENERALES</t>
  </si>
  <si>
    <t>----------&gt;</t>
  </si>
  <si>
    <t>RESTE A CHARGE (TTC)</t>
  </si>
  <si>
    <t>S.Hab =&gt;</t>
  </si>
  <si>
    <t>ECO-CHEQUE</t>
  </si>
  <si>
    <t>SIM 2</t>
  </si>
  <si>
    <t>CELLULES RELAIS POUR ECO-CHEQUE et ACTION LOGEMENTS</t>
  </si>
  <si>
    <t>Base TTC</t>
  </si>
  <si>
    <t>Travaux TTC</t>
  </si>
  <si>
    <t>MO/MAT HT</t>
  </si>
  <si>
    <t>Entreprise 1</t>
  </si>
  <si>
    <t>Distance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</si>
  <si>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</si>
  <si>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</si>
  <si>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</si>
  <si>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</si>
  <si>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</si>
  <si>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</si>
  <si>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</si>
  <si>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 xml:space="preserve">TOTAL kms = </t>
  </si>
  <si>
    <t>Distance Min</t>
  </si>
  <si>
    <t>Distance Max</t>
  </si>
  <si>
    <t>Distance Moy</t>
  </si>
  <si>
    <t>Mail</t>
  </si>
  <si>
    <t>Téléphone</t>
  </si>
  <si>
    <t>N° Invariant</t>
  </si>
  <si>
    <t>GIR</t>
  </si>
  <si>
    <t>PO / PB =&gt;</t>
  </si>
  <si>
    <t xml:space="preserve">Nom : </t>
  </si>
  <si>
    <t xml:space="preserve">Prénom : </t>
  </si>
  <si>
    <t xml:space="preserve">Adresse : </t>
  </si>
  <si>
    <t xml:space="preserve">CP : </t>
  </si>
  <si>
    <t xml:space="preserve">Ville : </t>
  </si>
  <si>
    <t/>
  </si>
  <si>
    <t>Retraite</t>
  </si>
  <si>
    <t>Mat H.T</t>
  </si>
  <si>
    <t>Mo H.T</t>
  </si>
  <si>
    <t xml:space="preserve">Date de naissance : </t>
  </si>
  <si>
    <t xml:space="preserve">Lieu de naissance : </t>
  </si>
  <si>
    <t>Date d'entrée / acquisition</t>
  </si>
  <si>
    <t>Nombre d'occupants</t>
  </si>
  <si>
    <t>Ascendant</t>
  </si>
  <si>
    <t>Descendant</t>
  </si>
  <si>
    <t>Conjoint</t>
  </si>
  <si>
    <t>Epoux/Epouse</t>
  </si>
  <si>
    <t>Aide logement</t>
  </si>
  <si>
    <t>AIDES LOGEMENTS</t>
  </si>
  <si>
    <t>CAF</t>
  </si>
  <si>
    <t>MSA</t>
  </si>
  <si>
    <t>NON</t>
  </si>
  <si>
    <t>RFR Total =&gt;</t>
  </si>
  <si>
    <t>A Faire</t>
  </si>
  <si>
    <t>Sans Objet</t>
  </si>
  <si>
    <t>RFR Bénéficiaire=&gt;</t>
  </si>
  <si>
    <t>RFR Co-Bénéficiaire</t>
  </si>
  <si>
    <t>Parts Fiscales =&gt;</t>
  </si>
  <si>
    <t>Caisse de retraite</t>
  </si>
  <si>
    <t>Régime Général</t>
  </si>
  <si>
    <t>Agirc-Arrco</t>
  </si>
  <si>
    <t>CNRACL</t>
  </si>
  <si>
    <t>Ircantec /AG2R</t>
  </si>
  <si>
    <t>Autre</t>
  </si>
  <si>
    <t>Classement GIR =&gt;</t>
  </si>
  <si>
    <t>Revenus fiscal brut =&gt;</t>
  </si>
  <si>
    <t>Caisse de retraite =&gt;</t>
  </si>
  <si>
    <t>Dépôt</t>
  </si>
  <si>
    <t>Agrement</t>
  </si>
  <si>
    <t>Avance</t>
  </si>
  <si>
    <t>Acompte</t>
  </si>
  <si>
    <t>Paiement</t>
  </si>
  <si>
    <t>Solde</t>
  </si>
  <si>
    <t>SUIVI DOSSIER</t>
  </si>
  <si>
    <t>Date =&gt;</t>
  </si>
  <si>
    <t>Type dossier ANAH</t>
  </si>
  <si>
    <t>HMS</t>
  </si>
  <si>
    <t>HSA</t>
  </si>
  <si>
    <t>HSE-D</t>
  </si>
  <si>
    <t>HSE-I</t>
  </si>
  <si>
    <t>HF</t>
  </si>
  <si>
    <t>LM</t>
  </si>
  <si>
    <t>HM Sérénité</t>
  </si>
  <si>
    <t>Louer Mieux</t>
  </si>
  <si>
    <t>Habiter Facile</t>
  </si>
  <si>
    <t xml:space="preserve">Habiter Serein </t>
  </si>
  <si>
    <t>Habiter Sain</t>
  </si>
  <si>
    <t>HMS-HF</t>
  </si>
  <si>
    <t>HMSB-HF</t>
  </si>
  <si>
    <t>HMSB</t>
  </si>
  <si>
    <t>OUI</t>
  </si>
  <si>
    <t>Adresse sur avis Impôts</t>
  </si>
  <si>
    <t>Statut (Salarié/Retraité)</t>
  </si>
  <si>
    <t>Statut professionnel</t>
  </si>
  <si>
    <t xml:space="preserve">Salarié </t>
  </si>
  <si>
    <t>Salarié du privé</t>
  </si>
  <si>
    <t>Retraité</t>
  </si>
  <si>
    <t>Fonctionnaire</t>
  </si>
  <si>
    <t xml:space="preserve">Adresse du bien à rénover si différente : </t>
  </si>
  <si>
    <t>RETRAITE</t>
  </si>
  <si>
    <t>Cat. Travaux</t>
  </si>
  <si>
    <t>VMC</t>
  </si>
  <si>
    <t>SDB</t>
  </si>
  <si>
    <t>STATUT CO-BENEFICIAIRE</t>
  </si>
  <si>
    <t>Type travaux</t>
  </si>
  <si>
    <t>TYPE/CATEGORIE TRAVAUX</t>
  </si>
  <si>
    <t>TRX_LOURD</t>
  </si>
  <si>
    <t>ISO Combles/Plafonds</t>
  </si>
  <si>
    <t>ISO Murs</t>
  </si>
  <si>
    <t>ISO Plancher</t>
  </si>
  <si>
    <t>Menuiseries</t>
  </si>
  <si>
    <t>Chauffage</t>
  </si>
  <si>
    <t>Prod. ECS</t>
  </si>
  <si>
    <t>Autres</t>
  </si>
  <si>
    <t>Escalier</t>
  </si>
  <si>
    <t>Accès</t>
  </si>
  <si>
    <t>Gros-Œuvre</t>
  </si>
  <si>
    <t>Charpente</t>
  </si>
  <si>
    <t>Couverture</t>
  </si>
  <si>
    <t>Platrerie</t>
  </si>
  <si>
    <t>Plomberie</t>
  </si>
  <si>
    <t>Electricité</t>
  </si>
  <si>
    <t>Revêtements</t>
  </si>
  <si>
    <t>A</t>
  </si>
  <si>
    <t>B</t>
  </si>
  <si>
    <t>C</t>
  </si>
  <si>
    <t>D</t>
  </si>
  <si>
    <t>E</t>
  </si>
  <si>
    <t>F</t>
  </si>
  <si>
    <t>G</t>
  </si>
  <si>
    <t>ETIQUETTE DPE</t>
  </si>
  <si>
    <t>Etiquette =&gt;</t>
  </si>
  <si>
    <t>Cep</t>
  </si>
  <si>
    <t>Etiquette</t>
  </si>
  <si>
    <t>GES</t>
  </si>
  <si>
    <t>Transmis à SOLIHA</t>
  </si>
  <si>
    <t>Montant pris en charge</t>
  </si>
  <si>
    <t>CCMAV</t>
  </si>
  <si>
    <t>ALBAN</t>
  </si>
  <si>
    <t>CCCT</t>
  </si>
  <si>
    <t>AMBIALET</t>
  </si>
  <si>
    <t>BELLEGARDE-MARSAL</t>
  </si>
  <si>
    <t>CURVALLE</t>
  </si>
  <si>
    <t>LE FRAYSSE</t>
  </si>
  <si>
    <t>MASSALS</t>
  </si>
  <si>
    <t>MIOLLES</t>
  </si>
  <si>
    <t>MONT-ROC</t>
  </si>
  <si>
    <t>MOUZIEYS-TEULET</t>
  </si>
  <si>
    <t>PAULINET</t>
  </si>
  <si>
    <t>RAYSSAC</t>
  </si>
  <si>
    <t>SAINT-ANDRE</t>
  </si>
  <si>
    <t>TEILLET</t>
  </si>
  <si>
    <t>VILLEFRANCHE D'ALBIGEOIS</t>
  </si>
  <si>
    <t>ARIFAT</t>
  </si>
  <si>
    <t>FAUCH</t>
  </si>
  <si>
    <t>LABOUTARIE</t>
  </si>
  <si>
    <t>LAMILLARIE</t>
  </si>
  <si>
    <t>LOMBERS</t>
  </si>
  <si>
    <t>MONTREDON-LABESSONNIE</t>
  </si>
  <si>
    <t>ORBAN</t>
  </si>
  <si>
    <t>POULAN-POUZOLS</t>
  </si>
  <si>
    <t>SIEURAC</t>
  </si>
  <si>
    <t>TERRE-DE-BANCALIE</t>
  </si>
  <si>
    <t>Liste CC</t>
  </si>
  <si>
    <t>Plafond ALS</t>
  </si>
  <si>
    <t>Secteur d'activité</t>
  </si>
  <si>
    <t>Convention</t>
  </si>
  <si>
    <t>Ouverture</t>
  </si>
  <si>
    <t>OPERATION PROGRAMMEE D'AMELIORATION DE L'HABITAT</t>
  </si>
  <si>
    <t>Identification du demandeur</t>
  </si>
  <si>
    <t>NOM, Prénom :</t>
  </si>
  <si>
    <t>Adresse :</t>
  </si>
  <si>
    <t>Commune :</t>
  </si>
  <si>
    <t>Références du dossier</t>
  </si>
  <si>
    <t>Dossier n° :</t>
  </si>
  <si>
    <t>Type de demandeur :</t>
  </si>
  <si>
    <t>Date de dépôt :</t>
  </si>
  <si>
    <t>Date de demande de paiement :</t>
  </si>
  <si>
    <t>Financements prévisionnels</t>
  </si>
  <si>
    <t>Montant prévisionnel des travaux envisagés :</t>
  </si>
  <si>
    <t>Montant prévisionnel des aides publiques :</t>
  </si>
  <si>
    <t>ANAH :</t>
  </si>
  <si>
    <t>Région :</t>
  </si>
  <si>
    <t>Financements suite aux travaux réalisés</t>
  </si>
  <si>
    <t>Montant des travaux réalisés :</t>
  </si>
  <si>
    <t>Part ANAH versée :</t>
  </si>
  <si>
    <t>Part Région versée :</t>
  </si>
  <si>
    <t>Le Président</t>
  </si>
  <si>
    <t>Montant</t>
  </si>
  <si>
    <t>Frais AMO</t>
  </si>
  <si>
    <t>Montant AMO - Dossier Action logement</t>
  </si>
  <si>
    <t>Occupant</t>
  </si>
  <si>
    <t>Financeur</t>
  </si>
  <si>
    <t>Valeur</t>
  </si>
  <si>
    <t>RECAPITULATIF FACTURE</t>
  </si>
  <si>
    <t>FACTURE 1</t>
  </si>
  <si>
    <t>FACTURE 2</t>
  </si>
  <si>
    <t>FACTURE 3</t>
  </si>
  <si>
    <t>FACTURE 4</t>
  </si>
  <si>
    <t>FACTURE 5</t>
  </si>
  <si>
    <t>FACTURE 6</t>
  </si>
  <si>
    <t>FACTURE 7</t>
  </si>
  <si>
    <t>FACTURE 8</t>
  </si>
  <si>
    <t>HT Facture</t>
  </si>
  <si>
    <t>TTC Facture</t>
  </si>
  <si>
    <t>Conformité devis/Fact</t>
  </si>
  <si>
    <t>Titre facture</t>
  </si>
  <si>
    <t>N° facture</t>
  </si>
  <si>
    <t>Eligible</t>
  </si>
  <si>
    <t>Base HT</t>
  </si>
  <si>
    <t xml:space="preserve">Prime </t>
  </si>
  <si>
    <t>Résiduel TTC</t>
  </si>
  <si>
    <t>Att</t>
  </si>
  <si>
    <t>Type</t>
  </si>
  <si>
    <t>ETIQUETTE GES</t>
  </si>
  <si>
    <t>ACTION LOGEMENTS - Dossier -----------&gt;</t>
  </si>
  <si>
    <t>ENERGIE</t>
  </si>
  <si>
    <t>ENERGIE+</t>
  </si>
  <si>
    <t>MIXTE +</t>
  </si>
  <si>
    <t>Choix SIM =</t>
  </si>
  <si>
    <t>Choix SIM 1/2</t>
  </si>
  <si>
    <t>HM Sérénité+</t>
  </si>
  <si>
    <t>Type  Travaux</t>
  </si>
  <si>
    <t>FINANCEMENT ALS/ANAH/ASE/ECOCHEQUE - ENERGIE / AUTO</t>
  </si>
  <si>
    <t>TOTAL DU PROJET</t>
  </si>
  <si>
    <t>AMO =&gt;</t>
  </si>
  <si>
    <t>Plafonnement CC sur travaux HT</t>
  </si>
  <si>
    <t>Nbr personnes</t>
  </si>
  <si>
    <t>Gain Cep</t>
  </si>
  <si>
    <t>Propriétaire</t>
  </si>
  <si>
    <t>Plafond HT ANAH</t>
  </si>
  <si>
    <t>Plafond Prime ASE</t>
  </si>
  <si>
    <t>Mixte - Energie+</t>
  </si>
  <si>
    <t>Mixte - Energie</t>
  </si>
  <si>
    <t>Sim 1</t>
  </si>
  <si>
    <t>Sim 2</t>
  </si>
  <si>
    <t>Plafond Anah dossier</t>
  </si>
  <si>
    <t>Plafond ASE dossier</t>
  </si>
  <si>
    <t>Plafond CC Sim1</t>
  </si>
  <si>
    <t>Plafond CC Sim2</t>
  </si>
  <si>
    <t>Année/Type Logement</t>
  </si>
  <si>
    <t>Appart.</t>
  </si>
  <si>
    <t>Date</t>
  </si>
  <si>
    <t>Travaux PROJET</t>
  </si>
  <si>
    <t>Travaux REALISES</t>
  </si>
  <si>
    <t xml:space="preserve">Action-Logement : </t>
  </si>
  <si>
    <t>m² (Av. Tx)</t>
  </si>
  <si>
    <t>m² (Ap. Tx)</t>
  </si>
  <si>
    <t>calcul subvention ANAH et autre sur facture</t>
  </si>
  <si>
    <t>Financeurs du projet</t>
  </si>
  <si>
    <t>ALSANAH</t>
  </si>
  <si>
    <t>SIM1 (Souhait)</t>
  </si>
  <si>
    <t>Plafond prime CC Sim1</t>
  </si>
  <si>
    <t>Plafond prime CC Sim2</t>
  </si>
  <si>
    <t>Taux reel =&gt;</t>
  </si>
  <si>
    <t>DPE</t>
  </si>
  <si>
    <t>Remise DPE</t>
  </si>
  <si>
    <t>Date Commission</t>
  </si>
  <si>
    <t>Date Conseil</t>
  </si>
  <si>
    <t>Montant prévisionnel</t>
  </si>
  <si>
    <t>Date courrier</t>
  </si>
  <si>
    <t>Montant demandé</t>
  </si>
  <si>
    <t>Date de la demande</t>
  </si>
  <si>
    <t>Participation des communes</t>
  </si>
  <si>
    <t>Date des visites =&gt;</t>
  </si>
  <si>
    <t>Type Logt</t>
  </si>
  <si>
    <t>Maison Ind.</t>
  </si>
  <si>
    <t>Maison ville</t>
  </si>
  <si>
    <t>Finance</t>
  </si>
  <si>
    <t>FICHE INFORMATIONS - SUIVI</t>
  </si>
  <si>
    <t>PIECES A FOURNIR</t>
  </si>
  <si>
    <t>DOSSIER ACTION LOGEMENTS</t>
  </si>
  <si>
    <t>Bénéficiaire propriétaire occupant /bailleur ou locataire</t>
  </si>
  <si>
    <t>DOSSIER ANAH</t>
  </si>
  <si>
    <t>DEMANDE DE SOLDE</t>
  </si>
  <si>
    <t>FOURNI</t>
  </si>
  <si>
    <t xml:space="preserve"> Justificatif d’identité (passeport, CNI, Livret de famille ou titre de séjour)</t>
  </si>
  <si>
    <t xml:space="preserve"> Avis d’imposition</t>
  </si>
  <si>
    <t xml:space="preserve"> Justificatif d’identité du représentant légal</t>
  </si>
  <si>
    <t xml:space="preserve"> KBIS de moins de 3 mois de l'entreprise lors du dépôt de la demande d’aide </t>
  </si>
  <si>
    <t xml:space="preserve"> RIB de l’entreprise</t>
  </si>
  <si>
    <t xml:space="preserve"> Devis de travaux de moins de 6 mois</t>
  </si>
  <si>
    <t xml:space="preserve"> Certificat RGE en cours de validité</t>
  </si>
  <si>
    <t xml:space="preserve"> Avis impôts disponible au moment de la demande</t>
  </si>
  <si>
    <t xml:space="preserve"> Avis de taxe d’habitation (Pour N° Invariant)</t>
  </si>
  <si>
    <t xml:space="preserve"> Notification GIR ou carte d’invalidité &gt;80%</t>
  </si>
  <si>
    <t xml:space="preserve"> RIB au nom du bénéficiaire</t>
  </si>
  <si>
    <t xml:space="preserve"> Plan si disponible</t>
  </si>
  <si>
    <t xml:space="preserve"> Devis des entreprises</t>
  </si>
  <si>
    <t xml:space="preserve"> Facture des travaux</t>
  </si>
  <si>
    <t xml:space="preserve"> Demande de paiement au solde (Courrier ANAH)</t>
  </si>
  <si>
    <t xml:space="preserve"> Attestation d’exclusivité CEE </t>
  </si>
  <si>
    <t xml:space="preserve"> Justificatif d’identité (passeport, CNI, ou titre de séjour)</t>
  </si>
  <si>
    <t xml:space="preserve"> Dernier bulletin de salaire</t>
  </si>
  <si>
    <t xml:space="preserve"> Livret de famille</t>
  </si>
  <si>
    <t xml:space="preserve"> RIB</t>
  </si>
  <si>
    <t xml:space="preserve"> Justificatif de propriété (taxe foncière ou attestation notariée)</t>
  </si>
  <si>
    <t xml:space="preserve"> Contrat AMO signé</t>
  </si>
  <si>
    <t>Si présence de co-demandeur</t>
  </si>
  <si>
    <t>Plafond écrettement anah SIM1</t>
  </si>
  <si>
    <t>Ecretement sur TTC</t>
  </si>
  <si>
    <t>Ecrêtement ANAH</t>
  </si>
  <si>
    <t>Autre financeur public</t>
  </si>
  <si>
    <t>Verifier calcul cc + ecretement dossier mixte et auto</t>
  </si>
  <si>
    <t>Formater cellule date</t>
  </si>
  <si>
    <t>Ajouter champs fichier contact</t>
  </si>
  <si>
    <t>Calcul Projet</t>
  </si>
  <si>
    <t>TRAVAUX LOURDS</t>
  </si>
  <si>
    <t>TRAVAUX AUTONOMIE</t>
  </si>
  <si>
    <t>TRAVAUX ENERGIE</t>
  </si>
  <si>
    <t>Voir si CC finance les dossier mixte quand ALS finance 100% de l'auto</t>
  </si>
  <si>
    <t>Revoir porcebtage subv anah quand Tl et energie +</t>
  </si>
  <si>
    <t>Plafonnement aide CC à 2000 Euros  pour mixte et 10000/5000 pour TX LDS</t>
  </si>
  <si>
    <t>Plafond prime CC</t>
  </si>
  <si>
    <t>Prop/Dossier/RFR/TypeDossier</t>
  </si>
  <si>
    <t>Plafonds du dossier en cours</t>
  </si>
  <si>
    <t>Sim2</t>
  </si>
  <si>
    <t>Sim1</t>
  </si>
  <si>
    <t>Identification du dossier</t>
  </si>
  <si>
    <t>Prime ANAH</t>
  </si>
  <si>
    <t>Prime ASE</t>
  </si>
  <si>
    <t>OK</t>
  </si>
  <si>
    <t>Taux ANAH Sim1</t>
  </si>
  <si>
    <t>Taux ANAH Sim2</t>
  </si>
  <si>
    <t>Probleme calcul prime AnAH et ASE quand Sim 1 en dossier HMS et Sim2 en HMSB</t>
  </si>
  <si>
    <t>Ajouter etiquette nom cellule "Nom dossier en cours" pour supprimer cacatener dans les formules</t>
  </si>
  <si>
    <t>Catégorie travaux ALS</t>
  </si>
  <si>
    <t>TRX_LOURD+</t>
  </si>
  <si>
    <t>Modification à faire</t>
  </si>
  <si>
    <t>Modifier condition pour affichage "SOLDE" fonction de partcipation CC ou non dans fiche de calcul</t>
  </si>
  <si>
    <t>N° Dépôt=&gt;</t>
  </si>
  <si>
    <t>N° Platef.=&gt;</t>
  </si>
  <si>
    <t>Protéger cellule pass=toto</t>
  </si>
  <si>
    <t>LOGEMENT</t>
  </si>
  <si>
    <t>FISCAL</t>
  </si>
  <si>
    <t>SP</t>
  </si>
  <si>
    <t>Animateur référent</t>
  </si>
  <si>
    <t>PF</t>
  </si>
  <si>
    <t>1ère visite</t>
  </si>
  <si>
    <t>Justificatifs des entreprises accompagnant le projet (ALS)</t>
  </si>
  <si>
    <t>Commentaires :</t>
  </si>
  <si>
    <t>Attente</t>
  </si>
  <si>
    <t>Abandon</t>
  </si>
  <si>
    <t>Prorogation</t>
  </si>
  <si>
    <t>VISITES</t>
  </si>
  <si>
    <t>COMMENTAIRES</t>
  </si>
  <si>
    <t>=&gt;</t>
  </si>
  <si>
    <t>Catégorie Evénement</t>
  </si>
  <si>
    <t xml:space="preserve">Evènements dossier : </t>
  </si>
  <si>
    <t>Statut du logement avant travaux</t>
  </si>
  <si>
    <t>RP</t>
  </si>
  <si>
    <t>Résidence principale</t>
  </si>
  <si>
    <t>RS</t>
  </si>
  <si>
    <t>Résidence secondaire</t>
  </si>
  <si>
    <t>LV</t>
  </si>
  <si>
    <t>Logement vacant</t>
  </si>
  <si>
    <t>LO</t>
  </si>
  <si>
    <t>Logement PB occupé</t>
  </si>
  <si>
    <t>Statut Logt avant travaux</t>
  </si>
  <si>
    <t>Primo-accédant</t>
  </si>
  <si>
    <t>Modification</t>
  </si>
  <si>
    <t>Revoir macro protection cpiper coller et verrou</t>
  </si>
  <si>
    <t>Macro dissocier verrou de l'effacement de cellules blanches</t>
  </si>
  <si>
    <t>Colorier en blanc ou couleur le tour des tableaux pour alléger VBA RAZ</t>
  </si>
  <si>
    <t>Probleme sur plafond prime CC quand 2000 est superieur à 10% des travaux HT</t>
  </si>
  <si>
    <t>Prime CC avec écrêtement du plafond CC (10% ou 20%)</t>
  </si>
  <si>
    <t>Prime CC hors plafond des 10% ou 20%</t>
  </si>
  <si>
    <t>Ajouter conditions pour mini travaux 1500 euros HT pour revenus modeste</t>
  </si>
  <si>
    <t xml:space="preserve">A tester </t>
  </si>
  <si>
    <t>Calcul pime CC sur résiduel ANAH après déduction ALS</t>
  </si>
  <si>
    <t>Plafond 80% HT base calcul</t>
  </si>
  <si>
    <t>Ajouter sim retenu sur plan de financement ALS</t>
  </si>
  <si>
    <t>Incohérence type dossier HSE et HSE-D dans fiche de calcul et fichier contact</t>
  </si>
  <si>
    <t>Refaire taux de subvention avec TTC Base anah</t>
  </si>
  <si>
    <t>Intégrer condition si GES augmente donc avec saisi des GES sur sim1 et sim2</t>
  </si>
  <si>
    <t>Vérififier total prime avant CC avec ou sans ALS</t>
  </si>
  <si>
    <t>Modification erreur repartition prime ASE sur SIM2 + arrondi prime ASE SIm2</t>
  </si>
  <si>
    <t>Ajouter TTC sur résiduel ANAH après déduction ALS calquer sur fiche VANTAGGIO</t>
  </si>
  <si>
    <t>ACTION LOGEMENTS</t>
  </si>
  <si>
    <t>Montant de l'aide Action Logements</t>
  </si>
  <si>
    <t>Base calcul ANAH</t>
  </si>
  <si>
    <t>Erreur sur plafond revenus ANAH modeste + 4 personnes</t>
  </si>
  <si>
    <t>Base ANAH (Sans ALS)</t>
  </si>
  <si>
    <t>Projet (Avec ALS)</t>
  </si>
  <si>
    <t>Avant participation CC</t>
  </si>
  <si>
    <t>Après participation CC</t>
  </si>
  <si>
    <t>TOTAL des subventions</t>
  </si>
  <si>
    <t>Taux de subvention / HT</t>
  </si>
  <si>
    <t>Taux de subvention / TTC</t>
  </si>
  <si>
    <t>INV</t>
  </si>
  <si>
    <t>SUBVENTIONS "PUBLIQUES"</t>
  </si>
  <si>
    <t>SIM2 (Préco)</t>
  </si>
  <si>
    <t>Montants des travaux</t>
  </si>
  <si>
    <t>Assiette subventionnable</t>
  </si>
  <si>
    <t>Subvention 100%</t>
  </si>
  <si>
    <t>Assiette résiduelle</t>
  </si>
  <si>
    <t>Eligibilité Anah</t>
  </si>
  <si>
    <t>Reste à charge</t>
  </si>
  <si>
    <t>Dans SIM</t>
  </si>
  <si>
    <t>Eligible ALS</t>
  </si>
  <si>
    <t>Frais d'AMO</t>
  </si>
  <si>
    <t>Eligibilité ALS</t>
  </si>
  <si>
    <t>Subvention                                  Anah  + Prime HM</t>
  </si>
  <si>
    <t>Opah du Haut-Dadou</t>
  </si>
  <si>
    <t>Plan de financement Action Logement / Anah</t>
  </si>
  <si>
    <t>Rajout export PdF ALS/ANAH vers fichier PDF dans le même dossier</t>
  </si>
  <si>
    <t>Erreur sur résultat final quand ecrêtement anah - Pb arrondi de la valeur d'ecrêtement</t>
  </si>
  <si>
    <t>Travaux</t>
  </si>
  <si>
    <t>Caisse de retraite ou autre financeur</t>
  </si>
  <si>
    <t>Reste à charge (Hors CC / CR)</t>
  </si>
  <si>
    <t>40278833500014</t>
  </si>
  <si>
    <t>52328919700023</t>
  </si>
  <si>
    <t xml:space="preserve">Chemin base entreprises : </t>
  </si>
  <si>
    <t>SIRET</t>
  </si>
  <si>
    <t>Adresse 1</t>
  </si>
  <si>
    <t xml:space="preserve">Adresse 2 </t>
  </si>
  <si>
    <t>ESTIMATION</t>
  </si>
  <si>
    <t>DIVERS</t>
  </si>
  <si>
    <t>DIVERS ENTREPRISES</t>
  </si>
  <si>
    <t>78989218900026</t>
  </si>
  <si>
    <t>34197197600012</t>
  </si>
  <si>
    <t>48764934500021</t>
  </si>
  <si>
    <t>50210200700049</t>
  </si>
  <si>
    <t>44846653200018</t>
  </si>
  <si>
    <t>49133081700025</t>
  </si>
  <si>
    <t>44881691800032</t>
  </si>
  <si>
    <t>50946943300015</t>
  </si>
  <si>
    <t>33224613100020</t>
  </si>
  <si>
    <t>39448564300016</t>
  </si>
  <si>
    <t>48129658000014</t>
  </si>
  <si>
    <t>81925573800026</t>
  </si>
  <si>
    <t>42370168900022</t>
  </si>
  <si>
    <t>83511515500011</t>
  </si>
  <si>
    <t>32977576100037</t>
  </si>
  <si>
    <t>53811322600012</t>
  </si>
  <si>
    <t>51743655600024</t>
  </si>
  <si>
    <t>42048371100024</t>
  </si>
  <si>
    <t>80894744400010</t>
  </si>
  <si>
    <t>38502492200044</t>
  </si>
  <si>
    <t>53528136400021</t>
  </si>
  <si>
    <t>42991167000041</t>
  </si>
  <si>
    <t>48934940700010</t>
  </si>
  <si>
    <t>45048496900024</t>
  </si>
  <si>
    <t>43038559100010</t>
  </si>
  <si>
    <t>87952831300015</t>
  </si>
  <si>
    <t>83145845000010</t>
  </si>
  <si>
    <t>50472144000023</t>
  </si>
  <si>
    <t>39783447400017</t>
  </si>
  <si>
    <t>43527957500037</t>
  </si>
  <si>
    <t>38791902000025</t>
  </si>
  <si>
    <t>43296653900012</t>
  </si>
  <si>
    <t>42887579300039</t>
  </si>
  <si>
    <t>33769112500021</t>
  </si>
  <si>
    <t>53481408200028</t>
  </si>
  <si>
    <t>82407503000026</t>
  </si>
  <si>
    <t>75357586900049</t>
  </si>
  <si>
    <t>44233466000036</t>
  </si>
  <si>
    <t>82822837900016</t>
  </si>
  <si>
    <t>84341940900019</t>
  </si>
  <si>
    <t>53197733800023</t>
  </si>
  <si>
    <t>79842290300012</t>
  </si>
  <si>
    <t>75261844700011</t>
  </si>
  <si>
    <t>85216643800014</t>
  </si>
  <si>
    <t>30502427500060</t>
  </si>
  <si>
    <t>49141602000023</t>
  </si>
  <si>
    <t>42262204300020</t>
  </si>
  <si>
    <t>41818738100011</t>
  </si>
  <si>
    <t>81764486700019</t>
  </si>
  <si>
    <t>47785777500027</t>
  </si>
  <si>
    <t>48248608100037</t>
  </si>
  <si>
    <t>Dossier =&gt;</t>
  </si>
  <si>
    <t>49789872600029</t>
  </si>
  <si>
    <t>49084564100029</t>
  </si>
  <si>
    <t>49990369800045</t>
  </si>
  <si>
    <t>40524361900013</t>
  </si>
  <si>
    <t>53271447400014</t>
  </si>
  <si>
    <t>RECAPITULATIF FACTURES / REGLEMENTS</t>
  </si>
  <si>
    <t>Travaux TTC =&gt;</t>
  </si>
  <si>
    <t>FACT/RGT</t>
  </si>
  <si>
    <t>Type FACT/RGT</t>
  </si>
  <si>
    <t>Reste à payer</t>
  </si>
  <si>
    <t>Reste à facturer</t>
  </si>
  <si>
    <t>BUDGET</t>
  </si>
  <si>
    <t>Caiss. Retraite</t>
  </si>
  <si>
    <t>Prime CC</t>
  </si>
  <si>
    <t>RESTE A CHARGE</t>
  </si>
  <si>
    <t>Prévu</t>
  </si>
  <si>
    <t xml:space="preserve">Reste </t>
  </si>
  <si>
    <t>Type Facture / Règlement</t>
  </si>
  <si>
    <t>FACTURE</t>
  </si>
  <si>
    <t>REGLEMENT</t>
  </si>
  <si>
    <t>Intermédiaire</t>
  </si>
  <si>
    <t>SIM Solde</t>
  </si>
  <si>
    <t>Sim Solde</t>
  </si>
  <si>
    <t>SOLDE</t>
  </si>
  <si>
    <t>PROJET</t>
  </si>
  <si>
    <t>Taux ANAH Sim solde</t>
  </si>
  <si>
    <t>Plafond CC Sim Solde</t>
  </si>
  <si>
    <t>Plafond écrettement anah SIM Solde</t>
  </si>
  <si>
    <t>Plafond prime CC Sim Solde</t>
  </si>
  <si>
    <t>Dossier=&gt;</t>
  </si>
  <si>
    <t>43318867900016</t>
  </si>
  <si>
    <t>52991730400022</t>
  </si>
  <si>
    <t>71692048300022</t>
  </si>
  <si>
    <t>50499582000017</t>
  </si>
  <si>
    <t>Commentaires</t>
  </si>
  <si>
    <t>Prime Passoire</t>
  </si>
  <si>
    <t>Prime BBC</t>
  </si>
  <si>
    <t>Prime ASE - Passoire thermiques</t>
  </si>
  <si>
    <t>Prime ASE - Basse Consommation</t>
  </si>
  <si>
    <t>Passoire</t>
  </si>
  <si>
    <t>BBC</t>
  </si>
  <si>
    <t>Part Caisse de retraite versée</t>
  </si>
  <si>
    <t>Part Action-Logement versée :</t>
  </si>
  <si>
    <t>Aide CCMAV =&gt;</t>
  </si>
  <si>
    <t>Autres (Prime 3CT…) =&gt;</t>
  </si>
  <si>
    <t>Autres (Primes "Bastide"…)</t>
  </si>
  <si>
    <t>Part versée autres (Prime "Bastide"…)</t>
  </si>
  <si>
    <t>49832939000021</t>
  </si>
  <si>
    <t>80171386800027</t>
  </si>
  <si>
    <t>48271198300031</t>
  </si>
  <si>
    <t>45349522800042</t>
  </si>
  <si>
    <t>52371468100054</t>
  </si>
  <si>
    <t>47813865400015</t>
  </si>
  <si>
    <t>41330261300026</t>
  </si>
  <si>
    <t>53005594600020</t>
  </si>
  <si>
    <t>41157119300019</t>
  </si>
  <si>
    <t>48466355400026</t>
  </si>
  <si>
    <t>81010600500012</t>
  </si>
  <si>
    <t>38285961900043</t>
  </si>
  <si>
    <t>43399430800016</t>
  </si>
  <si>
    <t>33435627600025</t>
  </si>
  <si>
    <t>44765356900015</t>
  </si>
  <si>
    <t>33803796300018</t>
  </si>
  <si>
    <t>80171386800017</t>
  </si>
  <si>
    <t>52807101200017</t>
  </si>
  <si>
    <t>80302725900016</t>
  </si>
  <si>
    <t>85066804700010</t>
  </si>
  <si>
    <t>\DOC_ENTREPRISES\Base_Entreprises.xlsx</t>
  </si>
  <si>
    <t>ARCVOI</t>
  </si>
  <si>
    <t>VVCVLYY EYIJORAUJS</t>
  </si>
  <si>
    <t>VINNKFFSCB JRUOICBES</t>
  </si>
  <si>
    <t>QGXFCYC SZZI</t>
  </si>
  <si>
    <t>STNFNALA</t>
  </si>
  <si>
    <t>DZ+ CHNONGLV</t>
  </si>
  <si>
    <t>GZBBUC Jfoufpnd</t>
  </si>
  <si>
    <t>PKG FQMQKG MJVCOJ</t>
  </si>
  <si>
    <t>SLAWMS Aezxjs</t>
  </si>
  <si>
    <t>AXGSDQ Otbmebj</t>
  </si>
  <si>
    <t>MXBHBWP Xtsnououct</t>
  </si>
  <si>
    <t>JRJETXRQ JZQU</t>
  </si>
  <si>
    <t>BNCNXCDN IAHYXKCEKKX</t>
  </si>
  <si>
    <t>KG ZGKVFU</t>
  </si>
  <si>
    <t>RZRHHBJT Jgcuek &amp;gie; Alggnl</t>
  </si>
  <si>
    <t>AIJHWW GISM</t>
  </si>
  <si>
    <t>FDCEUXUPSV SZPHFO</t>
  </si>
  <si>
    <t>SFEK YNKPQB</t>
  </si>
  <si>
    <t>WMK GVGHA</t>
  </si>
  <si>
    <t>TUF</t>
  </si>
  <si>
    <t>IS 20 (KLFLMM QLOKY)</t>
  </si>
  <si>
    <t>MLWQYIAE NZMMPAFBN</t>
  </si>
  <si>
    <t>VCCR FBZDM Xgya-Vnlgwr &amp;rkz; Cxvs</t>
  </si>
  <si>
    <t>Wgbewm Mzxvjunqq</t>
  </si>
  <si>
    <t>LEPJ</t>
  </si>
  <si>
    <t>BCRWIJDLJ Gxsgyoz</t>
  </si>
  <si>
    <t>WNBHMNKY SHSQ ICFV</t>
  </si>
  <si>
    <t>COQV LWVHGP YTV DWWDPSEZA</t>
  </si>
  <si>
    <t>HALQKV Ftrpprrc</t>
  </si>
  <si>
    <t>LJQYJHLRLK Uxxpmsyy</t>
  </si>
  <si>
    <t>EPHZIR</t>
  </si>
  <si>
    <t>TDKHTKZARR</t>
  </si>
  <si>
    <t>CBX ZBXWM OOC &amp;qrs; WTTH</t>
  </si>
  <si>
    <t>PMHIP FIFCG</t>
  </si>
  <si>
    <t>ZZFPW &amp;fph; GRNS</t>
  </si>
  <si>
    <t>QFN</t>
  </si>
  <si>
    <t>RVEIJF</t>
  </si>
  <si>
    <t>BLDC HQMGHIIP</t>
  </si>
  <si>
    <t>YEEKNE</t>
  </si>
  <si>
    <t>CGXD ABHWF'BFZW</t>
  </si>
  <si>
    <t>PX UFVPK BDPEC</t>
  </si>
  <si>
    <t>LWMS YPYA 23</t>
  </si>
  <si>
    <t>GBQJBKE Zstkkrtyfp</t>
  </si>
  <si>
    <t>ZDXFAGV GIHA LZPQ OESE</t>
  </si>
  <si>
    <t>TQCD AHGT QGXNBBBW</t>
  </si>
  <si>
    <t>MBDQHIKEONK Hfyvkb</t>
  </si>
  <si>
    <t>UJZBY</t>
  </si>
  <si>
    <t>VBKSOFARYCW ZGZBWG</t>
  </si>
  <si>
    <t>Fcxvzct IIJERB</t>
  </si>
  <si>
    <t>IMVXXHIGL Cuzzh</t>
  </si>
  <si>
    <t>GPOTFKLQHT KQSNINM</t>
  </si>
  <si>
    <t>VHFM XAKJBFIT Secculg</t>
  </si>
  <si>
    <t>KAPZ SXZZHYO</t>
  </si>
  <si>
    <t>Bwca QYGCREGH</t>
  </si>
  <si>
    <t>DUNLQEWCO Ocktpijw</t>
  </si>
  <si>
    <t>CI AENIYRQLCSP</t>
  </si>
  <si>
    <t>KNSMKRSU</t>
  </si>
  <si>
    <t>VRJK OAUO ZGXHJUHQ</t>
  </si>
  <si>
    <t>TYHUY Dceyytl</t>
  </si>
  <si>
    <t>VYQP SUHOJ RJDGRYUFC</t>
  </si>
  <si>
    <t>JVLTQBRD</t>
  </si>
  <si>
    <t>PFJFN - WFBCGU</t>
  </si>
  <si>
    <t>QCGTAG</t>
  </si>
  <si>
    <t>GQSJLYOUPR MFZDSYPSUBWWWP</t>
  </si>
  <si>
    <t>WUXU DYWWTU Mrsmxg</t>
  </si>
  <si>
    <t>EUCAQPH JOMYCF</t>
  </si>
  <si>
    <t>BQH PHTUUBDU</t>
  </si>
  <si>
    <t>HTUJFL Cmgpje</t>
  </si>
  <si>
    <t>VMTCG Lrjjuct</t>
  </si>
  <si>
    <t>YXOZ EOLNK HWQ</t>
  </si>
  <si>
    <t>MGSFIPA XRKEJSIVMAQ PJPE</t>
  </si>
  <si>
    <t>IMFFJQV Uoocyfoi</t>
  </si>
  <si>
    <t>JBNS Hrinmjrqqjkyq</t>
  </si>
  <si>
    <t>IPHRUUI</t>
  </si>
  <si>
    <t>MBLB LCWLN</t>
  </si>
  <si>
    <t>ZBMZ ETCFIQKF</t>
  </si>
  <si>
    <t>VJISHBW Rvzuvtl</t>
  </si>
  <si>
    <t>Feip DFJTIFK</t>
  </si>
  <si>
    <t>USCKBSENQK AZWLITPWMEMZYI</t>
  </si>
  <si>
    <t>RIZS YHURI Giglpekg</t>
  </si>
  <si>
    <t>PAEIRPBJL</t>
  </si>
  <si>
    <t>USCKBSENQK AZWLITPWME</t>
  </si>
  <si>
    <t>AVZOZZ</t>
  </si>
  <si>
    <t>IYLQAVB MZQPJPXJPW</t>
  </si>
  <si>
    <t>FMLZBCORZO UBVGRAMJI</t>
  </si>
  <si>
    <t>FZSTGNW NABC</t>
  </si>
  <si>
    <t>IWPESMQY</t>
  </si>
  <si>
    <t>JS+ RQDVKDHI</t>
  </si>
  <si>
    <t>LSBKUN Djiwnvhm</t>
  </si>
  <si>
    <t>YPV MVGLLA CIQASH</t>
  </si>
  <si>
    <t>QDRIBS Kpnqxw</t>
  </si>
  <si>
    <t>PGLNED Fqwtbnd</t>
  </si>
  <si>
    <t>MQJNWZK Oqpmqsvbfz</t>
  </si>
  <si>
    <t>ZSBNRYYY HUHO</t>
  </si>
  <si>
    <t>JOONWJHQ ABWXRDHBRRF</t>
  </si>
  <si>
    <t>EU SQJKHA</t>
  </si>
  <si>
    <t>KWIXCIXU Oneovl &amp;btz;keo; Zlykph</t>
  </si>
  <si>
    <t>IOZNHD HGGF</t>
  </si>
  <si>
    <t>NMNAXFUEJC HJXUBL</t>
  </si>
  <si>
    <t>HPDR IKHKHT</t>
  </si>
  <si>
    <t>HUS WNSOX</t>
  </si>
  <si>
    <t>UWH</t>
  </si>
  <si>
    <t>DY 78 (KDYMJN TCCBM)</t>
  </si>
  <si>
    <t>BQCSKFTJ AQMTCZFRM</t>
  </si>
  <si>
    <t>PLLD OOAYW Brxx-Mutoyx &amp;die;uxc; Ruae</t>
  </si>
  <si>
    <t>Qlhopy Biuogzuku</t>
  </si>
  <si>
    <t>OBGB</t>
  </si>
  <si>
    <t>FGMBKXPTU Rrrvkwi</t>
  </si>
  <si>
    <t>GURBCHFD XBSB QIYL</t>
  </si>
  <si>
    <t>BITM KUPKSJ QMR XGGUTZACO</t>
  </si>
  <si>
    <t>EUIAVO Ditjwbbn</t>
  </si>
  <si>
    <t>XEHTRKHUCY Bgvzgfsd</t>
  </si>
  <si>
    <t>LLHGJL</t>
  </si>
  <si>
    <t>BUQYJAYWQY</t>
  </si>
  <si>
    <t>BNU AQKAP PLY &amp;toi;ydu; ZLWQ</t>
  </si>
  <si>
    <t>ULRSB UNMKE</t>
  </si>
  <si>
    <t>PJQDW &amp;ruc;pig; ACQW</t>
  </si>
  <si>
    <t>LGF</t>
  </si>
  <si>
    <t>YAXFDT</t>
  </si>
  <si>
    <t>SJAA JRYEWKKW</t>
  </si>
  <si>
    <t>AXJBGP</t>
  </si>
  <si>
    <t>GEMU ESTIZ'RKCU</t>
  </si>
  <si>
    <t>YW VHDNT XLNHZ</t>
  </si>
  <si>
    <t>MAUC BLAZ 66</t>
  </si>
  <si>
    <t>BAXFKCI Imskytlxiy</t>
  </si>
  <si>
    <t>MXXQYJU PWXG KHER CNZD</t>
  </si>
  <si>
    <t>CEVF KAJZ MSDCLKBQ</t>
  </si>
  <si>
    <t>TKYOWHZPZMT Yobneg</t>
  </si>
  <si>
    <t>XJWZL</t>
  </si>
  <si>
    <t>KSYJBUPMHKK OQFRYT</t>
  </si>
  <si>
    <t>Osrdxyr IUBPVX</t>
  </si>
  <si>
    <t>CIUMXCRTD Gljdw</t>
  </si>
  <si>
    <t>BWIFPMJUUW SAXTYEK</t>
  </si>
  <si>
    <t>GJRJ OEYVLTKX Srgmhpu</t>
  </si>
  <si>
    <t>MZKS BKIEBZQ</t>
  </si>
  <si>
    <t>Dyuz QBWUYPOU</t>
  </si>
  <si>
    <t>NQRBHWFKO Qbwphcxf</t>
  </si>
  <si>
    <t>TH OOZRDIWLYUF</t>
  </si>
  <si>
    <t>PPWFRTJY</t>
  </si>
  <si>
    <t>RNYT CKQE XRTHQUOL</t>
  </si>
  <si>
    <t>SCLSP Ogrwxje</t>
  </si>
  <si>
    <t>RVEI PRHNR KMHVIWDBZ</t>
  </si>
  <si>
    <t>LWFXFMAT</t>
  </si>
  <si>
    <t>DXBGB - FDZURJ</t>
  </si>
  <si>
    <t>XPOYNP</t>
  </si>
  <si>
    <t>PPVBFDFBTO ESZDABSYRUVBQI</t>
  </si>
  <si>
    <t>LHZC MHXMWY Qofrlv</t>
  </si>
  <si>
    <t>GYKPYNW IMHFET</t>
  </si>
  <si>
    <t>FMZ PDQMVDXV</t>
  </si>
  <si>
    <t>OIJRCZ Jlaztv</t>
  </si>
  <si>
    <t>LWAKY Abfeupy</t>
  </si>
  <si>
    <t>QPDA PIVHD REC</t>
  </si>
  <si>
    <t>BHAOLDC YZUYYOAHVDR ZLOD</t>
  </si>
  <si>
    <t>NTOGUFO Rrdyiprj</t>
  </si>
  <si>
    <t>UUMX Mafflltzbogfr</t>
  </si>
  <si>
    <t>OPJKWNP</t>
  </si>
  <si>
    <t>YSFX OWHEC</t>
  </si>
  <si>
    <t>JACL APVMFPYT</t>
  </si>
  <si>
    <t>PYTYECR Idbzhdh</t>
  </si>
  <si>
    <t>Ykzw ELSAXNM</t>
  </si>
  <si>
    <t>NXLZQNWTKI XXHJFJZNXMQWVU</t>
  </si>
  <si>
    <t>HHDE RSJFD Hucsnlrm</t>
  </si>
  <si>
    <t>KPIGJMOIQ</t>
  </si>
  <si>
    <t>KPIGJMOIQdqsd</t>
  </si>
  <si>
    <t>OHAJE</t>
  </si>
  <si>
    <t>KBPDU</t>
  </si>
  <si>
    <t>GZZJN XRSKU</t>
  </si>
  <si>
    <t>SNAQSBWT</t>
  </si>
  <si>
    <t>YYQQGIWCQHE</t>
  </si>
  <si>
    <t>QLDX</t>
  </si>
  <si>
    <t>CWHUOIMCTS-OOMRJG</t>
  </si>
  <si>
    <t>QIOOWTVQN</t>
  </si>
  <si>
    <t>QBEFNQDP</t>
  </si>
  <si>
    <t>CACMDVWLZ</t>
  </si>
  <si>
    <t>ZDILM</t>
  </si>
  <si>
    <t>CH-TJRPMA OJ DKVQFJH</t>
  </si>
  <si>
    <t>NGHFZTS</t>
  </si>
  <si>
    <t>UDCX</t>
  </si>
  <si>
    <t>WKEMMKUJEE-JDONRE</t>
  </si>
  <si>
    <t>MASIWVG</t>
  </si>
  <si>
    <t>HFMCUDZRY</t>
  </si>
  <si>
    <t>EE-ZOHMVJM-QF-FRKRNHA</t>
  </si>
  <si>
    <t>CEPBKSGZA</t>
  </si>
  <si>
    <t>JCDZVXEKSR</t>
  </si>
  <si>
    <t>RBFGC-KIBFP-DHLCUEDJG</t>
  </si>
  <si>
    <t>LOPQFIWP</t>
  </si>
  <si>
    <t>QIIMNHMIYFUS E'REYR</t>
  </si>
  <si>
    <t>ULAB</t>
  </si>
  <si>
    <t>BSVVI QKSV KEGQTIO</t>
  </si>
  <si>
    <t>ZHXOB EZLJHS HO QTNSAOM</t>
  </si>
  <si>
    <t>CLREYEP U'NCGW</t>
  </si>
  <si>
    <t>DCLPORO Q'RZLQHSLZL</t>
  </si>
  <si>
    <t>YPDAKXWJJ</t>
  </si>
  <si>
    <t>QGYVEFTC</t>
  </si>
  <si>
    <t>RSXLTNSAV</t>
  </si>
  <si>
    <t>BDIUWHS</t>
  </si>
  <si>
    <t>RRVHVLLNTXUO E'ZRCS</t>
  </si>
  <si>
    <t>FSRSXNWZTFI</t>
  </si>
  <si>
    <t>CBQIGWTJCS-AMIKYK</t>
  </si>
  <si>
    <t>IO DLWDDGGSK</t>
  </si>
  <si>
    <t>MSRDMQD S'HMALKNRIU</t>
  </si>
  <si>
    <t>WR YXDGFGGAM</t>
  </si>
  <si>
    <t>YZ DMIQYJKRE</t>
  </si>
  <si>
    <t>AWOS</t>
  </si>
  <si>
    <t>VEBRAVRC</t>
  </si>
  <si>
    <t>JYUHK-ABCYQ</t>
  </si>
  <si>
    <t>WKYR</t>
  </si>
  <si>
    <t>MDFDSU</t>
  </si>
  <si>
    <t>SKNZG-PROXT-ZCRNKEWWZ</t>
  </si>
  <si>
    <t>IFLQXDWBK</t>
  </si>
  <si>
    <t>XEWXBLESA</t>
  </si>
  <si>
    <t>LAMB</t>
  </si>
  <si>
    <t>QIIQO WA LEDRBALW</t>
  </si>
  <si>
    <t>OHRCA</t>
  </si>
  <si>
    <t>FGJYSJCLH</t>
  </si>
  <si>
    <t>SGQNQJA N'HVTM</t>
  </si>
  <si>
    <t>JYGVWJHD</t>
  </si>
  <si>
    <t>GA CJPYFQL</t>
  </si>
  <si>
    <t>IQHTISW</t>
  </si>
  <si>
    <t>IYQMOWJ</t>
  </si>
  <si>
    <t>CXLA</t>
  </si>
  <si>
    <t>WQGXKRC</t>
  </si>
  <si>
    <t>BXPXG</t>
  </si>
  <si>
    <t>BNMA</t>
  </si>
  <si>
    <t>NTPZKIC</t>
  </si>
  <si>
    <t>JQAMP PORISIQ</t>
  </si>
  <si>
    <t>JJKVWMEKB</t>
  </si>
  <si>
    <t>WDODYPBQCA-HXXMAV</t>
  </si>
  <si>
    <t>HRGTQIQ</t>
  </si>
  <si>
    <t>AIACJVF</t>
  </si>
  <si>
    <t>RRKCGZLS</t>
  </si>
  <si>
    <t>ITWUD OSUYMY EI UJVBTKY</t>
  </si>
  <si>
    <t>WMNC</t>
  </si>
  <si>
    <t>DTHMGATDL</t>
  </si>
  <si>
    <t>KJPQRYYL</t>
  </si>
  <si>
    <t>GDWEY</t>
  </si>
  <si>
    <t>GFTDGVO</t>
  </si>
  <si>
    <t>LMTJ</t>
  </si>
  <si>
    <t>YLNGNXDIXF</t>
  </si>
  <si>
    <t>TSWVTBWQ</t>
  </si>
  <si>
    <t>EPBSVLZAT</t>
  </si>
  <si>
    <t>XIKONDQ</t>
  </si>
  <si>
    <t>HBWDSPEJNQ-BJUBDP</t>
  </si>
  <si>
    <t>XIUDC</t>
  </si>
  <si>
    <t>YAYJSVISLJKO</t>
  </si>
  <si>
    <t>EJOUIITGHQH</t>
  </si>
  <si>
    <t>WHHNY</t>
  </si>
  <si>
    <t>JBZOA</t>
  </si>
  <si>
    <t>ZMOXG RKQAX</t>
  </si>
  <si>
    <t>ZMVCCBPL</t>
  </si>
  <si>
    <t>ADWZKTYYAXE</t>
  </si>
  <si>
    <t>HUYT</t>
  </si>
  <si>
    <t>WVDMBBSNEL-RTNCVB</t>
  </si>
  <si>
    <t>DLNNZBTBZ</t>
  </si>
  <si>
    <t>LILXYVSZ</t>
  </si>
  <si>
    <t>TFPNBPYPJ</t>
  </si>
  <si>
    <t>GGVPG</t>
  </si>
  <si>
    <t>TP-MILICK MN FMFCLOD</t>
  </si>
  <si>
    <t>ERJVOES</t>
  </si>
  <si>
    <t>ELZU</t>
  </si>
  <si>
    <t>CCLOCFSOFE-PKDMNQ</t>
  </si>
  <si>
    <t>KKWFJGE</t>
  </si>
  <si>
    <t>AMDBCKOQE</t>
  </si>
  <si>
    <t>MD-XMWOHKP-BZ-FCAYBEG</t>
  </si>
  <si>
    <t>XQKKVQEJN</t>
  </si>
  <si>
    <t>EPQPWBPOCH</t>
  </si>
  <si>
    <t>WHKDQ-PZWHE-LEXOIQKAK</t>
  </si>
  <si>
    <t>NZIFPCFA</t>
  </si>
  <si>
    <t>PKHHTBUUPEXP P'FWDS</t>
  </si>
  <si>
    <t>KFKD</t>
  </si>
  <si>
    <t>PSFJY IZYU EGFTDLD</t>
  </si>
  <si>
    <t>NJKKU UOXJAP PI NODHNZZ</t>
  </si>
  <si>
    <t>KXSTRYK V'TWAJ</t>
  </si>
  <si>
    <t>UPRYKZO J'YHNLYIFQC</t>
  </si>
  <si>
    <t>HFYBZVTLS</t>
  </si>
  <si>
    <t>PYADDWOA</t>
  </si>
  <si>
    <t>JJORRWREA</t>
  </si>
  <si>
    <t>LGJYNHQ</t>
  </si>
  <si>
    <t>KRAALOYJRKFZ Q'SSHM</t>
  </si>
  <si>
    <t>RYDWMNYYKPX</t>
  </si>
  <si>
    <t>QQFYJSEBFS-CMCVHI</t>
  </si>
  <si>
    <t>GY OMDVQLUEJ</t>
  </si>
  <si>
    <t>ZGSWJMO W'BNTYKXUVB</t>
  </si>
  <si>
    <t>SQ IBVMUVFXB</t>
  </si>
  <si>
    <t>IZ ERJKTWKYK</t>
  </si>
  <si>
    <t>LODH</t>
  </si>
  <si>
    <t>BGBCLSVV</t>
  </si>
  <si>
    <t>JADID-HFXHN</t>
  </si>
  <si>
    <t>JWSC</t>
  </si>
  <si>
    <t>MORXFG</t>
  </si>
  <si>
    <t>ZVFOX-XVLEW-UVETIOKOB</t>
  </si>
  <si>
    <t>ZAHOJXQAK</t>
  </si>
  <si>
    <t>QYQJCBXOI</t>
  </si>
  <si>
    <t>HSLA</t>
  </si>
  <si>
    <t>RKSXD RO JMHDFSTV</t>
  </si>
  <si>
    <t>ISRKT</t>
  </si>
  <si>
    <t>FKTYUXZNN</t>
  </si>
  <si>
    <t>SVOYPFU S'NFTE</t>
  </si>
  <si>
    <t>QSFXCVFD</t>
  </si>
  <si>
    <t>OX GECWWUI</t>
  </si>
  <si>
    <t>MZTCJTC</t>
  </si>
  <si>
    <t>HZDWCMA</t>
  </si>
  <si>
    <t>LTUE</t>
  </si>
  <si>
    <t>RWUOCFC</t>
  </si>
  <si>
    <t>YOSPB</t>
  </si>
  <si>
    <t>VADK</t>
  </si>
  <si>
    <t>SMPECPD</t>
  </si>
  <si>
    <t>ZEMVL JONQQQZ</t>
  </si>
  <si>
    <t>IZWVZAYJA</t>
  </si>
  <si>
    <t>XXTFRIUUSD-FBULIU</t>
  </si>
  <si>
    <t>OJBDGON</t>
  </si>
  <si>
    <t>EDVCRXW</t>
  </si>
  <si>
    <t>LAYCUDPU</t>
  </si>
  <si>
    <t>IMPFQ BDIYQL XO RQVCSJK</t>
  </si>
  <si>
    <t>BXCS</t>
  </si>
  <si>
    <t>RFIRCHGTH</t>
  </si>
  <si>
    <t>RMGKMECP</t>
  </si>
  <si>
    <t>JGKQM</t>
  </si>
  <si>
    <t>QGZCYWW</t>
  </si>
  <si>
    <t>EWYB</t>
  </si>
  <si>
    <t>DAIATOQUDV</t>
  </si>
  <si>
    <t>DDFBMURG</t>
  </si>
  <si>
    <t>UIBJUPJYS</t>
  </si>
  <si>
    <t>JWEWFJR</t>
  </si>
  <si>
    <t>JXWPHDHDMY-BBYXDU</t>
  </si>
  <si>
    <t>WSSQX</t>
  </si>
  <si>
    <t>FZPZXEMOGNHZ</t>
  </si>
  <si>
    <t>OHROSJLFZDB</t>
  </si>
  <si>
    <t>50 62 76 37 99</t>
  </si>
  <si>
    <t>56 20 37 26 66</t>
  </si>
  <si>
    <t>32 84 99 51 89</t>
  </si>
  <si>
    <t>96 55 04 36 05</t>
  </si>
  <si>
    <t>98 25 38 65 18</t>
  </si>
  <si>
    <t>44 61 51 74 29</t>
  </si>
  <si>
    <t>39 41 35 18 80</t>
  </si>
  <si>
    <t>47 62 35 82 54</t>
  </si>
  <si>
    <t>33 07 15 50 46</t>
  </si>
  <si>
    <t>26 90 05 84 48</t>
  </si>
  <si>
    <t>92 90 65 64 09</t>
  </si>
  <si>
    <t>83 03 05 69 21</t>
  </si>
  <si>
    <t>28 61 46 96 53</t>
  </si>
  <si>
    <t>73 51 93 73 74</t>
  </si>
  <si>
    <t>50 79 59 70 84</t>
  </si>
  <si>
    <t>50 68 12 71 93</t>
  </si>
  <si>
    <t>62 64 59 40 91</t>
  </si>
  <si>
    <t>63 21 02 83 98</t>
  </si>
  <si>
    <t>92 99 56 13 59</t>
  </si>
  <si>
    <t>69 46 08 97 19</t>
  </si>
  <si>
    <t>59 58 59 25 25</t>
  </si>
  <si>
    <t>42 07 90 97 77</t>
  </si>
  <si>
    <t>27 02 98 57 12</t>
  </si>
  <si>
    <t>41 32 91 79 89</t>
  </si>
  <si>
    <t>88 32 47 95 76</t>
  </si>
  <si>
    <t>68 51 69 95 56</t>
  </si>
  <si>
    <t>39 93 10 01 80</t>
  </si>
  <si>
    <t>90 79 25 75 05</t>
  </si>
  <si>
    <t>35 40 87 66 53</t>
  </si>
  <si>
    <t>58 79 38 19 76</t>
  </si>
  <si>
    <t>67 26 36 68 38</t>
  </si>
  <si>
    <t>59 73 85 65 48</t>
  </si>
  <si>
    <t>26 23 32 94 19</t>
  </si>
  <si>
    <t>20 01 65 12 31</t>
  </si>
  <si>
    <t>32 68 74 12 75</t>
  </si>
  <si>
    <t>56 91 81 08 42</t>
  </si>
  <si>
    <t>14 68 81 92 73</t>
  </si>
  <si>
    <t>94 78 05 51 68</t>
  </si>
  <si>
    <t>52 20 31 65 73</t>
  </si>
  <si>
    <t>32 95 42 28 12</t>
  </si>
  <si>
    <t>38 38 92 32 83</t>
  </si>
  <si>
    <t>37 76 66 01 06</t>
  </si>
  <si>
    <t>19 65 34 19 91</t>
  </si>
  <si>
    <t>93 37 66 51 42</t>
  </si>
  <si>
    <t>30 25 21 32 33</t>
  </si>
  <si>
    <t>50 87 94 75 13</t>
  </si>
  <si>
    <t>90 97 17 02 95</t>
  </si>
  <si>
    <t>52 64 39 90 77</t>
  </si>
  <si>
    <t>28 05 06 03 48</t>
  </si>
  <si>
    <t>73 29 97 38 65</t>
  </si>
  <si>
    <t>54 27 57 11 88</t>
  </si>
  <si>
    <t>58 39 13 20 71</t>
  </si>
  <si>
    <t>47 93 36 80 65</t>
  </si>
  <si>
    <t>34 65 76 57 22</t>
  </si>
  <si>
    <t>80 66 38 07 01</t>
  </si>
  <si>
    <t>82 15 12 19 09</t>
  </si>
  <si>
    <t>23 49 25 06 83</t>
  </si>
  <si>
    <t>74 11 77 93 51</t>
  </si>
  <si>
    <t>10 84 54 13 93</t>
  </si>
  <si>
    <t>34 65 59 62 36</t>
  </si>
  <si>
    <t>70 39 66 00 87</t>
  </si>
  <si>
    <t>67 52 22 10 21</t>
  </si>
  <si>
    <t>88 15 02 25 57</t>
  </si>
  <si>
    <t>41 07 62 92 82</t>
  </si>
  <si>
    <t>12 59 58 80 05</t>
  </si>
  <si>
    <t>84 30 69 96 46</t>
  </si>
  <si>
    <t>40 45 61 75 67</t>
  </si>
  <si>
    <t>85 54 94 32 60</t>
  </si>
  <si>
    <t>54 48 83 97 06</t>
  </si>
  <si>
    <t>34 79 02 53 99</t>
  </si>
  <si>
    <t>34 87 08 50 37</t>
  </si>
  <si>
    <t>39 54 47 24 46</t>
  </si>
  <si>
    <t>16 96 20 16 09</t>
  </si>
  <si>
    <t>41 29 83 25 68</t>
  </si>
  <si>
    <t>85 16 47 00 43</t>
  </si>
  <si>
    <t>34 43 58 54 30</t>
  </si>
  <si>
    <t>79 27 47 61 26</t>
  </si>
  <si>
    <t>48 48 94 18 36</t>
  </si>
  <si>
    <t>52 97 94 40 81</t>
  </si>
  <si>
    <t>84 57 47 15 07</t>
  </si>
  <si>
    <t>65 66 26 48 76</t>
  </si>
  <si>
    <t>54 05 49 31 37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</si>
</sst>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_-* #,##0.00_-;\-* #,##0.00_-;_-* \-??_-;_-@_-"/>
    <numFmt numFmtId="166" formatCode="_-* #,##0.00&quot; €&quot;_-;\-* #,##0.00&quot; €&quot;_-;_-* \-??&quot; €&quot;_-;_-@_-"/>
    <numFmt numFmtId="167" formatCode="0\ %"/>
    <numFmt numFmtId="168" formatCode="0.00\ %"/>
    <numFmt numFmtId="169" formatCode="_-* #,##0_-;\-* #,##0_-;_-* \-??_-;_-@_-"/>
    <numFmt numFmtId="170" formatCode="_-* #,##0&quot; €&quot;_-;\-* #,##0&quot; €&quot;_-;_-* \-??&quot; €&quot;_-;_-@_-"/>
    <numFmt numFmtId="171" formatCode="0.0\ %"/>
    <numFmt numFmtId="172" formatCode="#,##0.00\ &quot;€&quot;"/>
    <numFmt numFmtId="173" formatCode="0#&quot; &quot;##&quot; &quot;##&quot; &quot;##&quot; &quot;##"/>
    <numFmt numFmtId="174" formatCode="00000"/>
    <numFmt numFmtId="175" formatCode="_-* #,##0\ [$€-40C]_-;\-* #,##0\ [$€-40C]_-;_-* &quot;-&quot;??\ [$€-40C]_-;_-@_-"/>
    <numFmt numFmtId="176" formatCode="_-* #,##0.00\ [$€-40C]_-;\-* #,##0.00\ [$€-40C]_-;_-* &quot;-&quot;??\ [$€-40C]_-;_-@_-"/>
    <numFmt numFmtId="177" formatCode="0.0"/>
  </numFmts>
  <fonts count="46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u/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u/>
      <sz val="11"/>
      <color rgb="FF000000"/>
      <name val="Calibri"/>
      <family val="2"/>
    </font>
    <font>
      <sz val="8"/>
      <name val="Calibri"/>
      <family val="2"/>
      <charset val="1"/>
    </font>
    <font>
      <b/>
      <sz val="16"/>
      <color rgb="FF000000"/>
      <name val="Calibri"/>
      <family val="2"/>
    </font>
    <font>
      <sz val="22"/>
      <color rgb="FF000000"/>
      <name val="Calibri"/>
      <family val="2"/>
      <charset val="1"/>
    </font>
    <font>
      <i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0"/>
      <color theme="2" tint="-0.499984740745262"/>
      <name val="Calibri"/>
      <family val="2"/>
      <scheme val="minor"/>
    </font>
    <font>
      <i/>
      <sz val="10"/>
      <color theme="2" tint="-0.499984740745262"/>
      <name val="Calibri"/>
      <family val="2"/>
      <scheme val="minor"/>
    </font>
    <font>
      <sz val="10"/>
      <color rgb="FF000000"/>
      <name val="Calibri"/>
      <family val="2"/>
      <charset val="1"/>
    </font>
    <font>
      <sz val="11"/>
      <color rgb="FF000000"/>
      <name val="Calibri"/>
      <family val="2"/>
    </font>
    <font>
      <sz val="14"/>
      <color rgb="FF000000"/>
      <name val="Calibri"/>
      <family val="2"/>
    </font>
    <font>
      <b/>
      <u/>
      <sz val="18"/>
      <color rgb="FF000000"/>
      <name val="Verdana"/>
      <family val="2"/>
    </font>
    <font>
      <sz val="11"/>
      <color rgb="FF000000"/>
      <name val="Calibri Light"/>
      <family val="2"/>
      <scheme val="major"/>
    </font>
    <font>
      <b/>
      <sz val="18"/>
      <color rgb="FF000000"/>
      <name val="Calibri Light"/>
      <family val="2"/>
      <scheme val="major"/>
    </font>
    <font>
      <b/>
      <u/>
      <sz val="18"/>
      <color rgb="FF000000"/>
      <name val="Calibri Light"/>
      <family val="2"/>
      <scheme val="major"/>
    </font>
    <font>
      <b/>
      <sz val="16"/>
      <color rgb="FF000000"/>
      <name val="Calibri Light"/>
      <family val="2"/>
      <scheme val="major"/>
    </font>
    <font>
      <b/>
      <u/>
      <sz val="12"/>
      <color rgb="FF000000"/>
      <name val="Calibri Light"/>
      <family val="2"/>
      <scheme val="major"/>
    </font>
    <font>
      <b/>
      <sz val="12"/>
      <color rgb="FF000000"/>
      <name val="Calibri Light"/>
      <family val="2"/>
      <scheme val="major"/>
    </font>
    <font>
      <sz val="12"/>
      <color rgb="FF000000"/>
      <name val="Calibri Light"/>
      <family val="2"/>
      <scheme val="major"/>
    </font>
    <font>
      <u/>
      <sz val="11"/>
      <color theme="10"/>
      <name val="Calibri"/>
      <family val="2"/>
      <charset val="1"/>
    </font>
    <font>
      <sz val="10"/>
      <color rgb="FF000000"/>
      <name val="Calibri"/>
      <family val="2"/>
    </font>
    <font>
      <sz val="16"/>
      <color rgb="FFFF0000"/>
      <name val="Calibri"/>
      <family val="2"/>
      <charset val="1"/>
    </font>
    <font>
      <b/>
      <sz val="24"/>
      <color rgb="FF000000"/>
      <name val="Calibri"/>
      <family val="2"/>
    </font>
    <font>
      <b/>
      <u/>
      <sz val="16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rgb="FF99CCFF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EEC1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rgb="FF99CC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8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  <border>
      <left style="medium">
        <color auto="1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medium">
        <color auto="1"/>
      </right>
      <top/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auto="1"/>
      </left>
      <right style="thin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auto="1"/>
      </left>
      <right/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165" fontId="10" fillId="0" borderId="0" applyBorder="0" applyProtection="0"/>
    <xf numFmtId="166" fontId="10" fillId="0" borderId="0" applyBorder="0" applyProtection="0"/>
    <xf numFmtId="167" fontId="10" fillId="0" borderId="0" applyBorder="0" applyProtection="0"/>
    <xf numFmtId="0" fontId="6" fillId="0" borderId="0"/>
    <xf numFmtId="44" fontId="6" fillId="0" borderId="0" applyFont="0" applyFill="0" applyBorder="0" applyAlignment="0" applyProtection="0"/>
    <xf numFmtId="0" fontId="38" fillId="0" borderId="0" applyNumberFormat="0" applyFill="0" applyBorder="0" applyAlignment="0" applyProtection="0"/>
    <xf numFmtId="0" fontId="3" fillId="0" borderId="0"/>
    <xf numFmtId="43" fontId="3" fillId="0" borderId="0" applyFont="0" applyFill="0" applyBorder="0" applyAlignment="0" applyProtection="0"/>
  </cellStyleXfs>
  <cellXfs count="1551">
    <xf numFmtId="0" fontId="0" fillId="0" borderId="0" xfId="0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10" xfId="0" applyBorder="1"/>
    <xf numFmtId="9" fontId="0" fillId="0" borderId="14" xfId="0" applyNumberFormat="1" applyBorder="1"/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 vertical="center" wrapText="1"/>
    </xf>
    <xf numFmtId="10" fontId="0" fillId="0" borderId="35" xfId="0" applyNumberFormat="1" applyBorder="1"/>
    <xf numFmtId="0" fontId="0" fillId="0" borderId="34" xfId="0" applyBorder="1" applyAlignment="1">
      <alignment horizontal="center" vertical="center"/>
    </xf>
    <xf numFmtId="9" fontId="0" fillId="0" borderId="35" xfId="0" applyNumberFormat="1" applyBorder="1"/>
    <xf numFmtId="0" fontId="0" fillId="0" borderId="36" xfId="0" applyBorder="1" applyAlignment="1">
      <alignment horizontal="center" vertical="center"/>
    </xf>
    <xf numFmtId="9" fontId="0" fillId="0" borderId="31" xfId="0" applyNumberFormat="1" applyBorder="1"/>
    <xf numFmtId="170" fontId="10" fillId="0" borderId="14" xfId="2" applyNumberFormat="1" applyBorder="1" applyAlignment="1">
      <alignment horizontal="center" vertical="center"/>
    </xf>
    <xf numFmtId="170" fontId="10" fillId="0" borderId="35" xfId="2" applyNumberFormat="1" applyBorder="1" applyAlignment="1">
      <alignment horizontal="center" vertical="center"/>
    </xf>
    <xf numFmtId="170" fontId="0" fillId="0" borderId="30" xfId="0" applyNumberFormat="1" applyBorder="1"/>
    <xf numFmtId="170" fontId="0" fillId="0" borderId="31" xfId="0" applyNumberFormat="1" applyBorder="1"/>
    <xf numFmtId="0" fontId="0" fillId="0" borderId="37" xfId="0" applyBorder="1" applyAlignment="1">
      <alignment horizontal="center" vertical="center"/>
    </xf>
    <xf numFmtId="170" fontId="10" fillId="0" borderId="38" xfId="2" applyNumberFormat="1" applyBorder="1" applyAlignment="1">
      <alignment horizontal="center" vertical="center"/>
    </xf>
    <xf numFmtId="170" fontId="10" fillId="0" borderId="27" xfId="2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14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1" xfId="0" applyBorder="1"/>
    <xf numFmtId="0" fontId="0" fillId="0" borderId="37" xfId="0" applyBorder="1"/>
    <xf numFmtId="0" fontId="0" fillId="0" borderId="27" xfId="0" applyBorder="1"/>
    <xf numFmtId="0" fontId="0" fillId="0" borderId="0" xfId="0" applyBorder="1" applyAlignment="1">
      <alignment horizontal="left"/>
    </xf>
    <xf numFmtId="0" fontId="0" fillId="0" borderId="31" xfId="0" applyBorder="1" applyAlignment="1">
      <alignment horizontal="center" vertical="center"/>
    </xf>
    <xf numFmtId="166" fontId="10" fillId="0" borderId="14" xfId="2" applyBorder="1"/>
    <xf numFmtId="166" fontId="10" fillId="0" borderId="30" xfId="2" applyBorder="1"/>
    <xf numFmtId="0" fontId="0" fillId="0" borderId="30" xfId="0" applyBorder="1"/>
    <xf numFmtId="0" fontId="0" fillId="0" borderId="29" xfId="0" applyBorder="1" applyAlignment="1">
      <alignment horizontal="center" vertical="center"/>
    </xf>
    <xf numFmtId="165" fontId="0" fillId="0" borderId="14" xfId="1" applyFont="1" applyBorder="1" applyAlignment="1" applyProtection="1"/>
    <xf numFmtId="167" fontId="10" fillId="0" borderId="14" xfId="3" applyBorder="1" applyProtection="1"/>
    <xf numFmtId="169" fontId="10" fillId="0" borderId="14" xfId="1" applyNumberFormat="1" applyBorder="1"/>
    <xf numFmtId="169" fontId="10" fillId="0" borderId="14" xfId="1" applyNumberFormat="1" applyBorder="1" applyProtection="1"/>
    <xf numFmtId="167" fontId="10" fillId="0" borderId="14" xfId="3" applyBorder="1"/>
    <xf numFmtId="0" fontId="0" fillId="0" borderId="33" xfId="0" applyBorder="1"/>
    <xf numFmtId="0" fontId="0" fillId="0" borderId="28" xfId="0" applyBorder="1"/>
    <xf numFmtId="169" fontId="10" fillId="0" borderId="30" xfId="1" applyNumberFormat="1" applyBorder="1"/>
    <xf numFmtId="0" fontId="0" fillId="0" borderId="38" xfId="0" applyBorder="1"/>
    <xf numFmtId="0" fontId="11" fillId="2" borderId="34" xfId="0" applyFont="1" applyFill="1" applyBorder="1"/>
    <xf numFmtId="0" fontId="11" fillId="2" borderId="14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/>
    </xf>
    <xf numFmtId="171" fontId="10" fillId="2" borderId="14" xfId="3" applyNumberFormat="1" applyFill="1" applyBorder="1"/>
    <xf numFmtId="166" fontId="10" fillId="2" borderId="14" xfId="2" applyFill="1" applyBorder="1"/>
    <xf numFmtId="171" fontId="10" fillId="2" borderId="30" xfId="3" applyNumberFormat="1" applyFill="1" applyBorder="1"/>
    <xf numFmtId="166" fontId="10" fillId="2" borderId="30" xfId="2" applyFill="1" applyBorder="1"/>
    <xf numFmtId="0" fontId="11" fillId="2" borderId="14" xfId="0" applyFont="1" applyFill="1" applyBorder="1"/>
    <xf numFmtId="166" fontId="10" fillId="2" borderId="35" xfId="2" applyFill="1" applyBorder="1"/>
    <xf numFmtId="0" fontId="11" fillId="3" borderId="14" xfId="0" applyFont="1" applyFill="1" applyBorder="1" applyAlignment="1">
      <alignment horizontal="center" vertical="center"/>
    </xf>
    <xf numFmtId="0" fontId="11" fillId="3" borderId="35" xfId="0" applyFont="1" applyFill="1" applyBorder="1" applyAlignment="1">
      <alignment horizontal="center" vertical="center"/>
    </xf>
    <xf numFmtId="171" fontId="10" fillId="3" borderId="14" xfId="3" applyNumberFormat="1" applyFill="1" applyBorder="1"/>
    <xf numFmtId="166" fontId="10" fillId="3" borderId="14" xfId="2" applyFill="1" applyBorder="1"/>
    <xf numFmtId="171" fontId="10" fillId="3" borderId="30" xfId="3" applyNumberFormat="1" applyFill="1" applyBorder="1"/>
    <xf numFmtId="166" fontId="10" fillId="3" borderId="30" xfId="2" applyFill="1" applyBorder="1"/>
    <xf numFmtId="0" fontId="12" fillId="3" borderId="33" xfId="0" applyFont="1" applyFill="1" applyBorder="1" applyAlignment="1">
      <alignment horizontal="center" vertical="center"/>
    </xf>
    <xf numFmtId="0" fontId="11" fillId="3" borderId="34" xfId="0" applyFont="1" applyFill="1" applyBorder="1"/>
    <xf numFmtId="0" fontId="11" fillId="3" borderId="14" xfId="0" applyFont="1" applyFill="1" applyBorder="1"/>
    <xf numFmtId="166" fontId="10" fillId="3" borderId="35" xfId="2" applyFill="1" applyBorder="1"/>
    <xf numFmtId="0" fontId="0" fillId="4" borderId="6" xfId="0" applyFill="1" applyBorder="1"/>
    <xf numFmtId="0" fontId="0" fillId="4" borderId="9" xfId="0" applyFill="1" applyBorder="1"/>
    <xf numFmtId="166" fontId="10" fillId="4" borderId="29" xfId="2" applyFill="1" applyBorder="1"/>
    <xf numFmtId="166" fontId="10" fillId="4" borderId="31" xfId="2" applyFill="1" applyBorder="1"/>
    <xf numFmtId="0" fontId="11" fillId="5" borderId="39" xfId="0" applyFont="1" applyFill="1" applyBorder="1" applyAlignment="1">
      <alignment horizontal="center"/>
    </xf>
    <xf numFmtId="0" fontId="11" fillId="5" borderId="42" xfId="0" applyFont="1" applyFill="1" applyBorder="1" applyAlignment="1">
      <alignment horizontal="center"/>
    </xf>
    <xf numFmtId="0" fontId="11" fillId="5" borderId="40" xfId="0" applyFont="1" applyFill="1" applyBorder="1" applyAlignment="1">
      <alignment horizontal="center"/>
    </xf>
    <xf numFmtId="0" fontId="0" fillId="5" borderId="37" xfId="0" applyNumberFormat="1" applyFill="1" applyBorder="1" applyAlignment="1">
      <alignment horizontal="center" vertical="center"/>
    </xf>
    <xf numFmtId="166" fontId="10" fillId="5" borderId="38" xfId="2" applyFill="1" applyBorder="1"/>
    <xf numFmtId="166" fontId="10" fillId="5" borderId="27" xfId="2" applyFill="1" applyBorder="1"/>
    <xf numFmtId="0" fontId="0" fillId="5" borderId="34" xfId="0" applyNumberFormat="1" applyFill="1" applyBorder="1" applyAlignment="1">
      <alignment horizontal="center" vertical="center"/>
    </xf>
    <xf numFmtId="166" fontId="10" fillId="5" borderId="14" xfId="2" applyFill="1" applyBorder="1"/>
    <xf numFmtId="166" fontId="10" fillId="5" borderId="35" xfId="2" applyFill="1" applyBorder="1"/>
    <xf numFmtId="0" fontId="0" fillId="5" borderId="36" xfId="0" applyFill="1" applyBorder="1"/>
    <xf numFmtId="0" fontId="0" fillId="5" borderId="30" xfId="0" applyFill="1" applyBorder="1"/>
    <xf numFmtId="0" fontId="11" fillId="5" borderId="30" xfId="0" applyFont="1" applyFill="1" applyBorder="1"/>
    <xf numFmtId="166" fontId="11" fillId="5" borderId="30" xfId="0" applyNumberFormat="1" applyFont="1" applyFill="1" applyBorder="1"/>
    <xf numFmtId="166" fontId="11" fillId="5" borderId="31" xfId="0" applyNumberFormat="1" applyFont="1" applyFill="1" applyBorder="1"/>
    <xf numFmtId="49" fontId="0" fillId="3" borderId="0" xfId="3" applyNumberFormat="1" applyFont="1" applyFill="1" applyBorder="1" applyAlignment="1" applyProtection="1">
      <alignment horizontal="center"/>
    </xf>
    <xf numFmtId="166" fontId="10" fillId="3" borderId="7" xfId="2" applyFill="1" applyBorder="1"/>
    <xf numFmtId="166" fontId="10" fillId="0" borderId="0" xfId="2" applyFill="1" applyBorder="1" applyAlignment="1"/>
    <xf numFmtId="166" fontId="10" fillId="0" borderId="10" xfId="2" applyFill="1" applyBorder="1" applyAlignment="1"/>
    <xf numFmtId="170" fontId="10" fillId="3" borderId="0" xfId="2" applyNumberFormat="1" applyFill="1" applyBorder="1" applyProtection="1"/>
    <xf numFmtId="170" fontId="10" fillId="3" borderId="7" xfId="2" applyNumberFormat="1" applyFill="1" applyBorder="1" applyProtection="1"/>
    <xf numFmtId="166" fontId="10" fillId="3" borderId="3" xfId="2" applyFill="1" applyBorder="1" applyProtection="1"/>
    <xf numFmtId="166" fontId="10" fillId="3" borderId="4" xfId="2" applyFill="1" applyBorder="1" applyProtection="1"/>
    <xf numFmtId="166" fontId="10" fillId="0" borderId="15" xfId="2" applyFill="1" applyBorder="1" applyAlignment="1"/>
    <xf numFmtId="0" fontId="0" fillId="0" borderId="47" xfId="0" applyFont="1" applyFill="1" applyBorder="1" applyAlignment="1">
      <alignment horizontal="center"/>
    </xf>
    <xf numFmtId="0" fontId="0" fillId="0" borderId="50" xfId="0" applyBorder="1"/>
    <xf numFmtId="0" fontId="0" fillId="0" borderId="41" xfId="0" applyBorder="1"/>
    <xf numFmtId="0" fontId="0" fillId="0" borderId="51" xfId="0" applyBorder="1" applyAlignment="1">
      <alignment horizontal="center"/>
    </xf>
    <xf numFmtId="0" fontId="0" fillId="0" borderId="48" xfId="0" applyBorder="1"/>
    <xf numFmtId="0" fontId="0" fillId="4" borderId="32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55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0" xfId="0" applyFill="1" applyBorder="1" applyAlignment="1"/>
    <xf numFmtId="0" fontId="0" fillId="0" borderId="53" xfId="0" applyFill="1" applyBorder="1" applyAlignment="1">
      <alignment horizontal="center"/>
    </xf>
    <xf numFmtId="0" fontId="0" fillId="0" borderId="26" xfId="0" applyBorder="1"/>
    <xf numFmtId="0" fontId="0" fillId="0" borderId="57" xfId="0" applyFill="1" applyBorder="1" applyAlignment="1">
      <alignment horizontal="center"/>
    </xf>
    <xf numFmtId="0" fontId="0" fillId="0" borderId="55" xfId="0" applyBorder="1"/>
    <xf numFmtId="0" fontId="0" fillId="0" borderId="54" xfId="0" applyFill="1" applyBorder="1" applyAlignment="1">
      <alignment horizontal="center"/>
    </xf>
    <xf numFmtId="0" fontId="0" fillId="0" borderId="58" xfId="0" applyBorder="1"/>
    <xf numFmtId="0" fontId="0" fillId="0" borderId="29" xfId="0" applyBorder="1"/>
    <xf numFmtId="0" fontId="0" fillId="0" borderId="6" xfId="0" applyFill="1" applyBorder="1"/>
    <xf numFmtId="0" fontId="0" fillId="0" borderId="31" xfId="0" applyBorder="1" applyAlignment="1">
      <alignment horizontal="center"/>
    </xf>
    <xf numFmtId="0" fontId="0" fillId="2" borderId="34" xfId="0" applyFill="1" applyBorder="1"/>
    <xf numFmtId="0" fontId="0" fillId="3" borderId="34" xfId="0" applyFill="1" applyBorder="1"/>
    <xf numFmtId="0" fontId="12" fillId="2" borderId="32" xfId="0" applyFont="1" applyFill="1" applyBorder="1" applyAlignment="1">
      <alignment horizontal="center" vertical="center"/>
    </xf>
    <xf numFmtId="0" fontId="11" fillId="2" borderId="65" xfId="0" applyFont="1" applyFill="1" applyBorder="1"/>
    <xf numFmtId="0" fontId="0" fillId="2" borderId="65" xfId="0" applyFill="1" applyBorder="1"/>
    <xf numFmtId="0" fontId="0" fillId="0" borderId="3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6" fontId="10" fillId="0" borderId="7" xfId="2" applyBorder="1"/>
    <xf numFmtId="168" fontId="0" fillId="3" borderId="3" xfId="3" applyNumberFormat="1" applyFont="1" applyFill="1" applyBorder="1" applyAlignment="1" applyProtection="1">
      <alignment vertical="center"/>
    </xf>
    <xf numFmtId="168" fontId="0" fillId="3" borderId="4" xfId="3" applyNumberFormat="1" applyFont="1" applyFill="1" applyBorder="1" applyAlignment="1" applyProtection="1">
      <alignment vertical="center"/>
    </xf>
    <xf numFmtId="175" fontId="0" fillId="0" borderId="35" xfId="0" applyNumberFormat="1" applyBorder="1"/>
    <xf numFmtId="0" fontId="6" fillId="0" borderId="0" xfId="4" applyAlignment="1">
      <alignment vertical="center"/>
    </xf>
    <xf numFmtId="0" fontId="21" fillId="0" borderId="0" xfId="4" applyFont="1" applyFill="1" applyAlignment="1">
      <alignment vertical="center"/>
    </xf>
    <xf numFmtId="0" fontId="21" fillId="0" borderId="0" xfId="4" applyFont="1" applyAlignment="1">
      <alignment vertical="center"/>
    </xf>
    <xf numFmtId="0" fontId="21" fillId="0" borderId="0" xfId="4" applyFont="1" applyAlignment="1">
      <alignment horizontal="center" vertical="center"/>
    </xf>
    <xf numFmtId="0" fontId="22" fillId="0" borderId="0" xfId="4" applyFont="1" applyBorder="1" applyAlignment="1">
      <alignment vertical="center" textRotation="90"/>
    </xf>
    <xf numFmtId="0" fontId="6" fillId="0" borderId="6" xfId="4" applyFont="1" applyBorder="1" applyAlignment="1">
      <alignment horizontal="left" vertical="center"/>
    </xf>
    <xf numFmtId="0" fontId="20" fillId="0" borderId="0" xfId="4" applyFont="1" applyAlignment="1">
      <alignment vertical="center"/>
    </xf>
    <xf numFmtId="0" fontId="6" fillId="0" borderId="9" xfId="4" applyFont="1" applyBorder="1" applyAlignment="1">
      <alignment horizontal="left" vertical="center"/>
    </xf>
    <xf numFmtId="0" fontId="20" fillId="0" borderId="0" xfId="4" applyFont="1" applyBorder="1" applyAlignment="1">
      <alignment vertical="center"/>
    </xf>
    <xf numFmtId="0" fontId="22" fillId="0" borderId="0" xfId="4" applyFont="1" applyAlignment="1">
      <alignment horizontal="right" vertical="center"/>
    </xf>
    <xf numFmtId="0" fontId="20" fillId="0" borderId="0" xfId="4" applyFont="1" applyAlignment="1">
      <alignment horizontal="right" vertical="center"/>
    </xf>
    <xf numFmtId="14" fontId="20" fillId="0" borderId="0" xfId="4" applyNumberFormat="1" applyFont="1" applyAlignment="1">
      <alignment horizontal="left" vertical="center"/>
    </xf>
    <xf numFmtId="0" fontId="6" fillId="0" borderId="0" xfId="4" applyBorder="1" applyAlignment="1">
      <alignment vertical="center"/>
    </xf>
    <xf numFmtId="0" fontId="19" fillId="0" borderId="7" xfId="4" applyFont="1" applyBorder="1" applyAlignment="1">
      <alignment vertical="center"/>
    </xf>
    <xf numFmtId="44" fontId="19" fillId="0" borderId="0" xfId="5" applyFont="1" applyBorder="1" applyAlignment="1">
      <alignment vertical="center"/>
    </xf>
    <xf numFmtId="0" fontId="19" fillId="0" borderId="6" xfId="4" applyFont="1" applyBorder="1" applyAlignment="1">
      <alignment horizontal="right" vertical="center" textRotation="90"/>
    </xf>
    <xf numFmtId="0" fontId="6" fillId="0" borderId="0" xfId="4" applyFont="1" applyBorder="1" applyAlignment="1">
      <alignment vertical="center"/>
    </xf>
    <xf numFmtId="0" fontId="23" fillId="0" borderId="0" xfId="4" applyFont="1" applyBorder="1" applyAlignment="1">
      <alignment horizontal="right" vertical="center"/>
    </xf>
    <xf numFmtId="0" fontId="6" fillId="0" borderId="7" xfId="4" applyFont="1" applyBorder="1" applyAlignment="1">
      <alignment vertical="center"/>
    </xf>
    <xf numFmtId="0" fontId="19" fillId="0" borderId="9" xfId="4" applyFont="1" applyBorder="1" applyAlignment="1">
      <alignment horizontal="right" vertical="center" textRotation="90"/>
    </xf>
    <xf numFmtId="0" fontId="6" fillId="0" borderId="10" xfId="4" applyFont="1" applyBorder="1" applyAlignment="1">
      <alignment vertical="center"/>
    </xf>
    <xf numFmtId="0" fontId="23" fillId="0" borderId="10" xfId="4" applyFont="1" applyBorder="1" applyAlignment="1">
      <alignment horizontal="right" vertical="center"/>
    </xf>
    <xf numFmtId="0" fontId="6" fillId="0" borderId="11" xfId="4" applyFont="1" applyBorder="1" applyAlignment="1">
      <alignment vertical="center"/>
    </xf>
    <xf numFmtId="0" fontId="22" fillId="0" borderId="0" xfId="4" applyFont="1" applyBorder="1" applyAlignment="1">
      <alignment horizontal="right" vertical="center" textRotation="90"/>
    </xf>
    <xf numFmtId="0" fontId="24" fillId="0" borderId="0" xfId="4" applyFont="1" applyAlignment="1">
      <alignment horizontal="right" vertical="center"/>
    </xf>
    <xf numFmtId="44" fontId="20" fillId="0" borderId="0" xfId="5" applyFont="1" applyAlignment="1">
      <alignment vertical="center"/>
    </xf>
    <xf numFmtId="0" fontId="19" fillId="9" borderId="9" xfId="4" applyFont="1" applyFill="1" applyBorder="1" applyAlignment="1">
      <alignment horizontal="right" vertical="center" textRotation="90"/>
    </xf>
    <xf numFmtId="0" fontId="23" fillId="9" borderId="10" xfId="4" applyFont="1" applyFill="1" applyBorder="1" applyAlignment="1">
      <alignment horizontal="right" vertical="center"/>
    </xf>
    <xf numFmtId="44" fontId="23" fillId="9" borderId="10" xfId="5" applyFont="1" applyFill="1" applyBorder="1" applyAlignment="1">
      <alignment horizontal="right" vertical="center"/>
    </xf>
    <xf numFmtId="0" fontId="6" fillId="0" borderId="0" xfId="4" applyFont="1" applyAlignment="1">
      <alignment vertical="center"/>
    </xf>
    <xf numFmtId="14" fontId="6" fillId="0" borderId="0" xfId="4" applyNumberFormat="1" applyFont="1" applyAlignment="1">
      <alignment horizontal="left" vertical="center"/>
    </xf>
    <xf numFmtId="11" fontId="23" fillId="0" borderId="0" xfId="4" applyNumberFormat="1" applyFont="1" applyAlignment="1">
      <alignment horizontal="center" vertical="center"/>
    </xf>
    <xf numFmtId="0" fontId="25" fillId="0" borderId="0" xfId="4" applyFont="1" applyAlignment="1">
      <alignment vertical="center" wrapText="1"/>
    </xf>
    <xf numFmtId="0" fontId="26" fillId="0" borderId="0" xfId="4" applyFont="1" applyAlignment="1">
      <alignment vertical="center" wrapText="1"/>
    </xf>
    <xf numFmtId="0" fontId="0" fillId="0" borderId="0" xfId="0" applyAlignment="1">
      <alignment vertical="center"/>
    </xf>
    <xf numFmtId="0" fontId="11" fillId="0" borderId="33" xfId="0" applyFont="1" applyBorder="1" applyAlignment="1">
      <alignment horizontal="center"/>
    </xf>
    <xf numFmtId="0" fontId="11" fillId="0" borderId="29" xfId="0" applyFont="1" applyBorder="1" applyAlignment="1">
      <alignment horizontal="center"/>
    </xf>
    <xf numFmtId="0" fontId="11" fillId="3" borderId="0" xfId="0" applyFont="1" applyFill="1" applyBorder="1"/>
    <xf numFmtId="165" fontId="0" fillId="6" borderId="21" xfId="1" applyFont="1" applyFill="1" applyBorder="1" applyAlignment="1" applyProtection="1">
      <alignment horizontal="center" vertical="center"/>
    </xf>
    <xf numFmtId="165" fontId="0" fillId="6" borderId="19" xfId="1" applyFont="1" applyFill="1" applyBorder="1" applyAlignment="1" applyProtection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0" fillId="0" borderId="0" xfId="4" applyFont="1" applyFill="1" applyAlignment="1">
      <alignment vertical="center"/>
    </xf>
    <xf numFmtId="0" fontId="6" fillId="0" borderId="0" xfId="4" applyFont="1" applyFill="1" applyAlignment="1">
      <alignment vertical="center"/>
    </xf>
    <xf numFmtId="11" fontId="5" fillId="0" borderId="0" xfId="4" applyNumberFormat="1" applyFont="1" applyFill="1" applyAlignment="1">
      <alignment horizontal="center" vertical="center"/>
    </xf>
    <xf numFmtId="165" fontId="11" fillId="6" borderId="21" xfId="1" applyFont="1" applyFill="1" applyBorder="1" applyAlignment="1" applyProtection="1"/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58" xfId="0" applyBorder="1" applyAlignment="1">
      <alignment horizontal="center"/>
    </xf>
    <xf numFmtId="0" fontId="11" fillId="0" borderId="28" xfId="0" applyFont="1" applyBorder="1" applyAlignment="1">
      <alignment horizontal="center"/>
    </xf>
    <xf numFmtId="167" fontId="10" fillId="0" borderId="0" xfId="3"/>
    <xf numFmtId="165" fontId="0" fillId="3" borderId="3" xfId="1" applyFont="1" applyFill="1" applyBorder="1" applyAlignment="1" applyProtection="1">
      <alignment vertical="center"/>
    </xf>
    <xf numFmtId="165" fontId="0" fillId="3" borderId="0" xfId="1" applyFont="1" applyFill="1" applyBorder="1" applyAlignment="1" applyProtection="1">
      <alignment vertical="center"/>
    </xf>
    <xf numFmtId="165" fontId="0" fillId="3" borderId="4" xfId="1" applyFont="1" applyFill="1" applyBorder="1" applyAlignment="1" applyProtection="1">
      <alignment vertical="center"/>
    </xf>
    <xf numFmtId="165" fontId="0" fillId="3" borderId="7" xfId="1" applyFont="1" applyFill="1" applyBorder="1" applyAlignment="1" applyProtection="1">
      <alignment vertical="center"/>
    </xf>
    <xf numFmtId="167" fontId="10" fillId="0" borderId="14" xfId="3" applyBorder="1" applyAlignment="1">
      <alignment horizontal="center"/>
    </xf>
    <xf numFmtId="167" fontId="11" fillId="0" borderId="42" xfId="3" applyFont="1" applyBorder="1" applyAlignment="1">
      <alignment horizontal="center"/>
    </xf>
    <xf numFmtId="167" fontId="11" fillId="0" borderId="42" xfId="3" applyFont="1" applyBorder="1"/>
    <xf numFmtId="167" fontId="10" fillId="0" borderId="30" xfId="3" applyBorder="1" applyAlignment="1">
      <alignment horizontal="center"/>
    </xf>
    <xf numFmtId="167" fontId="10" fillId="0" borderId="30" xfId="3" applyBorder="1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67" fontId="10" fillId="0" borderId="0" xfId="3" applyAlignment="1">
      <alignment horizontal="left"/>
    </xf>
    <xf numFmtId="167" fontId="0" fillId="0" borderId="0" xfId="3" applyFont="1" applyAlignment="1">
      <alignment horizontal="left"/>
    </xf>
    <xf numFmtId="175" fontId="0" fillId="0" borderId="14" xfId="0" applyNumberFormat="1" applyBorder="1" applyAlignment="1">
      <alignment horizontal="center"/>
    </xf>
    <xf numFmtId="175" fontId="0" fillId="0" borderId="30" xfId="0" applyNumberFormat="1" applyBorder="1" applyAlignment="1">
      <alignment horizontal="center"/>
    </xf>
    <xf numFmtId="176" fontId="10" fillId="0" borderId="0" xfId="3" applyNumberFormat="1" applyAlignment="1">
      <alignment horizontal="left"/>
    </xf>
    <xf numFmtId="168" fontId="0" fillId="0" borderId="57" xfId="3" applyNumberFormat="1" applyFont="1" applyBorder="1" applyAlignment="1">
      <alignment horizontal="left" vertical="center"/>
    </xf>
    <xf numFmtId="0" fontId="0" fillId="0" borderId="63" xfId="0" applyBorder="1" applyAlignment="1">
      <alignment horizontal="left"/>
    </xf>
    <xf numFmtId="175" fontId="10" fillId="0" borderId="55" xfId="3" applyNumberFormat="1" applyBorder="1" applyAlignment="1">
      <alignment horizontal="left"/>
    </xf>
    <xf numFmtId="168" fontId="0" fillId="0" borderId="0" xfId="3" applyNumberFormat="1" applyFont="1" applyBorder="1" applyAlignment="1">
      <alignment horizontal="left" vertical="center"/>
    </xf>
    <xf numFmtId="175" fontId="10" fillId="0" borderId="0" xfId="3" applyNumberFormat="1" applyBorder="1" applyAlignment="1">
      <alignment horizontal="left"/>
    </xf>
    <xf numFmtId="176" fontId="0" fillId="0" borderId="0" xfId="0" applyNumberFormat="1" applyAlignment="1">
      <alignment horizontal="left"/>
    </xf>
    <xf numFmtId="167" fontId="10" fillId="0" borderId="0" xfId="3" applyAlignment="1">
      <alignment horizontal="center" vertical="center"/>
    </xf>
    <xf numFmtId="0" fontId="0" fillId="0" borderId="30" xfId="0" applyBorder="1" applyAlignment="1">
      <alignment horizontal="center" vertical="center"/>
    </xf>
    <xf numFmtId="175" fontId="0" fillId="0" borderId="0" xfId="0" applyNumberFormat="1"/>
    <xf numFmtId="0" fontId="11" fillId="0" borderId="28" xfId="0" applyFont="1" applyBorder="1" applyAlignment="1"/>
    <xf numFmtId="0" fontId="0" fillId="0" borderId="34" xfId="0" applyBorder="1" applyAlignment="1">
      <alignment horizontal="left" vertical="center"/>
    </xf>
    <xf numFmtId="170" fontId="10" fillId="0" borderId="31" xfId="2" applyNumberFormat="1" applyBorder="1" applyAlignment="1">
      <alignment horizontal="center" vertical="center"/>
    </xf>
    <xf numFmtId="0" fontId="4" fillId="0" borderId="6" xfId="4" applyFont="1" applyBorder="1" applyAlignment="1">
      <alignment vertical="center"/>
    </xf>
    <xf numFmtId="176" fontId="10" fillId="0" borderId="0" xfId="1" applyNumberFormat="1"/>
    <xf numFmtId="0" fontId="0" fillId="0" borderId="54" xfId="0" applyBorder="1" applyAlignment="1">
      <alignment horizontal="center"/>
    </xf>
    <xf numFmtId="0" fontId="0" fillId="0" borderId="71" xfId="0" applyBorder="1" applyAlignment="1">
      <alignment horizontal="center"/>
    </xf>
    <xf numFmtId="0" fontId="0" fillId="0" borderId="0" xfId="0" applyAlignment="1">
      <alignment horizontal="right"/>
    </xf>
    <xf numFmtId="167" fontId="10" fillId="0" borderId="30" xfId="3" applyBorder="1" applyAlignment="1">
      <alignment horizontal="center" vertical="center"/>
    </xf>
    <xf numFmtId="167" fontId="10" fillId="0" borderId="31" xfId="3" applyBorder="1"/>
    <xf numFmtId="0" fontId="0" fillId="0" borderId="0" xfId="0" applyAlignment="1"/>
    <xf numFmtId="167" fontId="0" fillId="0" borderId="0" xfId="3" applyFont="1" applyAlignment="1">
      <alignment horizontal="right"/>
    </xf>
    <xf numFmtId="168" fontId="10" fillId="0" borderId="0" xfId="3" applyNumberFormat="1" applyAlignment="1">
      <alignment horizontal="center" vertical="center"/>
    </xf>
    <xf numFmtId="176" fontId="10" fillId="0" borderId="0" xfId="3" applyNumberFormat="1"/>
    <xf numFmtId="176" fontId="0" fillId="0" borderId="0" xfId="0" applyNumberFormat="1"/>
    <xf numFmtId="0" fontId="0" fillId="0" borderId="12" xfId="0" applyFill="1" applyBorder="1" applyAlignment="1">
      <alignment horizontal="center"/>
    </xf>
    <xf numFmtId="0" fontId="0" fillId="0" borderId="77" xfId="0" applyFill="1" applyBorder="1" applyAlignment="1">
      <alignment horizontal="center"/>
    </xf>
    <xf numFmtId="0" fontId="0" fillId="0" borderId="61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73" xfId="0" applyBorder="1" applyAlignment="1"/>
    <xf numFmtId="0" fontId="0" fillId="0" borderId="46" xfId="0" applyBorder="1" applyAlignment="1"/>
    <xf numFmtId="0" fontId="0" fillId="0" borderId="47" xfId="0" applyBorder="1" applyAlignment="1"/>
    <xf numFmtId="0" fontId="0" fillId="0" borderId="48" xfId="0" applyBorder="1" applyAlignment="1"/>
    <xf numFmtId="166" fontId="10" fillId="2" borderId="7" xfId="2" applyFill="1" applyBorder="1"/>
    <xf numFmtId="0" fontId="0" fillId="5" borderId="38" xfId="0" applyNumberFormat="1" applyFill="1" applyBorder="1"/>
    <xf numFmtId="0" fontId="0" fillId="5" borderId="14" xfId="0" applyNumberFormat="1" applyFill="1" applyBorder="1"/>
    <xf numFmtId="0" fontId="0" fillId="5" borderId="30" xfId="0" applyNumberFormat="1" applyFill="1" applyBorder="1"/>
    <xf numFmtId="167" fontId="10" fillId="0" borderId="28" xfId="3" applyBorder="1"/>
    <xf numFmtId="0" fontId="0" fillId="3" borderId="0" xfId="0" applyFill="1" applyBorder="1"/>
    <xf numFmtId="0" fontId="11" fillId="3" borderId="38" xfId="0" applyFont="1" applyFill="1" applyBorder="1"/>
    <xf numFmtId="166" fontId="10" fillId="3" borderId="27" xfId="2" applyFill="1" applyBorder="1"/>
    <xf numFmtId="0" fontId="11" fillId="2" borderId="38" xfId="0" applyFont="1" applyFill="1" applyBorder="1"/>
    <xf numFmtId="166" fontId="10" fillId="2" borderId="27" xfId="2" applyFill="1" applyBorder="1"/>
    <xf numFmtId="166" fontId="10" fillId="3" borderId="17" xfId="2" applyFill="1" applyBorder="1" applyProtection="1"/>
    <xf numFmtId="166" fontId="10" fillId="3" borderId="49" xfId="2" applyFill="1" applyBorder="1" applyProtection="1"/>
    <xf numFmtId="166" fontId="11" fillId="3" borderId="0" xfId="2" applyFont="1" applyFill="1" applyBorder="1" applyProtection="1"/>
    <xf numFmtId="166" fontId="11" fillId="3" borderId="7" xfId="2" applyFont="1" applyFill="1" applyBorder="1" applyProtection="1"/>
    <xf numFmtId="166" fontId="11" fillId="3" borderId="10" xfId="2" applyFont="1" applyFill="1" applyBorder="1" applyProtection="1"/>
    <xf numFmtId="166" fontId="11" fillId="3" borderId="11" xfId="2" applyFont="1" applyFill="1" applyBorder="1" applyProtection="1"/>
    <xf numFmtId="168" fontId="0" fillId="3" borderId="10" xfId="3" applyNumberFormat="1" applyFont="1" applyFill="1" applyBorder="1" applyAlignment="1" applyProtection="1">
      <alignment horizontal="center" vertical="center"/>
    </xf>
    <xf numFmtId="168" fontId="0" fillId="3" borderId="11" xfId="3" applyNumberFormat="1" applyFont="1" applyFill="1" applyBorder="1" applyAlignment="1" applyProtection="1">
      <alignment horizontal="center" vertical="center"/>
    </xf>
    <xf numFmtId="166" fontId="10" fillId="0" borderId="0" xfId="2"/>
    <xf numFmtId="167" fontId="10" fillId="0" borderId="14" xfId="3" applyBorder="1" applyAlignment="1">
      <alignment horizontal="center" vertical="center"/>
    </xf>
    <xf numFmtId="175" fontId="0" fillId="0" borderId="14" xfId="0" applyNumberFormat="1" applyBorder="1"/>
    <xf numFmtId="167" fontId="11" fillId="0" borderId="42" xfId="3" applyFont="1" applyBorder="1" applyAlignment="1">
      <alignment horizontal="center" vertical="center"/>
    </xf>
    <xf numFmtId="0" fontId="0" fillId="0" borderId="40" xfId="0" applyBorder="1"/>
    <xf numFmtId="167" fontId="10" fillId="0" borderId="28" xfId="3" applyBorder="1" applyAlignment="1">
      <alignment horizontal="center"/>
    </xf>
    <xf numFmtId="175" fontId="0" fillId="0" borderId="28" xfId="0" applyNumberFormat="1" applyBorder="1" applyAlignment="1">
      <alignment horizontal="center"/>
    </xf>
    <xf numFmtId="167" fontId="10" fillId="0" borderId="28" xfId="3" applyBorder="1" applyAlignment="1">
      <alignment horizontal="center" vertical="center"/>
    </xf>
    <xf numFmtId="175" fontId="0" fillId="0" borderId="29" xfId="0" applyNumberFormat="1" applyBorder="1"/>
    <xf numFmtId="175" fontId="0" fillId="0" borderId="31" xfId="0" applyNumberFormat="1" applyBorder="1"/>
    <xf numFmtId="0" fontId="11" fillId="0" borderId="14" xfId="0" applyFont="1" applyBorder="1"/>
    <xf numFmtId="0" fontId="11" fillId="0" borderId="14" xfId="0" applyFont="1" applyBorder="1" applyAlignment="1">
      <alignment vertical="center"/>
    </xf>
    <xf numFmtId="175" fontId="0" fillId="0" borderId="14" xfId="0" applyNumberFormat="1" applyFill="1" applyBorder="1"/>
    <xf numFmtId="0" fontId="0" fillId="0" borderId="14" xfId="0" applyFill="1" applyBorder="1"/>
    <xf numFmtId="0" fontId="0" fillId="2" borderId="14" xfId="0" applyFill="1" applyBorder="1" applyAlignment="1">
      <alignment horizontal="center"/>
    </xf>
    <xf numFmtId="0" fontId="0" fillId="2" borderId="0" xfId="0" applyFill="1" applyBorder="1" applyAlignment="1">
      <alignment horizontal="left"/>
    </xf>
    <xf numFmtId="0" fontId="0" fillId="2" borderId="0" xfId="0" applyFill="1" applyBorder="1"/>
    <xf numFmtId="0" fontId="0" fillId="3" borderId="0" xfId="0" applyFill="1" applyBorder="1" applyAlignment="1">
      <alignment horizontal="left"/>
    </xf>
    <xf numFmtId="0" fontId="0" fillId="3" borderId="0" xfId="0" applyFill="1" applyBorder="1" applyAlignment="1">
      <alignment horizontal="center"/>
    </xf>
    <xf numFmtId="0" fontId="11" fillId="0" borderId="42" xfId="0" applyFont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67" fontId="10" fillId="0" borderId="38" xfId="3" applyBorder="1" applyAlignment="1">
      <alignment horizontal="center"/>
    </xf>
    <xf numFmtId="167" fontId="10" fillId="0" borderId="71" xfId="3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Alignment="1">
      <alignment horizontal="left"/>
    </xf>
    <xf numFmtId="0" fontId="0" fillId="3" borderId="70" xfId="0" applyFill="1" applyBorder="1" applyAlignment="1">
      <alignment wrapText="1"/>
    </xf>
    <xf numFmtId="0" fontId="0" fillId="3" borderId="63" xfId="0" applyFill="1" applyBorder="1" applyAlignment="1">
      <alignment wrapText="1"/>
    </xf>
    <xf numFmtId="0" fontId="0" fillId="2" borderId="0" xfId="0" applyFill="1" applyBorder="1" applyAlignment="1">
      <alignment horizontal="left"/>
    </xf>
    <xf numFmtId="0" fontId="0" fillId="2" borderId="0" xfId="0" applyFill="1" applyBorder="1" applyAlignment="1">
      <alignment horizontal="center"/>
    </xf>
    <xf numFmtId="0" fontId="16" fillId="7" borderId="19" xfId="0" applyFont="1" applyFill="1" applyBorder="1" applyAlignment="1" applyProtection="1">
      <alignment vertical="center"/>
    </xf>
    <xf numFmtId="0" fontId="0" fillId="0" borderId="0" xfId="0" applyProtection="1"/>
    <xf numFmtId="0" fontId="35" fillId="11" borderId="0" xfId="0" applyFont="1" applyFill="1" applyAlignment="1" applyProtection="1">
      <alignment vertical="center"/>
    </xf>
    <xf numFmtId="0" fontId="31" fillId="11" borderId="0" xfId="0" applyFont="1" applyFill="1" applyProtection="1"/>
    <xf numFmtId="0" fontId="36" fillId="11" borderId="0" xfId="0" applyFont="1" applyFill="1" applyAlignment="1" applyProtection="1">
      <alignment vertical="center"/>
    </xf>
    <xf numFmtId="0" fontId="37" fillId="11" borderId="0" xfId="0" applyFont="1" applyFill="1" applyAlignment="1" applyProtection="1">
      <alignment vertical="center"/>
    </xf>
    <xf numFmtId="170" fontId="10" fillId="2" borderId="0" xfId="2" applyNumberFormat="1" applyFill="1" applyBorder="1" applyAlignment="1" applyProtection="1"/>
    <xf numFmtId="0" fontId="0" fillId="2" borderId="0" xfId="0" applyFill="1" applyBorder="1" applyAlignment="1" applyProtection="1"/>
    <xf numFmtId="0" fontId="0" fillId="2" borderId="10" xfId="0" applyFill="1" applyBorder="1" applyAlignment="1" applyProtection="1"/>
    <xf numFmtId="0" fontId="31" fillId="11" borderId="0" xfId="0" applyFont="1" applyFill="1" applyAlignment="1" applyProtection="1">
      <alignment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7" xfId="0" applyFill="1" applyBorder="1" applyAlignment="1" applyProtection="1">
      <alignment horizontal="center" vertical="center"/>
    </xf>
    <xf numFmtId="0" fontId="0" fillId="3" borderId="10" xfId="0" applyFill="1" applyBorder="1" applyAlignment="1" applyProtection="1">
      <alignment horizontal="right"/>
    </xf>
    <xf numFmtId="0" fontId="0" fillId="3" borderId="70" xfId="0" applyFill="1" applyBorder="1" applyAlignment="1" applyProtection="1">
      <alignment horizontal="center"/>
    </xf>
    <xf numFmtId="175" fontId="0" fillId="3" borderId="71" xfId="0" applyNumberFormat="1" applyFill="1" applyBorder="1" applyProtection="1"/>
    <xf numFmtId="0" fontId="0" fillId="3" borderId="35" xfId="0" applyFill="1" applyBorder="1" applyAlignment="1" applyProtection="1">
      <alignment horizontal="center"/>
    </xf>
    <xf numFmtId="0" fontId="11" fillId="0" borderId="2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70" fontId="10" fillId="0" borderId="14" xfId="2" applyNumberFormat="1" applyFill="1" applyBorder="1" applyProtection="1">
      <protection locked="0"/>
    </xf>
    <xf numFmtId="177" fontId="10" fillId="0" borderId="30" xfId="1" applyNumberFormat="1" applyFill="1" applyBorder="1" applyAlignment="1" applyProtection="1">
      <alignment horizontal="center"/>
      <protection locked="0"/>
    </xf>
    <xf numFmtId="14" fontId="0" fillId="0" borderId="30" xfId="0" applyNumberFormat="1" applyBorder="1" applyAlignment="1" applyProtection="1">
      <alignment horizontal="center" vertical="center"/>
      <protection locked="0"/>
    </xf>
    <xf numFmtId="14" fontId="0" fillId="0" borderId="30" xfId="0" applyNumberFormat="1" applyFill="1" applyBorder="1" applyAlignment="1" applyProtection="1">
      <alignment horizontal="center" vertical="center"/>
      <protection locked="0"/>
    </xf>
    <xf numFmtId="14" fontId="0" fillId="0" borderId="31" xfId="0" applyNumberFormat="1" applyBorder="1" applyAlignment="1" applyProtection="1">
      <alignment horizontal="center" vertical="center"/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11" fillId="0" borderId="30" xfId="0" applyFont="1" applyBorder="1" applyAlignment="1" applyProtection="1">
      <alignment horizontal="center" vertical="center"/>
      <protection locked="0"/>
    </xf>
    <xf numFmtId="0" fontId="11" fillId="5" borderId="39" xfId="0" applyFont="1" applyFill="1" applyBorder="1" applyAlignment="1" applyProtection="1">
      <alignment horizontal="center"/>
    </xf>
    <xf numFmtId="0" fontId="11" fillId="5" borderId="42" xfId="0" applyFont="1" applyFill="1" applyBorder="1" applyAlignment="1" applyProtection="1">
      <alignment horizontal="center"/>
    </xf>
    <xf numFmtId="0" fontId="11" fillId="5" borderId="40" xfId="0" applyFont="1" applyFill="1" applyBorder="1" applyAlignment="1" applyProtection="1">
      <alignment horizontal="center"/>
    </xf>
    <xf numFmtId="0" fontId="0" fillId="4" borderId="6" xfId="0" applyFill="1" applyBorder="1" applyProtection="1"/>
    <xf numFmtId="0" fontId="0" fillId="4" borderId="32" xfId="0" applyFill="1" applyBorder="1" applyAlignment="1" applyProtection="1">
      <alignment horizontal="center" vertical="center"/>
    </xf>
    <xf numFmtId="166" fontId="10" fillId="4" borderId="29" xfId="2" applyFill="1" applyBorder="1" applyProtection="1"/>
    <xf numFmtId="0" fontId="0" fillId="5" borderId="37" xfId="0" applyNumberFormat="1" applyFill="1" applyBorder="1" applyAlignment="1" applyProtection="1">
      <alignment horizontal="center" vertical="center"/>
    </xf>
    <xf numFmtId="49" fontId="0" fillId="5" borderId="38" xfId="0" applyNumberFormat="1" applyFill="1" applyBorder="1" applyProtection="1"/>
    <xf numFmtId="0" fontId="0" fillId="5" borderId="38" xfId="0" applyFill="1" applyBorder="1" applyAlignment="1" applyProtection="1">
      <alignment horizontal="center" vertical="center"/>
    </xf>
    <xf numFmtId="166" fontId="10" fillId="5" borderId="38" xfId="2" applyFill="1" applyBorder="1" applyProtection="1"/>
    <xf numFmtId="166" fontId="10" fillId="5" borderId="27" xfId="2" applyFill="1" applyBorder="1" applyProtection="1"/>
    <xf numFmtId="0" fontId="0" fillId="4" borderId="41" xfId="0" applyFill="1" applyBorder="1" applyAlignment="1" applyProtection="1">
      <alignment horizontal="center" vertical="center"/>
    </xf>
    <xf numFmtId="166" fontId="10" fillId="4" borderId="31" xfId="2" applyFill="1" applyBorder="1" applyProtection="1"/>
    <xf numFmtId="0" fontId="0" fillId="5" borderId="34" xfId="0" applyNumberFormat="1" applyFill="1" applyBorder="1" applyAlignment="1" applyProtection="1">
      <alignment horizontal="center" vertical="center"/>
    </xf>
    <xf numFmtId="49" fontId="0" fillId="5" borderId="14" xfId="0" applyNumberFormat="1" applyFill="1" applyBorder="1" applyProtection="1"/>
    <xf numFmtId="166" fontId="10" fillId="5" borderId="14" xfId="2" applyFill="1" applyBorder="1" applyProtection="1"/>
    <xf numFmtId="166" fontId="10" fillId="5" borderId="35" xfId="2" applyFill="1" applyBorder="1" applyProtection="1"/>
    <xf numFmtId="0" fontId="0" fillId="4" borderId="9" xfId="0" applyFill="1" applyBorder="1" applyProtection="1"/>
    <xf numFmtId="166" fontId="0" fillId="5" borderId="35" xfId="2" applyFont="1" applyFill="1" applyBorder="1" applyProtection="1"/>
    <xf numFmtId="0" fontId="0" fillId="5" borderId="36" xfId="0" applyFill="1" applyBorder="1" applyProtection="1"/>
    <xf numFmtId="0" fontId="0" fillId="5" borderId="30" xfId="0" applyFill="1" applyBorder="1" applyProtection="1"/>
    <xf numFmtId="0" fontId="11" fillId="5" borderId="30" xfId="0" applyFont="1" applyFill="1" applyBorder="1" applyProtection="1"/>
    <xf numFmtId="166" fontId="11" fillId="5" borderId="30" xfId="0" applyNumberFormat="1" applyFont="1" applyFill="1" applyBorder="1" applyProtection="1"/>
    <xf numFmtId="166" fontId="11" fillId="5" borderId="31" xfId="0" applyNumberFormat="1" applyFont="1" applyFill="1" applyBorder="1" applyProtection="1"/>
    <xf numFmtId="0" fontId="12" fillId="3" borderId="33" xfId="0" applyFont="1" applyFill="1" applyBorder="1" applyAlignment="1" applyProtection="1">
      <alignment horizontal="center" vertical="center"/>
    </xf>
    <xf numFmtId="0" fontId="11" fillId="3" borderId="0" xfId="0" applyFont="1" applyFill="1" applyProtection="1"/>
    <xf numFmtId="0" fontId="0" fillId="3" borderId="0" xfId="0" applyFill="1" applyBorder="1" applyAlignment="1" applyProtection="1">
      <alignment horizontal="left"/>
    </xf>
    <xf numFmtId="0" fontId="11" fillId="3" borderId="34" xfId="0" applyFont="1" applyFill="1" applyBorder="1" applyProtection="1"/>
    <xf numFmtId="0" fontId="11" fillId="3" borderId="38" xfId="0" applyFont="1" applyFill="1" applyBorder="1" applyProtection="1"/>
    <xf numFmtId="166" fontId="10" fillId="3" borderId="27" xfId="2" applyFill="1" applyBorder="1" applyProtection="1"/>
    <xf numFmtId="0" fontId="11" fillId="3" borderId="14" xfId="0" applyFont="1" applyFill="1" applyBorder="1" applyProtection="1"/>
    <xf numFmtId="166" fontId="10" fillId="3" borderId="35" xfId="2" applyFill="1" applyBorder="1" applyProtection="1"/>
    <xf numFmtId="0" fontId="0" fillId="3" borderId="0" xfId="0" applyFill="1" applyBorder="1" applyAlignment="1" applyProtection="1">
      <alignment horizontal="center"/>
    </xf>
    <xf numFmtId="0" fontId="0" fillId="3" borderId="0" xfId="0" applyFill="1" applyBorder="1" applyProtection="1"/>
    <xf numFmtId="166" fontId="10" fillId="3" borderId="7" xfId="2" applyFill="1" applyBorder="1" applyProtection="1"/>
    <xf numFmtId="0" fontId="0" fillId="3" borderId="34" xfId="0" applyFill="1" applyBorder="1" applyProtection="1"/>
    <xf numFmtId="0" fontId="11" fillId="3" borderId="14" xfId="0" applyFont="1" applyFill="1" applyBorder="1" applyAlignment="1" applyProtection="1">
      <alignment horizontal="center" vertical="center"/>
    </xf>
    <xf numFmtId="0" fontId="11" fillId="3" borderId="35" xfId="0" applyFont="1" applyFill="1" applyBorder="1" applyAlignment="1" applyProtection="1">
      <alignment horizontal="center" vertical="center"/>
    </xf>
    <xf numFmtId="171" fontId="10" fillId="3" borderId="14" xfId="3" applyNumberFormat="1" applyFill="1" applyBorder="1" applyProtection="1"/>
    <xf numFmtId="166" fontId="10" fillId="3" borderId="14" xfId="2" applyFill="1" applyBorder="1" applyProtection="1"/>
    <xf numFmtId="171" fontId="10" fillId="3" borderId="30" xfId="3" applyNumberFormat="1" applyFill="1" applyBorder="1" applyProtection="1"/>
    <xf numFmtId="166" fontId="10" fillId="3" borderId="30" xfId="2" applyFill="1" applyBorder="1" applyProtection="1"/>
    <xf numFmtId="0" fontId="12" fillId="2" borderId="32" xfId="0" applyFont="1" applyFill="1" applyBorder="1" applyAlignment="1" applyProtection="1">
      <alignment horizontal="center" vertical="center"/>
    </xf>
    <xf numFmtId="0" fontId="11" fillId="2" borderId="65" xfId="0" applyFont="1" applyFill="1" applyBorder="1" applyProtection="1"/>
    <xf numFmtId="0" fontId="11" fillId="2" borderId="38" xfId="0" applyFont="1" applyFill="1" applyBorder="1" applyProtection="1"/>
    <xf numFmtId="166" fontId="10" fillId="2" borderId="27" xfId="2" applyFill="1" applyBorder="1" applyProtection="1"/>
    <xf numFmtId="0" fontId="11" fillId="2" borderId="14" xfId="0" applyFont="1" applyFill="1" applyBorder="1" applyProtection="1"/>
    <xf numFmtId="166" fontId="10" fillId="2" borderId="35" xfId="2" applyFill="1" applyBorder="1" applyProtection="1"/>
    <xf numFmtId="0" fontId="0" fillId="2" borderId="14" xfId="0" applyFill="1" applyBorder="1" applyAlignment="1" applyProtection="1">
      <alignment horizontal="center"/>
    </xf>
    <xf numFmtId="0" fontId="0" fillId="2" borderId="0" xfId="0" applyFill="1" applyBorder="1" applyProtection="1"/>
    <xf numFmtId="166" fontId="10" fillId="2" borderId="7" xfId="2" applyFill="1" applyBorder="1" applyProtection="1"/>
    <xf numFmtId="166" fontId="0" fillId="0" borderId="14" xfId="2" applyFont="1" applyBorder="1" applyProtection="1">
      <protection locked="0"/>
    </xf>
    <xf numFmtId="166" fontId="10" fillId="0" borderId="14" xfId="2" applyBorder="1" applyProtection="1">
      <protection locked="0"/>
    </xf>
    <xf numFmtId="166" fontId="10" fillId="0" borderId="30" xfId="2" applyBorder="1" applyProtection="1">
      <protection locked="0"/>
    </xf>
    <xf numFmtId="0" fontId="18" fillId="3" borderId="19" xfId="0" applyFont="1" applyFill="1" applyBorder="1" applyAlignment="1" applyProtection="1">
      <alignment horizontal="center" vertical="center"/>
    </xf>
    <xf numFmtId="0" fontId="0" fillId="3" borderId="53" xfId="0" applyFill="1" applyBorder="1" applyAlignment="1" applyProtection="1">
      <alignment horizontal="center"/>
    </xf>
    <xf numFmtId="164" fontId="0" fillId="3" borderId="26" xfId="0" applyNumberFormat="1" applyFill="1" applyBorder="1" applyAlignment="1" applyProtection="1">
      <alignment horizontal="center"/>
    </xf>
    <xf numFmtId="0" fontId="11" fillId="3" borderId="28" xfId="0" applyFont="1" applyFill="1" applyBorder="1" applyAlignment="1" applyProtection="1">
      <alignment horizontal="center" vertical="center"/>
    </xf>
    <xf numFmtId="0" fontId="11" fillId="3" borderId="29" xfId="0" applyFont="1" applyFill="1" applyBorder="1" applyAlignment="1" applyProtection="1">
      <alignment horizontal="center" vertical="center"/>
    </xf>
    <xf numFmtId="0" fontId="0" fillId="3" borderId="39" xfId="0" applyFill="1" applyBorder="1" applyAlignment="1" applyProtection="1">
      <alignment horizontal="center"/>
    </xf>
    <xf numFmtId="0" fontId="0" fillId="3" borderId="74" xfId="0" applyFill="1" applyBorder="1" applyAlignment="1" applyProtection="1">
      <alignment horizontal="center"/>
    </xf>
    <xf numFmtId="0" fontId="0" fillId="3" borderId="20" xfId="0" applyFill="1" applyBorder="1" applyAlignment="1" applyProtection="1">
      <alignment horizontal="center"/>
    </xf>
    <xf numFmtId="0" fontId="28" fillId="3" borderId="74" xfId="0" applyFont="1" applyFill="1" applyBorder="1" applyProtection="1"/>
    <xf numFmtId="0" fontId="28" fillId="6" borderId="74" xfId="0" applyFont="1" applyFill="1" applyBorder="1" applyAlignment="1" applyProtection="1">
      <alignment horizontal="center" vertical="center"/>
    </xf>
    <xf numFmtId="0" fontId="28" fillId="6" borderId="7" xfId="0" applyFont="1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vertical="center"/>
    </xf>
    <xf numFmtId="166" fontId="0" fillId="3" borderId="33" xfId="0" applyNumberFormat="1" applyFont="1" applyFill="1" applyBorder="1" applyAlignment="1" applyProtection="1">
      <alignment vertical="center"/>
    </xf>
    <xf numFmtId="166" fontId="10" fillId="3" borderId="29" xfId="2" applyFill="1" applyBorder="1" applyAlignment="1" applyProtection="1">
      <alignment vertical="center"/>
    </xf>
    <xf numFmtId="0" fontId="0" fillId="3" borderId="11" xfId="0" applyFill="1" applyBorder="1" applyAlignment="1" applyProtection="1">
      <alignment vertical="center"/>
    </xf>
    <xf numFmtId="0" fontId="0" fillId="3" borderId="3" xfId="0" applyFont="1" applyFill="1" applyBorder="1" applyAlignment="1" applyProtection="1">
      <alignment horizontal="right" vertical="center"/>
    </xf>
    <xf numFmtId="49" fontId="0" fillId="3" borderId="3" xfId="0" applyNumberFormat="1" applyFont="1" applyFill="1" applyBorder="1" applyAlignment="1" applyProtection="1">
      <alignment horizontal="center"/>
    </xf>
    <xf numFmtId="0" fontId="0" fillId="3" borderId="17" xfId="0" applyFont="1" applyFill="1" applyBorder="1" applyAlignment="1" applyProtection="1">
      <alignment horizontal="right"/>
    </xf>
    <xf numFmtId="49" fontId="0" fillId="3" borderId="17" xfId="0" applyNumberFormat="1" applyFont="1" applyFill="1" applyBorder="1" applyAlignment="1" applyProtection="1">
      <alignment horizontal="center"/>
    </xf>
    <xf numFmtId="0" fontId="0" fillId="3" borderId="15" xfId="0" applyFont="1" applyFill="1" applyBorder="1" applyAlignment="1" applyProtection="1">
      <alignment horizontal="right"/>
    </xf>
    <xf numFmtId="49" fontId="0" fillId="3" borderId="15" xfId="0" applyNumberFormat="1" applyFont="1" applyFill="1" applyBorder="1" applyAlignment="1" applyProtection="1">
      <alignment horizontal="center"/>
    </xf>
    <xf numFmtId="0" fontId="11" fillId="3" borderId="0" xfId="0" applyFont="1" applyFill="1" applyBorder="1" applyAlignment="1" applyProtection="1">
      <alignment horizontal="right"/>
    </xf>
    <xf numFmtId="49" fontId="11" fillId="3" borderId="0" xfId="0" applyNumberFormat="1" applyFont="1" applyFill="1" applyBorder="1" applyAlignment="1" applyProtection="1">
      <alignment horizontal="center"/>
    </xf>
    <xf numFmtId="0" fontId="11" fillId="3" borderId="10" xfId="0" applyFont="1" applyFill="1" applyBorder="1" applyAlignment="1" applyProtection="1">
      <alignment horizontal="right"/>
    </xf>
    <xf numFmtId="49" fontId="11" fillId="3" borderId="10" xfId="0" applyNumberFormat="1" applyFont="1" applyFill="1" applyBorder="1" applyAlignment="1" applyProtection="1">
      <alignment horizontal="center"/>
    </xf>
    <xf numFmtId="0" fontId="0" fillId="3" borderId="14" xfId="0" applyFont="1" applyFill="1" applyBorder="1" applyAlignment="1" applyProtection="1">
      <alignment horizontal="center" vertical="center"/>
    </xf>
    <xf numFmtId="0" fontId="0" fillId="3" borderId="6" xfId="0" applyFill="1" applyBorder="1" applyProtection="1"/>
    <xf numFmtId="49" fontId="0" fillId="3" borderId="0" xfId="0" applyNumberFormat="1" applyFont="1" applyFill="1" applyBorder="1" applyAlignment="1" applyProtection="1">
      <alignment horizontal="center"/>
    </xf>
    <xf numFmtId="0" fontId="0" fillId="3" borderId="0" xfId="0" applyFont="1" applyFill="1" applyBorder="1" applyAlignment="1" applyProtection="1"/>
    <xf numFmtId="0" fontId="0" fillId="3" borderId="0" xfId="0" applyFill="1" applyBorder="1" applyAlignment="1" applyProtection="1"/>
    <xf numFmtId="175" fontId="0" fillId="3" borderId="0" xfId="0" applyNumberFormat="1" applyFill="1" applyBorder="1" applyProtection="1"/>
    <xf numFmtId="170" fontId="0" fillId="3" borderId="7" xfId="0" applyNumberFormat="1" applyFill="1" applyBorder="1" applyProtection="1"/>
    <xf numFmtId="49" fontId="0" fillId="3" borderId="0" xfId="0" applyNumberFormat="1" applyFont="1" applyFill="1" applyBorder="1" applyAlignment="1" applyProtection="1">
      <alignment horizontal="center" vertical="center"/>
    </xf>
    <xf numFmtId="167" fontId="10" fillId="3" borderId="14" xfId="3" applyFill="1" applyBorder="1" applyAlignment="1" applyProtection="1">
      <alignment horizontal="center"/>
    </xf>
    <xf numFmtId="167" fontId="10" fillId="3" borderId="35" xfId="3" applyFill="1" applyBorder="1" applyAlignment="1" applyProtection="1">
      <alignment horizontal="center"/>
    </xf>
    <xf numFmtId="166" fontId="0" fillId="3" borderId="37" xfId="0" applyNumberFormat="1" applyFont="1" applyFill="1" applyBorder="1" applyAlignment="1" applyProtection="1">
      <alignment vertical="center"/>
    </xf>
    <xf numFmtId="166" fontId="10" fillId="3" borderId="27" xfId="2" applyFill="1" applyBorder="1" applyAlignment="1" applyProtection="1">
      <alignment vertical="center"/>
    </xf>
    <xf numFmtId="168" fontId="10" fillId="3" borderId="14" xfId="3" applyNumberFormat="1" applyFill="1" applyBorder="1" applyAlignment="1" applyProtection="1">
      <alignment horizontal="center" vertical="center"/>
    </xf>
    <xf numFmtId="166" fontId="10" fillId="3" borderId="0" xfId="2" applyFill="1" applyBorder="1" applyProtection="1"/>
    <xf numFmtId="0" fontId="0" fillId="3" borderId="6" xfId="0" applyFont="1" applyFill="1" applyBorder="1" applyAlignment="1" applyProtection="1"/>
    <xf numFmtId="0" fontId="0" fillId="10" borderId="0" xfId="0" applyFill="1" applyProtection="1"/>
    <xf numFmtId="0" fontId="18" fillId="0" borderId="10" xfId="0" applyFont="1" applyFill="1" applyBorder="1" applyAlignment="1" applyProtection="1">
      <alignment horizontal="center" vertical="center" wrapText="1"/>
      <protection locked="0"/>
    </xf>
    <xf numFmtId="1" fontId="0" fillId="0" borderId="54" xfId="0" applyNumberFormat="1" applyFill="1" applyBorder="1" applyAlignment="1" applyProtection="1">
      <alignment horizontal="center" vertical="center"/>
      <protection locked="0"/>
    </xf>
    <xf numFmtId="0" fontId="0" fillId="0" borderId="58" xfId="0" applyFill="1" applyBorder="1" applyAlignment="1" applyProtection="1">
      <alignment horizontal="center" vertical="center"/>
      <protection locked="0"/>
    </xf>
    <xf numFmtId="1" fontId="0" fillId="0" borderId="30" xfId="0" applyNumberFormat="1" applyBorder="1" applyAlignment="1" applyProtection="1">
      <alignment horizontal="center" vertical="center"/>
      <protection locked="0"/>
    </xf>
    <xf numFmtId="1" fontId="0" fillId="0" borderId="11" xfId="0" applyNumberFormat="1" applyBorder="1" applyAlignment="1" applyProtection="1">
      <alignment horizontal="center" vertical="center"/>
      <protection locked="0"/>
    </xf>
    <xf numFmtId="166" fontId="10" fillId="0" borderId="63" xfId="2" applyFill="1" applyBorder="1" applyAlignment="1" applyProtection="1">
      <alignment vertical="center"/>
      <protection locked="0"/>
    </xf>
    <xf numFmtId="166" fontId="10" fillId="0" borderId="38" xfId="2" applyFill="1" applyBorder="1" applyAlignment="1" applyProtection="1">
      <alignment vertical="center"/>
      <protection locked="0"/>
    </xf>
    <xf numFmtId="166" fontId="10" fillId="0" borderId="71" xfId="2" applyFill="1" applyBorder="1" applyAlignment="1" applyProtection="1">
      <alignment vertical="center"/>
      <protection locked="0"/>
    </xf>
    <xf numFmtId="165" fontId="10" fillId="0" borderId="3" xfId="1" applyBorder="1" applyProtection="1">
      <protection locked="0"/>
    </xf>
    <xf numFmtId="165" fontId="10" fillId="0" borderId="10" xfId="1" applyBorder="1" applyProtection="1">
      <protection locked="0"/>
    </xf>
    <xf numFmtId="170" fontId="10" fillId="0" borderId="0" xfId="2" applyNumberFormat="1" applyBorder="1" applyProtection="1">
      <protection locked="0"/>
    </xf>
    <xf numFmtId="170" fontId="10" fillId="0" borderId="7" xfId="2" applyNumberFormat="1" applyBorder="1" applyProtection="1">
      <protection locked="0"/>
    </xf>
    <xf numFmtId="166" fontId="10" fillId="0" borderId="7" xfId="2" applyBorder="1" applyProtection="1">
      <protection locked="0"/>
    </xf>
    <xf numFmtId="0" fontId="0" fillId="4" borderId="0" xfId="0" applyFill="1" applyAlignment="1" applyProtection="1">
      <alignment horizontal="center" vertical="center"/>
    </xf>
    <xf numFmtId="0" fontId="12" fillId="4" borderId="0" xfId="0" applyFont="1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12" borderId="0" xfId="0" applyFill="1" applyProtection="1"/>
    <xf numFmtId="0" fontId="11" fillId="12" borderId="0" xfId="0" applyFont="1" applyFill="1" applyProtection="1"/>
    <xf numFmtId="0" fontId="0" fillId="3" borderId="3" xfId="0" applyFill="1" applyBorder="1" applyAlignment="1" applyProtection="1">
      <alignment horizontal="right" vertical="center"/>
    </xf>
    <xf numFmtId="0" fontId="11" fillId="3" borderId="3" xfId="0" applyFont="1" applyFill="1" applyBorder="1" applyAlignment="1" applyProtection="1"/>
    <xf numFmtId="0" fontId="0" fillId="3" borderId="3" xfId="0" applyFill="1" applyBorder="1" applyProtection="1"/>
    <xf numFmtId="0" fontId="0" fillId="0" borderId="28" xfId="0" applyBorder="1" applyAlignment="1" applyProtection="1">
      <alignment horizontal="right" vertical="center"/>
      <protection locked="0"/>
    </xf>
    <xf numFmtId="14" fontId="0" fillId="0" borderId="35" xfId="0" quotePrefix="1" applyNumberFormat="1" applyBorder="1" applyAlignment="1" applyProtection="1">
      <alignment horizontal="center" vertical="center"/>
      <protection locked="0"/>
    </xf>
    <xf numFmtId="14" fontId="0" fillId="0" borderId="31" xfId="0" quotePrefix="1" applyNumberFormat="1" applyBorder="1" applyAlignment="1" applyProtection="1">
      <alignment horizontal="center" vertical="center"/>
      <protection locked="0"/>
    </xf>
    <xf numFmtId="14" fontId="0" fillId="0" borderId="35" xfId="0" applyNumberFormat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vertical="center"/>
    </xf>
    <xf numFmtId="0" fontId="0" fillId="2" borderId="24" xfId="0" applyFill="1" applyBorder="1" applyAlignment="1" applyProtection="1">
      <alignment vertical="center"/>
    </xf>
    <xf numFmtId="0" fontId="0" fillId="2" borderId="24" xfId="0" applyFill="1" applyBorder="1" applyAlignment="1" applyProtection="1"/>
    <xf numFmtId="0" fontId="0" fillId="2" borderId="25" xfId="0" applyFill="1" applyBorder="1" applyAlignment="1" applyProtection="1"/>
    <xf numFmtId="0" fontId="0" fillId="0" borderId="36" xfId="0" applyFill="1" applyBorder="1" applyAlignment="1">
      <alignment horizontal="center" vertical="center"/>
    </xf>
    <xf numFmtId="14" fontId="0" fillId="0" borderId="14" xfId="0" quotePrefix="1" applyNumberFormat="1" applyBorder="1" applyAlignment="1" applyProtection="1">
      <alignment vertical="center"/>
      <protection locked="0"/>
    </xf>
    <xf numFmtId="14" fontId="0" fillId="0" borderId="30" xfId="0" quotePrefix="1" applyNumberFormat="1" applyBorder="1" applyAlignment="1" applyProtection="1">
      <alignment vertical="center"/>
      <protection locked="0"/>
    </xf>
    <xf numFmtId="0" fontId="0" fillId="2" borderId="3" xfId="0" applyFill="1" applyBorder="1" applyAlignment="1" applyProtection="1"/>
    <xf numFmtId="14" fontId="0" fillId="0" borderId="28" xfId="0" applyNumberFormat="1" applyBorder="1" applyAlignment="1" applyProtection="1">
      <alignment vertical="center"/>
      <protection locked="0"/>
    </xf>
    <xf numFmtId="14" fontId="0" fillId="0" borderId="29" xfId="0" applyNumberFormat="1" applyBorder="1" applyAlignment="1" applyProtection="1">
      <alignment horizontal="center" vertical="center"/>
      <protection locked="0"/>
    </xf>
    <xf numFmtId="0" fontId="31" fillId="11" borderId="7" xfId="0" applyFont="1" applyFill="1" applyBorder="1" applyAlignment="1" applyProtection="1">
      <alignment vertical="center"/>
    </xf>
    <xf numFmtId="0" fontId="31" fillId="11" borderId="11" xfId="0" applyFont="1" applyFill="1" applyBorder="1" applyAlignment="1" applyProtection="1">
      <alignment vertical="center"/>
    </xf>
    <xf numFmtId="0" fontId="0" fillId="13" borderId="0" xfId="0" applyFill="1" applyProtection="1"/>
    <xf numFmtId="167" fontId="10" fillId="0" borderId="0" xfId="3" applyAlignment="1">
      <alignment horizontal="center" vertical="center"/>
    </xf>
    <xf numFmtId="0" fontId="0" fillId="0" borderId="9" xfId="0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11" fillId="0" borderId="59" xfId="0" applyFont="1" applyBorder="1"/>
    <xf numFmtId="0" fontId="0" fillId="0" borderId="5" xfId="0" applyBorder="1" applyProtection="1"/>
    <xf numFmtId="0" fontId="0" fillId="0" borderId="8" xfId="0" applyBorder="1" applyProtection="1"/>
    <xf numFmtId="0" fontId="11" fillId="3" borderId="73" xfId="0" applyFont="1" applyFill="1" applyBorder="1" applyAlignment="1" applyProtection="1">
      <alignment horizontal="center"/>
    </xf>
    <xf numFmtId="0" fontId="14" fillId="0" borderId="2" xfId="0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11" fillId="0" borderId="2" xfId="0" applyFont="1" applyFill="1" applyBorder="1" applyAlignment="1" applyProtection="1">
      <alignment horizontal="center" vertical="center"/>
      <protection locked="0"/>
    </xf>
    <xf numFmtId="14" fontId="0" fillId="0" borderId="14" xfId="0" applyNumberFormat="1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31" fillId="14" borderId="0" xfId="0" applyFont="1" applyFill="1" applyProtection="1"/>
    <xf numFmtId="170" fontId="10" fillId="0" borderId="38" xfId="2" applyNumberFormat="1" applyFill="1" applyBorder="1" applyAlignment="1" applyProtection="1">
      <protection locked="0"/>
    </xf>
    <xf numFmtId="0" fontId="11" fillId="3" borderId="0" xfId="0" applyFont="1" applyFill="1" applyBorder="1" applyAlignment="1" applyProtection="1"/>
    <xf numFmtId="0" fontId="11" fillId="3" borderId="7" xfId="0" applyFont="1" applyFill="1" applyBorder="1" applyAlignment="1" applyProtection="1"/>
    <xf numFmtId="0" fontId="0" fillId="2" borderId="65" xfId="0" applyFill="1" applyBorder="1" applyProtection="1"/>
    <xf numFmtId="0" fontId="11" fillId="2" borderId="14" xfId="0" applyFont="1" applyFill="1" applyBorder="1" applyAlignment="1" applyProtection="1">
      <alignment horizontal="center" vertical="center"/>
    </xf>
    <xf numFmtId="0" fontId="11" fillId="2" borderId="35" xfId="0" applyFont="1" applyFill="1" applyBorder="1" applyAlignment="1" applyProtection="1">
      <alignment horizontal="center" vertical="center"/>
    </xf>
    <xf numFmtId="166" fontId="10" fillId="2" borderId="14" xfId="2" applyFill="1" applyBorder="1" applyProtection="1"/>
    <xf numFmtId="171" fontId="10" fillId="2" borderId="14" xfId="3" applyNumberFormat="1" applyFill="1" applyBorder="1" applyProtection="1"/>
    <xf numFmtId="166" fontId="10" fillId="2" borderId="30" xfId="2" applyFill="1" applyBorder="1" applyProtection="1"/>
    <xf numFmtId="171" fontId="10" fillId="2" borderId="30" xfId="3" applyNumberFormat="1" applyFill="1" applyBorder="1" applyProtection="1"/>
    <xf numFmtId="0" fontId="12" fillId="2" borderId="33" xfId="0" applyFont="1" applyFill="1" applyBorder="1" applyAlignment="1" applyProtection="1">
      <alignment horizontal="center" vertical="center"/>
    </xf>
    <xf numFmtId="0" fontId="11" fillId="2" borderId="34" xfId="0" applyFont="1" applyFill="1" applyBorder="1" applyProtection="1"/>
    <xf numFmtId="0" fontId="0" fillId="2" borderId="34" xfId="0" applyFill="1" applyBorder="1" applyProtection="1"/>
    <xf numFmtId="0" fontId="11" fillId="0" borderId="28" xfId="0" applyFont="1" applyBorder="1" applyAlignment="1" applyProtection="1">
      <alignment horizontal="center" vertical="center"/>
      <protection locked="0"/>
    </xf>
    <xf numFmtId="0" fontId="0" fillId="3" borderId="10" xfId="0" applyFill="1" applyBorder="1" applyProtection="1"/>
    <xf numFmtId="164" fontId="0" fillId="0" borderId="0" xfId="0" applyNumberFormat="1"/>
    <xf numFmtId="0" fontId="0" fillId="2" borderId="3" xfId="0" applyFill="1" applyBorder="1" applyProtection="1"/>
    <xf numFmtId="0" fontId="0" fillId="2" borderId="4" xfId="0" applyFill="1" applyBorder="1" applyProtection="1"/>
    <xf numFmtId="49" fontId="31" fillId="14" borderId="0" xfId="0" applyNumberFormat="1" applyFont="1" applyFill="1" applyProtection="1"/>
    <xf numFmtId="0" fontId="37" fillId="14" borderId="0" xfId="0" applyFont="1" applyFill="1" applyAlignment="1" applyProtection="1">
      <alignment vertical="center"/>
    </xf>
    <xf numFmtId="0" fontId="0" fillId="11" borderId="0" xfId="0" applyFill="1" applyProtection="1"/>
    <xf numFmtId="166" fontId="10" fillId="0" borderId="14" xfId="2" applyFill="1" applyBorder="1" applyProtection="1">
      <protection locked="0"/>
    </xf>
    <xf numFmtId="166" fontId="10" fillId="0" borderId="30" xfId="2" applyFill="1" applyBorder="1" applyProtection="1">
      <protection locked="0"/>
    </xf>
    <xf numFmtId="14" fontId="0" fillId="0" borderId="35" xfId="0" applyNumberFormat="1" applyBorder="1" applyAlignment="1" applyProtection="1">
      <alignment horizontal="center"/>
      <protection locked="0"/>
    </xf>
    <xf numFmtId="49" fontId="31" fillId="14" borderId="43" xfId="0" applyNumberFormat="1" applyFont="1" applyFill="1" applyBorder="1" applyAlignment="1" applyProtection="1">
      <alignment vertical="center"/>
    </xf>
    <xf numFmtId="49" fontId="31" fillId="14" borderId="13" xfId="0" applyNumberFormat="1" applyFont="1" applyFill="1" applyBorder="1" applyAlignment="1" applyProtection="1">
      <alignment vertical="center"/>
    </xf>
    <xf numFmtId="49" fontId="31" fillId="14" borderId="76" xfId="0" applyNumberFormat="1" applyFont="1" applyFill="1" applyBorder="1" applyAlignment="1" applyProtection="1">
      <alignment vertical="center"/>
    </xf>
    <xf numFmtId="49" fontId="31" fillId="14" borderId="66" xfId="0" applyNumberFormat="1" applyFont="1" applyFill="1" applyBorder="1" applyAlignment="1" applyProtection="1">
      <alignment vertical="center"/>
    </xf>
    <xf numFmtId="0" fontId="0" fillId="0" borderId="2" xfId="0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 applyProtection="1">
      <protection locked="0"/>
    </xf>
    <xf numFmtId="167" fontId="0" fillId="0" borderId="0" xfId="3" applyFont="1" applyAlignment="1">
      <alignment vertical="center"/>
    </xf>
    <xf numFmtId="167" fontId="10" fillId="0" borderId="0" xfId="3" applyAlignment="1">
      <alignment vertical="center"/>
    </xf>
    <xf numFmtId="168" fontId="10" fillId="0" borderId="0" xfId="3" applyNumberFormat="1"/>
    <xf numFmtId="0" fontId="0" fillId="14" borderId="0" xfId="0" applyFill="1" applyProtection="1"/>
    <xf numFmtId="0" fontId="30" fillId="14" borderId="0" xfId="0" applyFont="1" applyFill="1" applyBorder="1" applyAlignment="1" applyProtection="1">
      <alignment vertical="center"/>
    </xf>
    <xf numFmtId="165" fontId="0" fillId="13" borderId="0" xfId="1" applyFont="1" applyFill="1" applyBorder="1" applyAlignment="1" applyProtection="1"/>
    <xf numFmtId="164" fontId="0" fillId="13" borderId="0" xfId="0" applyNumberFormat="1" applyFill="1" applyProtection="1"/>
    <xf numFmtId="170" fontId="0" fillId="13" borderId="0" xfId="0" applyNumberFormat="1" applyFill="1" applyProtection="1"/>
    <xf numFmtId="0" fontId="0" fillId="13" borderId="0" xfId="0" applyFill="1"/>
    <xf numFmtId="0" fontId="31" fillId="0" borderId="14" xfId="0" applyFont="1" applyFill="1" applyBorder="1" applyAlignment="1" applyProtection="1">
      <alignment horizontal="center" vertical="center"/>
      <protection locked="0"/>
    </xf>
    <xf numFmtId="0" fontId="31" fillId="11" borderId="0" xfId="0" applyFont="1" applyFill="1" applyAlignment="1" applyProtection="1">
      <alignment horizontal="center" vertical="center"/>
    </xf>
    <xf numFmtId="0" fontId="31" fillId="0" borderId="30" xfId="0" applyFont="1" applyFill="1" applyBorder="1" applyAlignment="1" applyProtection="1">
      <alignment horizontal="center" vertical="center"/>
      <protection locked="0"/>
    </xf>
    <xf numFmtId="165" fontId="10" fillId="3" borderId="0" xfId="1" applyFill="1" applyBorder="1" applyProtection="1"/>
    <xf numFmtId="165" fontId="10" fillId="3" borderId="7" xfId="1" applyFill="1" applyBorder="1" applyProtection="1"/>
    <xf numFmtId="0" fontId="0" fillId="13" borderId="0" xfId="0" applyFill="1" applyAlignment="1" applyProtection="1">
      <alignment horizontal="right"/>
    </xf>
    <xf numFmtId="165" fontId="10" fillId="13" borderId="0" xfId="1" applyFill="1" applyProtection="1"/>
    <xf numFmtId="0" fontId="0" fillId="0" borderId="5" xfId="0" applyBorder="1"/>
    <xf numFmtId="168" fontId="10" fillId="3" borderId="0" xfId="3" applyNumberFormat="1" applyFill="1" applyBorder="1" applyProtection="1"/>
    <xf numFmtId="0" fontId="9" fillId="3" borderId="15" xfId="0" applyFont="1" applyFill="1" applyBorder="1" applyAlignment="1" applyProtection="1"/>
    <xf numFmtId="0" fontId="0" fillId="3" borderId="17" xfId="0" applyFill="1" applyBorder="1" applyProtection="1"/>
    <xf numFmtId="168" fontId="10" fillId="3" borderId="7" xfId="3" applyNumberFormat="1" applyFill="1" applyBorder="1" applyProtection="1"/>
    <xf numFmtId="0" fontId="9" fillId="3" borderId="18" xfId="0" applyFont="1" applyFill="1" applyBorder="1" applyAlignment="1" applyProtection="1"/>
    <xf numFmtId="0" fontId="0" fillId="3" borderId="23" xfId="0" applyFill="1" applyBorder="1" applyProtection="1"/>
    <xf numFmtId="0" fontId="0" fillId="3" borderId="9" xfId="0" applyFill="1" applyBorder="1" applyProtection="1"/>
    <xf numFmtId="0" fontId="11" fillId="3" borderId="2" xfId="0" applyFont="1" applyFill="1" applyBorder="1" applyAlignment="1" applyProtection="1">
      <alignment horizontal="center" vertical="center"/>
    </xf>
    <xf numFmtId="0" fontId="11" fillId="3" borderId="4" xfId="0" applyFont="1" applyFill="1" applyBorder="1" applyAlignment="1" applyProtection="1">
      <alignment horizontal="center" vertical="center"/>
    </xf>
    <xf numFmtId="0" fontId="0" fillId="6" borderId="54" xfId="0" applyFill="1" applyBorder="1" applyAlignment="1" applyProtection="1">
      <alignment horizontal="center"/>
    </xf>
    <xf numFmtId="0" fontId="0" fillId="6" borderId="25" xfId="0" applyFill="1" applyBorder="1" applyAlignment="1" applyProtection="1">
      <alignment horizontal="center"/>
    </xf>
    <xf numFmtId="0" fontId="0" fillId="6" borderId="11" xfId="0" applyFill="1" applyBorder="1" applyAlignment="1" applyProtection="1">
      <alignment horizontal="center"/>
    </xf>
    <xf numFmtId="176" fontId="0" fillId="6" borderId="36" xfId="0" applyNumberFormat="1" applyFill="1" applyBorder="1" applyProtection="1"/>
    <xf numFmtId="166" fontId="10" fillId="6" borderId="33" xfId="2" applyFill="1" applyBorder="1" applyAlignment="1" applyProtection="1">
      <alignment vertical="center"/>
    </xf>
    <xf numFmtId="166" fontId="10" fillId="6" borderId="70" xfId="2" applyFill="1" applyBorder="1" applyAlignment="1" applyProtection="1">
      <alignment vertical="center"/>
    </xf>
    <xf numFmtId="166" fontId="10" fillId="6" borderId="62" xfId="2" applyFill="1" applyBorder="1" applyAlignment="1" applyProtection="1">
      <alignment vertical="center"/>
    </xf>
    <xf numFmtId="166" fontId="10" fillId="6" borderId="63" xfId="2" applyFill="1" applyBorder="1" applyAlignment="1" applyProtection="1">
      <alignment vertical="center"/>
    </xf>
    <xf numFmtId="0" fontId="0" fillId="6" borderId="19" xfId="0" applyFill="1" applyBorder="1" applyProtection="1"/>
    <xf numFmtId="0" fontId="0" fillId="6" borderId="39" xfId="0" applyFill="1" applyBorder="1" applyAlignment="1" applyProtection="1">
      <alignment horizontal="center"/>
    </xf>
    <xf numFmtId="0" fontId="0" fillId="6" borderId="74" xfId="0" applyFill="1" applyBorder="1" applyAlignment="1" applyProtection="1">
      <alignment horizontal="center"/>
    </xf>
    <xf numFmtId="0" fontId="0" fillId="6" borderId="21" xfId="0" applyFill="1" applyBorder="1" applyAlignment="1" applyProtection="1">
      <alignment horizontal="center"/>
    </xf>
    <xf numFmtId="166" fontId="10" fillId="6" borderId="37" xfId="2" applyFill="1" applyBorder="1" applyAlignment="1" applyProtection="1">
      <alignment vertical="center"/>
    </xf>
    <xf numFmtId="166" fontId="10" fillId="6" borderId="54" xfId="2" applyFill="1" applyBorder="1" applyAlignment="1" applyProtection="1">
      <alignment vertical="center"/>
    </xf>
    <xf numFmtId="0" fontId="0" fillId="0" borderId="14" xfId="0" applyNumberFormat="1" applyBorder="1" applyAlignment="1">
      <alignment horizontal="center" vertical="center"/>
    </xf>
    <xf numFmtId="0" fontId="0" fillId="0" borderId="30" xfId="0" applyNumberFormat="1" applyBorder="1" applyAlignment="1">
      <alignment horizontal="center" vertical="center"/>
    </xf>
    <xf numFmtId="0" fontId="0" fillId="0" borderId="28" xfId="0" applyNumberFormat="1" applyBorder="1" applyAlignment="1">
      <alignment horizontal="center" vertical="center"/>
    </xf>
    <xf numFmtId="166" fontId="10" fillId="0" borderId="28" xfId="2" applyBorder="1"/>
    <xf numFmtId="166" fontId="10" fillId="0" borderId="29" xfId="2" applyBorder="1"/>
    <xf numFmtId="166" fontId="10" fillId="0" borderId="35" xfId="2" applyBorder="1"/>
    <xf numFmtId="166" fontId="10" fillId="0" borderId="31" xfId="2" applyBorder="1"/>
    <xf numFmtId="176" fontId="10" fillId="6" borderId="62" xfId="2" applyNumberFormat="1" applyFill="1" applyBorder="1" applyAlignment="1" applyProtection="1">
      <alignment vertical="center"/>
    </xf>
    <xf numFmtId="0" fontId="40" fillId="0" borderId="0" xfId="0" applyFont="1"/>
    <xf numFmtId="0" fontId="38" fillId="0" borderId="0" xfId="6"/>
    <xf numFmtId="0" fontId="29" fillId="0" borderId="0" xfId="0" applyFont="1"/>
    <xf numFmtId="165" fontId="29" fillId="0" borderId="4" xfId="1" applyFont="1" applyBorder="1"/>
    <xf numFmtId="165" fontId="29" fillId="0" borderId="0" xfId="1" applyFont="1" applyBorder="1"/>
    <xf numFmtId="165" fontId="29" fillId="0" borderId="0" xfId="1" applyFont="1" applyBorder="1" applyAlignment="1">
      <alignment horizontal="center" vertical="center"/>
    </xf>
    <xf numFmtId="165" fontId="29" fillId="0" borderId="7" xfId="1" applyFont="1" applyBorder="1"/>
    <xf numFmtId="0" fontId="17" fillId="0" borderId="0" xfId="0" applyFont="1" applyAlignment="1">
      <alignment horizontal="center" vertical="center" textRotation="90"/>
    </xf>
    <xf numFmtId="0" fontId="29" fillId="0" borderId="0" xfId="0" applyFont="1" applyBorder="1"/>
    <xf numFmtId="165" fontId="29" fillId="0" borderId="24" xfId="1" applyFont="1" applyBorder="1"/>
    <xf numFmtId="165" fontId="29" fillId="0" borderId="13" xfId="1" applyFont="1" applyBorder="1"/>
    <xf numFmtId="0" fontId="17" fillId="17" borderId="69" xfId="0" applyFont="1" applyFill="1" applyBorder="1" applyAlignment="1">
      <alignment horizontal="center" vertical="center"/>
    </xf>
    <xf numFmtId="0" fontId="17" fillId="17" borderId="56" xfId="0" applyFont="1" applyFill="1" applyBorder="1" applyAlignment="1">
      <alignment horizontal="center" vertical="center"/>
    </xf>
    <xf numFmtId="0" fontId="29" fillId="0" borderId="1" xfId="0" applyFont="1" applyBorder="1"/>
    <xf numFmtId="0" fontId="29" fillId="0" borderId="5" xfId="0" applyFont="1" applyBorder="1"/>
    <xf numFmtId="165" fontId="29" fillId="0" borderId="2" xfId="1" applyFont="1" applyBorder="1"/>
    <xf numFmtId="165" fontId="29" fillId="0" borderId="6" xfId="1" applyFont="1" applyBorder="1"/>
    <xf numFmtId="165" fontId="29" fillId="0" borderId="1" xfId="1" applyFont="1" applyBorder="1" applyAlignment="1">
      <alignment horizontal="center" vertical="center"/>
    </xf>
    <xf numFmtId="165" fontId="29" fillId="0" borderId="5" xfId="1" applyFont="1" applyBorder="1" applyAlignment="1">
      <alignment horizontal="center" vertical="center"/>
    </xf>
    <xf numFmtId="165" fontId="29" fillId="0" borderId="1" xfId="1" applyFont="1" applyBorder="1"/>
    <xf numFmtId="165" fontId="29" fillId="0" borderId="5" xfId="1" applyFont="1" applyBorder="1"/>
    <xf numFmtId="0" fontId="17" fillId="17" borderId="77" xfId="0" applyFont="1" applyFill="1" applyBorder="1"/>
    <xf numFmtId="165" fontId="17" fillId="17" borderId="37" xfId="1" applyFont="1" applyFill="1" applyBorder="1"/>
    <xf numFmtId="165" fontId="17" fillId="17" borderId="27" xfId="1" applyFont="1" applyFill="1" applyBorder="1"/>
    <xf numFmtId="165" fontId="17" fillId="17" borderId="77" xfId="1" applyFont="1" applyFill="1" applyBorder="1"/>
    <xf numFmtId="0" fontId="17" fillId="17" borderId="61" xfId="0" applyFont="1" applyFill="1" applyBorder="1"/>
    <xf numFmtId="165" fontId="17" fillId="17" borderId="36" xfId="1" applyFont="1" applyFill="1" applyBorder="1"/>
    <xf numFmtId="165" fontId="17" fillId="17" borderId="31" xfId="1" applyFont="1" applyFill="1" applyBorder="1"/>
    <xf numFmtId="165" fontId="17" fillId="17" borderId="61" xfId="1" applyFont="1" applyFill="1" applyBorder="1"/>
    <xf numFmtId="165" fontId="17" fillId="17" borderId="40" xfId="1" applyFont="1" applyFill="1" applyBorder="1"/>
    <xf numFmtId="0" fontId="29" fillId="3" borderId="5" xfId="0" applyFont="1" applyFill="1" applyBorder="1"/>
    <xf numFmtId="165" fontId="29" fillId="3" borderId="6" xfId="1" applyFont="1" applyFill="1" applyBorder="1"/>
    <xf numFmtId="165" fontId="29" fillId="3" borderId="7" xfId="1" applyFont="1" applyFill="1" applyBorder="1"/>
    <xf numFmtId="165" fontId="29" fillId="3" borderId="5" xfId="1" applyFont="1" applyFill="1" applyBorder="1" applyAlignment="1">
      <alignment horizontal="center" vertical="center"/>
    </xf>
    <xf numFmtId="165" fontId="29" fillId="3" borderId="5" xfId="1" applyFont="1" applyFill="1" applyBorder="1"/>
    <xf numFmtId="0" fontId="29" fillId="3" borderId="8" xfId="0" applyFont="1" applyFill="1" applyBorder="1"/>
    <xf numFmtId="165" fontId="29" fillId="3" borderId="9" xfId="1" applyFont="1" applyFill="1" applyBorder="1"/>
    <xf numFmtId="165" fontId="29" fillId="3" borderId="11" xfId="1" applyFont="1" applyFill="1" applyBorder="1"/>
    <xf numFmtId="165" fontId="29" fillId="3" borderId="8" xfId="1" applyFont="1" applyFill="1" applyBorder="1" applyAlignment="1">
      <alignment horizontal="center" vertical="center"/>
    </xf>
    <xf numFmtId="165" fontId="29" fillId="3" borderId="8" xfId="1" applyFont="1" applyFill="1" applyBorder="1"/>
    <xf numFmtId="0" fontId="17" fillId="17" borderId="12" xfId="0" applyFont="1" applyFill="1" applyBorder="1"/>
    <xf numFmtId="165" fontId="17" fillId="17" borderId="39" xfId="1" applyFont="1" applyFill="1" applyBorder="1"/>
    <xf numFmtId="165" fontId="17" fillId="17" borderId="12" xfId="1" applyFont="1" applyFill="1" applyBorder="1" applyAlignment="1">
      <alignment horizontal="center" vertical="center"/>
    </xf>
    <xf numFmtId="165" fontId="17" fillId="17" borderId="12" xfId="1" applyFont="1" applyFill="1" applyBorder="1"/>
    <xf numFmtId="165" fontId="17" fillId="17" borderId="21" xfId="1" applyFont="1" applyFill="1" applyBorder="1"/>
    <xf numFmtId="165" fontId="17" fillId="17" borderId="36" xfId="1" applyFont="1" applyFill="1" applyBorder="1" applyAlignment="1">
      <alignment horizontal="center" vertical="center"/>
    </xf>
    <xf numFmtId="165" fontId="17" fillId="17" borderId="31" xfId="1" applyFont="1" applyFill="1" applyBorder="1" applyAlignment="1">
      <alignment horizontal="center" vertical="center"/>
    </xf>
    <xf numFmtId="166" fontId="10" fillId="0" borderId="0" xfId="2" applyNumberFormat="1"/>
    <xf numFmtId="0" fontId="0" fillId="3" borderId="3" xfId="0" applyFill="1" applyBorder="1" applyAlignment="1" applyProtection="1">
      <alignment vertical="center"/>
    </xf>
    <xf numFmtId="49" fontId="0" fillId="3" borderId="3" xfId="3" applyNumberFormat="1" applyFont="1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vertical="center"/>
    </xf>
    <xf numFmtId="0" fontId="0" fillId="3" borderId="14" xfId="0" applyFill="1" applyBorder="1" applyAlignment="1" applyProtection="1">
      <alignment horizontal="center" vertical="center"/>
    </xf>
    <xf numFmtId="49" fontId="0" fillId="3" borderId="0" xfId="3" applyNumberFormat="1" applyFont="1" applyFill="1" applyBorder="1" applyAlignment="1" applyProtection="1">
      <alignment vertical="center"/>
    </xf>
    <xf numFmtId="0" fontId="0" fillId="3" borderId="6" xfId="0" applyFont="1" applyFill="1" applyBorder="1" applyAlignment="1" applyProtection="1">
      <alignment horizontal="right"/>
    </xf>
    <xf numFmtId="167" fontId="10" fillId="3" borderId="62" xfId="3" applyFill="1" applyBorder="1" applyAlignment="1" applyProtection="1">
      <alignment horizontal="center" vertical="center"/>
    </xf>
    <xf numFmtId="167" fontId="10" fillId="3" borderId="38" xfId="3" applyFill="1" applyBorder="1" applyAlignment="1" applyProtection="1">
      <alignment horizontal="center" vertical="center"/>
    </xf>
    <xf numFmtId="0" fontId="0" fillId="3" borderId="79" xfId="0" applyFill="1" applyBorder="1" applyProtection="1"/>
    <xf numFmtId="0" fontId="0" fillId="3" borderId="66" xfId="0" applyFont="1" applyFill="1" applyBorder="1" applyAlignment="1" applyProtection="1"/>
    <xf numFmtId="49" fontId="0" fillId="3" borderId="66" xfId="0" applyNumberFormat="1" applyFont="1" applyFill="1" applyBorder="1" applyAlignment="1" applyProtection="1">
      <alignment horizontal="center"/>
    </xf>
    <xf numFmtId="170" fontId="10" fillId="3" borderId="66" xfId="2" applyNumberFormat="1" applyFill="1" applyBorder="1" applyProtection="1"/>
    <xf numFmtId="170" fontId="10" fillId="3" borderId="67" xfId="2" applyNumberFormat="1" applyFill="1" applyBorder="1" applyProtection="1"/>
    <xf numFmtId="49" fontId="0" fillId="0" borderId="29" xfId="0" applyNumberFormat="1" applyFill="1" applyBorder="1" applyAlignment="1" applyProtection="1">
      <alignment horizontal="right" vertical="center"/>
      <protection locked="0"/>
    </xf>
    <xf numFmtId="165" fontId="0" fillId="5" borderId="38" xfId="0" applyNumberFormat="1" applyFill="1" applyBorder="1"/>
    <xf numFmtId="165" fontId="0" fillId="5" borderId="38" xfId="0" applyNumberFormat="1" applyFill="1" applyBorder="1" applyAlignment="1">
      <alignment horizontal="center" vertical="center"/>
    </xf>
    <xf numFmtId="173" fontId="0" fillId="0" borderId="0" xfId="0" applyNumberFormat="1"/>
    <xf numFmtId="0" fontId="0" fillId="10" borderId="19" xfId="0" applyFill="1" applyBorder="1" applyProtection="1"/>
    <xf numFmtId="0" fontId="0" fillId="10" borderId="20" xfId="0" applyFill="1" applyBorder="1" applyProtection="1"/>
    <xf numFmtId="0" fontId="0" fillId="10" borderId="21" xfId="0" applyFill="1" applyBorder="1" applyProtection="1"/>
    <xf numFmtId="49" fontId="19" fillId="0" borderId="0" xfId="0" applyNumberFormat="1" applyFont="1"/>
    <xf numFmtId="0" fontId="19" fillId="0" borderId="0" xfId="0" applyFont="1"/>
    <xf numFmtId="173" fontId="19" fillId="0" borderId="0" xfId="0" applyNumberFormat="1" applyFont="1"/>
    <xf numFmtId="49" fontId="0" fillId="0" borderId="0" xfId="0" applyNumberFormat="1"/>
    <xf numFmtId="173" fontId="0" fillId="0" borderId="0" xfId="0" applyNumberFormat="1" applyProtection="1">
      <protection locked="0"/>
    </xf>
    <xf numFmtId="166" fontId="10" fillId="6" borderId="21" xfId="2" applyFill="1" applyBorder="1" applyAlignment="1" applyProtection="1">
      <alignment horizontal="center" vertical="center"/>
    </xf>
    <xf numFmtId="0" fontId="3" fillId="0" borderId="0" xfId="7"/>
    <xf numFmtId="43" fontId="19" fillId="14" borderId="29" xfId="8" applyFont="1" applyFill="1" applyBorder="1" applyAlignment="1">
      <alignment horizontal="center" vertical="center"/>
    </xf>
    <xf numFmtId="0" fontId="19" fillId="14" borderId="36" xfId="7" applyFont="1" applyFill="1" applyBorder="1" applyAlignment="1">
      <alignment horizontal="center"/>
    </xf>
    <xf numFmtId="0" fontId="19" fillId="14" borderId="30" xfId="7" applyFont="1" applyFill="1" applyBorder="1" applyAlignment="1">
      <alignment horizontal="center"/>
    </xf>
    <xf numFmtId="0" fontId="19" fillId="14" borderId="31" xfId="8" applyNumberFormat="1" applyFont="1" applyFill="1" applyBorder="1" applyAlignment="1">
      <alignment horizontal="center"/>
    </xf>
    <xf numFmtId="0" fontId="3" fillId="0" borderId="6" xfId="7" applyBorder="1"/>
    <xf numFmtId="0" fontId="3" fillId="0" borderId="0" xfId="7" applyAlignment="1">
      <alignment horizontal="left"/>
    </xf>
    <xf numFmtId="43" fontId="0" fillId="0" borderId="7" xfId="8" applyFont="1" applyBorder="1" applyAlignment="1"/>
    <xf numFmtId="43" fontId="0" fillId="0" borderId="7" xfId="8" applyFont="1" applyBorder="1"/>
    <xf numFmtId="0" fontId="3" fillId="0" borderId="9" xfId="7" applyBorder="1"/>
    <xf numFmtId="0" fontId="3" fillId="0" borderId="10" xfId="7" applyBorder="1" applyAlignment="1">
      <alignment horizontal="left"/>
    </xf>
    <xf numFmtId="43" fontId="0" fillId="0" borderId="11" xfId="8" applyFont="1" applyBorder="1"/>
    <xf numFmtId="0" fontId="3" fillId="14" borderId="3" xfId="7" applyFill="1" applyBorder="1" applyAlignment="1">
      <alignment horizontal="right"/>
    </xf>
    <xf numFmtId="43" fontId="0" fillId="14" borderId="4" xfId="8" applyFont="1" applyFill="1" applyBorder="1"/>
    <xf numFmtId="0" fontId="3" fillId="14" borderId="10" xfId="7" applyFill="1" applyBorder="1" applyAlignment="1">
      <alignment horizontal="right"/>
    </xf>
    <xf numFmtId="43" fontId="0" fillId="14" borderId="11" xfId="8" applyFont="1" applyFill="1" applyBorder="1"/>
    <xf numFmtId="0" fontId="3" fillId="14" borderId="12" xfId="7" applyFill="1" applyBorder="1" applyAlignment="1">
      <alignment horizontal="center" vertical="center"/>
    </xf>
    <xf numFmtId="0" fontId="19" fillId="14" borderId="12" xfId="7" applyFont="1" applyFill="1" applyBorder="1" applyAlignment="1">
      <alignment horizontal="center" vertical="center"/>
    </xf>
    <xf numFmtId="0" fontId="3" fillId="14" borderId="20" xfId="7" applyFill="1" applyBorder="1" applyAlignment="1">
      <alignment horizontal="center" vertical="center"/>
    </xf>
    <xf numFmtId="0" fontId="3" fillId="14" borderId="80" xfId="7" applyFill="1" applyBorder="1" applyAlignment="1">
      <alignment horizontal="center" vertical="center"/>
    </xf>
    <xf numFmtId="0" fontId="3" fillId="14" borderId="40" xfId="7" applyFill="1" applyBorder="1" applyAlignment="1">
      <alignment horizontal="center" vertical="center"/>
    </xf>
    <xf numFmtId="0" fontId="3" fillId="14" borderId="5" xfId="7" applyFill="1" applyBorder="1" applyAlignment="1">
      <alignment horizontal="center" vertical="center"/>
    </xf>
    <xf numFmtId="43" fontId="19" fillId="14" borderId="5" xfId="8" applyFont="1" applyFill="1" applyBorder="1"/>
    <xf numFmtId="43" fontId="0" fillId="14" borderId="2" xfId="8" applyFont="1" applyFill="1" applyBorder="1"/>
    <xf numFmtId="43" fontId="0" fillId="14" borderId="75" xfId="8" applyFont="1" applyFill="1" applyBorder="1"/>
    <xf numFmtId="43" fontId="0" fillId="14" borderId="26" xfId="8" applyFont="1" applyFill="1" applyBorder="1"/>
    <xf numFmtId="0" fontId="3" fillId="14" borderId="8" xfId="7" applyFill="1" applyBorder="1" applyAlignment="1">
      <alignment horizontal="center" vertical="center"/>
    </xf>
    <xf numFmtId="43" fontId="19" fillId="14" borderId="8" xfId="8" applyFont="1" applyFill="1" applyBorder="1"/>
    <xf numFmtId="43" fontId="0" fillId="14" borderId="9" xfId="8" applyFont="1" applyFill="1" applyBorder="1"/>
    <xf numFmtId="43" fontId="0" fillId="14" borderId="52" xfId="8" applyFont="1" applyFill="1" applyBorder="1"/>
    <xf numFmtId="43" fontId="0" fillId="14" borderId="58" xfId="8" applyFont="1" applyFill="1" applyBorder="1"/>
    <xf numFmtId="0" fontId="19" fillId="0" borderId="2" xfId="7" applyFont="1" applyBorder="1" applyAlignment="1">
      <alignment horizontal="center"/>
    </xf>
    <xf numFmtId="0" fontId="19" fillId="0" borderId="4" xfId="7" applyFont="1" applyBorder="1" applyAlignment="1">
      <alignment horizontal="center"/>
    </xf>
    <xf numFmtId="0" fontId="3" fillId="0" borderId="33" xfId="7" applyBorder="1"/>
    <xf numFmtId="0" fontId="3" fillId="0" borderId="29" xfId="7" applyBorder="1"/>
    <xf numFmtId="0" fontId="3" fillId="0" borderId="34" xfId="7" applyBorder="1"/>
    <xf numFmtId="0" fontId="3" fillId="0" borderId="35" xfId="7" applyBorder="1"/>
    <xf numFmtId="0" fontId="3" fillId="0" borderId="31" xfId="7" applyBorder="1"/>
    <xf numFmtId="0" fontId="0" fillId="0" borderId="28" xfId="0" applyBorder="1" applyAlignment="1">
      <alignment horizontal="center"/>
    </xf>
    <xf numFmtId="0" fontId="0" fillId="0" borderId="0" xfId="0" applyAlignment="1">
      <alignment horizontal="left"/>
    </xf>
    <xf numFmtId="0" fontId="11" fillId="0" borderId="42" xfId="0" applyFont="1" applyBorder="1" applyAlignment="1">
      <alignment horizontal="center"/>
    </xf>
    <xf numFmtId="165" fontId="10" fillId="3" borderId="10" xfId="1" applyFill="1" applyBorder="1" applyProtection="1">
      <protection locked="0"/>
    </xf>
    <xf numFmtId="165" fontId="10" fillId="3" borderId="3" xfId="1" applyFill="1" applyBorder="1" applyAlignment="1" applyProtection="1">
      <alignment horizontal="center" vertical="center"/>
      <protection locked="0"/>
    </xf>
    <xf numFmtId="0" fontId="11" fillId="0" borderId="39" xfId="0" applyFont="1" applyBorder="1" applyAlignment="1"/>
    <xf numFmtId="0" fontId="11" fillId="0" borderId="42" xfId="0" applyFont="1" applyBorder="1" applyAlignment="1"/>
    <xf numFmtId="0" fontId="11" fillId="0" borderId="40" xfId="0" applyFont="1" applyBorder="1" applyAlignment="1"/>
    <xf numFmtId="172" fontId="10" fillId="3" borderId="49" xfId="1" applyNumberFormat="1" applyFill="1" applyBorder="1" applyAlignment="1" applyProtection="1">
      <alignment horizontal="center" vertical="center"/>
    </xf>
    <xf numFmtId="172" fontId="10" fillId="3" borderId="16" xfId="1" applyNumberFormat="1" applyFill="1" applyBorder="1" applyAlignment="1" applyProtection="1">
      <alignment horizontal="center" vertical="center"/>
    </xf>
    <xf numFmtId="175" fontId="0" fillId="3" borderId="7" xfId="0" applyNumberFormat="1" applyFill="1" applyBorder="1" applyProtection="1"/>
    <xf numFmtId="165" fontId="0" fillId="0" borderId="64" xfId="1" applyFont="1" applyBorder="1" applyAlignment="1" applyProtection="1"/>
    <xf numFmtId="167" fontId="10" fillId="0" borderId="64" xfId="3" applyBorder="1"/>
    <xf numFmtId="169" fontId="10" fillId="0" borderId="64" xfId="1" applyNumberFormat="1" applyBorder="1"/>
    <xf numFmtId="169" fontId="10" fillId="0" borderId="51" xfId="1" applyNumberFormat="1" applyBorder="1"/>
    <xf numFmtId="0" fontId="11" fillId="0" borderId="74" xfId="0" applyFont="1" applyBorder="1"/>
    <xf numFmtId="0" fontId="0" fillId="0" borderId="32" xfId="0" applyBorder="1"/>
    <xf numFmtId="0" fontId="0" fillId="0" borderId="68" xfId="0" applyBorder="1"/>
    <xf numFmtId="0" fontId="0" fillId="0" borderId="25" xfId="0" applyBorder="1"/>
    <xf numFmtId="0" fontId="2" fillId="0" borderId="6" xfId="7" applyFont="1" applyBorder="1"/>
    <xf numFmtId="0" fontId="2" fillId="0" borderId="0" xfId="7" applyFont="1" applyAlignment="1">
      <alignment horizontal="left"/>
    </xf>
    <xf numFmtId="164" fontId="3" fillId="0" borderId="0" xfId="7" applyNumberFormat="1"/>
    <xf numFmtId="0" fontId="2" fillId="0" borderId="0" xfId="7" applyFont="1"/>
    <xf numFmtId="9" fontId="3" fillId="0" borderId="0" xfId="7" applyNumberFormat="1"/>
    <xf numFmtId="0" fontId="28" fillId="3" borderId="4" xfId="0" applyFont="1" applyFill="1" applyBorder="1" applyProtection="1"/>
    <xf numFmtId="0" fontId="28" fillId="3" borderId="53" xfId="0" applyFont="1" applyFill="1" applyBorder="1" applyProtection="1"/>
    <xf numFmtId="0" fontId="0" fillId="2" borderId="0" xfId="0" applyFill="1" applyBorder="1" applyAlignment="1" applyProtection="1">
      <alignment horizontal="center"/>
    </xf>
    <xf numFmtId="0" fontId="0" fillId="2" borderId="3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left"/>
    </xf>
    <xf numFmtId="0" fontId="0" fillId="3" borderId="3" xfId="0" applyFill="1" applyBorder="1" applyAlignment="1" applyProtection="1">
      <alignment horizontal="center"/>
    </xf>
    <xf numFmtId="0" fontId="0" fillId="3" borderId="14" xfId="0" applyFill="1" applyBorder="1" applyAlignment="1" applyProtection="1">
      <alignment horizontal="center"/>
    </xf>
    <xf numFmtId="166" fontId="10" fillId="6" borderId="21" xfId="2" applyFill="1" applyBorder="1" applyAlignment="1" applyProtection="1">
      <alignment horizontal="center" vertical="center"/>
    </xf>
    <xf numFmtId="43" fontId="0" fillId="0" borderId="0" xfId="8" applyFont="1" applyBorder="1" applyAlignment="1"/>
    <xf numFmtId="43" fontId="0" fillId="0" borderId="0" xfId="8" applyFont="1" applyBorder="1"/>
    <xf numFmtId="43" fontId="0" fillId="0" borderId="10" xfId="8" applyFont="1" applyBorder="1"/>
    <xf numFmtId="43" fontId="0" fillId="14" borderId="3" xfId="8" applyFont="1" applyFill="1" applyBorder="1"/>
    <xf numFmtId="43" fontId="0" fillId="14" borderId="10" xfId="8" applyFont="1" applyFill="1" applyBorder="1"/>
    <xf numFmtId="0" fontId="3" fillId="0" borderId="0" xfId="7" applyBorder="1"/>
    <xf numFmtId="0" fontId="3" fillId="0" borderId="10" xfId="7" applyBorder="1"/>
    <xf numFmtId="43" fontId="0" fillId="0" borderId="3" xfId="8" applyFont="1" applyBorder="1" applyAlignment="1"/>
    <xf numFmtId="0" fontId="19" fillId="14" borderId="30" xfId="8" applyNumberFormat="1" applyFont="1" applyFill="1" applyBorder="1" applyAlignment="1">
      <alignment horizontal="center"/>
    </xf>
    <xf numFmtId="0" fontId="3" fillId="14" borderId="31" xfId="7" applyFill="1" applyBorder="1"/>
    <xf numFmtId="0" fontId="3" fillId="14" borderId="33" xfId="7" applyFill="1" applyBorder="1" applyAlignment="1">
      <alignment horizontal="center" vertical="center"/>
    </xf>
    <xf numFmtId="0" fontId="3" fillId="14" borderId="28" xfId="7" applyFill="1" applyBorder="1" applyAlignment="1">
      <alignment horizontal="center" vertical="center"/>
    </xf>
    <xf numFmtId="0" fontId="3" fillId="0" borderId="0" xfId="7" applyAlignment="1">
      <alignment horizontal="center" vertical="center"/>
    </xf>
    <xf numFmtId="170" fontId="10" fillId="0" borderId="0" xfId="2" applyNumberFormat="1"/>
    <xf numFmtId="0" fontId="7" fillId="14" borderId="0" xfId="0" applyFont="1" applyFill="1" applyBorder="1" applyAlignment="1" applyProtection="1">
      <alignment horizontal="center" vertical="center" textRotation="90" wrapText="1"/>
    </xf>
    <xf numFmtId="0" fontId="0" fillId="3" borderId="9" xfId="0" applyFont="1" applyFill="1" applyBorder="1" applyAlignment="1" applyProtection="1"/>
    <xf numFmtId="0" fontId="0" fillId="3" borderId="10" xfId="0" applyFill="1" applyBorder="1" applyAlignment="1" applyProtection="1"/>
    <xf numFmtId="49" fontId="0" fillId="3" borderId="10" xfId="0" applyNumberFormat="1" applyFont="1" applyFill="1" applyBorder="1" applyAlignment="1" applyProtection="1">
      <alignment horizontal="center"/>
    </xf>
    <xf numFmtId="166" fontId="10" fillId="0" borderId="10" xfId="2" applyBorder="1" applyProtection="1">
      <protection locked="0"/>
    </xf>
    <xf numFmtId="166" fontId="10" fillId="0" borderId="11" xfId="2" applyBorder="1" applyProtection="1"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11" fillId="3" borderId="44" xfId="0" applyFont="1" applyFill="1" applyBorder="1" applyAlignment="1" applyProtection="1">
      <alignment horizontal="center"/>
    </xf>
    <xf numFmtId="0" fontId="0" fillId="0" borderId="6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3" borderId="3" xfId="0" applyFill="1" applyBorder="1" applyAlignment="1" applyProtection="1">
      <alignment horizontal="center" vertical="center"/>
    </xf>
    <xf numFmtId="0" fontId="0" fillId="3" borderId="14" xfId="0" applyFill="1" applyBorder="1" applyAlignment="1" applyProtection="1">
      <alignment horizontal="center"/>
    </xf>
    <xf numFmtId="0" fontId="0" fillId="3" borderId="3" xfId="0" applyFill="1" applyBorder="1" applyAlignment="1" applyProtection="1">
      <alignment horizontal="center"/>
    </xf>
    <xf numFmtId="0" fontId="0" fillId="3" borderId="4" xfId="0" applyFill="1" applyBorder="1" applyAlignment="1" applyProtection="1">
      <alignment horizontal="center"/>
    </xf>
    <xf numFmtId="0" fontId="0" fillId="2" borderId="6" xfId="0" applyFill="1" applyBorder="1" applyAlignment="1" applyProtection="1">
      <alignment horizontal="left" vertical="center"/>
    </xf>
    <xf numFmtId="0" fontId="0" fillId="2" borderId="0" xfId="0" applyFill="1" applyBorder="1" applyAlignment="1" applyProtection="1">
      <alignment horizontal="left" vertical="center"/>
    </xf>
    <xf numFmtId="0" fontId="0" fillId="2" borderId="6" xfId="0" applyFill="1" applyBorder="1" applyAlignment="1" applyProtection="1">
      <alignment horizontal="left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3" borderId="72" xfId="0" applyFill="1" applyBorder="1" applyAlignment="1" applyProtection="1">
      <alignment horizontal="center"/>
    </xf>
    <xf numFmtId="0" fontId="0" fillId="3" borderId="26" xfId="0" applyFill="1" applyBorder="1" applyAlignment="1" applyProtection="1">
      <alignment horizontal="center"/>
    </xf>
    <xf numFmtId="0" fontId="17" fillId="3" borderId="19" xfId="0" applyFont="1" applyFill="1" applyBorder="1" applyAlignment="1" applyProtection="1">
      <alignment vertical="center"/>
    </xf>
    <xf numFmtId="0" fontId="17" fillId="0" borderId="21" xfId="0" applyFont="1" applyFill="1" applyBorder="1" applyAlignment="1" applyProtection="1">
      <alignment horizontal="center" vertical="center"/>
    </xf>
    <xf numFmtId="44" fontId="16" fillId="0" borderId="0" xfId="5" applyFont="1" applyBorder="1" applyAlignment="1">
      <alignment vertical="center"/>
    </xf>
    <xf numFmtId="44" fontId="16" fillId="0" borderId="10" xfId="5" applyFont="1" applyBorder="1" applyAlignment="1">
      <alignment vertical="center"/>
    </xf>
    <xf numFmtId="166" fontId="16" fillId="0" borderId="0" xfId="2" applyFont="1" applyBorder="1"/>
    <xf numFmtId="0" fontId="19" fillId="0" borderId="4" xfId="4" applyFont="1" applyBorder="1" applyAlignment="1">
      <alignment vertical="center"/>
    </xf>
    <xf numFmtId="44" fontId="0" fillId="0" borderId="7" xfId="5" applyFont="1" applyBorder="1" applyAlignment="1">
      <alignment vertical="center"/>
    </xf>
    <xf numFmtId="0" fontId="19" fillId="9" borderId="10" xfId="4" applyFont="1" applyFill="1" applyBorder="1" applyAlignment="1">
      <alignment horizontal="right" vertical="center" textRotation="90"/>
    </xf>
    <xf numFmtId="44" fontId="0" fillId="9" borderId="11" xfId="5" applyFont="1" applyFill="1" applyBorder="1" applyAlignment="1">
      <alignment vertical="center"/>
    </xf>
    <xf numFmtId="0" fontId="19" fillId="0" borderId="2" xfId="4" applyFont="1" applyBorder="1" applyAlignment="1">
      <alignment vertical="center"/>
    </xf>
    <xf numFmtId="0" fontId="19" fillId="0" borderId="3" xfId="4" applyFont="1" applyBorder="1" applyAlignment="1">
      <alignment vertical="center"/>
    </xf>
    <xf numFmtId="0" fontId="44" fillId="0" borderId="3" xfId="4" applyFont="1" applyBorder="1" applyAlignment="1">
      <alignment horizontal="right" vertical="center"/>
    </xf>
    <xf numFmtId="166" fontId="11" fillId="0" borderId="3" xfId="2" applyFont="1" applyBorder="1"/>
    <xf numFmtId="176" fontId="0" fillId="3" borderId="14" xfId="0" applyNumberFormat="1" applyFill="1" applyBorder="1" applyAlignment="1" applyProtection="1">
      <alignment horizontal="center" vertical="center"/>
    </xf>
    <xf numFmtId="176" fontId="0" fillId="3" borderId="35" xfId="0" applyNumberFormat="1" applyFill="1" applyBorder="1" applyAlignment="1" applyProtection="1">
      <alignment horizontal="center" vertical="center"/>
    </xf>
    <xf numFmtId="176" fontId="0" fillId="3" borderId="30" xfId="0" applyNumberFormat="1" applyFill="1" applyBorder="1" applyAlignment="1" applyProtection="1">
      <alignment horizontal="center" vertical="center"/>
    </xf>
    <xf numFmtId="176" fontId="0" fillId="3" borderId="31" xfId="0" applyNumberFormat="1" applyFill="1" applyBorder="1" applyAlignment="1" applyProtection="1">
      <alignment horizontal="center" vertical="center"/>
    </xf>
    <xf numFmtId="166" fontId="11" fillId="0" borderId="0" xfId="2" applyFont="1" applyBorder="1"/>
    <xf numFmtId="165" fontId="10" fillId="0" borderId="3" xfId="1" applyBorder="1"/>
    <xf numFmtId="165" fontId="10" fillId="0" borderId="0" xfId="1" applyBorder="1"/>
    <xf numFmtId="165" fontId="10" fillId="0" borderId="10" xfId="1" applyBorder="1"/>
    <xf numFmtId="0" fontId="1" fillId="0" borderId="0" xfId="4" applyFont="1" applyAlignment="1">
      <alignment vertical="center"/>
    </xf>
    <xf numFmtId="0" fontId="32" fillId="14" borderId="14" xfId="0" applyFont="1" applyFill="1" applyBorder="1" applyAlignment="1" applyProtection="1">
      <alignment horizontal="center" vertical="center"/>
    </xf>
    <xf numFmtId="0" fontId="31" fillId="14" borderId="0" xfId="0" applyFont="1" applyFill="1" applyBorder="1" applyAlignment="1" applyProtection="1">
      <alignment horizontal="center"/>
    </xf>
    <xf numFmtId="0" fontId="0" fillId="2" borderId="2" xfId="0" applyFill="1" applyBorder="1" applyAlignment="1" applyProtection="1">
      <alignment horizontal="center"/>
    </xf>
    <xf numFmtId="0" fontId="0" fillId="2" borderId="3" xfId="0" applyFill="1" applyBorder="1" applyAlignment="1" applyProtection="1">
      <alignment horizontal="center"/>
    </xf>
    <xf numFmtId="0" fontId="0" fillId="2" borderId="4" xfId="0" applyFill="1" applyBorder="1" applyAlignment="1" applyProtection="1">
      <alignment horizontal="center"/>
    </xf>
    <xf numFmtId="0" fontId="0" fillId="0" borderId="6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173" fontId="0" fillId="2" borderId="1" xfId="0" applyNumberFormat="1" applyFill="1" applyBorder="1" applyAlignment="1" applyProtection="1">
      <alignment horizontal="center" vertical="center" textRotation="90"/>
    </xf>
    <xf numFmtId="173" fontId="0" fillId="2" borderId="5" xfId="0" applyNumberFormat="1" applyFill="1" applyBorder="1" applyAlignment="1" applyProtection="1">
      <alignment horizontal="center" vertical="center" textRotation="90"/>
    </xf>
    <xf numFmtId="173" fontId="0" fillId="2" borderId="8" xfId="0" applyNumberFormat="1" applyFill="1" applyBorder="1" applyAlignment="1" applyProtection="1">
      <alignment horizontal="center" vertical="center" textRotation="90"/>
    </xf>
    <xf numFmtId="49" fontId="31" fillId="14" borderId="43" xfId="0" applyNumberFormat="1" applyFont="1" applyFill="1" applyBorder="1" applyAlignment="1" applyProtection="1">
      <alignment horizontal="center" vertical="center"/>
    </xf>
    <xf numFmtId="49" fontId="31" fillId="14" borderId="76" xfId="0" applyNumberFormat="1" applyFont="1" applyFill="1" applyBorder="1" applyAlignment="1" applyProtection="1">
      <alignment horizontal="center" vertical="center"/>
    </xf>
    <xf numFmtId="49" fontId="31" fillId="14" borderId="13" xfId="0" applyNumberFormat="1" applyFont="1" applyFill="1" applyBorder="1" applyAlignment="1" applyProtection="1">
      <alignment horizontal="center" vertical="center"/>
    </xf>
    <xf numFmtId="0" fontId="17" fillId="2" borderId="55" xfId="0" applyFont="1" applyFill="1" applyBorder="1" applyAlignment="1" applyProtection="1">
      <alignment horizontal="center" vertical="center"/>
    </xf>
    <xf numFmtId="0" fontId="17" fillId="2" borderId="58" xfId="0" applyFont="1" applyFill="1" applyBorder="1" applyAlignment="1" applyProtection="1">
      <alignment horizontal="center" vertical="center"/>
    </xf>
    <xf numFmtId="49" fontId="31" fillId="0" borderId="17" xfId="0" applyNumberFormat="1" applyFont="1" applyFill="1" applyBorder="1" applyAlignment="1" applyProtection="1">
      <alignment horizontal="center" vertical="center"/>
      <protection locked="0"/>
    </xf>
    <xf numFmtId="49" fontId="31" fillId="0" borderId="68" xfId="0" applyNumberFormat="1" applyFont="1" applyFill="1" applyBorder="1" applyAlignment="1" applyProtection="1">
      <alignment horizontal="center" vertical="center"/>
      <protection locked="0"/>
    </xf>
    <xf numFmtId="49" fontId="31" fillId="0" borderId="15" xfId="0" applyNumberFormat="1" applyFont="1" applyFill="1" applyBorder="1" applyAlignment="1" applyProtection="1">
      <alignment horizontal="center" vertical="center"/>
      <protection locked="0"/>
    </xf>
    <xf numFmtId="49" fontId="31" fillId="0" borderId="22" xfId="0" applyNumberFormat="1" applyFont="1" applyFill="1" applyBorder="1" applyAlignment="1" applyProtection="1">
      <alignment horizontal="center" vertical="center"/>
      <protection locked="0"/>
    </xf>
    <xf numFmtId="49" fontId="31" fillId="0" borderId="0" xfId="0" applyNumberFormat="1" applyFont="1" applyFill="1" applyBorder="1" applyAlignment="1" applyProtection="1">
      <alignment horizontal="center" vertical="center"/>
      <protection locked="0"/>
    </xf>
    <xf numFmtId="49" fontId="31" fillId="0" borderId="2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11" fillId="3" borderId="44" xfId="0" applyFont="1" applyFill="1" applyBorder="1" applyAlignment="1" applyProtection="1">
      <alignment horizontal="center"/>
    </xf>
    <xf numFmtId="0" fontId="11" fillId="3" borderId="46" xfId="0" applyFont="1" applyFill="1" applyBorder="1" applyAlignment="1" applyProtection="1">
      <alignment horizontal="center"/>
    </xf>
    <xf numFmtId="0" fontId="0" fillId="0" borderId="6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11" fillId="3" borderId="23" xfId="0" applyFont="1" applyFill="1" applyBorder="1" applyAlignment="1" applyProtection="1">
      <alignment horizontal="center"/>
    </xf>
    <xf numFmtId="0" fontId="11" fillId="3" borderId="17" xfId="0" applyFont="1" applyFill="1" applyBorder="1" applyAlignment="1" applyProtection="1">
      <alignment horizontal="center"/>
    </xf>
    <xf numFmtId="0" fontId="11" fillId="3" borderId="49" xfId="0" applyFont="1" applyFill="1" applyBorder="1" applyAlignment="1" applyProtection="1">
      <alignment horizontal="center"/>
    </xf>
    <xf numFmtId="0" fontId="0" fillId="0" borderId="64" xfId="0" applyBorder="1" applyAlignment="1" applyProtection="1">
      <alignment horizontal="left" vertical="center"/>
      <protection locked="0"/>
    </xf>
    <xf numFmtId="0" fontId="0" fillId="0" borderId="66" xfId="0" applyBorder="1" applyAlignment="1" applyProtection="1">
      <alignment horizontal="left" vertical="center"/>
      <protection locked="0"/>
    </xf>
    <xf numFmtId="0" fontId="0" fillId="3" borderId="75" xfId="0" applyFill="1" applyBorder="1" applyAlignment="1" applyProtection="1">
      <alignment horizontal="center" vertical="center" wrapText="1"/>
    </xf>
    <xf numFmtId="0" fontId="0" fillId="3" borderId="72" xfId="0" applyFill="1" applyBorder="1" applyAlignment="1" applyProtection="1">
      <alignment horizontal="center" vertical="center" wrapText="1"/>
    </xf>
    <xf numFmtId="0" fontId="0" fillId="3" borderId="76" xfId="0" applyFill="1" applyBorder="1" applyAlignment="1" applyProtection="1">
      <alignment horizontal="center" vertical="center" wrapText="1"/>
    </xf>
    <xf numFmtId="0" fontId="0" fillId="3" borderId="68" xfId="0" applyFill="1" applyBorder="1" applyAlignment="1" applyProtection="1">
      <alignment horizontal="center" vertical="center" wrapText="1"/>
    </xf>
    <xf numFmtId="0" fontId="11" fillId="0" borderId="70" xfId="0" applyFont="1" applyBorder="1" applyAlignment="1" applyProtection="1">
      <alignment horizontal="center" vertical="center"/>
      <protection locked="0"/>
    </xf>
    <xf numFmtId="0" fontId="11" fillId="0" borderId="71" xfId="0" applyFont="1" applyBorder="1" applyAlignment="1" applyProtection="1">
      <alignment horizontal="center" vertical="center"/>
      <protection locked="0"/>
    </xf>
    <xf numFmtId="0" fontId="0" fillId="0" borderId="64" xfId="0" applyBorder="1" applyAlignment="1" applyProtection="1">
      <alignment horizontal="center" vertical="center"/>
      <protection locked="0"/>
    </xf>
    <xf numFmtId="0" fontId="0" fillId="0" borderId="65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14" fontId="0" fillId="0" borderId="47" xfId="0" applyNumberFormat="1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0" fillId="3" borderId="73" xfId="0" applyFill="1" applyBorder="1" applyAlignment="1" applyProtection="1">
      <alignment horizontal="center"/>
    </xf>
    <xf numFmtId="0" fontId="0" fillId="3" borderId="44" xfId="0" applyFill="1" applyBorder="1" applyAlignment="1" applyProtection="1">
      <alignment horizontal="center"/>
    </xf>
    <xf numFmtId="0" fontId="27" fillId="3" borderId="28" xfId="0" applyFont="1" applyFill="1" applyBorder="1" applyAlignment="1" applyProtection="1">
      <alignment horizontal="center" wrapText="1"/>
    </xf>
    <xf numFmtId="0" fontId="27" fillId="3" borderId="14" xfId="0" applyFont="1" applyFill="1" applyBorder="1" applyAlignment="1" applyProtection="1">
      <alignment horizontal="center" wrapText="1"/>
    </xf>
    <xf numFmtId="0" fontId="0" fillId="3" borderId="75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52" xfId="0" applyFill="1" applyBorder="1" applyAlignment="1" applyProtection="1">
      <alignment horizontal="center" vertical="center"/>
    </xf>
    <xf numFmtId="0" fontId="0" fillId="3" borderId="10" xfId="0" applyFill="1" applyBorder="1" applyAlignment="1" applyProtection="1">
      <alignment horizontal="center" vertical="center"/>
    </xf>
    <xf numFmtId="14" fontId="0" fillId="0" borderId="51" xfId="0" applyNumberFormat="1" applyBorder="1" applyAlignment="1" applyProtection="1">
      <alignment horizontal="center"/>
      <protection locked="0"/>
    </xf>
    <xf numFmtId="0" fontId="0" fillId="0" borderId="41" xfId="0" applyBorder="1" applyAlignment="1" applyProtection="1">
      <alignment horizontal="center"/>
      <protection locked="0"/>
    </xf>
    <xf numFmtId="0" fontId="17" fillId="3" borderId="33" xfId="0" applyFont="1" applyFill="1" applyBorder="1" applyAlignment="1" applyProtection="1">
      <alignment horizontal="center" vertical="center"/>
    </xf>
    <xf numFmtId="0" fontId="17" fillId="3" borderId="28" xfId="0" applyFont="1" applyFill="1" applyBorder="1" applyAlignment="1" applyProtection="1">
      <alignment horizontal="center" vertical="center"/>
    </xf>
    <xf numFmtId="0" fontId="17" fillId="3" borderId="34" xfId="0" applyFont="1" applyFill="1" applyBorder="1" applyAlignment="1" applyProtection="1">
      <alignment horizontal="center" vertical="center"/>
    </xf>
    <xf numFmtId="0" fontId="17" fillId="3" borderId="14" xfId="0" applyFont="1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0" fillId="3" borderId="28" xfId="0" applyFill="1" applyBorder="1" applyAlignment="1" applyProtection="1">
      <alignment horizontal="center"/>
    </xf>
    <xf numFmtId="0" fontId="0" fillId="3" borderId="29" xfId="0" applyFill="1" applyBorder="1" applyAlignment="1" applyProtection="1">
      <alignment horizontal="center"/>
    </xf>
    <xf numFmtId="0" fontId="0" fillId="3" borderId="28" xfId="0" applyFill="1" applyBorder="1" applyAlignment="1" applyProtection="1">
      <alignment horizontal="center" wrapText="1"/>
    </xf>
    <xf numFmtId="0" fontId="0" fillId="3" borderId="14" xfId="0" applyFill="1" applyBorder="1" applyAlignment="1" applyProtection="1">
      <alignment horizontal="center" wrapText="1"/>
    </xf>
    <xf numFmtId="173" fontId="0" fillId="0" borderId="64" xfId="0" applyNumberFormat="1" applyBorder="1" applyAlignment="1" applyProtection="1">
      <alignment horizontal="left" vertical="center"/>
      <protection locked="0"/>
    </xf>
    <xf numFmtId="173" fontId="0" fillId="0" borderId="66" xfId="0" applyNumberFormat="1" applyBorder="1" applyAlignment="1" applyProtection="1">
      <alignment horizontal="left" vertical="center"/>
      <protection locked="0"/>
    </xf>
    <xf numFmtId="173" fontId="0" fillId="0" borderId="67" xfId="0" applyNumberFormat="1" applyBorder="1" applyAlignment="1" applyProtection="1">
      <alignment horizontal="left" vertical="center"/>
      <protection locked="0"/>
    </xf>
    <xf numFmtId="0" fontId="0" fillId="2" borderId="72" xfId="0" applyFill="1" applyBorder="1" applyAlignment="1" applyProtection="1">
      <alignment horizontal="center" vertical="center" wrapText="1"/>
    </xf>
    <xf numFmtId="0" fontId="0" fillId="2" borderId="24" xfId="0" applyFill="1" applyBorder="1" applyAlignment="1" applyProtection="1">
      <alignment horizontal="center" vertical="center" wrapText="1"/>
    </xf>
    <xf numFmtId="0" fontId="0" fillId="2" borderId="25" xfId="0" applyFill="1" applyBorder="1" applyAlignment="1" applyProtection="1">
      <alignment horizontal="center" vertical="center" wrapText="1"/>
    </xf>
    <xf numFmtId="0" fontId="0" fillId="3" borderId="34" xfId="0" applyFill="1" applyBorder="1" applyAlignment="1" applyProtection="1">
      <alignment horizontal="center"/>
    </xf>
    <xf numFmtId="0" fontId="0" fillId="3" borderId="14" xfId="0" applyFill="1" applyBorder="1" applyAlignment="1" applyProtection="1">
      <alignment horizontal="center"/>
    </xf>
    <xf numFmtId="0" fontId="0" fillId="3" borderId="36" xfId="0" applyFill="1" applyBorder="1" applyAlignment="1" applyProtection="1">
      <alignment horizontal="center"/>
    </xf>
    <xf numFmtId="0" fontId="0" fillId="3" borderId="30" xfId="0" applyFill="1" applyBorder="1" applyAlignment="1" applyProtection="1">
      <alignment horizontal="center"/>
    </xf>
    <xf numFmtId="0" fontId="14" fillId="3" borderId="2" xfId="0" applyFont="1" applyFill="1" applyBorder="1" applyAlignment="1" applyProtection="1">
      <alignment horizontal="center" vertical="center"/>
    </xf>
    <xf numFmtId="0" fontId="14" fillId="3" borderId="4" xfId="0" applyFont="1" applyFill="1" applyBorder="1" applyAlignment="1" applyProtection="1">
      <alignment horizontal="center" vertical="center"/>
    </xf>
    <xf numFmtId="0" fontId="14" fillId="3" borderId="9" xfId="0" applyFont="1" applyFill="1" applyBorder="1" applyAlignment="1" applyProtection="1">
      <alignment horizontal="center" vertical="center"/>
    </xf>
    <xf numFmtId="0" fontId="14" fillId="3" borderId="11" xfId="0" applyFont="1" applyFill="1" applyBorder="1" applyAlignment="1" applyProtection="1">
      <alignment horizontal="center" vertical="center"/>
    </xf>
    <xf numFmtId="0" fontId="11" fillId="3" borderId="2" xfId="0" applyFont="1" applyFill="1" applyBorder="1" applyAlignment="1" applyProtection="1">
      <alignment horizontal="center" vertical="center" wrapText="1"/>
    </xf>
    <xf numFmtId="0" fontId="11" fillId="3" borderId="3" xfId="0" applyFont="1" applyFill="1" applyBorder="1" applyAlignment="1" applyProtection="1">
      <alignment horizontal="center" vertical="center" wrapText="1"/>
    </xf>
    <xf numFmtId="0" fontId="11" fillId="3" borderId="9" xfId="0" applyFont="1" applyFill="1" applyBorder="1" applyAlignment="1" applyProtection="1">
      <alignment horizontal="center" vertical="center" wrapText="1"/>
    </xf>
    <xf numFmtId="0" fontId="11" fillId="3" borderId="10" xfId="0" applyFont="1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/>
    </xf>
    <xf numFmtId="0" fontId="0" fillId="3" borderId="4" xfId="0" applyFill="1" applyBorder="1" applyAlignment="1" applyProtection="1">
      <alignment horizontal="center"/>
    </xf>
    <xf numFmtId="176" fontId="0" fillId="0" borderId="51" xfId="0" applyNumberFormat="1" applyBorder="1" applyAlignment="1" applyProtection="1">
      <alignment horizontal="center" vertical="center"/>
      <protection locked="0"/>
    </xf>
    <xf numFmtId="176" fontId="0" fillId="0" borderId="48" xfId="0" applyNumberFormat="1" applyBorder="1" applyAlignment="1" applyProtection="1">
      <alignment horizontal="center" vertical="center"/>
      <protection locked="0"/>
    </xf>
    <xf numFmtId="0" fontId="0" fillId="3" borderId="75" xfId="0" applyFill="1" applyBorder="1" applyAlignment="1" applyProtection="1">
      <alignment horizontal="right"/>
    </xf>
    <xf numFmtId="0" fontId="0" fillId="3" borderId="52" xfId="0" applyFill="1" applyBorder="1" applyAlignment="1" applyProtection="1">
      <alignment horizontal="right"/>
    </xf>
    <xf numFmtId="176" fontId="10" fillId="0" borderId="51" xfId="2" applyNumberFormat="1" applyBorder="1" applyAlignment="1" applyProtection="1">
      <alignment horizontal="center" vertical="center"/>
      <protection locked="0"/>
    </xf>
    <xf numFmtId="176" fontId="10" fillId="0" borderId="48" xfId="2" applyNumberFormat="1" applyBorder="1" applyAlignment="1" applyProtection="1">
      <alignment horizontal="center" vertical="center"/>
      <protection locked="0"/>
    </xf>
    <xf numFmtId="0" fontId="17" fillId="3" borderId="53" xfId="0" applyFont="1" applyFill="1" applyBorder="1" applyAlignment="1" applyProtection="1">
      <alignment horizontal="center" vertical="center"/>
    </xf>
    <xf numFmtId="0" fontId="17" fillId="3" borderId="54" xfId="0" applyFont="1" applyFill="1" applyBorder="1" applyAlignment="1" applyProtection="1">
      <alignment horizontal="center" vertical="center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35" xfId="0" applyFill="1" applyBorder="1" applyAlignment="1" applyProtection="1">
      <alignment horizontal="center"/>
      <protection locked="0"/>
    </xf>
    <xf numFmtId="0" fontId="12" fillId="2" borderId="6" xfId="0" applyFont="1" applyFill="1" applyBorder="1" applyAlignment="1" applyProtection="1">
      <alignment horizontal="left"/>
    </xf>
    <xf numFmtId="0" fontId="12" fillId="2" borderId="0" xfId="0" applyFont="1" applyFill="1" applyBorder="1" applyAlignment="1" applyProtection="1">
      <alignment horizontal="left"/>
    </xf>
    <xf numFmtId="0" fontId="17" fillId="3" borderId="57" xfId="0" applyFont="1" applyFill="1" applyBorder="1" applyAlignment="1" applyProtection="1">
      <alignment horizontal="center" vertical="center"/>
    </xf>
    <xf numFmtId="0" fontId="0" fillId="3" borderId="75" xfId="0" applyFill="1" applyBorder="1" applyAlignment="1" applyProtection="1">
      <alignment horizontal="right" vertical="center"/>
    </xf>
    <xf numFmtId="0" fontId="0" fillId="3" borderId="52" xfId="0" applyFill="1" applyBorder="1" applyAlignment="1" applyProtection="1">
      <alignment horizontal="right" vertical="center"/>
    </xf>
    <xf numFmtId="0" fontId="0" fillId="2" borderId="6" xfId="0" applyFill="1" applyBorder="1" applyAlignment="1" applyProtection="1">
      <alignment horizontal="left" vertical="center"/>
    </xf>
    <xf numFmtId="0" fontId="0" fillId="2" borderId="0" xfId="0" applyFill="1" applyBorder="1" applyAlignment="1" applyProtection="1">
      <alignment horizontal="left" vertical="center"/>
    </xf>
    <xf numFmtId="0" fontId="11" fillId="0" borderId="13" xfId="0" applyFont="1" applyFill="1" applyBorder="1" applyAlignment="1" applyProtection="1">
      <alignment horizontal="left"/>
      <protection locked="0"/>
    </xf>
    <xf numFmtId="0" fontId="11" fillId="0" borderId="0" xfId="0" applyFont="1" applyFill="1" applyBorder="1" applyAlignment="1" applyProtection="1">
      <alignment horizontal="left"/>
      <protection locked="0"/>
    </xf>
    <xf numFmtId="0" fontId="0" fillId="0" borderId="51" xfId="0" applyBorder="1" applyAlignment="1" applyProtection="1">
      <alignment horizontal="left"/>
      <protection locked="0"/>
    </xf>
    <xf numFmtId="0" fontId="0" fillId="0" borderId="50" xfId="0" applyBorder="1" applyAlignment="1" applyProtection="1">
      <alignment horizontal="left"/>
      <protection locked="0"/>
    </xf>
    <xf numFmtId="0" fontId="17" fillId="3" borderId="2" xfId="0" applyFont="1" applyFill="1" applyBorder="1" applyAlignment="1" applyProtection="1">
      <alignment horizontal="center" vertical="center"/>
    </xf>
    <xf numFmtId="0" fontId="17" fillId="3" borderId="9" xfId="0" applyFont="1" applyFill="1" applyBorder="1" applyAlignment="1" applyProtection="1">
      <alignment horizontal="center" vertical="center"/>
    </xf>
    <xf numFmtId="14" fontId="0" fillId="0" borderId="51" xfId="0" applyNumberFormat="1" applyBorder="1" applyAlignment="1" applyProtection="1">
      <alignment horizontal="center" vertical="center"/>
      <protection locked="0"/>
    </xf>
    <xf numFmtId="14" fontId="0" fillId="0" borderId="50" xfId="0" applyNumberFormat="1" applyBorder="1" applyAlignment="1" applyProtection="1">
      <alignment horizontal="center" vertical="center"/>
      <protection locked="0"/>
    </xf>
    <xf numFmtId="14" fontId="0" fillId="0" borderId="41" xfId="0" applyNumberForma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textRotation="90"/>
    </xf>
    <xf numFmtId="0" fontId="0" fillId="2" borderId="5" xfId="0" applyFill="1" applyBorder="1" applyAlignment="1" applyProtection="1">
      <alignment horizontal="center" vertical="center" textRotation="90"/>
    </xf>
    <xf numFmtId="0" fontId="0" fillId="2" borderId="8" xfId="0" applyFill="1" applyBorder="1" applyAlignment="1" applyProtection="1">
      <alignment horizontal="center" vertical="center" textRotation="90"/>
    </xf>
    <xf numFmtId="0" fontId="38" fillId="0" borderId="64" xfId="6" applyBorder="1" applyAlignment="1" applyProtection="1">
      <alignment horizontal="left" vertical="center"/>
      <protection locked="0"/>
    </xf>
    <xf numFmtId="0" fontId="38" fillId="0" borderId="66" xfId="6" applyBorder="1" applyAlignment="1" applyProtection="1">
      <alignment horizontal="left" vertical="center"/>
      <protection locked="0"/>
    </xf>
    <xf numFmtId="0" fontId="38" fillId="0" borderId="67" xfId="6" applyBorder="1" applyAlignment="1" applyProtection="1">
      <alignment horizontal="left" vertical="center"/>
      <protection locked="0"/>
    </xf>
    <xf numFmtId="0" fontId="0" fillId="2" borderId="9" xfId="0" applyFill="1" applyBorder="1" applyAlignment="1" applyProtection="1">
      <alignment horizontal="left"/>
    </xf>
    <xf numFmtId="0" fontId="0" fillId="2" borderId="10" xfId="0" applyFill="1" applyBorder="1" applyAlignment="1" applyProtection="1">
      <alignment horizontal="left"/>
    </xf>
    <xf numFmtId="0" fontId="0" fillId="0" borderId="45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0" fillId="3" borderId="66" xfId="0" applyFill="1" applyBorder="1" applyAlignment="1" applyProtection="1">
      <alignment horizontal="center" vertical="center"/>
    </xf>
    <xf numFmtId="0" fontId="0" fillId="3" borderId="44" xfId="0" applyFill="1" applyBorder="1" applyAlignment="1" applyProtection="1">
      <alignment horizontal="center" vertical="center"/>
    </xf>
    <xf numFmtId="0" fontId="11" fillId="3" borderId="3" xfId="0" applyFont="1" applyFill="1" applyBorder="1" applyAlignment="1" applyProtection="1">
      <alignment horizontal="center"/>
    </xf>
    <xf numFmtId="0" fontId="11" fillId="3" borderId="0" xfId="0" applyFont="1" applyFill="1" applyBorder="1" applyAlignment="1" applyProtection="1">
      <alignment horizontal="center"/>
    </xf>
    <xf numFmtId="0" fontId="0" fillId="0" borderId="67" xfId="0" applyBorder="1" applyAlignment="1" applyProtection="1">
      <alignment horizontal="left" vertical="center"/>
      <protection locked="0"/>
    </xf>
    <xf numFmtId="173" fontId="0" fillId="0" borderId="14" xfId="0" applyNumberFormat="1" applyFill="1" applyBorder="1" applyAlignment="1" applyProtection="1">
      <alignment horizontal="left"/>
      <protection locked="0"/>
    </xf>
    <xf numFmtId="173" fontId="0" fillId="0" borderId="64" xfId="0" applyNumberFormat="1" applyFill="1" applyBorder="1" applyAlignment="1" applyProtection="1">
      <alignment horizontal="left"/>
      <protection locked="0"/>
    </xf>
    <xf numFmtId="0" fontId="0" fillId="0" borderId="43" xfId="0" applyBorder="1" applyAlignment="1" applyProtection="1">
      <alignment horizontal="left" vertical="center"/>
      <protection locked="0"/>
    </xf>
    <xf numFmtId="0" fontId="0" fillId="0" borderId="15" xfId="0" applyBorder="1" applyAlignment="1" applyProtection="1">
      <alignment horizontal="left" vertical="center"/>
      <protection locked="0"/>
    </xf>
    <xf numFmtId="0" fontId="11" fillId="0" borderId="72" xfId="0" applyFont="1" applyFill="1" applyBorder="1" applyAlignment="1" applyProtection="1">
      <alignment horizontal="center" vertical="center"/>
      <protection locked="0"/>
    </xf>
    <xf numFmtId="0" fontId="11" fillId="0" borderId="68" xfId="0" applyFont="1" applyFill="1" applyBorder="1" applyAlignment="1" applyProtection="1">
      <alignment horizontal="center" vertical="center"/>
      <protection locked="0"/>
    </xf>
    <xf numFmtId="0" fontId="18" fillId="4" borderId="19" xfId="0" applyFont="1" applyFill="1" applyBorder="1" applyAlignment="1" applyProtection="1">
      <alignment horizontal="center" vertical="center"/>
    </xf>
    <xf numFmtId="0" fontId="18" fillId="4" borderId="20" xfId="0" applyFont="1" applyFill="1" applyBorder="1" applyAlignment="1" applyProtection="1">
      <alignment horizontal="center" vertical="center"/>
    </xf>
    <xf numFmtId="0" fontId="18" fillId="4" borderId="3" xfId="0" applyFont="1" applyFill="1" applyBorder="1" applyAlignment="1" applyProtection="1">
      <alignment horizontal="center" vertical="center"/>
    </xf>
    <xf numFmtId="14" fontId="0" fillId="0" borderId="64" xfId="0" applyNumberFormat="1" applyBorder="1" applyAlignment="1" applyProtection="1">
      <alignment horizontal="left" vertical="center"/>
      <protection locked="0"/>
    </xf>
    <xf numFmtId="14" fontId="0" fillId="0" borderId="66" xfId="0" applyNumberFormat="1" applyBorder="1" applyAlignment="1" applyProtection="1">
      <alignment horizontal="left" vertical="center"/>
      <protection locked="0"/>
    </xf>
    <xf numFmtId="173" fontId="0" fillId="0" borderId="43" xfId="0" applyNumberFormat="1" applyBorder="1" applyAlignment="1" applyProtection="1">
      <alignment horizontal="left" vertical="center"/>
      <protection locked="0"/>
    </xf>
    <xf numFmtId="173" fontId="0" fillId="0" borderId="15" xfId="0" applyNumberFormat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alignment horizontal="center" vertical="center" textRotation="90"/>
    </xf>
    <xf numFmtId="0" fontId="0" fillId="2" borderId="6" xfId="0" applyFill="1" applyBorder="1" applyAlignment="1" applyProtection="1">
      <alignment horizontal="center" vertical="center" textRotation="90"/>
    </xf>
    <xf numFmtId="0" fontId="0" fillId="2" borderId="6" xfId="0" applyFill="1" applyBorder="1" applyAlignment="1" applyProtection="1">
      <alignment horizontal="left"/>
    </xf>
    <xf numFmtId="0" fontId="0" fillId="2" borderId="0" xfId="0" applyFill="1" applyBorder="1" applyAlignment="1" applyProtection="1">
      <alignment horizontal="left"/>
    </xf>
    <xf numFmtId="0" fontId="0" fillId="0" borderId="64" xfId="0" applyBorder="1" applyAlignment="1" applyProtection="1">
      <alignment horizontal="left"/>
      <protection locked="0"/>
    </xf>
    <xf numFmtId="0" fontId="0" fillId="0" borderId="66" xfId="0" applyBorder="1" applyAlignment="1" applyProtection="1">
      <alignment horizontal="left"/>
      <protection locked="0"/>
    </xf>
    <xf numFmtId="0" fontId="12" fillId="2" borderId="2" xfId="0" applyFont="1" applyFill="1" applyBorder="1" applyAlignment="1" applyProtection="1">
      <alignment horizontal="center"/>
    </xf>
    <xf numFmtId="0" fontId="12" fillId="2" borderId="3" xfId="0" applyFont="1" applyFill="1" applyBorder="1" applyAlignment="1" applyProtection="1">
      <alignment horizontal="center"/>
    </xf>
    <xf numFmtId="0" fontId="12" fillId="2" borderId="4" xfId="0" applyFont="1" applyFill="1" applyBorder="1" applyAlignment="1" applyProtection="1">
      <alignment horizontal="center"/>
    </xf>
    <xf numFmtId="0" fontId="0" fillId="2" borderId="6" xfId="0" applyFill="1" applyBorder="1" applyAlignment="1" applyProtection="1">
      <alignment horizontal="left" vertical="center" wrapText="1"/>
    </xf>
    <xf numFmtId="174" fontId="0" fillId="0" borderId="64" xfId="0" applyNumberFormat="1" applyBorder="1" applyAlignment="1" applyProtection="1">
      <alignment horizontal="left" vertical="center"/>
      <protection locked="0"/>
    </xf>
    <xf numFmtId="174" fontId="0" fillId="0" borderId="66" xfId="0" applyNumberFormat="1" applyBorder="1" applyAlignment="1" applyProtection="1">
      <alignment horizontal="left" vertical="center"/>
      <protection locked="0"/>
    </xf>
    <xf numFmtId="174" fontId="0" fillId="0" borderId="67" xfId="0" applyNumberFormat="1" applyBorder="1" applyAlignment="1" applyProtection="1">
      <alignment horizontal="left" vertical="center"/>
      <protection locked="0"/>
    </xf>
    <xf numFmtId="1" fontId="0" fillId="0" borderId="14" xfId="0" applyNumberFormat="1" applyFill="1" applyBorder="1" applyAlignment="1" applyProtection="1">
      <alignment horizontal="center" vertical="center"/>
      <protection locked="0"/>
    </xf>
    <xf numFmtId="1" fontId="0" fillId="0" borderId="35" xfId="0" applyNumberFormat="1" applyFill="1" applyBorder="1" applyAlignment="1" applyProtection="1">
      <alignment horizontal="center" vertical="center"/>
      <protection locked="0"/>
    </xf>
    <xf numFmtId="170" fontId="10" fillId="0" borderId="14" xfId="2" applyNumberFormat="1" applyFill="1" applyBorder="1" applyAlignment="1" applyProtection="1">
      <alignment horizontal="center"/>
      <protection locked="0"/>
    </xf>
    <xf numFmtId="170" fontId="10" fillId="0" borderId="35" xfId="2" applyNumberFormat="1" applyFill="1" applyBorder="1" applyAlignment="1" applyProtection="1">
      <alignment horizontal="center"/>
      <protection locked="0"/>
    </xf>
    <xf numFmtId="0" fontId="0" fillId="0" borderId="62" xfId="0" applyBorder="1" applyAlignment="1" applyProtection="1">
      <alignment horizontal="center"/>
      <protection locked="0"/>
    </xf>
    <xf numFmtId="0" fontId="0" fillId="0" borderId="56" xfId="0" applyBorder="1" applyAlignment="1" applyProtection="1">
      <alignment horizontal="center"/>
      <protection locked="0"/>
    </xf>
    <xf numFmtId="0" fontId="0" fillId="0" borderId="64" xfId="0" applyFill="1" applyBorder="1" applyAlignment="1" applyProtection="1">
      <alignment horizontal="center"/>
      <protection locked="0"/>
    </xf>
    <xf numFmtId="0" fontId="0" fillId="0" borderId="67" xfId="0" applyFill="1" applyBorder="1" applyAlignment="1" applyProtection="1">
      <alignment horizontal="center"/>
      <protection locked="0"/>
    </xf>
    <xf numFmtId="0" fontId="0" fillId="0" borderId="64" xfId="0" applyBorder="1" applyAlignment="1" applyProtection="1">
      <alignment horizontal="center"/>
      <protection locked="0"/>
    </xf>
    <xf numFmtId="0" fontId="0" fillId="0" borderId="67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31" fillId="0" borderId="17" xfId="0" applyFont="1" applyFill="1" applyBorder="1" applyAlignment="1" applyProtection="1">
      <alignment horizontal="center" vertical="center"/>
      <protection locked="0"/>
    </xf>
    <xf numFmtId="0" fontId="31" fillId="0" borderId="68" xfId="0" applyFont="1" applyFill="1" applyBorder="1" applyAlignment="1" applyProtection="1">
      <alignment horizontal="center" vertical="center"/>
      <protection locked="0"/>
    </xf>
    <xf numFmtId="0" fontId="31" fillId="0" borderId="0" xfId="0" applyFont="1" applyFill="1" applyBorder="1" applyAlignment="1" applyProtection="1">
      <alignment horizontal="center" vertical="center"/>
      <protection locked="0"/>
    </xf>
    <xf numFmtId="0" fontId="31" fillId="0" borderId="24" xfId="0" applyFont="1" applyFill="1" applyBorder="1" applyAlignment="1" applyProtection="1">
      <alignment horizontal="center" vertical="center"/>
      <protection locked="0"/>
    </xf>
    <xf numFmtId="0" fontId="31" fillId="0" borderId="15" xfId="0" applyFont="1" applyFill="1" applyBorder="1" applyAlignment="1" applyProtection="1">
      <alignment horizontal="center" vertical="center"/>
      <protection locked="0"/>
    </xf>
    <xf numFmtId="0" fontId="31" fillId="0" borderId="22" xfId="0" applyFont="1" applyFill="1" applyBorder="1" applyAlignment="1" applyProtection="1">
      <alignment horizontal="center" vertical="center"/>
      <protection locked="0"/>
    </xf>
    <xf numFmtId="0" fontId="33" fillId="11" borderId="0" xfId="0" applyFont="1" applyFill="1" applyBorder="1" applyAlignment="1" applyProtection="1">
      <alignment horizontal="center" vertical="center"/>
    </xf>
    <xf numFmtId="0" fontId="0" fillId="11" borderId="2" xfId="0" applyFill="1" applyBorder="1" applyAlignment="1" applyProtection="1">
      <alignment horizontal="center" vertical="center" textRotation="45"/>
    </xf>
    <xf numFmtId="0" fontId="0" fillId="11" borderId="6" xfId="0" applyFill="1" applyBorder="1" applyAlignment="1" applyProtection="1">
      <alignment horizontal="center" vertical="center" textRotation="45"/>
    </xf>
    <xf numFmtId="0" fontId="0" fillId="11" borderId="9" xfId="0" applyFill="1" applyBorder="1" applyAlignment="1" applyProtection="1">
      <alignment horizontal="center" vertical="center" textRotation="45"/>
    </xf>
    <xf numFmtId="0" fontId="35" fillId="11" borderId="3" xfId="0" applyFont="1" applyFill="1" applyBorder="1" applyAlignment="1" applyProtection="1">
      <alignment horizontal="left" vertical="center"/>
    </xf>
    <xf numFmtId="0" fontId="35" fillId="11" borderId="4" xfId="0" applyFont="1" applyFill="1" applyBorder="1" applyAlignment="1" applyProtection="1">
      <alignment horizontal="left" vertical="center"/>
    </xf>
    <xf numFmtId="0" fontId="34" fillId="11" borderId="14" xfId="0" applyFont="1" applyFill="1" applyBorder="1" applyAlignment="1" applyProtection="1">
      <alignment horizontal="center" vertical="center"/>
    </xf>
    <xf numFmtId="0" fontId="11" fillId="2" borderId="69" xfId="0" applyFont="1" applyFill="1" applyBorder="1" applyAlignment="1" applyProtection="1">
      <alignment horizontal="left" vertical="center"/>
    </xf>
    <xf numFmtId="0" fontId="11" fillId="2" borderId="37" xfId="0" applyFont="1" applyFill="1" applyBorder="1" applyAlignment="1" applyProtection="1">
      <alignment horizontal="left" vertical="center"/>
    </xf>
    <xf numFmtId="0" fontId="0" fillId="3" borderId="14" xfId="0" applyFill="1" applyBorder="1" applyAlignment="1" applyProtection="1">
      <alignment horizontal="center" vertical="center" textRotation="255"/>
    </xf>
    <xf numFmtId="0" fontId="0" fillId="3" borderId="30" xfId="0" applyFill="1" applyBorder="1" applyAlignment="1" applyProtection="1">
      <alignment horizontal="center" vertical="center" textRotation="255"/>
    </xf>
    <xf numFmtId="0" fontId="11" fillId="3" borderId="34" xfId="0" applyFont="1" applyFill="1" applyBorder="1" applyAlignment="1" applyProtection="1">
      <alignment horizontal="center" vertical="center"/>
    </xf>
    <xf numFmtId="166" fontId="10" fillId="3" borderId="14" xfId="2" applyFill="1" applyBorder="1" applyAlignment="1" applyProtection="1">
      <alignment horizontal="center" vertical="center"/>
    </xf>
    <xf numFmtId="0" fontId="11" fillId="2" borderId="65" xfId="0" applyFont="1" applyFill="1" applyBorder="1" applyAlignment="1" applyProtection="1">
      <alignment horizontal="center" vertical="center"/>
    </xf>
    <xf numFmtId="166" fontId="10" fillId="2" borderId="14" xfId="2" applyFill="1" applyBorder="1" applyAlignment="1" applyProtection="1">
      <alignment horizontal="center" vertical="center"/>
    </xf>
    <xf numFmtId="0" fontId="0" fillId="2" borderId="14" xfId="0" applyFill="1" applyBorder="1" applyAlignment="1" applyProtection="1">
      <alignment horizontal="center" vertical="center" textRotation="255"/>
    </xf>
    <xf numFmtId="0" fontId="0" fillId="2" borderId="30" xfId="0" applyFill="1" applyBorder="1" applyAlignment="1" applyProtection="1">
      <alignment horizontal="center" vertical="center" textRotation="255"/>
    </xf>
    <xf numFmtId="0" fontId="11" fillId="3" borderId="36" xfId="0" applyFont="1" applyFill="1" applyBorder="1" applyAlignment="1" applyProtection="1">
      <alignment horizontal="center" vertical="center"/>
    </xf>
    <xf numFmtId="166" fontId="10" fillId="3" borderId="30" xfId="2" applyFill="1" applyBorder="1" applyAlignment="1" applyProtection="1">
      <alignment horizontal="center" vertical="center"/>
    </xf>
    <xf numFmtId="0" fontId="0" fillId="0" borderId="45" xfId="0" applyBorder="1" applyAlignment="1" applyProtection="1">
      <alignment horizontal="center"/>
      <protection locked="0"/>
    </xf>
    <xf numFmtId="0" fontId="0" fillId="0" borderId="44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11" fillId="2" borderId="28" xfId="0" applyFont="1" applyFill="1" applyBorder="1" applyAlignment="1" applyProtection="1">
      <alignment horizontal="center" vertical="center" wrapText="1"/>
    </xf>
    <xf numFmtId="0" fontId="11" fillId="2" borderId="62" xfId="0" applyFont="1" applyFill="1" applyBorder="1" applyAlignment="1" applyProtection="1">
      <alignment horizontal="center" vertical="center" wrapText="1"/>
    </xf>
    <xf numFmtId="0" fontId="0" fillId="0" borderId="45" xfId="0" applyFill="1" applyBorder="1" applyAlignment="1" applyProtection="1">
      <alignment horizontal="center"/>
      <protection locked="0"/>
    </xf>
    <xf numFmtId="0" fontId="0" fillId="0" borderId="44" xfId="0" applyFill="1" applyBorder="1" applyAlignment="1" applyProtection="1">
      <alignment horizontal="center"/>
      <protection locked="0"/>
    </xf>
    <xf numFmtId="0" fontId="0" fillId="0" borderId="32" xfId="0" applyFill="1" applyBorder="1" applyAlignment="1" applyProtection="1">
      <alignment horizontal="center"/>
      <protection locked="0"/>
    </xf>
    <xf numFmtId="0" fontId="11" fillId="3" borderId="28" xfId="0" applyFont="1" applyFill="1" applyBorder="1" applyAlignment="1" applyProtection="1">
      <alignment horizontal="center" vertical="center" wrapText="1"/>
    </xf>
    <xf numFmtId="0" fontId="11" fillId="3" borderId="62" xfId="0" applyFont="1" applyFill="1" applyBorder="1" applyAlignment="1" applyProtection="1">
      <alignment horizontal="center" vertical="center" wrapText="1"/>
    </xf>
    <xf numFmtId="0" fontId="0" fillId="2" borderId="64" xfId="0" applyFill="1" applyBorder="1" applyAlignment="1" applyProtection="1">
      <alignment horizontal="center"/>
    </xf>
    <xf numFmtId="0" fontId="0" fillId="2" borderId="66" xfId="0" applyFill="1" applyBorder="1" applyAlignment="1" applyProtection="1">
      <alignment horizontal="center"/>
    </xf>
    <xf numFmtId="0" fontId="0" fillId="2" borderId="65" xfId="0" applyFill="1" applyBorder="1" applyAlignment="1" applyProtection="1">
      <alignment horizontal="center"/>
    </xf>
    <xf numFmtId="0" fontId="0" fillId="3" borderId="64" xfId="0" applyFill="1" applyBorder="1" applyAlignment="1" applyProtection="1">
      <alignment horizontal="center"/>
    </xf>
    <xf numFmtId="0" fontId="0" fillId="3" borderId="66" xfId="0" applyFill="1" applyBorder="1" applyAlignment="1" applyProtection="1">
      <alignment horizontal="center"/>
    </xf>
    <xf numFmtId="0" fontId="0" fillId="3" borderId="65" xfId="0" applyFill="1" applyBorder="1" applyAlignment="1" applyProtection="1">
      <alignment horizontal="center"/>
    </xf>
    <xf numFmtId="0" fontId="11" fillId="3" borderId="69" xfId="0" applyFont="1" applyFill="1" applyBorder="1" applyAlignment="1" applyProtection="1">
      <alignment horizontal="left" vertical="center"/>
    </xf>
    <xf numFmtId="0" fontId="11" fillId="3" borderId="37" xfId="0" applyFont="1" applyFill="1" applyBorder="1" applyAlignment="1" applyProtection="1">
      <alignment horizontal="left" vertical="center"/>
    </xf>
    <xf numFmtId="0" fontId="11" fillId="2" borderId="22" xfId="0" applyFont="1" applyFill="1" applyBorder="1" applyAlignment="1" applyProtection="1">
      <alignment horizontal="left" vertical="center"/>
    </xf>
    <xf numFmtId="0" fontId="11" fillId="2" borderId="68" xfId="0" applyFont="1" applyFill="1" applyBorder="1" applyAlignment="1" applyProtection="1">
      <alignment horizontal="left" vertical="center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166" fontId="10" fillId="3" borderId="35" xfId="2" applyFill="1" applyBorder="1" applyAlignment="1" applyProtection="1">
      <alignment horizontal="center" vertical="center"/>
    </xf>
    <xf numFmtId="166" fontId="10" fillId="3" borderId="31" xfId="2" applyFill="1" applyBorder="1" applyAlignment="1" applyProtection="1">
      <alignment horizontal="center" vertical="center"/>
    </xf>
    <xf numFmtId="0" fontId="0" fillId="0" borderId="29" xfId="0" applyFill="1" applyBorder="1" applyAlignment="1" applyProtection="1">
      <alignment horizontal="center" vertical="center"/>
      <protection locked="0"/>
    </xf>
    <xf numFmtId="0" fontId="0" fillId="0" borderId="56" xfId="0" applyFill="1" applyBorder="1" applyAlignment="1" applyProtection="1">
      <alignment horizontal="center" vertical="center"/>
      <protection locked="0"/>
    </xf>
    <xf numFmtId="0" fontId="0" fillId="0" borderId="66" xfId="0" applyFill="1" applyBorder="1" applyAlignment="1" applyProtection="1">
      <alignment horizontal="center"/>
      <protection locked="0"/>
    </xf>
    <xf numFmtId="0" fontId="0" fillId="0" borderId="65" xfId="0" applyFill="1" applyBorder="1" applyAlignment="1" applyProtection="1">
      <alignment horizontal="center"/>
      <protection locked="0"/>
    </xf>
    <xf numFmtId="166" fontId="10" fillId="2" borderId="35" xfId="2" applyFill="1" applyBorder="1" applyAlignment="1" applyProtection="1">
      <alignment horizontal="center" vertical="center"/>
    </xf>
    <xf numFmtId="0" fontId="11" fillId="2" borderId="41" xfId="0" applyFont="1" applyFill="1" applyBorder="1" applyAlignment="1" applyProtection="1">
      <alignment horizontal="center" vertical="center"/>
    </xf>
    <xf numFmtId="166" fontId="10" fillId="2" borderId="30" xfId="2" applyFill="1" applyBorder="1" applyAlignment="1" applyProtection="1">
      <alignment horizontal="center" vertical="center"/>
    </xf>
    <xf numFmtId="166" fontId="10" fillId="2" borderId="31" xfId="2" applyFill="1" applyBorder="1" applyAlignment="1" applyProtection="1">
      <alignment horizontal="center" vertical="center"/>
    </xf>
    <xf numFmtId="0" fontId="0" fillId="0" borderId="66" xfId="0" applyBorder="1" applyAlignment="1" applyProtection="1">
      <alignment horizontal="center"/>
      <protection locked="0"/>
    </xf>
    <xf numFmtId="0" fontId="0" fillId="0" borderId="65" xfId="0" applyBorder="1" applyAlignment="1" applyProtection="1">
      <alignment horizontal="center"/>
      <protection locked="0"/>
    </xf>
    <xf numFmtId="0" fontId="0" fillId="4" borderId="6" xfId="0" applyFill="1" applyBorder="1" applyAlignment="1" applyProtection="1">
      <alignment horizontal="left" vertical="center"/>
    </xf>
    <xf numFmtId="0" fontId="0" fillId="4" borderId="0" xfId="0" applyFill="1" applyBorder="1" applyAlignment="1" applyProtection="1">
      <alignment horizontal="left" vertical="center"/>
    </xf>
    <xf numFmtId="0" fontId="0" fillId="4" borderId="7" xfId="0" applyFill="1" applyBorder="1" applyAlignment="1" applyProtection="1">
      <alignment horizontal="left" vertical="center"/>
    </xf>
    <xf numFmtId="0" fontId="0" fillId="4" borderId="10" xfId="0" applyFill="1" applyBorder="1" applyAlignment="1" applyProtection="1">
      <alignment horizontal="left" vertical="center"/>
    </xf>
    <xf numFmtId="0" fontId="0" fillId="4" borderId="11" xfId="0" applyFill="1" applyBorder="1" applyAlignment="1" applyProtection="1">
      <alignment horizontal="left" vertical="center"/>
    </xf>
    <xf numFmtId="0" fontId="0" fillId="0" borderId="64" xfId="0" applyFill="1" applyBorder="1" applyAlignment="1" applyProtection="1">
      <alignment horizontal="center" vertical="center"/>
      <protection locked="0"/>
    </xf>
    <xf numFmtId="0" fontId="0" fillId="0" borderId="66" xfId="0" applyFill="1" applyBorder="1" applyAlignment="1" applyProtection="1">
      <alignment horizontal="center" vertical="center"/>
      <protection locked="0"/>
    </xf>
    <xf numFmtId="0" fontId="0" fillId="0" borderId="65" xfId="0" applyFill="1" applyBorder="1" applyAlignment="1" applyProtection="1">
      <alignment horizontal="center" vertical="center"/>
      <protection locked="0"/>
    </xf>
    <xf numFmtId="0" fontId="11" fillId="2" borderId="34" xfId="0" applyFont="1" applyFill="1" applyBorder="1" applyAlignment="1" applyProtection="1">
      <alignment horizontal="center" vertical="center"/>
    </xf>
    <xf numFmtId="0" fontId="11" fillId="2" borderId="36" xfId="0" applyFont="1" applyFill="1" applyBorder="1" applyAlignment="1" applyProtection="1">
      <alignment horizontal="center" vertical="center"/>
    </xf>
    <xf numFmtId="0" fontId="15" fillId="2" borderId="1" xfId="0" applyFont="1" applyFill="1" applyBorder="1" applyAlignment="1" applyProtection="1">
      <alignment horizontal="center" vertical="center" textRotation="90"/>
    </xf>
    <xf numFmtId="0" fontId="15" fillId="2" borderId="5" xfId="0" applyFont="1" applyFill="1" applyBorder="1" applyAlignment="1" applyProtection="1">
      <alignment horizontal="center" vertical="center" textRotation="90"/>
    </xf>
    <xf numFmtId="0" fontId="15" fillId="2" borderId="8" xfId="0" applyFont="1" applyFill="1" applyBorder="1" applyAlignment="1" applyProtection="1">
      <alignment horizontal="center" vertical="center" textRotation="90"/>
    </xf>
    <xf numFmtId="0" fontId="15" fillId="3" borderId="1" xfId="0" applyFont="1" applyFill="1" applyBorder="1" applyAlignment="1" applyProtection="1">
      <alignment horizontal="center" vertical="center" textRotation="90"/>
    </xf>
    <xf numFmtId="0" fontId="15" fillId="3" borderId="5" xfId="0" applyFont="1" applyFill="1" applyBorder="1" applyAlignment="1" applyProtection="1">
      <alignment horizontal="center" vertical="center" textRotation="90"/>
    </xf>
    <xf numFmtId="0" fontId="15" fillId="3" borderId="8" xfId="0" applyFont="1" applyFill="1" applyBorder="1" applyAlignment="1" applyProtection="1">
      <alignment horizontal="center" vertical="center" textRotation="90"/>
    </xf>
    <xf numFmtId="0" fontId="11" fillId="4" borderId="19" xfId="0" applyFont="1" applyFill="1" applyBorder="1" applyAlignment="1" applyProtection="1">
      <alignment horizontal="center"/>
    </xf>
    <xf numFmtId="0" fontId="11" fillId="4" borderId="20" xfId="0" applyFont="1" applyFill="1" applyBorder="1" applyAlignment="1" applyProtection="1">
      <alignment horizontal="center"/>
    </xf>
    <xf numFmtId="0" fontId="11" fillId="4" borderId="21" xfId="0" applyFont="1" applyFill="1" applyBorder="1" applyAlignment="1" applyProtection="1">
      <alignment horizontal="center"/>
    </xf>
    <xf numFmtId="0" fontId="0" fillId="4" borderId="2" xfId="0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0" fillId="4" borderId="9" xfId="0" applyFill="1" applyBorder="1" applyAlignment="1" applyProtection="1">
      <alignment horizontal="center" vertical="center"/>
    </xf>
    <xf numFmtId="0" fontId="0" fillId="4" borderId="11" xfId="0" applyFill="1" applyBorder="1" applyAlignment="1" applyProtection="1">
      <alignment horizontal="center" vertical="center"/>
    </xf>
    <xf numFmtId="49" fontId="0" fillId="0" borderId="64" xfId="0" applyNumberFormat="1" applyBorder="1" applyAlignment="1" applyProtection="1">
      <alignment horizontal="center"/>
      <protection locked="0"/>
    </xf>
    <xf numFmtId="49" fontId="0" fillId="0" borderId="66" xfId="0" applyNumberFormat="1" applyBorder="1" applyAlignment="1" applyProtection="1">
      <alignment horizontal="center"/>
      <protection locked="0"/>
    </xf>
    <xf numFmtId="49" fontId="0" fillId="0" borderId="65" xfId="0" applyNumberFormat="1" applyBorder="1" applyAlignment="1" applyProtection="1">
      <alignment horizontal="center"/>
      <protection locked="0"/>
    </xf>
    <xf numFmtId="49" fontId="0" fillId="0" borderId="64" xfId="0" applyNumberFormat="1" applyFill="1" applyBorder="1" applyAlignment="1" applyProtection="1">
      <alignment horizontal="center"/>
      <protection locked="0"/>
    </xf>
    <xf numFmtId="49" fontId="0" fillId="0" borderId="66" xfId="0" applyNumberFormat="1" applyFill="1" applyBorder="1" applyAlignment="1" applyProtection="1">
      <alignment horizontal="center"/>
      <protection locked="0"/>
    </xf>
    <xf numFmtId="49" fontId="0" fillId="0" borderId="65" xfId="0" applyNumberFormat="1" applyFill="1" applyBorder="1" applyAlignment="1" applyProtection="1">
      <alignment horizontal="center"/>
      <protection locked="0"/>
    </xf>
    <xf numFmtId="0" fontId="18" fillId="3" borderId="2" xfId="0" applyFont="1" applyFill="1" applyBorder="1" applyAlignment="1" applyProtection="1">
      <alignment horizontal="center" vertical="center" wrapText="1"/>
    </xf>
    <xf numFmtId="0" fontId="18" fillId="3" borderId="3" xfId="0" applyFont="1" applyFill="1" applyBorder="1" applyAlignment="1" applyProtection="1">
      <alignment horizontal="center" vertical="center" wrapText="1"/>
    </xf>
    <xf numFmtId="0" fontId="18" fillId="3" borderId="6" xfId="0" applyFont="1" applyFill="1" applyBorder="1" applyAlignment="1" applyProtection="1">
      <alignment horizontal="center" vertical="center" wrapText="1"/>
    </xf>
    <xf numFmtId="0" fontId="18" fillId="3" borderId="0" xfId="0" applyFont="1" applyFill="1" applyBorder="1" applyAlignment="1" applyProtection="1">
      <alignment horizontal="center" vertical="center" wrapText="1"/>
    </xf>
    <xf numFmtId="0" fontId="7" fillId="3" borderId="2" xfId="0" applyFont="1" applyFill="1" applyBorder="1" applyAlignment="1" applyProtection="1">
      <alignment horizontal="center" vertical="center" textRotation="90" wrapText="1"/>
    </xf>
    <xf numFmtId="0" fontId="7" fillId="3" borderId="3" xfId="0" applyFont="1" applyFill="1" applyBorder="1" applyAlignment="1" applyProtection="1">
      <alignment horizontal="center" vertical="center" textRotation="90" wrapText="1"/>
    </xf>
    <xf numFmtId="0" fontId="7" fillId="3" borderId="6" xfId="0" applyFont="1" applyFill="1" applyBorder="1" applyAlignment="1" applyProtection="1">
      <alignment horizontal="center" vertical="center" textRotation="90" wrapText="1"/>
    </xf>
    <xf numFmtId="0" fontId="7" fillId="3" borderId="0" xfId="0" applyFont="1" applyFill="1" applyBorder="1" applyAlignment="1" applyProtection="1">
      <alignment horizontal="center" vertical="center" textRotation="90" wrapText="1"/>
    </xf>
    <xf numFmtId="0" fontId="7" fillId="3" borderId="9" xfId="0" applyFont="1" applyFill="1" applyBorder="1" applyAlignment="1" applyProtection="1">
      <alignment horizontal="center" vertical="center" textRotation="90" wrapText="1"/>
    </xf>
    <xf numFmtId="0" fontId="7" fillId="3" borderId="10" xfId="0" applyFont="1" applyFill="1" applyBorder="1" applyAlignment="1" applyProtection="1">
      <alignment horizontal="center" vertical="center" textRotation="90" wrapText="1"/>
    </xf>
    <xf numFmtId="166" fontId="10" fillId="3" borderId="33" xfId="2" applyFill="1" applyBorder="1" applyAlignment="1" applyProtection="1">
      <alignment horizontal="center" vertical="center"/>
    </xf>
    <xf numFmtId="166" fontId="10" fillId="3" borderId="34" xfId="2" applyFill="1" applyBorder="1" applyAlignment="1" applyProtection="1">
      <alignment horizontal="center" vertical="center"/>
    </xf>
    <xf numFmtId="166" fontId="10" fillId="6" borderId="3" xfId="2" applyFill="1" applyBorder="1" applyAlignment="1" applyProtection="1">
      <alignment horizontal="center" vertical="center"/>
    </xf>
    <xf numFmtId="166" fontId="10" fillId="6" borderId="17" xfId="2" applyFill="1" applyBorder="1" applyAlignment="1" applyProtection="1">
      <alignment horizontal="center" vertical="center"/>
    </xf>
    <xf numFmtId="166" fontId="10" fillId="6" borderId="62" xfId="2" applyFill="1" applyBorder="1" applyAlignment="1" applyProtection="1">
      <alignment horizontal="center" vertical="center"/>
    </xf>
    <xf numFmtId="166" fontId="10" fillId="6" borderId="71" xfId="2" applyFill="1" applyBorder="1" applyAlignment="1" applyProtection="1">
      <alignment horizontal="center" vertical="center"/>
    </xf>
    <xf numFmtId="166" fontId="10" fillId="3" borderId="16" xfId="2" applyFill="1" applyBorder="1" applyAlignment="1" applyProtection="1">
      <alignment horizontal="center" vertical="center"/>
    </xf>
    <xf numFmtId="166" fontId="10" fillId="3" borderId="49" xfId="2" applyFill="1" applyBorder="1" applyAlignment="1" applyProtection="1">
      <alignment horizontal="center" vertical="center"/>
    </xf>
    <xf numFmtId="166" fontId="0" fillId="0" borderId="69" xfId="2" applyFont="1" applyFill="1" applyBorder="1" applyAlignment="1" applyProtection="1">
      <alignment horizontal="center" vertical="center"/>
      <protection locked="0"/>
    </xf>
    <xf numFmtId="166" fontId="10" fillId="0" borderId="37" xfId="2" applyFill="1" applyBorder="1" applyAlignment="1" applyProtection="1">
      <alignment horizontal="center" vertical="center"/>
      <protection locked="0"/>
    </xf>
    <xf numFmtId="166" fontId="10" fillId="6" borderId="38" xfId="2" applyFill="1" applyBorder="1" applyAlignment="1" applyProtection="1">
      <alignment horizontal="center" vertical="center"/>
    </xf>
    <xf numFmtId="166" fontId="10" fillId="6" borderId="15" xfId="2" applyFill="1" applyBorder="1" applyAlignment="1" applyProtection="1">
      <alignment horizontal="center" vertical="center"/>
    </xf>
    <xf numFmtId="0" fontId="0" fillId="3" borderId="6" xfId="0" applyFont="1" applyFill="1" applyBorder="1" applyAlignment="1" applyProtection="1">
      <alignment horizontal="center"/>
    </xf>
    <xf numFmtId="0" fontId="0" fillId="3" borderId="0" xfId="0" applyFont="1" applyFill="1" applyBorder="1" applyAlignment="1" applyProtection="1">
      <alignment horizontal="center"/>
    </xf>
    <xf numFmtId="166" fontId="10" fillId="0" borderId="54" xfId="2" applyFill="1" applyBorder="1" applyAlignment="1" applyProtection="1">
      <alignment horizontal="center" vertical="center"/>
      <protection locked="0"/>
    </xf>
    <xf numFmtId="165" fontId="0" fillId="3" borderId="18" xfId="1" applyFont="1" applyFill="1" applyBorder="1" applyAlignment="1" applyProtection="1">
      <alignment horizontal="center" vertical="center" wrapText="1"/>
    </xf>
    <xf numFmtId="165" fontId="0" fillId="3" borderId="15" xfId="1" applyFont="1" applyFill="1" applyBorder="1" applyAlignment="1" applyProtection="1">
      <alignment horizontal="center" vertical="center" wrapText="1"/>
    </xf>
    <xf numFmtId="165" fontId="0" fillId="3" borderId="9" xfId="1" applyFont="1" applyFill="1" applyBorder="1" applyAlignment="1" applyProtection="1">
      <alignment horizontal="center" vertical="center" wrapText="1"/>
    </xf>
    <xf numFmtId="165" fontId="0" fillId="3" borderId="10" xfId="1" applyFont="1" applyFill="1" applyBorder="1" applyAlignment="1" applyProtection="1">
      <alignment horizontal="center" vertical="center" wrapText="1"/>
    </xf>
    <xf numFmtId="0" fontId="0" fillId="6" borderId="14" xfId="2" applyNumberFormat="1" applyFont="1" applyFill="1" applyBorder="1" applyAlignment="1" applyProtection="1">
      <alignment horizontal="center" vertical="center"/>
    </xf>
    <xf numFmtId="166" fontId="10" fillId="3" borderId="11" xfId="2" applyFill="1" applyBorder="1" applyAlignment="1" applyProtection="1">
      <alignment horizontal="center" vertical="center"/>
    </xf>
    <xf numFmtId="0" fontId="18" fillId="6" borderId="2" xfId="0" applyFont="1" applyFill="1" applyBorder="1" applyAlignment="1" applyProtection="1">
      <alignment horizontal="center" wrapText="1"/>
    </xf>
    <xf numFmtId="0" fontId="18" fillId="6" borderId="4" xfId="0" applyFont="1" applyFill="1" applyBorder="1" applyAlignment="1" applyProtection="1">
      <alignment horizontal="center" wrapText="1"/>
    </xf>
    <xf numFmtId="0" fontId="18" fillId="6" borderId="9" xfId="0" applyFont="1" applyFill="1" applyBorder="1" applyAlignment="1" applyProtection="1">
      <alignment horizontal="center" wrapText="1"/>
    </xf>
    <xf numFmtId="0" fontId="18" fillId="6" borderId="11" xfId="0" applyFont="1" applyFill="1" applyBorder="1" applyAlignment="1" applyProtection="1">
      <alignment horizontal="center" wrapText="1"/>
    </xf>
    <xf numFmtId="0" fontId="0" fillId="6" borderId="2" xfId="0" applyFill="1" applyBorder="1" applyAlignment="1" applyProtection="1">
      <alignment horizontal="center" vertical="center"/>
    </xf>
    <xf numFmtId="0" fontId="0" fillId="6" borderId="3" xfId="0" applyFill="1" applyBorder="1" applyAlignment="1" applyProtection="1">
      <alignment horizontal="center" vertical="center"/>
    </xf>
    <xf numFmtId="0" fontId="0" fillId="6" borderId="9" xfId="0" applyFill="1" applyBorder="1" applyAlignment="1" applyProtection="1">
      <alignment horizontal="center" vertical="center"/>
    </xf>
    <xf numFmtId="0" fontId="0" fillId="6" borderId="10" xfId="0" applyFill="1" applyBorder="1" applyAlignment="1" applyProtection="1">
      <alignment horizontal="center" vertical="center"/>
    </xf>
    <xf numFmtId="49" fontId="0" fillId="6" borderId="3" xfId="0" applyNumberFormat="1" applyFill="1" applyBorder="1" applyAlignment="1" applyProtection="1">
      <alignment horizontal="center" vertical="center"/>
    </xf>
    <xf numFmtId="49" fontId="0" fillId="6" borderId="10" xfId="0" applyNumberFormat="1" applyFill="1" applyBorder="1" applyAlignment="1" applyProtection="1">
      <alignment horizontal="center" vertical="center"/>
    </xf>
    <xf numFmtId="176" fontId="11" fillId="6" borderId="3" xfId="0" applyNumberFormat="1" applyFont="1" applyFill="1" applyBorder="1" applyAlignment="1" applyProtection="1">
      <alignment horizontal="center" vertical="center"/>
    </xf>
    <xf numFmtId="176" fontId="11" fillId="6" borderId="10" xfId="0" applyNumberFormat="1" applyFont="1" applyFill="1" applyBorder="1" applyAlignment="1" applyProtection="1">
      <alignment horizontal="center" vertical="center"/>
    </xf>
    <xf numFmtId="176" fontId="11" fillId="6" borderId="4" xfId="0" applyNumberFormat="1" applyFont="1" applyFill="1" applyBorder="1" applyAlignment="1" applyProtection="1">
      <alignment horizontal="center" vertical="center"/>
    </xf>
    <xf numFmtId="176" fontId="11" fillId="6" borderId="11" xfId="0" applyNumberFormat="1" applyFont="1" applyFill="1" applyBorder="1" applyAlignment="1" applyProtection="1">
      <alignment horizontal="center" vertical="center"/>
    </xf>
    <xf numFmtId="0" fontId="7" fillId="3" borderId="4" xfId="0" applyFont="1" applyFill="1" applyBorder="1" applyAlignment="1" applyProtection="1">
      <alignment horizontal="center" vertical="center" textRotation="90" wrapText="1"/>
    </xf>
    <xf numFmtId="0" fontId="7" fillId="3" borderId="7" xfId="0" applyFont="1" applyFill="1" applyBorder="1" applyAlignment="1" applyProtection="1">
      <alignment horizontal="center" vertical="center" textRotation="90" wrapText="1"/>
    </xf>
    <xf numFmtId="0" fontId="7" fillId="3" borderId="11" xfId="0" applyFont="1" applyFill="1" applyBorder="1" applyAlignment="1" applyProtection="1">
      <alignment horizontal="center" vertical="center" textRotation="90" wrapText="1"/>
    </xf>
    <xf numFmtId="0" fontId="8" fillId="15" borderId="2" xfId="0" applyFont="1" applyFill="1" applyBorder="1" applyAlignment="1" applyProtection="1">
      <alignment horizontal="center" vertical="center"/>
    </xf>
    <xf numFmtId="0" fontId="8" fillId="15" borderId="3" xfId="0" applyFont="1" applyFill="1" applyBorder="1" applyAlignment="1" applyProtection="1">
      <alignment horizontal="center" vertical="center"/>
    </xf>
    <xf numFmtId="0" fontId="8" fillId="15" borderId="9" xfId="0" applyFont="1" applyFill="1" applyBorder="1" applyAlignment="1" applyProtection="1">
      <alignment horizontal="center" vertical="center"/>
    </xf>
    <xf numFmtId="0" fontId="8" fillId="15" borderId="10" xfId="0" applyFont="1" applyFill="1" applyBorder="1" applyAlignment="1" applyProtection="1">
      <alignment horizontal="center" vertical="center"/>
    </xf>
    <xf numFmtId="49" fontId="8" fillId="15" borderId="3" xfId="0" applyNumberFormat="1" applyFont="1" applyFill="1" applyBorder="1" applyAlignment="1" applyProtection="1">
      <alignment horizontal="center" vertical="center"/>
    </xf>
    <xf numFmtId="49" fontId="8" fillId="15" borderId="10" xfId="0" applyNumberFormat="1" applyFont="1" applyFill="1" applyBorder="1" applyAlignment="1" applyProtection="1">
      <alignment horizontal="center" vertical="center"/>
    </xf>
    <xf numFmtId="166" fontId="12" fillId="3" borderId="3" xfId="2" applyFont="1" applyFill="1" applyBorder="1" applyAlignment="1" applyProtection="1">
      <alignment horizontal="center" vertical="center"/>
    </xf>
    <xf numFmtId="166" fontId="12" fillId="3" borderId="10" xfId="2" applyFont="1" applyFill="1" applyBorder="1" applyAlignment="1" applyProtection="1">
      <alignment horizontal="center" vertical="center"/>
    </xf>
    <xf numFmtId="166" fontId="12" fillId="3" borderId="4" xfId="2" applyFont="1" applyFill="1" applyBorder="1" applyAlignment="1" applyProtection="1">
      <alignment horizontal="center" vertical="center"/>
    </xf>
    <xf numFmtId="166" fontId="12" fillId="3" borderId="11" xfId="2" applyFont="1" applyFill="1" applyBorder="1" applyAlignment="1" applyProtection="1">
      <alignment horizontal="center" vertical="center"/>
    </xf>
    <xf numFmtId="0" fontId="9" fillId="3" borderId="18" xfId="0" applyFont="1" applyFill="1" applyBorder="1" applyAlignment="1" applyProtection="1">
      <alignment horizontal="center"/>
    </xf>
    <xf numFmtId="0" fontId="9" fillId="3" borderId="15" xfId="0" applyFont="1" applyFill="1" applyBorder="1" applyAlignment="1" applyProtection="1">
      <alignment horizont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6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 applyProtection="1">
      <alignment horizontal="center" vertical="center"/>
    </xf>
    <xf numFmtId="0" fontId="7" fillId="3" borderId="11" xfId="0" applyFont="1" applyFill="1" applyBorder="1" applyAlignment="1" applyProtection="1">
      <alignment horizontal="center" vertical="center"/>
    </xf>
    <xf numFmtId="0" fontId="18" fillId="3" borderId="2" xfId="0" applyFont="1" applyFill="1" applyBorder="1" applyAlignment="1" applyProtection="1">
      <alignment horizontal="center" wrapText="1"/>
    </xf>
    <xf numFmtId="0" fontId="18" fillId="3" borderId="3" xfId="0" applyFont="1" applyFill="1" applyBorder="1" applyAlignment="1" applyProtection="1">
      <alignment horizontal="center" wrapText="1"/>
    </xf>
    <xf numFmtId="0" fontId="18" fillId="3" borderId="23" xfId="0" applyFont="1" applyFill="1" applyBorder="1" applyAlignment="1" applyProtection="1">
      <alignment horizontal="center" wrapText="1"/>
    </xf>
    <xf numFmtId="0" fontId="18" fillId="3" borderId="17" xfId="0" applyFont="1" applyFill="1" applyBorder="1" applyAlignment="1" applyProtection="1">
      <alignment horizontal="center" wrapText="1"/>
    </xf>
    <xf numFmtId="0" fontId="11" fillId="3" borderId="64" xfId="0" applyFont="1" applyFill="1" applyBorder="1" applyAlignment="1" applyProtection="1">
      <alignment horizontal="center"/>
    </xf>
    <xf numFmtId="0" fontId="11" fillId="3" borderId="65" xfId="0" applyFont="1" applyFill="1" applyBorder="1" applyAlignment="1" applyProtection="1">
      <alignment horizontal="center"/>
    </xf>
    <xf numFmtId="166" fontId="10" fillId="3" borderId="13" xfId="2" applyNumberFormat="1" applyFill="1" applyBorder="1" applyAlignment="1" applyProtection="1">
      <alignment horizontal="center"/>
    </xf>
    <xf numFmtId="166" fontId="10" fillId="3" borderId="24" xfId="2" applyNumberFormat="1" applyFill="1" applyBorder="1" applyAlignment="1" applyProtection="1">
      <alignment horizontal="center"/>
    </xf>
    <xf numFmtId="168" fontId="10" fillId="3" borderId="76" xfId="3" applyNumberFormat="1" applyFill="1" applyBorder="1" applyAlignment="1" applyProtection="1">
      <alignment horizontal="center"/>
    </xf>
    <xf numFmtId="168" fontId="10" fillId="3" borderId="68" xfId="3" applyNumberFormat="1" applyFill="1" applyBorder="1" applyAlignment="1" applyProtection="1">
      <alignment horizontal="center"/>
    </xf>
    <xf numFmtId="0" fontId="0" fillId="3" borderId="43" xfId="0" applyFill="1" applyBorder="1" applyAlignment="1" applyProtection="1">
      <alignment horizontal="center"/>
    </xf>
    <xf numFmtId="0" fontId="0" fillId="3" borderId="22" xfId="0" applyFill="1" applyBorder="1" applyAlignment="1" applyProtection="1">
      <alignment horizontal="center"/>
    </xf>
    <xf numFmtId="168" fontId="10" fillId="3" borderId="0" xfId="3" applyNumberFormat="1" applyFill="1" applyBorder="1" applyAlignment="1" applyProtection="1">
      <alignment horizontal="center"/>
    </xf>
    <xf numFmtId="166" fontId="10" fillId="3" borderId="13" xfId="2" applyFill="1" applyBorder="1" applyAlignment="1" applyProtection="1">
      <alignment horizontal="center"/>
    </xf>
    <xf numFmtId="166" fontId="10" fillId="3" borderId="24" xfId="2" applyFill="1" applyBorder="1" applyAlignment="1" applyProtection="1">
      <alignment horizontal="center"/>
    </xf>
    <xf numFmtId="168" fontId="10" fillId="3" borderId="13" xfId="3" applyNumberFormat="1" applyFill="1" applyBorder="1" applyAlignment="1" applyProtection="1">
      <alignment horizontal="center"/>
    </xf>
    <xf numFmtId="168" fontId="10" fillId="3" borderId="24" xfId="3" applyNumberFormat="1" applyFill="1" applyBorder="1" applyAlignment="1" applyProtection="1">
      <alignment horizontal="center"/>
    </xf>
    <xf numFmtId="168" fontId="10" fillId="3" borderId="52" xfId="3" applyNumberFormat="1" applyFill="1" applyBorder="1" applyAlignment="1" applyProtection="1">
      <alignment horizontal="center"/>
    </xf>
    <xf numFmtId="168" fontId="10" fillId="3" borderId="25" xfId="3" applyNumberFormat="1" applyFill="1" applyBorder="1" applyAlignment="1" applyProtection="1">
      <alignment horizontal="center"/>
    </xf>
    <xf numFmtId="166" fontId="10" fillId="3" borderId="7" xfId="2" applyNumberFormat="1" applyFill="1" applyBorder="1" applyAlignment="1" applyProtection="1">
      <alignment horizontal="center"/>
    </xf>
    <xf numFmtId="0" fontId="0" fillId="3" borderId="16" xfId="0" applyFill="1" applyBorder="1" applyAlignment="1" applyProtection="1">
      <alignment horizontal="center"/>
    </xf>
    <xf numFmtId="0" fontId="11" fillId="3" borderId="67" xfId="0" applyFont="1" applyFill="1" applyBorder="1" applyAlignment="1" applyProtection="1">
      <alignment horizontal="center"/>
    </xf>
    <xf numFmtId="168" fontId="10" fillId="3" borderId="49" xfId="3" applyNumberFormat="1" applyFill="1" applyBorder="1" applyAlignment="1" applyProtection="1">
      <alignment horizontal="center"/>
    </xf>
    <xf numFmtId="166" fontId="10" fillId="3" borderId="7" xfId="2" applyFill="1" applyBorder="1" applyAlignment="1" applyProtection="1">
      <alignment horizontal="center"/>
    </xf>
    <xf numFmtId="168" fontId="10" fillId="3" borderId="7" xfId="3" applyNumberFormat="1" applyFill="1" applyBorder="1" applyAlignment="1" applyProtection="1">
      <alignment horizontal="center"/>
    </xf>
    <xf numFmtId="168" fontId="10" fillId="3" borderId="11" xfId="3" applyNumberFormat="1" applyFill="1" applyBorder="1" applyAlignment="1" applyProtection="1">
      <alignment horizontal="center"/>
    </xf>
    <xf numFmtId="166" fontId="10" fillId="3" borderId="36" xfId="2" applyFill="1" applyBorder="1" applyAlignment="1" applyProtection="1">
      <alignment horizontal="center" vertical="center"/>
    </xf>
    <xf numFmtId="166" fontId="10" fillId="3" borderId="57" xfId="2" applyFill="1" applyBorder="1" applyAlignment="1" applyProtection="1">
      <alignment horizontal="center" vertical="center"/>
    </xf>
    <xf numFmtId="166" fontId="10" fillId="3" borderId="54" xfId="2" applyFill="1" applyBorder="1" applyAlignment="1" applyProtection="1">
      <alignment horizontal="center" vertical="center"/>
    </xf>
    <xf numFmtId="166" fontId="10" fillId="3" borderId="14" xfId="2" applyNumberFormat="1" applyFill="1" applyBorder="1" applyAlignment="1" applyProtection="1">
      <alignment horizontal="center" vertical="center"/>
    </xf>
    <xf numFmtId="166" fontId="10" fillId="3" borderId="30" xfId="2" applyNumberFormat="1" applyFill="1" applyBorder="1" applyAlignment="1" applyProtection="1">
      <alignment horizontal="center" vertical="center"/>
    </xf>
    <xf numFmtId="170" fontId="10" fillId="3" borderId="14" xfId="2" applyNumberFormat="1" applyFill="1" applyBorder="1" applyAlignment="1" applyProtection="1">
      <alignment horizontal="center" vertical="center"/>
    </xf>
    <xf numFmtId="176" fontId="10" fillId="3" borderId="14" xfId="1" applyNumberFormat="1" applyFill="1" applyBorder="1" applyAlignment="1" applyProtection="1">
      <alignment horizontal="center" vertical="center"/>
    </xf>
    <xf numFmtId="0" fontId="17" fillId="6" borderId="1" xfId="0" applyFont="1" applyFill="1" applyBorder="1" applyAlignment="1" applyProtection="1">
      <alignment horizontal="center" vertical="center"/>
    </xf>
    <xf numFmtId="0" fontId="17" fillId="6" borderId="8" xfId="0" applyFont="1" applyFill="1" applyBorder="1" applyAlignment="1" applyProtection="1">
      <alignment horizontal="center" vertical="center"/>
    </xf>
    <xf numFmtId="0" fontId="0" fillId="6" borderId="34" xfId="0" applyFill="1" applyBorder="1" applyAlignment="1" applyProtection="1">
      <alignment horizontal="center" vertical="center" wrapText="1"/>
    </xf>
    <xf numFmtId="0" fontId="0" fillId="6" borderId="14" xfId="0" applyFill="1" applyBorder="1" applyAlignment="1" applyProtection="1">
      <alignment horizontal="center" vertical="center" wrapText="1"/>
    </xf>
    <xf numFmtId="0" fontId="0" fillId="6" borderId="36" xfId="0" applyFill="1" applyBorder="1" applyAlignment="1" applyProtection="1">
      <alignment horizontal="center" vertical="center" wrapText="1"/>
    </xf>
    <xf numFmtId="0" fontId="0" fillId="6" borderId="30" xfId="0" applyFill="1" applyBorder="1" applyAlignment="1" applyProtection="1">
      <alignment horizontal="center" vertical="center" wrapText="1"/>
    </xf>
    <xf numFmtId="172" fontId="10" fillId="3" borderId="17" xfId="1" applyNumberFormat="1" applyFill="1" applyBorder="1" applyAlignment="1" applyProtection="1">
      <alignment horizontal="center" vertical="center"/>
    </xf>
    <xf numFmtId="172" fontId="10" fillId="3" borderId="49" xfId="1" applyNumberFormat="1" applyFill="1" applyBorder="1" applyAlignment="1" applyProtection="1">
      <alignment horizontal="center" vertical="center"/>
    </xf>
    <xf numFmtId="172" fontId="10" fillId="3" borderId="15" xfId="1" applyNumberFormat="1" applyFill="1" applyBorder="1" applyAlignment="1" applyProtection="1">
      <alignment horizontal="center" vertical="center"/>
    </xf>
    <xf numFmtId="172" fontId="10" fillId="3" borderId="16" xfId="1" applyNumberFormat="1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9" xfId="0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166" fontId="0" fillId="6" borderId="62" xfId="2" applyFont="1" applyFill="1" applyBorder="1" applyAlignment="1" applyProtection="1">
      <alignment horizontal="center" vertical="center"/>
    </xf>
    <xf numFmtId="166" fontId="0" fillId="6" borderId="38" xfId="2" applyFont="1" applyFill="1" applyBorder="1" applyAlignment="1" applyProtection="1">
      <alignment horizontal="center" vertical="center"/>
    </xf>
    <xf numFmtId="166" fontId="0" fillId="6" borderId="71" xfId="2" applyFont="1" applyFill="1" applyBorder="1" applyAlignment="1" applyProtection="1">
      <alignment horizontal="center" vertical="center"/>
    </xf>
    <xf numFmtId="0" fontId="0" fillId="0" borderId="35" xfId="0" applyBorder="1" applyAlignment="1" applyProtection="1">
      <alignment horizontal="center" vertical="center"/>
      <protection locked="0"/>
    </xf>
    <xf numFmtId="0" fontId="0" fillId="3" borderId="2" xfId="0" applyFont="1" applyFill="1" applyBorder="1" applyAlignment="1" applyProtection="1">
      <alignment horizontal="center" vertical="center"/>
    </xf>
    <xf numFmtId="0" fontId="0" fillId="3" borderId="3" xfId="0" applyFont="1" applyFill="1" applyBorder="1" applyAlignment="1" applyProtection="1">
      <alignment horizontal="center" vertical="center"/>
    </xf>
    <xf numFmtId="0" fontId="0" fillId="3" borderId="18" xfId="0" applyFont="1" applyFill="1" applyBorder="1" applyAlignment="1" applyProtection="1">
      <alignment horizontal="center" vertical="center" wrapText="1"/>
    </xf>
    <xf numFmtId="0" fontId="0" fillId="3" borderId="15" xfId="0" applyFont="1" applyFill="1" applyBorder="1" applyAlignment="1" applyProtection="1">
      <alignment horizontal="center" vertical="center" wrapText="1"/>
    </xf>
    <xf numFmtId="0" fontId="0" fillId="3" borderId="23" xfId="0" applyFont="1" applyFill="1" applyBorder="1" applyAlignment="1" applyProtection="1">
      <alignment horizontal="center" vertical="center" wrapText="1"/>
    </xf>
    <xf numFmtId="0" fontId="0" fillId="3" borderId="17" xfId="0" applyFont="1" applyFill="1" applyBorder="1" applyAlignment="1" applyProtection="1">
      <alignment horizontal="center" vertical="center" wrapText="1"/>
    </xf>
    <xf numFmtId="0" fontId="0" fillId="3" borderId="18" xfId="0" applyFill="1" applyBorder="1" applyAlignment="1" applyProtection="1">
      <alignment horizontal="center" vertical="center"/>
    </xf>
    <xf numFmtId="0" fontId="0" fillId="3" borderId="15" xfId="0" applyFill="1" applyBorder="1" applyAlignment="1" applyProtection="1">
      <alignment horizontal="center" vertical="center"/>
    </xf>
    <xf numFmtId="0" fontId="0" fillId="3" borderId="23" xfId="0" applyFill="1" applyBorder="1" applyAlignment="1" applyProtection="1">
      <alignment horizontal="center" vertical="center"/>
    </xf>
    <xf numFmtId="0" fontId="0" fillId="3" borderId="17" xfId="0" applyFill="1" applyBorder="1" applyAlignment="1" applyProtection="1">
      <alignment horizontal="center" vertical="center"/>
    </xf>
    <xf numFmtId="0" fontId="0" fillId="3" borderId="2" xfId="0" applyFont="1" applyFill="1" applyBorder="1" applyAlignment="1" applyProtection="1">
      <alignment horizontal="center" vertical="center" wrapText="1"/>
    </xf>
    <xf numFmtId="0" fontId="0" fillId="3" borderId="3" xfId="0" applyFont="1" applyFill="1" applyBorder="1" applyAlignment="1" applyProtection="1">
      <alignment horizontal="center" vertical="center" wrapText="1"/>
    </xf>
    <xf numFmtId="165" fontId="0" fillId="3" borderId="69" xfId="1" applyFont="1" applyFill="1" applyBorder="1" applyAlignment="1" applyProtection="1">
      <alignment horizontal="center" vertical="center" wrapText="1"/>
    </xf>
    <xf numFmtId="165" fontId="0" fillId="3" borderId="37" xfId="1" applyFont="1" applyFill="1" applyBorder="1" applyAlignment="1" applyProtection="1">
      <alignment horizontal="center" vertical="center" wrapText="1"/>
    </xf>
    <xf numFmtId="0" fontId="0" fillId="6" borderId="30" xfId="2" applyNumberFormat="1" applyFont="1" applyFill="1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14" xfId="0" applyFont="1" applyBorder="1" applyAlignment="1" applyProtection="1">
      <alignment horizontal="center" vertical="center"/>
      <protection locked="0"/>
    </xf>
    <xf numFmtId="0" fontId="0" fillId="0" borderId="35" xfId="0" applyFont="1" applyBorder="1" applyAlignment="1" applyProtection="1">
      <alignment horizontal="center" vertical="center"/>
      <protection locked="0"/>
    </xf>
    <xf numFmtId="165" fontId="0" fillId="3" borderId="23" xfId="1" applyFont="1" applyFill="1" applyBorder="1" applyAlignment="1" applyProtection="1">
      <alignment horizontal="center" vertical="center" wrapText="1"/>
    </xf>
    <xf numFmtId="165" fontId="0" fillId="3" borderId="17" xfId="1" applyFont="1" applyFill="1" applyBorder="1" applyAlignment="1" applyProtection="1">
      <alignment horizontal="center" vertical="center" wrapText="1"/>
    </xf>
    <xf numFmtId="166" fontId="10" fillId="3" borderId="60" xfId="2" applyFill="1" applyBorder="1" applyAlignment="1" applyProtection="1">
      <alignment horizontal="center" vertical="center"/>
    </xf>
    <xf numFmtId="166" fontId="10" fillId="3" borderId="45" xfId="2" applyFill="1" applyBorder="1" applyAlignment="1" applyProtection="1">
      <alignment horizontal="center" vertical="center"/>
    </xf>
    <xf numFmtId="166" fontId="10" fillId="3" borderId="64" xfId="2" applyFill="1" applyBorder="1" applyAlignment="1" applyProtection="1">
      <alignment horizontal="center" vertical="center"/>
    </xf>
    <xf numFmtId="166" fontId="10" fillId="3" borderId="43" xfId="2" applyFill="1" applyBorder="1" applyAlignment="1" applyProtection="1">
      <alignment horizontal="center" vertical="center"/>
    </xf>
    <xf numFmtId="166" fontId="10" fillId="3" borderId="76" xfId="2" applyFill="1" applyBorder="1" applyAlignment="1" applyProtection="1">
      <alignment horizontal="center" vertical="center"/>
    </xf>
    <xf numFmtId="166" fontId="10" fillId="3" borderId="59" xfId="2" applyFill="1" applyBorder="1" applyAlignment="1" applyProtection="1">
      <alignment horizontal="center" vertical="center"/>
    </xf>
    <xf numFmtId="166" fontId="10" fillId="3" borderId="62" xfId="2" applyFill="1" applyBorder="1" applyAlignment="1" applyProtection="1">
      <alignment horizontal="center" vertical="center"/>
    </xf>
    <xf numFmtId="166" fontId="10" fillId="3" borderId="38" xfId="2" applyFill="1" applyBorder="1" applyAlignment="1" applyProtection="1">
      <alignment horizontal="center" vertical="center"/>
    </xf>
    <xf numFmtId="175" fontId="0" fillId="3" borderId="62" xfId="1" applyNumberFormat="1" applyFont="1" applyFill="1" applyBorder="1" applyAlignment="1" applyProtection="1">
      <alignment horizontal="center" vertical="center"/>
    </xf>
    <xf numFmtId="175" fontId="0" fillId="3" borderId="38" xfId="1" applyNumberFormat="1" applyFont="1" applyFill="1" applyBorder="1" applyAlignment="1" applyProtection="1">
      <alignment horizontal="center" vertical="center"/>
    </xf>
    <xf numFmtId="166" fontId="10" fillId="3" borderId="14" xfId="1" applyNumberFormat="1" applyFill="1" applyBorder="1" applyAlignment="1" applyProtection="1">
      <alignment horizontal="center" vertical="center"/>
    </xf>
    <xf numFmtId="166" fontId="10" fillId="3" borderId="28" xfId="2" applyFill="1" applyBorder="1" applyAlignment="1" applyProtection="1">
      <alignment horizontal="center" vertical="center"/>
    </xf>
    <xf numFmtId="166" fontId="10" fillId="3" borderId="35" xfId="1" applyNumberFormat="1" applyFill="1" applyBorder="1" applyAlignment="1" applyProtection="1">
      <alignment horizontal="center" vertical="center"/>
    </xf>
    <xf numFmtId="166" fontId="10" fillId="3" borderId="24" xfId="2" applyNumberFormat="1" applyFill="1" applyBorder="1" applyAlignment="1" applyProtection="1">
      <alignment horizontal="center" vertical="center"/>
    </xf>
    <xf numFmtId="166" fontId="10" fillId="3" borderId="25" xfId="2" applyNumberFormat="1" applyFill="1" applyBorder="1" applyAlignment="1" applyProtection="1">
      <alignment horizontal="center" vertical="center"/>
    </xf>
    <xf numFmtId="166" fontId="10" fillId="3" borderId="28" xfId="1" applyNumberFormat="1" applyFill="1" applyBorder="1" applyAlignment="1" applyProtection="1">
      <alignment horizontal="center" vertical="center"/>
    </xf>
    <xf numFmtId="166" fontId="10" fillId="3" borderId="28" xfId="2" applyNumberFormat="1" applyFill="1" applyBorder="1" applyAlignment="1" applyProtection="1">
      <alignment horizontal="center" vertical="center"/>
    </xf>
    <xf numFmtId="175" fontId="10" fillId="3" borderId="70" xfId="1" applyNumberFormat="1" applyFill="1" applyBorder="1" applyAlignment="1" applyProtection="1">
      <alignment horizontal="center" vertical="center"/>
    </xf>
    <xf numFmtId="175" fontId="10" fillId="3" borderId="38" xfId="1" applyNumberFormat="1" applyFill="1" applyBorder="1" applyAlignment="1" applyProtection="1">
      <alignment horizontal="center" vertical="center"/>
    </xf>
    <xf numFmtId="175" fontId="10" fillId="3" borderId="62" xfId="1" applyNumberFormat="1" applyFill="1" applyBorder="1" applyAlignment="1" applyProtection="1">
      <alignment horizontal="center" vertical="center"/>
    </xf>
    <xf numFmtId="166" fontId="10" fillId="3" borderId="29" xfId="1" applyNumberFormat="1" applyFill="1" applyBorder="1" applyAlignment="1" applyProtection="1">
      <alignment horizontal="center" vertical="center"/>
    </xf>
    <xf numFmtId="166" fontId="10" fillId="3" borderId="1" xfId="2" applyFill="1" applyBorder="1" applyAlignment="1" applyProtection="1">
      <alignment horizontal="center" vertical="center"/>
    </xf>
    <xf numFmtId="166" fontId="10" fillId="3" borderId="9" xfId="2" applyFill="1" applyBorder="1" applyAlignment="1" applyProtection="1">
      <alignment horizontal="center" vertical="center"/>
    </xf>
    <xf numFmtId="165" fontId="0" fillId="3" borderId="54" xfId="1" applyFont="1" applyFill="1" applyBorder="1" applyAlignment="1" applyProtection="1">
      <alignment horizontal="center" vertical="center" wrapText="1"/>
    </xf>
    <xf numFmtId="170" fontId="10" fillId="3" borderId="28" xfId="2" applyNumberFormat="1" applyFill="1" applyBorder="1" applyAlignment="1" applyProtection="1">
      <alignment horizontal="center" vertical="center"/>
    </xf>
    <xf numFmtId="166" fontId="10" fillId="3" borderId="63" xfId="1" applyNumberFormat="1" applyFill="1" applyBorder="1" applyAlignment="1" applyProtection="1">
      <alignment horizontal="center" vertical="center"/>
    </xf>
    <xf numFmtId="166" fontId="10" fillId="3" borderId="71" xfId="1" applyNumberFormat="1" applyFill="1" applyBorder="1" applyAlignment="1" applyProtection="1">
      <alignment horizontal="center" vertical="center"/>
    </xf>
    <xf numFmtId="176" fontId="10" fillId="3" borderId="28" xfId="1" applyNumberFormat="1" applyFill="1" applyBorder="1" applyAlignment="1" applyProtection="1">
      <alignment horizontal="center" vertical="center"/>
    </xf>
    <xf numFmtId="166" fontId="10" fillId="3" borderId="0" xfId="1" applyNumberFormat="1" applyFill="1" applyBorder="1" applyAlignment="1" applyProtection="1">
      <alignment horizontal="center" vertical="center"/>
    </xf>
    <xf numFmtId="166" fontId="10" fillId="3" borderId="10" xfId="1" applyNumberFormat="1" applyFill="1" applyBorder="1" applyAlignment="1" applyProtection="1">
      <alignment horizontal="center" vertical="center"/>
    </xf>
    <xf numFmtId="166" fontId="10" fillId="3" borderId="30" xfId="1" applyNumberFormat="1" applyFill="1" applyBorder="1" applyAlignment="1" applyProtection="1">
      <alignment horizontal="center" vertical="center"/>
    </xf>
    <xf numFmtId="166" fontId="10" fillId="3" borderId="8" xfId="2" applyFill="1" applyBorder="1" applyAlignment="1" applyProtection="1">
      <alignment horizontal="center" vertical="center"/>
    </xf>
    <xf numFmtId="166" fontId="10" fillId="3" borderId="36" xfId="2" applyFill="1" applyBorder="1" applyProtection="1"/>
    <xf numFmtId="166" fontId="10" fillId="3" borderId="31" xfId="2" applyFill="1" applyBorder="1" applyProtection="1"/>
    <xf numFmtId="166" fontId="10" fillId="6" borderId="7" xfId="2" applyFill="1" applyBorder="1" applyAlignment="1" applyProtection="1">
      <alignment horizontal="center" vertical="center"/>
    </xf>
    <xf numFmtId="166" fontId="10" fillId="6" borderId="11" xfId="2" applyFill="1" applyBorder="1" applyAlignment="1" applyProtection="1">
      <alignment horizontal="center" vertical="center"/>
    </xf>
    <xf numFmtId="166" fontId="10" fillId="3" borderId="24" xfId="2" applyFill="1" applyBorder="1" applyAlignment="1" applyProtection="1">
      <alignment horizontal="center" vertical="center"/>
    </xf>
    <xf numFmtId="166" fontId="10" fillId="3" borderId="25" xfId="2" applyFill="1" applyBorder="1" applyAlignment="1" applyProtection="1">
      <alignment horizontal="center" vertical="center"/>
    </xf>
    <xf numFmtId="170" fontId="10" fillId="3" borderId="63" xfId="2" applyNumberFormat="1" applyFill="1" applyBorder="1" applyAlignment="1" applyProtection="1">
      <alignment horizontal="center" vertical="center"/>
    </xf>
    <xf numFmtId="170" fontId="10" fillId="3" borderId="71" xfId="2" applyNumberFormat="1" applyFill="1" applyBorder="1" applyAlignment="1" applyProtection="1">
      <alignment horizontal="center" vertical="center"/>
    </xf>
    <xf numFmtId="175" fontId="10" fillId="3" borderId="0" xfId="1" applyNumberFormat="1" applyFill="1" applyBorder="1" applyAlignment="1" applyProtection="1">
      <alignment horizontal="center" vertical="center"/>
    </xf>
    <xf numFmtId="175" fontId="10" fillId="3" borderId="10" xfId="1" applyNumberFormat="1" applyFill="1" applyBorder="1" applyAlignment="1" applyProtection="1">
      <alignment horizontal="center" vertical="center"/>
    </xf>
    <xf numFmtId="165" fontId="10" fillId="0" borderId="22" xfId="1" applyFill="1" applyBorder="1" applyAlignment="1" applyProtection="1">
      <alignment horizontal="center" vertical="center"/>
      <protection locked="0"/>
    </xf>
    <xf numFmtId="165" fontId="10" fillId="0" borderId="25" xfId="1" applyFill="1" applyBorder="1" applyAlignment="1" applyProtection="1">
      <alignment horizontal="center" vertical="center"/>
      <protection locked="0"/>
    </xf>
    <xf numFmtId="166" fontId="10" fillId="3" borderId="51" xfId="2" applyFill="1" applyBorder="1" applyAlignment="1" applyProtection="1">
      <alignment horizontal="center" vertical="center"/>
    </xf>
    <xf numFmtId="166" fontId="10" fillId="6" borderId="9" xfId="2" applyFill="1" applyBorder="1" applyAlignment="1" applyProtection="1">
      <alignment horizontal="center" vertical="center"/>
    </xf>
    <xf numFmtId="170" fontId="10" fillId="3" borderId="30" xfId="2" applyNumberFormat="1" applyFill="1" applyBorder="1" applyAlignment="1" applyProtection="1">
      <alignment horizontal="center" vertical="center"/>
    </xf>
    <xf numFmtId="176" fontId="10" fillId="3" borderId="30" xfId="1" applyNumberFormat="1" applyFill="1" applyBorder="1" applyAlignment="1" applyProtection="1">
      <alignment horizontal="center" vertical="center"/>
    </xf>
    <xf numFmtId="166" fontId="10" fillId="6" borderId="43" xfId="2" applyFill="1" applyBorder="1" applyAlignment="1" applyProtection="1">
      <alignment horizontal="center" vertical="center"/>
    </xf>
    <xf numFmtId="166" fontId="10" fillId="6" borderId="52" xfId="2" applyFill="1" applyBorder="1" applyAlignment="1" applyProtection="1">
      <alignment horizontal="center" vertical="center"/>
    </xf>
    <xf numFmtId="175" fontId="10" fillId="3" borderId="71" xfId="1" applyNumberFormat="1" applyFill="1" applyBorder="1" applyAlignment="1" applyProtection="1">
      <alignment horizontal="center" vertical="center"/>
    </xf>
    <xf numFmtId="176" fontId="0" fillId="3" borderId="5" xfId="1" applyNumberFormat="1" applyFont="1" applyFill="1" applyBorder="1" applyAlignment="1" applyProtection="1">
      <alignment horizontal="center" vertical="center"/>
    </xf>
    <xf numFmtId="176" fontId="0" fillId="3" borderId="8" xfId="1" applyNumberFormat="1" applyFont="1" applyFill="1" applyBorder="1" applyAlignment="1" applyProtection="1">
      <alignment horizontal="center" vertical="center"/>
    </xf>
    <xf numFmtId="165" fontId="0" fillId="0" borderId="22" xfId="1" applyFont="1" applyFill="1" applyBorder="1" applyAlignment="1" applyProtection="1">
      <alignment horizontal="center" vertical="center"/>
      <protection locked="0"/>
    </xf>
    <xf numFmtId="165" fontId="10" fillId="0" borderId="68" xfId="1" applyFill="1" applyBorder="1" applyAlignment="1" applyProtection="1">
      <alignment horizontal="center" vertical="center"/>
      <protection locked="0"/>
    </xf>
    <xf numFmtId="166" fontId="10" fillId="3" borderId="61" xfId="2" applyFill="1" applyBorder="1" applyAlignment="1" applyProtection="1">
      <alignment horizontal="center" vertical="center"/>
    </xf>
    <xf numFmtId="0" fontId="39" fillId="6" borderId="1" xfId="0" applyFont="1" applyFill="1" applyBorder="1" applyAlignment="1" applyProtection="1">
      <alignment horizontal="center" vertical="center" wrapText="1"/>
    </xf>
    <xf numFmtId="0" fontId="39" fillId="6" borderId="5" xfId="0" applyFont="1" applyFill="1" applyBorder="1" applyAlignment="1" applyProtection="1">
      <alignment horizontal="center" vertical="center" wrapText="1"/>
    </xf>
    <xf numFmtId="165" fontId="0" fillId="3" borderId="6" xfId="1" applyFont="1" applyFill="1" applyBorder="1" applyAlignment="1" applyProtection="1">
      <alignment horizontal="center" vertical="center" wrapText="1"/>
    </xf>
    <xf numFmtId="165" fontId="0" fillId="3" borderId="0" xfId="1" applyFont="1" applyFill="1" applyBorder="1" applyAlignment="1" applyProtection="1">
      <alignment horizontal="center" vertical="center" wrapText="1"/>
    </xf>
    <xf numFmtId="165" fontId="0" fillId="3" borderId="53" xfId="1" applyFont="1" applyFill="1" applyBorder="1" applyAlignment="1" applyProtection="1">
      <alignment horizontal="center" vertical="center" wrapText="1"/>
    </xf>
    <xf numFmtId="166" fontId="10" fillId="3" borderId="7" xfId="2" applyFill="1" applyBorder="1" applyAlignment="1" applyProtection="1">
      <alignment horizontal="center" vertical="center"/>
    </xf>
    <xf numFmtId="165" fontId="10" fillId="0" borderId="72" xfId="1" applyFill="1" applyBorder="1" applyAlignment="1" applyProtection="1">
      <alignment horizontal="center" vertical="center"/>
      <protection locked="0"/>
    </xf>
    <xf numFmtId="0" fontId="28" fillId="6" borderId="19" xfId="0" applyFont="1" applyFill="1" applyBorder="1" applyAlignment="1" applyProtection="1">
      <alignment horizontal="center" vertical="center"/>
    </xf>
    <xf numFmtId="0" fontId="28" fillId="6" borderId="20" xfId="0" applyFont="1" applyFill="1" applyBorder="1" applyAlignment="1" applyProtection="1">
      <alignment horizontal="center" vertical="center"/>
    </xf>
    <xf numFmtId="0" fontId="28" fillId="6" borderId="21" xfId="0" applyFont="1" applyFill="1" applyBorder="1" applyAlignment="1" applyProtection="1">
      <alignment horizontal="center" vertical="center"/>
    </xf>
    <xf numFmtId="0" fontId="0" fillId="6" borderId="2" xfId="0" applyFont="1" applyFill="1" applyBorder="1" applyAlignment="1" applyProtection="1">
      <alignment horizontal="center"/>
    </xf>
    <xf numFmtId="0" fontId="0" fillId="6" borderId="3" xfId="0" applyFont="1" applyFill="1" applyBorder="1" applyAlignment="1" applyProtection="1">
      <alignment horizontal="center"/>
    </xf>
    <xf numFmtId="0" fontId="0" fillId="6" borderId="4" xfId="0" applyFont="1" applyFill="1" applyBorder="1" applyAlignment="1" applyProtection="1">
      <alignment horizontal="center"/>
    </xf>
    <xf numFmtId="166" fontId="10" fillId="6" borderId="70" xfId="2" applyFill="1" applyBorder="1" applyAlignment="1" applyProtection="1">
      <alignment horizontal="center" vertical="center"/>
    </xf>
    <xf numFmtId="166" fontId="10" fillId="3" borderId="55" xfId="1" applyNumberFormat="1" applyFill="1" applyBorder="1" applyAlignment="1" applyProtection="1">
      <alignment horizontal="center" vertical="center"/>
    </xf>
    <xf numFmtId="166" fontId="10" fillId="3" borderId="58" xfId="1" applyNumberFormat="1" applyFill="1" applyBorder="1" applyAlignment="1" applyProtection="1">
      <alignment horizontal="center" vertical="center"/>
    </xf>
    <xf numFmtId="166" fontId="10" fillId="3" borderId="31" xfId="1" applyNumberFormat="1" applyFill="1" applyBorder="1" applyAlignment="1" applyProtection="1">
      <alignment horizontal="center" vertical="center"/>
    </xf>
    <xf numFmtId="0" fontId="14" fillId="3" borderId="3" xfId="0" applyFont="1" applyFill="1" applyBorder="1" applyAlignment="1" applyProtection="1">
      <alignment horizontal="center" vertical="center"/>
    </xf>
    <xf numFmtId="0" fontId="14" fillId="3" borderId="10" xfId="0" applyFont="1" applyFill="1" applyBorder="1" applyAlignment="1" applyProtection="1">
      <alignment horizontal="center" vertical="center"/>
    </xf>
    <xf numFmtId="0" fontId="14" fillId="3" borderId="0" xfId="0" applyFont="1" applyFill="1" applyBorder="1" applyAlignment="1" applyProtection="1">
      <alignment horizontal="center" vertical="center"/>
    </xf>
    <xf numFmtId="165" fontId="0" fillId="6" borderId="3" xfId="1" applyFont="1" applyFill="1" applyBorder="1" applyAlignment="1" applyProtection="1">
      <alignment horizontal="center" vertical="center"/>
    </xf>
    <xf numFmtId="165" fontId="0" fillId="6" borderId="4" xfId="1" applyFont="1" applyFill="1" applyBorder="1" applyAlignment="1" applyProtection="1">
      <alignment horizontal="center" vertical="center"/>
    </xf>
    <xf numFmtId="166" fontId="10" fillId="6" borderId="0" xfId="2" applyFill="1" applyBorder="1" applyAlignment="1" applyProtection="1">
      <alignment horizontal="center" vertical="center"/>
    </xf>
    <xf numFmtId="166" fontId="10" fillId="6" borderId="10" xfId="2" applyFill="1" applyBorder="1" applyAlignment="1" applyProtection="1">
      <alignment horizontal="center" vertical="center"/>
    </xf>
    <xf numFmtId="166" fontId="10" fillId="6" borderId="4" xfId="2" applyFill="1" applyBorder="1" applyAlignment="1" applyProtection="1">
      <alignment horizontal="center" vertical="center"/>
    </xf>
    <xf numFmtId="166" fontId="10" fillId="3" borderId="63" xfId="2" applyNumberFormat="1" applyFill="1" applyBorder="1" applyAlignment="1" applyProtection="1">
      <alignment horizontal="center" vertical="center"/>
    </xf>
    <xf numFmtId="166" fontId="10" fillId="3" borderId="71" xfId="2" applyNumberFormat="1" applyFill="1" applyBorder="1" applyAlignment="1" applyProtection="1">
      <alignment horizontal="center" vertical="center"/>
    </xf>
    <xf numFmtId="166" fontId="0" fillId="6" borderId="70" xfId="2" applyFont="1" applyFill="1" applyBorder="1" applyAlignment="1" applyProtection="1">
      <alignment horizontal="center" vertical="center"/>
    </xf>
    <xf numFmtId="0" fontId="11" fillId="16" borderId="72" xfId="0" applyFont="1" applyFill="1" applyBorder="1" applyAlignment="1" applyProtection="1">
      <alignment horizontal="center" vertical="center"/>
    </xf>
    <xf numFmtId="0" fontId="11" fillId="16" borderId="25" xfId="0" applyFont="1" applyFill="1" applyBorder="1" applyAlignment="1" applyProtection="1">
      <alignment horizontal="center" vertical="center"/>
    </xf>
    <xf numFmtId="0" fontId="0" fillId="6" borderId="33" xfId="0" applyFill="1" applyBorder="1" applyAlignment="1" applyProtection="1">
      <alignment horizontal="center" vertical="center" wrapText="1"/>
    </xf>
    <xf numFmtId="0" fontId="0" fillId="6" borderId="28" xfId="0" applyFill="1" applyBorder="1" applyAlignment="1" applyProtection="1">
      <alignment horizontal="center" vertical="center" wrapText="1"/>
    </xf>
    <xf numFmtId="0" fontId="11" fillId="16" borderId="2" xfId="0" applyFont="1" applyFill="1" applyBorder="1" applyAlignment="1" applyProtection="1">
      <alignment horizontal="center" vertical="center"/>
    </xf>
    <xf numFmtId="0" fontId="11" fillId="16" borderId="3" xfId="0" applyFont="1" applyFill="1" applyBorder="1" applyAlignment="1" applyProtection="1">
      <alignment horizontal="center" vertical="center"/>
    </xf>
    <xf numFmtId="0" fontId="11" fillId="16" borderId="4" xfId="0" applyFont="1" applyFill="1" applyBorder="1" applyAlignment="1" applyProtection="1">
      <alignment horizontal="center" vertical="center"/>
    </xf>
    <xf numFmtId="0" fontId="11" fillId="16" borderId="9" xfId="0" applyFont="1" applyFill="1" applyBorder="1" applyAlignment="1" applyProtection="1">
      <alignment horizontal="center" vertical="center"/>
    </xf>
    <xf numFmtId="0" fontId="11" fillId="16" borderId="10" xfId="0" applyFont="1" applyFill="1" applyBorder="1" applyAlignment="1" applyProtection="1">
      <alignment horizontal="center" vertical="center"/>
    </xf>
    <xf numFmtId="0" fontId="11" fillId="16" borderId="11" xfId="0" applyFont="1" applyFill="1" applyBorder="1" applyAlignment="1" applyProtection="1">
      <alignment horizontal="center" vertical="center"/>
    </xf>
    <xf numFmtId="0" fontId="0" fillId="0" borderId="28" xfId="0" applyFont="1" applyBorder="1" applyAlignment="1" applyProtection="1">
      <alignment horizontal="center" vertical="center"/>
      <protection locked="0"/>
    </xf>
    <xf numFmtId="1" fontId="11" fillId="16" borderId="70" xfId="0" applyNumberFormat="1" applyFont="1" applyFill="1" applyBorder="1" applyAlignment="1" applyProtection="1">
      <alignment horizontal="center" vertical="center" wrapText="1"/>
    </xf>
    <xf numFmtId="1" fontId="11" fillId="16" borderId="71" xfId="0" applyNumberFormat="1" applyFont="1" applyFill="1" applyBorder="1" applyAlignment="1" applyProtection="1">
      <alignment horizontal="center" vertical="center" wrapText="1"/>
    </xf>
    <xf numFmtId="0" fontId="11" fillId="16" borderId="70" xfId="0" applyFont="1" applyFill="1" applyBorder="1" applyAlignment="1" applyProtection="1">
      <alignment horizontal="center" vertical="center"/>
    </xf>
    <xf numFmtId="0" fontId="11" fillId="16" borderId="71" xfId="0" applyFont="1" applyFill="1" applyBorder="1" applyAlignment="1" applyProtection="1">
      <alignment horizontal="center" vertical="center"/>
    </xf>
    <xf numFmtId="0" fontId="17" fillId="3" borderId="3" xfId="0" applyFont="1" applyFill="1" applyBorder="1" applyAlignment="1" applyProtection="1">
      <alignment horizontal="center" vertical="center"/>
    </xf>
    <xf numFmtId="0" fontId="17" fillId="3" borderId="4" xfId="0" applyFont="1" applyFill="1" applyBorder="1" applyAlignment="1" applyProtection="1">
      <alignment horizontal="center" vertical="center"/>
    </xf>
    <xf numFmtId="0" fontId="29" fillId="3" borderId="9" xfId="0" applyFont="1" applyFill="1" applyBorder="1" applyAlignment="1" applyProtection="1">
      <alignment horizontal="center" vertical="center"/>
    </xf>
    <xf numFmtId="0" fontId="29" fillId="3" borderId="10" xfId="0" applyFont="1" applyFill="1" applyBorder="1" applyAlignment="1" applyProtection="1">
      <alignment horizontal="center" vertical="center"/>
    </xf>
    <xf numFmtId="0" fontId="29" fillId="3" borderId="11" xfId="0" applyFont="1" applyFill="1" applyBorder="1" applyAlignment="1" applyProtection="1">
      <alignment horizontal="center" vertical="center"/>
    </xf>
    <xf numFmtId="0" fontId="0" fillId="0" borderId="29" xfId="0" applyFont="1" applyBorder="1" applyAlignment="1" applyProtection="1">
      <alignment horizontal="center" vertical="center"/>
      <protection locked="0"/>
    </xf>
    <xf numFmtId="0" fontId="0" fillId="6" borderId="28" xfId="2" applyNumberFormat="1" applyFont="1" applyFill="1" applyBorder="1" applyAlignment="1" applyProtection="1">
      <alignment horizontal="center" vertical="center"/>
    </xf>
    <xf numFmtId="165" fontId="0" fillId="6" borderId="19" xfId="1" applyFont="1" applyFill="1" applyBorder="1" applyAlignment="1" applyProtection="1">
      <alignment horizontal="center"/>
    </xf>
    <xf numFmtId="165" fontId="0" fillId="6" borderId="20" xfId="1" applyFont="1" applyFill="1" applyBorder="1" applyAlignment="1" applyProtection="1">
      <alignment horizontal="center"/>
    </xf>
    <xf numFmtId="0" fontId="14" fillId="6" borderId="2" xfId="0" applyFont="1" applyFill="1" applyBorder="1" applyAlignment="1" applyProtection="1">
      <alignment horizontal="center" vertical="center"/>
    </xf>
    <xf numFmtId="0" fontId="14" fillId="6" borderId="9" xfId="0" applyFont="1" applyFill="1" applyBorder="1" applyAlignment="1" applyProtection="1">
      <alignment horizontal="center" vertical="center"/>
    </xf>
    <xf numFmtId="0" fontId="14" fillId="0" borderId="4" xfId="0" applyFont="1" applyFill="1" applyBorder="1" applyAlignment="1" applyProtection="1">
      <alignment horizontal="center" vertical="center"/>
      <protection locked="0"/>
    </xf>
    <xf numFmtId="0" fontId="14" fillId="0" borderId="11" xfId="0" applyFont="1" applyFill="1" applyBorder="1" applyAlignment="1" applyProtection="1">
      <alignment horizontal="center" vertical="center"/>
      <protection locked="0"/>
    </xf>
    <xf numFmtId="166" fontId="0" fillId="0" borderId="53" xfId="2" applyFont="1" applyFill="1" applyBorder="1" applyAlignment="1" applyProtection="1">
      <alignment horizontal="center" vertical="center"/>
      <protection locked="0"/>
    </xf>
    <xf numFmtId="166" fontId="10" fillId="6" borderId="19" xfId="2" applyFill="1" applyBorder="1" applyAlignment="1" applyProtection="1">
      <alignment horizontal="center" vertical="center"/>
    </xf>
    <xf numFmtId="166" fontId="10" fillId="6" borderId="21" xfId="2" applyFill="1" applyBorder="1" applyAlignment="1" applyProtection="1">
      <alignment horizontal="center" vertical="center"/>
    </xf>
    <xf numFmtId="0" fontId="11" fillId="3" borderId="45" xfId="0" applyFont="1" applyFill="1" applyBorder="1" applyAlignment="1" applyProtection="1">
      <alignment horizontal="center"/>
    </xf>
    <xf numFmtId="175" fontId="10" fillId="3" borderId="63" xfId="1" applyNumberFormat="1" applyFill="1" applyBorder="1" applyAlignment="1" applyProtection="1">
      <alignment horizontal="center" vertical="center"/>
    </xf>
    <xf numFmtId="175" fontId="10" fillId="3" borderId="55" xfId="1" applyNumberFormat="1" applyFill="1" applyBorder="1" applyAlignment="1" applyProtection="1">
      <alignment horizontal="center" vertical="center"/>
    </xf>
    <xf numFmtId="175" fontId="10" fillId="3" borderId="58" xfId="1" applyNumberFormat="1" applyFill="1" applyBorder="1" applyAlignment="1" applyProtection="1">
      <alignment horizontal="center" vertical="center"/>
    </xf>
    <xf numFmtId="176" fontId="10" fillId="3" borderId="29" xfId="1" applyNumberFormat="1" applyFill="1" applyBorder="1" applyAlignment="1" applyProtection="1">
      <alignment horizontal="center" vertical="center"/>
    </xf>
    <xf numFmtId="176" fontId="10" fillId="3" borderId="35" xfId="1" applyNumberFormat="1" applyFill="1" applyBorder="1" applyAlignment="1" applyProtection="1">
      <alignment horizontal="center" vertical="center"/>
    </xf>
    <xf numFmtId="176" fontId="10" fillId="3" borderId="31" xfId="1" applyNumberFormat="1" applyFill="1" applyBorder="1" applyAlignment="1" applyProtection="1">
      <alignment horizontal="center" vertical="center"/>
    </xf>
    <xf numFmtId="166" fontId="10" fillId="3" borderId="38" xfId="2" applyNumberFormat="1" applyFill="1" applyBorder="1" applyAlignment="1" applyProtection="1">
      <alignment horizontal="center" vertical="center"/>
    </xf>
    <xf numFmtId="166" fontId="10" fillId="3" borderId="7" xfId="1" applyNumberFormat="1" applyFill="1" applyBorder="1" applyAlignment="1" applyProtection="1">
      <alignment horizontal="center" vertical="center"/>
    </xf>
    <xf numFmtId="166" fontId="10" fillId="3" borderId="49" xfId="1" applyNumberFormat="1" applyFill="1" applyBorder="1" applyAlignment="1" applyProtection="1">
      <alignment horizontal="center" vertical="center"/>
    </xf>
    <xf numFmtId="0" fontId="14" fillId="3" borderId="4" xfId="0" applyFont="1" applyFill="1" applyBorder="1" applyAlignment="1" applyProtection="1">
      <alignment horizontal="center" vertical="center"/>
      <protection locked="0"/>
    </xf>
    <xf numFmtId="0" fontId="14" fillId="3" borderId="11" xfId="0" applyFont="1" applyFill="1" applyBorder="1" applyAlignment="1" applyProtection="1">
      <alignment horizontal="center" vertical="center"/>
      <protection locked="0"/>
    </xf>
    <xf numFmtId="0" fontId="17" fillId="3" borderId="19" xfId="0" applyFont="1" applyFill="1" applyBorder="1" applyAlignment="1" applyProtection="1">
      <alignment horizontal="center" vertical="center"/>
    </xf>
    <xf numFmtId="0" fontId="17" fillId="3" borderId="21" xfId="0" applyFont="1" applyFill="1" applyBorder="1" applyAlignment="1" applyProtection="1">
      <alignment horizontal="center" vertical="center"/>
    </xf>
    <xf numFmtId="0" fontId="0" fillId="6" borderId="19" xfId="0" applyFont="1" applyFill="1" applyBorder="1" applyAlignment="1" applyProtection="1">
      <alignment horizontal="center"/>
    </xf>
    <xf numFmtId="0" fontId="0" fillId="6" borderId="20" xfId="0" applyFont="1" applyFill="1" applyBorder="1" applyAlignment="1" applyProtection="1">
      <alignment horizontal="center"/>
    </xf>
    <xf numFmtId="0" fontId="0" fillId="6" borderId="21" xfId="0" applyFont="1" applyFill="1" applyBorder="1" applyAlignment="1" applyProtection="1">
      <alignment horizontal="center"/>
    </xf>
    <xf numFmtId="175" fontId="10" fillId="3" borderId="29" xfId="1" applyNumberFormat="1" applyFill="1" applyBorder="1" applyAlignment="1" applyProtection="1">
      <alignment horizontal="center" vertical="center"/>
    </xf>
    <xf numFmtId="175" fontId="10" fillId="3" borderId="35" xfId="1" applyNumberFormat="1" applyFill="1" applyBorder="1" applyAlignment="1" applyProtection="1">
      <alignment horizontal="center" vertical="center"/>
    </xf>
    <xf numFmtId="166" fontId="10" fillId="6" borderId="49" xfId="2" applyFill="1" applyBorder="1" applyAlignment="1" applyProtection="1">
      <alignment horizontal="center" vertical="center"/>
    </xf>
    <xf numFmtId="166" fontId="10" fillId="3" borderId="53" xfId="2" applyFill="1" applyBorder="1" applyAlignment="1" applyProtection="1">
      <alignment horizontal="center" vertical="center"/>
    </xf>
    <xf numFmtId="166" fontId="10" fillId="3" borderId="37" xfId="2" applyFill="1" applyBorder="1" applyAlignment="1" applyProtection="1">
      <alignment horizontal="center" vertical="center"/>
    </xf>
    <xf numFmtId="166" fontId="10" fillId="3" borderId="72" xfId="2" applyFill="1" applyBorder="1" applyAlignment="1" applyProtection="1">
      <alignment horizontal="center" vertical="center"/>
    </xf>
    <xf numFmtId="166" fontId="10" fillId="3" borderId="68" xfId="2" applyFill="1" applyBorder="1" applyAlignment="1" applyProtection="1">
      <alignment horizontal="center" vertical="center"/>
    </xf>
    <xf numFmtId="166" fontId="10" fillId="3" borderId="70" xfId="2" applyNumberFormat="1" applyFill="1" applyBorder="1" applyAlignment="1" applyProtection="1">
      <alignment horizontal="center" vertical="center"/>
    </xf>
    <xf numFmtId="166" fontId="10" fillId="3" borderId="4" xfId="1" applyNumberFormat="1" applyFill="1" applyBorder="1" applyAlignment="1" applyProtection="1">
      <alignment horizontal="center" vertical="center"/>
    </xf>
    <xf numFmtId="165" fontId="10" fillId="0" borderId="53" xfId="1" applyFill="1" applyBorder="1" applyAlignment="1" applyProtection="1">
      <alignment horizontal="center" vertical="center"/>
      <protection locked="0"/>
    </xf>
    <xf numFmtId="165" fontId="10" fillId="0" borderId="37" xfId="1" applyFill="1" applyBorder="1" applyAlignment="1" applyProtection="1">
      <alignment horizontal="center" vertical="center"/>
      <protection locked="0"/>
    </xf>
    <xf numFmtId="165" fontId="0" fillId="0" borderId="69" xfId="1" applyFont="1" applyFill="1" applyBorder="1" applyAlignment="1" applyProtection="1">
      <alignment horizontal="center" vertical="center"/>
      <protection locked="0"/>
    </xf>
    <xf numFmtId="166" fontId="10" fillId="6" borderId="16" xfId="2" applyFill="1" applyBorder="1" applyAlignment="1" applyProtection="1">
      <alignment horizontal="center" vertical="center"/>
    </xf>
    <xf numFmtId="166" fontId="10" fillId="3" borderId="69" xfId="2" applyFill="1" applyBorder="1" applyAlignment="1" applyProtection="1">
      <alignment horizontal="center" vertical="center"/>
    </xf>
    <xf numFmtId="166" fontId="10" fillId="3" borderId="22" xfId="2" applyFill="1" applyBorder="1" applyAlignment="1" applyProtection="1">
      <alignment horizontal="center" vertical="center"/>
    </xf>
    <xf numFmtId="165" fontId="10" fillId="0" borderId="69" xfId="1" applyFill="1" applyBorder="1" applyAlignment="1" applyProtection="1">
      <alignment horizontal="center" vertical="center"/>
      <protection locked="0"/>
    </xf>
    <xf numFmtId="166" fontId="10" fillId="3" borderId="11" xfId="1" applyNumberFormat="1" applyFill="1" applyBorder="1" applyAlignment="1" applyProtection="1">
      <alignment horizontal="center" vertical="center"/>
    </xf>
    <xf numFmtId="175" fontId="10" fillId="3" borderId="31" xfId="1" applyNumberFormat="1" applyFill="1" applyBorder="1" applyAlignment="1" applyProtection="1">
      <alignment horizontal="center" vertical="center"/>
    </xf>
    <xf numFmtId="165" fontId="10" fillId="0" borderId="54" xfId="1" applyFill="1" applyBorder="1" applyAlignment="1" applyProtection="1">
      <alignment horizontal="center" vertical="center"/>
      <protection locked="0"/>
    </xf>
    <xf numFmtId="166" fontId="10" fillId="3" borderId="72" xfId="2" applyNumberFormat="1" applyFill="1" applyBorder="1" applyAlignment="1" applyProtection="1">
      <alignment horizontal="center" vertical="center"/>
    </xf>
    <xf numFmtId="0" fontId="0" fillId="3" borderId="43" xfId="0" applyFill="1" applyBorder="1" applyAlignment="1" applyProtection="1">
      <alignment horizontal="center" vertical="center"/>
    </xf>
    <xf numFmtId="0" fontId="0" fillId="3" borderId="22" xfId="0" applyFill="1" applyBorder="1" applyAlignment="1" applyProtection="1">
      <alignment horizontal="center" vertical="center"/>
    </xf>
    <xf numFmtId="167" fontId="10" fillId="3" borderId="43" xfId="3" applyFill="1" applyBorder="1" applyAlignment="1" applyProtection="1">
      <alignment horizontal="center" vertical="center"/>
    </xf>
    <xf numFmtId="167" fontId="10" fillId="3" borderId="22" xfId="3" applyFill="1" applyBorder="1" applyAlignment="1" applyProtection="1">
      <alignment horizontal="center" vertical="center"/>
    </xf>
    <xf numFmtId="167" fontId="10" fillId="3" borderId="76" xfId="3" applyFill="1" applyBorder="1" applyAlignment="1" applyProtection="1">
      <alignment horizontal="center" vertical="center"/>
    </xf>
    <xf numFmtId="167" fontId="10" fillId="3" borderId="68" xfId="3" applyFill="1" applyBorder="1" applyAlignment="1" applyProtection="1">
      <alignment horizontal="center" vertical="center"/>
    </xf>
    <xf numFmtId="0" fontId="0" fillId="3" borderId="64" xfId="0" applyFont="1" applyFill="1" applyBorder="1" applyAlignment="1" applyProtection="1">
      <alignment horizontal="center" vertical="center"/>
    </xf>
    <xf numFmtId="0" fontId="0" fillId="3" borderId="65" xfId="0" applyFont="1" applyFill="1" applyBorder="1" applyAlignment="1" applyProtection="1">
      <alignment horizontal="center" vertical="center"/>
    </xf>
    <xf numFmtId="168" fontId="10" fillId="3" borderId="64" xfId="3" applyNumberFormat="1" applyFill="1" applyBorder="1" applyAlignment="1" applyProtection="1">
      <alignment horizontal="center" vertical="center"/>
    </xf>
    <xf numFmtId="168" fontId="10" fillId="3" borderId="65" xfId="3" applyNumberFormat="1" applyFill="1" applyBorder="1" applyAlignment="1" applyProtection="1">
      <alignment horizontal="center" vertical="center"/>
    </xf>
    <xf numFmtId="0" fontId="11" fillId="3" borderId="75" xfId="0" applyFont="1" applyFill="1" applyBorder="1" applyAlignment="1" applyProtection="1">
      <alignment horizontal="center"/>
    </xf>
    <xf numFmtId="0" fontId="11" fillId="3" borderId="4" xfId="0" applyFont="1" applyFill="1" applyBorder="1" applyAlignment="1" applyProtection="1">
      <alignment horizontal="center"/>
    </xf>
    <xf numFmtId="0" fontId="11" fillId="3" borderId="76" xfId="0" applyFont="1" applyFill="1" applyBorder="1" applyAlignment="1" applyProtection="1">
      <alignment horizontal="center"/>
    </xf>
    <xf numFmtId="0" fontId="11" fillId="3" borderId="72" xfId="0" applyFont="1" applyFill="1" applyBorder="1" applyAlignment="1" applyProtection="1">
      <alignment horizontal="center"/>
    </xf>
    <xf numFmtId="0" fontId="11" fillId="3" borderId="68" xfId="0" applyFont="1" applyFill="1" applyBorder="1" applyAlignment="1" applyProtection="1">
      <alignment horizontal="center"/>
    </xf>
    <xf numFmtId="0" fontId="0" fillId="4" borderId="0" xfId="0" applyFill="1" applyBorder="1" applyAlignment="1">
      <alignment horizontal="left" vertical="center"/>
    </xf>
    <xf numFmtId="0" fontId="0" fillId="4" borderId="7" xfId="0" applyFill="1" applyBorder="1" applyAlignment="1">
      <alignment horizontal="left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0" xfId="0" applyFill="1" applyBorder="1" applyAlignment="1">
      <alignment horizontal="left" vertical="center"/>
    </xf>
    <xf numFmtId="0" fontId="0" fillId="4" borderId="11" xfId="0" applyFill="1" applyBorder="1" applyAlignment="1">
      <alignment horizontal="left" vertical="center"/>
    </xf>
    <xf numFmtId="0" fontId="0" fillId="4" borderId="2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13" borderId="45" xfId="0" applyFill="1" applyBorder="1" applyAlignment="1">
      <alignment horizontal="center"/>
    </xf>
    <xf numFmtId="0" fontId="0" fillId="13" borderId="44" xfId="0" applyFill="1" applyBorder="1" applyAlignment="1">
      <alignment horizontal="center"/>
    </xf>
    <xf numFmtId="0" fontId="0" fillId="13" borderId="32" xfId="0" applyFill="1" applyBorder="1" applyAlignment="1">
      <alignment horizontal="center"/>
    </xf>
    <xf numFmtId="0" fontId="11" fillId="4" borderId="19" xfId="0" applyFont="1" applyFill="1" applyBorder="1" applyAlignment="1">
      <alignment horizontal="center"/>
    </xf>
    <xf numFmtId="0" fontId="11" fillId="4" borderId="20" xfId="0" applyFont="1" applyFill="1" applyBorder="1" applyAlignment="1">
      <alignment horizontal="center"/>
    </xf>
    <xf numFmtId="0" fontId="11" fillId="4" borderId="21" xfId="0" applyFont="1" applyFill="1" applyBorder="1" applyAlignment="1">
      <alignment horizontal="center"/>
    </xf>
    <xf numFmtId="0" fontId="0" fillId="4" borderId="6" xfId="0" applyFill="1" applyBorder="1" applyAlignment="1">
      <alignment horizontal="left" vertical="center"/>
    </xf>
    <xf numFmtId="166" fontId="10" fillId="3" borderId="14" xfId="2" applyFill="1" applyBorder="1" applyAlignment="1">
      <alignment horizontal="center" vertical="center"/>
    </xf>
    <xf numFmtId="166" fontId="10" fillId="3" borderId="35" xfId="2" applyFill="1" applyBorder="1" applyAlignment="1">
      <alignment horizontal="center" vertical="center"/>
    </xf>
    <xf numFmtId="0" fontId="11" fillId="3" borderId="34" xfId="0" applyFont="1" applyFill="1" applyBorder="1" applyAlignment="1">
      <alignment horizontal="center" vertical="center"/>
    </xf>
    <xf numFmtId="0" fontId="11" fillId="3" borderId="36" xfId="0" applyFont="1" applyFill="1" applyBorder="1" applyAlignment="1">
      <alignment horizontal="center" vertical="center"/>
    </xf>
    <xf numFmtId="166" fontId="10" fillId="3" borderId="30" xfId="2" applyFill="1" applyBorder="1" applyAlignment="1">
      <alignment horizontal="center" vertical="center"/>
    </xf>
    <xf numFmtId="166" fontId="10" fillId="3" borderId="31" xfId="2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 textRotation="90"/>
    </xf>
    <xf numFmtId="0" fontId="15" fillId="2" borderId="5" xfId="0" applyFont="1" applyFill="1" applyBorder="1" applyAlignment="1">
      <alignment horizontal="center" vertical="center" textRotation="90"/>
    </xf>
    <xf numFmtId="0" fontId="15" fillId="2" borderId="8" xfId="0" applyFont="1" applyFill="1" applyBorder="1" applyAlignment="1">
      <alignment horizontal="center" vertical="center" textRotation="90"/>
    </xf>
    <xf numFmtId="0" fontId="11" fillId="2" borderId="28" xfId="0" applyFont="1" applyFill="1" applyBorder="1" applyAlignment="1">
      <alignment horizontal="center" vertical="center" wrapText="1"/>
    </xf>
    <xf numFmtId="0" fontId="11" fillId="2" borderId="62" xfId="0" applyFont="1" applyFill="1" applyBorder="1" applyAlignment="1">
      <alignment horizontal="center" vertical="center" wrapText="1"/>
    </xf>
    <xf numFmtId="0" fontId="0" fillId="13" borderId="29" xfId="0" applyFill="1" applyBorder="1" applyAlignment="1">
      <alignment horizontal="center" vertical="center"/>
    </xf>
    <xf numFmtId="0" fontId="0" fillId="13" borderId="56" xfId="0" applyFill="1" applyBorder="1" applyAlignment="1">
      <alignment horizontal="center" vertical="center"/>
    </xf>
    <xf numFmtId="0" fontId="0" fillId="13" borderId="64" xfId="0" applyFill="1" applyBorder="1" applyAlignment="1">
      <alignment horizontal="center"/>
    </xf>
    <xf numFmtId="0" fontId="0" fillId="13" borderId="66" xfId="0" applyFill="1" applyBorder="1" applyAlignment="1">
      <alignment horizontal="center"/>
    </xf>
    <xf numFmtId="0" fontId="0" fillId="13" borderId="65" xfId="0" applyFill="1" applyBorder="1" applyAlignment="1">
      <alignment horizontal="center"/>
    </xf>
    <xf numFmtId="0" fontId="15" fillId="3" borderId="1" xfId="0" applyFont="1" applyFill="1" applyBorder="1" applyAlignment="1">
      <alignment horizontal="center" vertical="center" textRotation="90"/>
    </xf>
    <xf numFmtId="0" fontId="15" fillId="3" borderId="5" xfId="0" applyFont="1" applyFill="1" applyBorder="1" applyAlignment="1">
      <alignment horizontal="center" vertical="center" textRotation="90"/>
    </xf>
    <xf numFmtId="0" fontId="15" fillId="3" borderId="8" xfId="0" applyFont="1" applyFill="1" applyBorder="1" applyAlignment="1">
      <alignment horizontal="center" vertical="center" textRotation="90"/>
    </xf>
    <xf numFmtId="0" fontId="0" fillId="3" borderId="64" xfId="0" applyFill="1" applyBorder="1" applyAlignment="1">
      <alignment horizontal="center"/>
    </xf>
    <xf numFmtId="0" fontId="0" fillId="3" borderId="65" xfId="0" applyFill="1" applyBorder="1" applyAlignment="1">
      <alignment horizontal="center"/>
    </xf>
    <xf numFmtId="0" fontId="0" fillId="3" borderId="14" xfId="0" applyFill="1" applyBorder="1" applyAlignment="1">
      <alignment horizontal="center" vertical="center" textRotation="255"/>
    </xf>
    <xf numFmtId="0" fontId="0" fillId="3" borderId="30" xfId="0" applyFill="1" applyBorder="1" applyAlignment="1">
      <alignment horizontal="center" vertical="center" textRotation="255"/>
    </xf>
    <xf numFmtId="0" fontId="11" fillId="3" borderId="28" xfId="0" applyFont="1" applyFill="1" applyBorder="1" applyAlignment="1">
      <alignment horizontal="center" vertical="center" wrapText="1"/>
    </xf>
    <xf numFmtId="0" fontId="11" fillId="3" borderId="62" xfId="0" applyFont="1" applyFill="1" applyBorder="1" applyAlignment="1">
      <alignment horizontal="center" vertical="center" wrapText="1"/>
    </xf>
    <xf numFmtId="0" fontId="0" fillId="3" borderId="66" xfId="0" applyFill="1" applyBorder="1" applyAlignment="1">
      <alignment horizontal="center"/>
    </xf>
    <xf numFmtId="0" fontId="11" fillId="3" borderId="69" xfId="0" applyFont="1" applyFill="1" applyBorder="1" applyAlignment="1">
      <alignment horizontal="left" vertical="center"/>
    </xf>
    <xf numFmtId="0" fontId="11" fillId="3" borderId="37" xfId="0" applyFont="1" applyFill="1" applyBorder="1" applyAlignment="1">
      <alignment horizontal="left" vertical="center"/>
    </xf>
    <xf numFmtId="49" fontId="0" fillId="0" borderId="64" xfId="0" applyNumberFormat="1" applyBorder="1" applyAlignment="1">
      <alignment horizontal="center"/>
    </xf>
    <xf numFmtId="49" fontId="0" fillId="0" borderId="66" xfId="0" applyNumberFormat="1" applyBorder="1" applyAlignment="1">
      <alignment horizontal="center"/>
    </xf>
    <xf numFmtId="49" fontId="0" fillId="0" borderId="65" xfId="0" applyNumberFormat="1" applyBorder="1" applyAlignment="1">
      <alignment horizontal="center"/>
    </xf>
    <xf numFmtId="0" fontId="11" fillId="3" borderId="14" xfId="0" applyFont="1" applyFill="1" applyBorder="1" applyAlignment="1">
      <alignment horizontal="center" vertical="center" wrapText="1"/>
    </xf>
    <xf numFmtId="0" fontId="0" fillId="13" borderId="35" xfId="0" applyFill="1" applyBorder="1" applyAlignment="1">
      <alignment horizontal="center" vertical="center"/>
    </xf>
    <xf numFmtId="0" fontId="0" fillId="2" borderId="64" xfId="0" applyFill="1" applyBorder="1" applyAlignment="1">
      <alignment horizontal="center"/>
    </xf>
    <xf numFmtId="0" fontId="0" fillId="2" borderId="66" xfId="0" applyFill="1" applyBorder="1" applyAlignment="1">
      <alignment horizontal="center"/>
    </xf>
    <xf numFmtId="0" fontId="0" fillId="2" borderId="65" xfId="0" applyFill="1" applyBorder="1" applyAlignment="1">
      <alignment horizontal="center"/>
    </xf>
    <xf numFmtId="0" fontId="11" fillId="2" borderId="22" xfId="0" applyFont="1" applyFill="1" applyBorder="1" applyAlignment="1">
      <alignment horizontal="left" vertical="center"/>
    </xf>
    <xf numFmtId="0" fontId="11" fillId="2" borderId="68" xfId="0" applyFont="1" applyFill="1" applyBorder="1" applyAlignment="1">
      <alignment horizontal="left" vertical="center"/>
    </xf>
    <xf numFmtId="0" fontId="0" fillId="2" borderId="14" xfId="0" applyFill="1" applyBorder="1" applyAlignment="1">
      <alignment horizontal="center" vertical="center" textRotation="255"/>
    </xf>
    <xf numFmtId="0" fontId="0" fillId="2" borderId="30" xfId="0" applyFill="1" applyBorder="1" applyAlignment="1">
      <alignment horizontal="center" vertical="center" textRotation="255"/>
    </xf>
    <xf numFmtId="0" fontId="11" fillId="2" borderId="65" xfId="0" applyFont="1" applyFill="1" applyBorder="1" applyAlignment="1">
      <alignment horizontal="center" vertical="center"/>
    </xf>
    <xf numFmtId="166" fontId="10" fillId="2" borderId="14" xfId="2" applyFill="1" applyBorder="1" applyAlignment="1">
      <alignment horizontal="center" vertical="center"/>
    </xf>
    <xf numFmtId="166" fontId="10" fillId="2" borderId="35" xfId="2" applyFill="1" applyBorder="1" applyAlignment="1">
      <alignment horizontal="center" vertical="center"/>
    </xf>
    <xf numFmtId="0" fontId="11" fillId="2" borderId="41" xfId="0" applyFont="1" applyFill="1" applyBorder="1" applyAlignment="1">
      <alignment horizontal="center" vertical="center"/>
    </xf>
    <xf numFmtId="166" fontId="10" fillId="2" borderId="30" xfId="2" applyFill="1" applyBorder="1" applyAlignment="1">
      <alignment horizontal="center" vertical="center"/>
    </xf>
    <xf numFmtId="166" fontId="10" fillId="2" borderId="31" xfId="2" applyFill="1" applyBorder="1" applyAlignment="1">
      <alignment horizontal="center" vertical="center"/>
    </xf>
    <xf numFmtId="0" fontId="11" fillId="2" borderId="69" xfId="0" applyFont="1" applyFill="1" applyBorder="1" applyAlignment="1">
      <alignment horizontal="left" vertical="center"/>
    </xf>
    <xf numFmtId="0" fontId="11" fillId="2" borderId="37" xfId="0" applyFont="1" applyFill="1" applyBorder="1" applyAlignment="1">
      <alignment horizontal="left" vertical="center"/>
    </xf>
    <xf numFmtId="0" fontId="11" fillId="2" borderId="34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 wrapText="1"/>
    </xf>
    <xf numFmtId="0" fontId="0" fillId="13" borderId="64" xfId="0" applyFill="1" applyBorder="1" applyAlignment="1">
      <alignment horizontal="center" vertical="center"/>
    </xf>
    <xf numFmtId="0" fontId="0" fillId="13" borderId="66" xfId="0" applyFill="1" applyBorder="1" applyAlignment="1">
      <alignment horizontal="center" vertical="center"/>
    </xf>
    <xf numFmtId="0" fontId="0" fillId="13" borderId="65" xfId="0" applyFill="1" applyBorder="1" applyAlignment="1">
      <alignment horizontal="center" vertical="center"/>
    </xf>
    <xf numFmtId="0" fontId="11" fillId="2" borderId="36" xfId="0" applyFont="1" applyFill="1" applyBorder="1" applyAlignment="1">
      <alignment horizontal="center" vertical="center"/>
    </xf>
    <xf numFmtId="0" fontId="19" fillId="0" borderId="2" xfId="7" applyFont="1" applyBorder="1" applyAlignment="1">
      <alignment horizontal="center"/>
    </xf>
    <xf numFmtId="0" fontId="19" fillId="0" borderId="4" xfId="7" applyFont="1" applyBorder="1" applyAlignment="1">
      <alignment horizontal="center"/>
    </xf>
    <xf numFmtId="0" fontId="19" fillId="14" borderId="2" xfId="7" applyFont="1" applyFill="1" applyBorder="1" applyAlignment="1">
      <alignment horizontal="center" vertical="center"/>
    </xf>
    <xf numFmtId="0" fontId="19" fillId="14" borderId="9" xfId="7" applyFont="1" applyFill="1" applyBorder="1" applyAlignment="1">
      <alignment horizontal="center" vertical="center"/>
    </xf>
    <xf numFmtId="0" fontId="19" fillId="18" borderId="19" xfId="7" applyFont="1" applyFill="1" applyBorder="1" applyAlignment="1">
      <alignment horizontal="center"/>
    </xf>
    <xf numFmtId="0" fontId="19" fillId="18" borderId="20" xfId="7" applyFont="1" applyFill="1" applyBorder="1" applyAlignment="1">
      <alignment horizontal="center"/>
    </xf>
    <xf numFmtId="0" fontId="19" fillId="18" borderId="21" xfId="7" applyFont="1" applyFill="1" applyBorder="1" applyAlignment="1">
      <alignment horizontal="center"/>
    </xf>
    <xf numFmtId="0" fontId="19" fillId="18" borderId="39" xfId="7" applyFont="1" applyFill="1" applyBorder="1" applyAlignment="1">
      <alignment horizontal="center"/>
    </xf>
    <xf numFmtId="0" fontId="19" fillId="18" borderId="42" xfId="7" applyFont="1" applyFill="1" applyBorder="1" applyAlignment="1">
      <alignment horizontal="center"/>
    </xf>
    <xf numFmtId="0" fontId="19" fillId="18" borderId="40" xfId="7" applyFont="1" applyFill="1" applyBorder="1" applyAlignment="1">
      <alignment horizontal="center"/>
    </xf>
    <xf numFmtId="0" fontId="43" fillId="14" borderId="6" xfId="7" applyFont="1" applyFill="1" applyBorder="1" applyAlignment="1">
      <alignment horizontal="center"/>
    </xf>
    <xf numFmtId="0" fontId="43" fillId="14" borderId="0" xfId="7" applyFont="1" applyFill="1" applyBorder="1" applyAlignment="1">
      <alignment horizontal="center"/>
    </xf>
    <xf numFmtId="0" fontId="3" fillId="13" borderId="20" xfId="7" applyFill="1" applyBorder="1" applyAlignment="1">
      <alignment horizontal="center"/>
    </xf>
    <xf numFmtId="0" fontId="3" fillId="13" borderId="3" xfId="7" applyFill="1" applyBorder="1" applyAlignment="1">
      <alignment horizontal="center"/>
    </xf>
    <xf numFmtId="0" fontId="6" fillId="0" borderId="10" xfId="4" applyFont="1" applyBorder="1" applyAlignment="1">
      <alignment horizontal="left" vertical="center"/>
    </xf>
    <xf numFmtId="0" fontId="6" fillId="0" borderId="11" xfId="4" applyFont="1" applyBorder="1" applyAlignment="1">
      <alignment horizontal="left" vertical="center"/>
    </xf>
    <xf numFmtId="0" fontId="21" fillId="8" borderId="0" xfId="4" applyFont="1" applyFill="1" applyAlignment="1">
      <alignment horizontal="center" vertical="center"/>
    </xf>
    <xf numFmtId="0" fontId="21" fillId="0" borderId="0" xfId="4" applyFont="1" applyAlignment="1">
      <alignment horizontal="center" vertical="center"/>
    </xf>
    <xf numFmtId="0" fontId="22" fillId="0" borderId="19" xfId="4" applyFont="1" applyBorder="1" applyAlignment="1">
      <alignment horizontal="center" vertical="center"/>
    </xf>
    <xf numFmtId="0" fontId="22" fillId="0" borderId="20" xfId="4" applyFont="1" applyBorder="1" applyAlignment="1">
      <alignment horizontal="center" vertical="center"/>
    </xf>
    <xf numFmtId="0" fontId="22" fillId="0" borderId="21" xfId="4" applyFont="1" applyBorder="1" applyAlignment="1">
      <alignment horizontal="center" vertical="center"/>
    </xf>
    <xf numFmtId="0" fontId="6" fillId="0" borderId="0" xfId="4" applyFont="1" applyBorder="1" applyAlignment="1">
      <alignment horizontal="left" vertical="center"/>
    </xf>
    <xf numFmtId="0" fontId="6" fillId="0" borderId="7" xfId="4" applyFont="1" applyBorder="1" applyAlignment="1">
      <alignment horizontal="left" vertical="center"/>
    </xf>
    <xf numFmtId="0" fontId="19" fillId="0" borderId="6" xfId="4" applyFont="1" applyBorder="1" applyAlignment="1">
      <alignment horizontal="left" vertical="center"/>
    </xf>
    <xf numFmtId="0" fontId="19" fillId="0" borderId="0" xfId="4" applyFont="1" applyBorder="1" applyAlignment="1">
      <alignment horizontal="left" vertical="center"/>
    </xf>
    <xf numFmtId="0" fontId="6" fillId="0" borderId="6" xfId="4" applyFont="1" applyBorder="1" applyAlignment="1">
      <alignment horizontal="right" vertical="center"/>
    </xf>
    <xf numFmtId="0" fontId="6" fillId="0" borderId="0" xfId="4" applyFont="1" applyAlignment="1">
      <alignment horizontal="right" vertical="center"/>
    </xf>
    <xf numFmtId="0" fontId="6" fillId="0" borderId="6" xfId="4" applyFont="1" applyBorder="1" applyAlignment="1">
      <alignment horizontal="left" vertical="center"/>
    </xf>
    <xf numFmtId="14" fontId="6" fillId="0" borderId="0" xfId="4" applyNumberFormat="1" applyFont="1" applyBorder="1" applyAlignment="1">
      <alignment horizontal="left" vertical="center"/>
    </xf>
    <xf numFmtId="14" fontId="6" fillId="0" borderId="7" xfId="4" applyNumberFormat="1" applyFont="1" applyBorder="1" applyAlignment="1">
      <alignment horizontal="left" vertical="center"/>
    </xf>
    <xf numFmtId="0" fontId="6" fillId="0" borderId="3" xfId="4" applyFont="1" applyBorder="1" applyAlignment="1">
      <alignment horizontal="left" vertical="top"/>
    </xf>
    <xf numFmtId="0" fontId="6" fillId="0" borderId="4" xfId="4" applyFont="1" applyBorder="1" applyAlignment="1">
      <alignment horizontal="left" vertical="top"/>
    </xf>
    <xf numFmtId="0" fontId="6" fillId="0" borderId="9" xfId="4" applyFont="1" applyBorder="1" applyAlignment="1">
      <alignment horizontal="left" vertical="center"/>
    </xf>
    <xf numFmtId="0" fontId="45" fillId="0" borderId="0" xfId="4" applyFont="1" applyAlignment="1">
      <alignment horizontal="center" vertical="center" wrapText="1"/>
    </xf>
    <xf numFmtId="0" fontId="19" fillId="0" borderId="2" xfId="4" applyFont="1" applyBorder="1" applyAlignment="1">
      <alignment horizontal="center" vertical="center"/>
    </xf>
    <xf numFmtId="0" fontId="19" fillId="0" borderId="4" xfId="4" applyFont="1" applyBorder="1" applyAlignment="1">
      <alignment horizontal="center" vertical="center"/>
    </xf>
    <xf numFmtId="0" fontId="20" fillId="0" borderId="9" xfId="4" applyFont="1" applyBorder="1" applyAlignment="1">
      <alignment horizontal="center" vertical="center"/>
    </xf>
    <xf numFmtId="0" fontId="20" fillId="0" borderId="11" xfId="4" applyFont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</xf>
    <xf numFmtId="0" fontId="12" fillId="4" borderId="0" xfId="0" applyFont="1" applyFill="1" applyAlignment="1" applyProtection="1">
      <alignment horizontal="center" vertical="center"/>
    </xf>
    <xf numFmtId="165" fontId="10" fillId="0" borderId="0" xfId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7" fontId="10" fillId="0" borderId="6" xfId="3" applyBorder="1" applyAlignment="1">
      <alignment horizontal="center"/>
    </xf>
    <xf numFmtId="167" fontId="10" fillId="0" borderId="0" xfId="3" applyAlignment="1">
      <alignment horizontal="center"/>
    </xf>
    <xf numFmtId="167" fontId="0" fillId="0" borderId="0" xfId="3" applyFont="1" applyAlignment="1">
      <alignment horizontal="center" vertical="center"/>
    </xf>
    <xf numFmtId="167" fontId="10" fillId="0" borderId="0" xfId="3" applyAlignment="1">
      <alignment horizontal="center" vertical="center"/>
    </xf>
    <xf numFmtId="0" fontId="0" fillId="0" borderId="0" xfId="0" applyAlignment="1">
      <alignment horizontal="left"/>
    </xf>
    <xf numFmtId="0" fontId="15" fillId="0" borderId="1" xfId="0" applyFont="1" applyBorder="1" applyAlignment="1">
      <alignment horizontal="center" vertical="center" textRotation="90"/>
    </xf>
    <xf numFmtId="0" fontId="15" fillId="0" borderId="5" xfId="0" applyFont="1" applyBorder="1" applyAlignment="1">
      <alignment horizontal="center" vertical="center" textRotation="90"/>
    </xf>
    <xf numFmtId="0" fontId="15" fillId="0" borderId="8" xfId="0" applyFont="1" applyBorder="1" applyAlignment="1">
      <alignment horizontal="center" vertical="center" textRotation="90"/>
    </xf>
    <xf numFmtId="0" fontId="0" fillId="0" borderId="10" xfId="0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11" fillId="0" borderId="19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45" xfId="0" applyBorder="1" applyAlignment="1">
      <alignment horizont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11" fillId="0" borderId="14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6" fontId="10" fillId="0" borderId="16" xfId="2" applyBorder="1"/>
    <xf numFmtId="166" fontId="10" fillId="0" borderId="7" xfId="2" applyBorder="1"/>
    <xf numFmtId="166" fontId="10" fillId="0" borderId="22" xfId="2" applyBorder="1"/>
    <xf numFmtId="166" fontId="10" fillId="0" borderId="24" xfId="2" applyBorder="1"/>
    <xf numFmtId="0" fontId="0" fillId="0" borderId="39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11" fillId="0" borderId="20" xfId="0" applyFont="1" applyBorder="1" applyAlignment="1">
      <alignment horizontal="center"/>
    </xf>
    <xf numFmtId="166" fontId="10" fillId="0" borderId="11" xfId="2" applyBorder="1"/>
    <xf numFmtId="0" fontId="0" fillId="0" borderId="52" xfId="0" applyBorder="1" applyAlignment="1">
      <alignment horizontal="center" vertical="center"/>
    </xf>
    <xf numFmtId="166" fontId="10" fillId="0" borderId="25" xfId="2" applyBorder="1"/>
    <xf numFmtId="0" fontId="0" fillId="0" borderId="33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12" fillId="0" borderId="6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3" xfId="0" applyFont="1" applyBorder="1" applyAlignment="1">
      <alignment horizontal="center"/>
    </xf>
    <xf numFmtId="0" fontId="11" fillId="0" borderId="44" xfId="0" applyFont="1" applyBorder="1" applyAlignment="1">
      <alignment horizontal="center"/>
    </xf>
    <xf numFmtId="0" fontId="11" fillId="0" borderId="46" xfId="0" applyFont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165" fontId="29" fillId="0" borderId="1" xfId="1" applyNumberFormat="1" applyFont="1" applyBorder="1" applyAlignment="1">
      <alignment horizontal="center" vertical="center"/>
    </xf>
    <xf numFmtId="165" fontId="29" fillId="0" borderId="5" xfId="1" applyNumberFormat="1" applyFont="1" applyBorder="1" applyAlignment="1">
      <alignment horizontal="center" vertical="center"/>
    </xf>
    <xf numFmtId="165" fontId="29" fillId="0" borderId="8" xfId="1" applyNumberFormat="1" applyFont="1" applyBorder="1" applyAlignment="1">
      <alignment horizontal="center" vertical="center"/>
    </xf>
    <xf numFmtId="0" fontId="17" fillId="17" borderId="2" xfId="0" applyFont="1" applyFill="1" applyBorder="1" applyAlignment="1">
      <alignment horizontal="center" vertical="center"/>
    </xf>
    <xf numFmtId="0" fontId="17" fillId="17" borderId="3" xfId="0" applyFont="1" applyFill="1" applyBorder="1" applyAlignment="1">
      <alignment horizontal="center" vertical="center"/>
    </xf>
    <xf numFmtId="0" fontId="17" fillId="17" borderId="4" xfId="0" applyFont="1" applyFill="1" applyBorder="1" applyAlignment="1">
      <alignment horizontal="center" vertical="center"/>
    </xf>
    <xf numFmtId="0" fontId="17" fillId="17" borderId="9" xfId="0" applyFont="1" applyFill="1" applyBorder="1" applyAlignment="1">
      <alignment horizontal="center" vertical="center"/>
    </xf>
    <xf numFmtId="0" fontId="17" fillId="17" borderId="10" xfId="0" applyFont="1" applyFill="1" applyBorder="1" applyAlignment="1">
      <alignment horizontal="center" vertical="center"/>
    </xf>
    <xf numFmtId="0" fontId="17" fillId="17" borderId="11" xfId="0" applyFont="1" applyFill="1" applyBorder="1" applyAlignment="1">
      <alignment horizontal="center" vertical="center"/>
    </xf>
    <xf numFmtId="165" fontId="29" fillId="0" borderId="2" xfId="1" applyFont="1" applyBorder="1" applyAlignment="1">
      <alignment horizontal="center"/>
    </xf>
    <xf numFmtId="165" fontId="29" fillId="0" borderId="3" xfId="1" applyFont="1" applyBorder="1" applyAlignment="1">
      <alignment horizontal="center"/>
    </xf>
    <xf numFmtId="165" fontId="29" fillId="0" borderId="4" xfId="1" applyFont="1" applyBorder="1" applyAlignment="1">
      <alignment horizontal="center"/>
    </xf>
    <xf numFmtId="165" fontId="29" fillId="3" borderId="6" xfId="1" applyFont="1" applyFill="1" applyBorder="1" applyAlignment="1">
      <alignment horizontal="center"/>
    </xf>
    <xf numFmtId="165" fontId="29" fillId="3" borderId="0" xfId="1" applyFont="1" applyFill="1" applyBorder="1" applyAlignment="1">
      <alignment horizontal="center"/>
    </xf>
    <xf numFmtId="165" fontId="29" fillId="3" borderId="7" xfId="1" applyFont="1" applyFill="1" applyBorder="1" applyAlignment="1">
      <alignment horizontal="center"/>
    </xf>
    <xf numFmtId="165" fontId="29" fillId="0" borderId="6" xfId="1" applyFont="1" applyBorder="1" applyAlignment="1">
      <alignment horizontal="center"/>
    </xf>
    <xf numFmtId="165" fontId="29" fillId="0" borderId="0" xfId="1" applyFont="1" applyBorder="1" applyAlignment="1">
      <alignment horizontal="center"/>
    </xf>
    <xf numFmtId="165" fontId="29" fillId="0" borderId="7" xfId="1" applyFont="1" applyBorder="1" applyAlignment="1">
      <alignment horizontal="center"/>
    </xf>
    <xf numFmtId="165" fontId="29" fillId="3" borderId="9" xfId="1" applyFont="1" applyFill="1" applyBorder="1" applyAlignment="1">
      <alignment horizontal="center"/>
    </xf>
    <xf numFmtId="165" fontId="29" fillId="3" borderId="10" xfId="1" applyFont="1" applyFill="1" applyBorder="1" applyAlignment="1">
      <alignment horizontal="center"/>
    </xf>
    <xf numFmtId="165" fontId="29" fillId="3" borderId="11" xfId="1" applyFont="1" applyFill="1" applyBorder="1" applyAlignment="1">
      <alignment horizontal="center"/>
    </xf>
    <xf numFmtId="165" fontId="17" fillId="17" borderId="73" xfId="1" applyFont="1" applyFill="1" applyBorder="1" applyAlignment="1">
      <alignment horizontal="center"/>
    </xf>
    <xf numFmtId="165" fontId="17" fillId="17" borderId="44" xfId="1" applyFont="1" applyFill="1" applyBorder="1" applyAlignment="1">
      <alignment horizontal="center"/>
    </xf>
    <xf numFmtId="165" fontId="17" fillId="17" borderId="46" xfId="1" applyFont="1" applyFill="1" applyBorder="1" applyAlignment="1">
      <alignment horizontal="center"/>
    </xf>
    <xf numFmtId="165" fontId="17" fillId="17" borderId="47" xfId="1" applyFont="1" applyFill="1" applyBorder="1" applyAlignment="1">
      <alignment horizontal="center"/>
    </xf>
    <xf numFmtId="165" fontId="17" fillId="17" borderId="50" xfId="1" applyFont="1" applyFill="1" applyBorder="1" applyAlignment="1">
      <alignment horizontal="center"/>
    </xf>
    <xf numFmtId="165" fontId="17" fillId="17" borderId="48" xfId="1" applyFont="1" applyFill="1" applyBorder="1" applyAlignment="1">
      <alignment horizontal="center"/>
    </xf>
    <xf numFmtId="165" fontId="29" fillId="0" borderId="1" xfId="1" applyFont="1" applyBorder="1" applyAlignment="1">
      <alignment horizontal="center"/>
    </xf>
    <xf numFmtId="165" fontId="29" fillId="0" borderId="5" xfId="1" applyFont="1" applyBorder="1" applyAlignment="1">
      <alignment horizontal="center"/>
    </xf>
    <xf numFmtId="165" fontId="29" fillId="0" borderId="8" xfId="1" applyFont="1" applyBorder="1" applyAlignment="1">
      <alignment horizontal="center"/>
    </xf>
    <xf numFmtId="165" fontId="17" fillId="17" borderId="59" xfId="1" applyFont="1" applyFill="1" applyBorder="1" applyAlignment="1">
      <alignment horizontal="center" wrapText="1"/>
    </xf>
    <xf numFmtId="165" fontId="17" fillId="17" borderId="61" xfId="1" applyFont="1" applyFill="1" applyBorder="1" applyAlignment="1">
      <alignment horizontal="center" wrapText="1"/>
    </xf>
    <xf numFmtId="0" fontId="17" fillId="17" borderId="59" xfId="0" applyFont="1" applyFill="1" applyBorder="1" applyAlignment="1">
      <alignment horizontal="center" vertical="center" wrapText="1"/>
    </xf>
    <xf numFmtId="0" fontId="17" fillId="17" borderId="78" xfId="0" applyFont="1" applyFill="1" applyBorder="1" applyAlignment="1">
      <alignment horizontal="center" vertical="center" wrapText="1"/>
    </xf>
    <xf numFmtId="165" fontId="17" fillId="17" borderId="59" xfId="1" applyFont="1" applyFill="1" applyBorder="1" applyAlignment="1">
      <alignment horizontal="center" vertical="center" wrapText="1"/>
    </xf>
    <xf numFmtId="165" fontId="17" fillId="17" borderId="61" xfId="1" applyFont="1" applyFill="1" applyBorder="1" applyAlignment="1">
      <alignment horizontal="center" vertical="center" wrapText="1"/>
    </xf>
    <xf numFmtId="165" fontId="17" fillId="17" borderId="1" xfId="1" applyFont="1" applyFill="1" applyBorder="1" applyAlignment="1">
      <alignment horizontal="center" vertical="center" wrapText="1"/>
    </xf>
    <xf numFmtId="165" fontId="17" fillId="17" borderId="8" xfId="1" applyFont="1" applyFill="1" applyBorder="1" applyAlignment="1">
      <alignment horizontal="center" vertical="center" wrapText="1"/>
    </xf>
    <xf numFmtId="0" fontId="41" fillId="17" borderId="1" xfId="0" applyFont="1" applyFill="1" applyBorder="1" applyAlignment="1">
      <alignment horizontal="center" vertical="center" textRotation="90"/>
    </xf>
    <xf numFmtId="0" fontId="41" fillId="17" borderId="5" xfId="0" applyFont="1" applyFill="1" applyBorder="1" applyAlignment="1">
      <alignment horizontal="center" vertical="center" textRotation="90"/>
    </xf>
    <xf numFmtId="0" fontId="41" fillId="17" borderId="8" xfId="0" applyFont="1" applyFill="1" applyBorder="1" applyAlignment="1">
      <alignment horizontal="center" vertical="center" textRotation="90"/>
    </xf>
    <xf numFmtId="0" fontId="17" fillId="17" borderId="59" xfId="0" applyFont="1" applyFill="1" applyBorder="1" applyAlignment="1">
      <alignment horizontal="center" vertical="center"/>
    </xf>
    <xf numFmtId="0" fontId="17" fillId="17" borderId="78" xfId="0" applyFont="1" applyFill="1" applyBorder="1" applyAlignment="1">
      <alignment horizontal="center" vertical="center"/>
    </xf>
    <xf numFmtId="0" fontId="17" fillId="17" borderId="33" xfId="0" applyFont="1" applyFill="1" applyBorder="1" applyAlignment="1">
      <alignment horizontal="center"/>
    </xf>
    <xf numFmtId="0" fontId="17" fillId="17" borderId="29" xfId="0" applyFont="1" applyFill="1" applyBorder="1" applyAlignment="1">
      <alignment horizontal="center"/>
    </xf>
    <xf numFmtId="165" fontId="17" fillId="17" borderId="33" xfId="1" applyFont="1" applyFill="1" applyBorder="1" applyAlignment="1">
      <alignment horizontal="center"/>
    </xf>
    <xf numFmtId="165" fontId="17" fillId="17" borderId="29" xfId="1" applyFont="1" applyFill="1" applyBorder="1" applyAlignment="1">
      <alignment horizontal="center"/>
    </xf>
    <xf numFmtId="0" fontId="17" fillId="17" borderId="61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42" fillId="0" borderId="0" xfId="0" applyFont="1" applyAlignment="1">
      <alignment horizontal="center" vertical="center"/>
    </xf>
    <xf numFmtId="165" fontId="17" fillId="17" borderId="1" xfId="1" applyFont="1" applyFill="1" applyBorder="1" applyAlignment="1">
      <alignment horizontal="center" vertical="center"/>
    </xf>
    <xf numFmtId="165" fontId="17" fillId="17" borderId="8" xfId="1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17" fillId="17" borderId="59" xfId="0" applyFont="1" applyFill="1" applyBorder="1" applyAlignment="1">
      <alignment horizontal="center" wrapText="1"/>
    </xf>
    <xf numFmtId="0" fontId="17" fillId="17" borderId="78" xfId="0" applyFont="1" applyFill="1" applyBorder="1" applyAlignment="1">
      <alignment horizontal="center" wrapText="1"/>
    </xf>
  </cellXfs>
  <cellStyles count="9">
    <cellStyle name="Lien hypertexte" xfId="6" builtinId="8"/>
    <cellStyle name="Milliers" xfId="1" builtinId="3"/>
    <cellStyle name="Milliers 2" xfId="8" xr:uid="{00000000-0005-0000-0000-000002000000}"/>
    <cellStyle name="Monétaire" xfId="2" builtinId="4"/>
    <cellStyle name="Monétaire 2" xfId="5" xr:uid="{00000000-0005-0000-0000-000004000000}"/>
    <cellStyle name="Normal" xfId="0" builtinId="0"/>
    <cellStyle name="Normal 2" xfId="4" xr:uid="{00000000-0005-0000-0000-000006000000}"/>
    <cellStyle name="Normal 3" xfId="7" xr:uid="{00000000-0005-0000-0000-000007000000}"/>
    <cellStyle name="Pourcentage" xfId="3" builtinId="5"/>
  </cellStyles>
  <dxfs count="138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6699"/>
        </patternFill>
      </fill>
    </dxf>
    <dxf>
      <fill>
        <patternFill>
          <bgColor rgb="FFFF6699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6699"/>
        </patternFill>
      </fill>
    </dxf>
    <dxf>
      <fill>
        <patternFill>
          <bgColor rgb="FFFF6699"/>
        </patternFill>
      </fill>
    </dxf>
    <dxf>
      <fill>
        <patternFill>
          <bgColor rgb="FFFF6699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99"/>
      <color rgb="FFFF6699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66675</xdr:colOff>
          <xdr:row>46</xdr:row>
          <xdr:rowOff>0</xdr:rowOff>
        </xdr:from>
        <xdr:to>
          <xdr:col>19</xdr:col>
          <xdr:colOff>228600</xdr:colOff>
          <xdr:row>47</xdr:row>
          <xdr:rowOff>171450</xdr:rowOff>
        </xdr:to>
        <xdr:sp macro="" textlink="">
          <xdr:nvSpPr>
            <xdr:cNvPr id="11276" name="Button 12" hidden="1">
              <a:extLst>
                <a:ext uri="{63B3BB69-23CF-44E3-9099-C40C66FF867C}">
                  <a14:compatExt spid="_x0000_s11276"/>
                </a:ext>
                <a:ext uri="{FF2B5EF4-FFF2-40B4-BE49-F238E27FC236}">
                  <a16:creationId xmlns:a16="http://schemas.microsoft.com/office/drawing/2014/main" id="{00000000-0008-0000-0100-00000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31</xdr:row>
          <xdr:rowOff>180975</xdr:rowOff>
        </xdr:from>
        <xdr:to>
          <xdr:col>3</xdr:col>
          <xdr:colOff>190500</xdr:colOff>
          <xdr:row>33</xdr:row>
          <xdr:rowOff>161925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2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7</xdr:row>
          <xdr:rowOff>104775</xdr:rowOff>
        </xdr:from>
        <xdr:to>
          <xdr:col>1</xdr:col>
          <xdr:colOff>209550</xdr:colOff>
          <xdr:row>9</xdr:row>
          <xdr:rowOff>76200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3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1790700</xdr:colOff>
          <xdr:row>12</xdr:row>
          <xdr:rowOff>171450</xdr:rowOff>
        </xdr:from>
        <xdr:to>
          <xdr:col>14</xdr:col>
          <xdr:colOff>733425</xdr:colOff>
          <xdr:row>15</xdr:row>
          <xdr:rowOff>19050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3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la base entreprise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723900</xdr:colOff>
          <xdr:row>12</xdr:row>
          <xdr:rowOff>180975</xdr:rowOff>
        </xdr:from>
        <xdr:to>
          <xdr:col>11</xdr:col>
          <xdr:colOff>1276350</xdr:colOff>
          <xdr:row>15</xdr:row>
          <xdr:rowOff>28575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3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la base entreprise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257175</xdr:colOff>
          <xdr:row>47</xdr:row>
          <xdr:rowOff>47625</xdr:rowOff>
        </xdr:from>
        <xdr:to>
          <xdr:col>28</xdr:col>
          <xdr:colOff>314325</xdr:colOff>
          <xdr:row>51</xdr:row>
          <xdr:rowOff>57150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466725</xdr:colOff>
          <xdr:row>44</xdr:row>
          <xdr:rowOff>114300</xdr:rowOff>
        </xdr:from>
        <xdr:to>
          <xdr:col>11</xdr:col>
          <xdr:colOff>428625</xdr:colOff>
          <xdr:row>51</xdr:row>
          <xdr:rowOff>38100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4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 le plan de financement ALS/ANAH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44</xdr:row>
          <xdr:rowOff>104775</xdr:rowOff>
        </xdr:from>
        <xdr:to>
          <xdr:col>14</xdr:col>
          <xdr:colOff>304800</xdr:colOff>
          <xdr:row>51</xdr:row>
          <xdr:rowOff>28575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4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 la feuille de calcul en PDF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57150</xdr:colOff>
          <xdr:row>47</xdr:row>
          <xdr:rowOff>47625</xdr:rowOff>
        </xdr:from>
        <xdr:to>
          <xdr:col>22</xdr:col>
          <xdr:colOff>314325</xdr:colOff>
          <xdr:row>49</xdr:row>
          <xdr:rowOff>57150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5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7</xdr:row>
          <xdr:rowOff>38100</xdr:rowOff>
        </xdr:from>
        <xdr:to>
          <xdr:col>3</xdr:col>
          <xdr:colOff>76200</xdr:colOff>
          <xdr:row>9</xdr:row>
          <xdr:rowOff>123825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06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 conforme devis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1038225</xdr:colOff>
          <xdr:row>26</xdr:row>
          <xdr:rowOff>152400</xdr:rowOff>
        </xdr:from>
        <xdr:to>
          <xdr:col>5</xdr:col>
          <xdr:colOff>609600</xdr:colOff>
          <xdr:row>28</xdr:row>
          <xdr:rowOff>133350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9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DCSERV\docs_ccmav\4_Habitat%20-%20Logement\OPAH%202013-2016\5-Dossiers\CCVAL81\Valence%20d'Albigeois\VAL_2017_VA_436(RAYNAL%20Carine)\RAYNAL%20ANAH\Fiches%20Synth&#232;ses\fiche_de_synthese%2043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e synthese"/>
      <sheetName val="Fiche de synthese - Exemple"/>
      <sheetName val="Data"/>
    </sheetNames>
    <sheetDataSet>
      <sheetData sheetId="0"/>
      <sheetData sheetId="1"/>
      <sheetData sheetId="2">
        <row r="2">
          <cell r="E2" t="str">
            <v>Maison</v>
          </cell>
          <cell r="F2">
            <v>0</v>
          </cell>
          <cell r="G2">
            <v>1</v>
          </cell>
          <cell r="H2" t="str">
            <v>Oui</v>
          </cell>
        </row>
        <row r="3">
          <cell r="E3" t="str">
            <v>Appartement</v>
          </cell>
          <cell r="F3">
            <v>1</v>
          </cell>
          <cell r="G3">
            <v>2</v>
          </cell>
          <cell r="H3" t="str">
            <v>Non</v>
          </cell>
        </row>
        <row r="4">
          <cell r="E4" t="str">
            <v>Duplex</v>
          </cell>
          <cell r="F4">
            <v>2</v>
          </cell>
          <cell r="G4">
            <v>3</v>
          </cell>
        </row>
        <row r="5">
          <cell r="E5" t="str">
            <v>Triplex</v>
          </cell>
          <cell r="F5">
            <v>3</v>
          </cell>
          <cell r="G5">
            <v>4</v>
          </cell>
        </row>
        <row r="6">
          <cell r="F6">
            <v>4</v>
          </cell>
          <cell r="G6">
            <v>5</v>
          </cell>
        </row>
        <row r="7">
          <cell r="F7">
            <v>5</v>
          </cell>
          <cell r="G7">
            <v>6</v>
          </cell>
        </row>
        <row r="8">
          <cell r="F8">
            <v>6</v>
          </cell>
          <cell r="G8">
            <v>7</v>
          </cell>
        </row>
        <row r="9">
          <cell r="F9">
            <v>7</v>
          </cell>
        </row>
        <row r="10">
          <cell r="F10">
            <v>8</v>
          </cell>
        </row>
        <row r="11">
          <cell r="F11">
            <v>9</v>
          </cell>
        </row>
        <row r="12">
          <cell r="F12">
            <v>10</v>
          </cell>
        </row>
        <row r="13">
          <cell r="F13">
            <v>11</v>
          </cell>
        </row>
        <row r="14">
          <cell r="F14">
            <v>12</v>
          </cell>
        </row>
        <row r="15">
          <cell r="F15">
            <v>13</v>
          </cell>
        </row>
        <row r="16">
          <cell r="F16">
            <v>14</v>
          </cell>
        </row>
        <row r="17">
          <cell r="F17">
            <v>15</v>
          </cell>
        </row>
        <row r="18">
          <cell r="F18">
            <v>16</v>
          </cell>
        </row>
        <row r="19">
          <cell r="F19">
            <v>17</v>
          </cell>
        </row>
        <row r="20">
          <cell r="F20">
            <v>18</v>
          </cell>
        </row>
        <row r="21">
          <cell r="F21">
            <v>19</v>
          </cell>
        </row>
        <row r="22">
          <cell r="F22">
            <v>20</v>
          </cell>
        </row>
        <row r="23">
          <cell r="F23">
            <v>21</v>
          </cell>
        </row>
        <row r="24">
          <cell r="F24">
            <v>22</v>
          </cell>
        </row>
        <row r="25">
          <cell r="F25">
            <v>23</v>
          </cell>
        </row>
        <row r="26">
          <cell r="F26">
            <v>24</v>
          </cell>
        </row>
        <row r="27">
          <cell r="F27">
            <v>25</v>
          </cell>
        </row>
        <row r="28">
          <cell r="F28">
            <v>26</v>
          </cell>
        </row>
        <row r="29">
          <cell r="F29">
            <v>27</v>
          </cell>
        </row>
        <row r="30">
          <cell r="F30">
            <v>28</v>
          </cell>
        </row>
        <row r="31">
          <cell r="F31">
            <v>29</v>
          </cell>
        </row>
        <row r="32">
          <cell r="F32">
            <v>30</v>
          </cell>
        </row>
        <row r="33">
          <cell r="F33">
            <v>31</v>
          </cell>
        </row>
        <row r="34">
          <cell r="F34">
            <v>32</v>
          </cell>
        </row>
        <row r="35">
          <cell r="F35">
            <v>33</v>
          </cell>
        </row>
        <row r="36">
          <cell r="F36">
            <v>34</v>
          </cell>
        </row>
        <row r="37">
          <cell r="F37">
            <v>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7" Type="http://schemas.openxmlformats.org/officeDocument/2006/relationships/ctrlProp" Target="../ctrlProps/ctrlProp5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7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5" Type="http://schemas.openxmlformats.org/officeDocument/2006/relationships/ctrlProp" Target="../ctrlProps/ctrlProp10.xml"/><Relationship Id="rId4" Type="http://schemas.openxmlformats.org/officeDocument/2006/relationships/vmlDrawing" Target="../drawings/vmlDrawing6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B6:J34"/>
  <sheetViews>
    <sheetView workbookViewId="0">
      <selection activeCell="B12" sqref="B12"/>
    </sheetView>
  </sheetViews>
  <sheetFormatPr baseColWidth="10" defaultRowHeight="15" x14ac:dyDescent="0.25"/>
  <sheetData>
    <row r="6" spans="2:10" x14ac:dyDescent="0.25">
      <c r="B6" s="428" t="s">
        <v>410</v>
      </c>
      <c r="C6" s="427"/>
      <c r="D6" s="427"/>
      <c r="E6" s="427"/>
      <c r="F6" s="427"/>
      <c r="G6" s="427"/>
      <c r="H6" s="427"/>
      <c r="I6" s="427"/>
      <c r="J6" s="427"/>
    </row>
    <row r="7" spans="2:10" x14ac:dyDescent="0.25">
      <c r="B7" s="428" t="s">
        <v>403</v>
      </c>
      <c r="C7" s="427" t="s">
        <v>458</v>
      </c>
      <c r="D7" s="427"/>
      <c r="E7" s="427"/>
      <c r="F7" s="427"/>
      <c r="G7" s="427"/>
      <c r="H7" s="427"/>
      <c r="I7" s="427"/>
      <c r="J7" s="427"/>
    </row>
    <row r="8" spans="2:10" x14ac:dyDescent="0.25">
      <c r="B8" s="428" t="s">
        <v>403</v>
      </c>
      <c r="C8" s="427" t="s">
        <v>457</v>
      </c>
      <c r="D8" s="427"/>
      <c r="E8" s="427"/>
      <c r="F8" s="427"/>
      <c r="G8" s="427"/>
      <c r="H8" s="427"/>
      <c r="I8" s="427"/>
      <c r="J8" s="427"/>
    </row>
    <row r="9" spans="2:10" x14ac:dyDescent="0.25">
      <c r="B9" s="428"/>
      <c r="C9" s="427" t="s">
        <v>456</v>
      </c>
      <c r="D9" s="427"/>
      <c r="E9" s="427"/>
      <c r="F9" s="427"/>
      <c r="G9" s="427"/>
      <c r="H9" s="427"/>
      <c r="I9" s="427"/>
      <c r="J9" s="427"/>
    </row>
    <row r="10" spans="2:10" x14ac:dyDescent="0.25">
      <c r="B10" s="427" t="s">
        <v>403</v>
      </c>
      <c r="C10" s="427" t="s">
        <v>455</v>
      </c>
      <c r="D10" s="427"/>
      <c r="E10" s="427"/>
      <c r="F10" s="427"/>
      <c r="G10" s="427"/>
      <c r="H10" s="427"/>
      <c r="I10" s="427"/>
      <c r="J10" s="427"/>
    </row>
    <row r="11" spans="2:10" x14ac:dyDescent="0.25">
      <c r="B11" s="427" t="s">
        <v>403</v>
      </c>
      <c r="C11" s="427" t="s">
        <v>454</v>
      </c>
      <c r="D11" s="427"/>
      <c r="E11" s="427"/>
      <c r="F11" s="427"/>
      <c r="G11" s="427"/>
      <c r="H11" s="427"/>
      <c r="I11" s="427"/>
      <c r="J11" s="427"/>
    </row>
    <row r="12" spans="2:10" x14ac:dyDescent="0.25">
      <c r="B12" s="427" t="s">
        <v>403</v>
      </c>
      <c r="C12" s="427" t="s">
        <v>411</v>
      </c>
      <c r="D12" s="427"/>
      <c r="E12" s="427"/>
      <c r="F12" s="427"/>
      <c r="G12" s="427"/>
      <c r="H12" s="427"/>
      <c r="I12" s="427"/>
      <c r="J12" s="427"/>
    </row>
    <row r="13" spans="2:10" x14ac:dyDescent="0.25">
      <c r="B13" s="427" t="s">
        <v>403</v>
      </c>
      <c r="C13" s="427" t="s">
        <v>453</v>
      </c>
      <c r="D13" s="427"/>
      <c r="E13" s="427"/>
      <c r="F13" s="427"/>
      <c r="G13" s="427"/>
      <c r="H13" s="427"/>
      <c r="I13" s="427"/>
      <c r="J13" s="427"/>
    </row>
    <row r="14" spans="2:10" x14ac:dyDescent="0.25">
      <c r="B14" s="427" t="s">
        <v>403</v>
      </c>
      <c r="C14" s="427" t="s">
        <v>443</v>
      </c>
      <c r="D14" s="427"/>
      <c r="E14" s="427"/>
      <c r="F14" s="427"/>
      <c r="G14" s="427"/>
      <c r="H14" s="427"/>
      <c r="I14" s="427"/>
      <c r="J14" s="427"/>
    </row>
    <row r="15" spans="2:10" x14ac:dyDescent="0.25">
      <c r="B15" s="427" t="s">
        <v>403</v>
      </c>
      <c r="C15" s="427" t="s">
        <v>444</v>
      </c>
      <c r="D15" s="427"/>
      <c r="E15" s="427"/>
      <c r="F15" s="427"/>
      <c r="G15" s="427"/>
      <c r="H15" s="427"/>
      <c r="I15" s="427"/>
      <c r="J15" s="427"/>
    </row>
    <row r="16" spans="2:10" x14ac:dyDescent="0.25">
      <c r="B16" s="427" t="s">
        <v>403</v>
      </c>
      <c r="C16" s="427" t="s">
        <v>445</v>
      </c>
      <c r="D16" s="427"/>
      <c r="E16" s="427"/>
      <c r="F16" s="427"/>
      <c r="G16" s="427"/>
      <c r="H16" s="427"/>
      <c r="I16" s="427"/>
      <c r="J16" s="427"/>
    </row>
    <row r="17" spans="2:10" x14ac:dyDescent="0.25">
      <c r="B17" s="427" t="s">
        <v>450</v>
      </c>
      <c r="C17" s="427" t="s">
        <v>451</v>
      </c>
      <c r="D17" s="427"/>
      <c r="E17" s="427"/>
      <c r="F17" s="427"/>
      <c r="G17" s="427"/>
      <c r="H17" s="427"/>
      <c r="I17" s="427"/>
      <c r="J17" s="427"/>
    </row>
    <row r="18" spans="2:10" x14ac:dyDescent="0.25">
      <c r="B18" s="427" t="s">
        <v>403</v>
      </c>
      <c r="C18" s="427" t="s">
        <v>446</v>
      </c>
      <c r="D18" s="427"/>
      <c r="E18" s="427"/>
      <c r="F18" s="427"/>
      <c r="G18" s="427"/>
      <c r="H18" s="427"/>
      <c r="I18" s="427"/>
      <c r="J18" s="427"/>
    </row>
    <row r="19" spans="2:10" x14ac:dyDescent="0.25">
      <c r="B19" s="427" t="s">
        <v>403</v>
      </c>
      <c r="C19" s="427" t="s">
        <v>459</v>
      </c>
      <c r="D19" s="427"/>
      <c r="E19" s="427"/>
      <c r="F19" s="427"/>
      <c r="G19" s="427"/>
      <c r="H19" s="427"/>
      <c r="I19" s="427"/>
      <c r="J19" s="427"/>
    </row>
    <row r="21" spans="2:10" x14ac:dyDescent="0.25">
      <c r="B21" s="409" t="s">
        <v>403</v>
      </c>
      <c r="C21" s="409" t="s">
        <v>385</v>
      </c>
      <c r="D21" s="409"/>
      <c r="E21" s="409"/>
      <c r="F21" s="409"/>
      <c r="G21" s="409"/>
      <c r="H21" s="409"/>
      <c r="I21" s="409"/>
      <c r="J21" s="409"/>
    </row>
    <row r="22" spans="2:10" x14ac:dyDescent="0.25">
      <c r="B22" s="409" t="s">
        <v>133</v>
      </c>
      <c r="C22" s="409" t="s">
        <v>392</v>
      </c>
      <c r="D22" s="409"/>
      <c r="E22" s="409"/>
      <c r="F22" s="409"/>
      <c r="G22" s="409"/>
      <c r="H22" s="409"/>
      <c r="I22" s="409"/>
      <c r="J22" s="409"/>
    </row>
    <row r="23" spans="2:10" x14ac:dyDescent="0.25">
      <c r="B23" s="409"/>
      <c r="C23" s="409" t="s">
        <v>330</v>
      </c>
      <c r="D23" s="409"/>
      <c r="E23" s="409"/>
      <c r="F23" s="409"/>
      <c r="G23" s="409"/>
      <c r="H23" s="409"/>
      <c r="I23" s="409"/>
      <c r="J23" s="409"/>
    </row>
    <row r="24" spans="2:10" x14ac:dyDescent="0.25">
      <c r="B24" s="409" t="s">
        <v>403</v>
      </c>
      <c r="C24" s="409" t="s">
        <v>394</v>
      </c>
      <c r="D24" s="409"/>
      <c r="E24" s="409"/>
      <c r="F24" s="409"/>
      <c r="G24" s="409"/>
      <c r="H24" s="409"/>
      <c r="I24" s="409"/>
      <c r="J24" s="409"/>
    </row>
    <row r="25" spans="2:10" x14ac:dyDescent="0.25">
      <c r="B25" s="409" t="s">
        <v>403</v>
      </c>
      <c r="C25" s="409" t="s">
        <v>414</v>
      </c>
      <c r="D25" s="409"/>
      <c r="E25" s="409"/>
      <c r="F25" s="409"/>
      <c r="G25" s="409"/>
      <c r="H25" s="409"/>
      <c r="I25" s="409"/>
      <c r="J25" s="409"/>
    </row>
    <row r="26" spans="2:10" x14ac:dyDescent="0.25">
      <c r="B26" s="409"/>
      <c r="C26" s="409" t="s">
        <v>386</v>
      </c>
      <c r="D26" s="409"/>
      <c r="E26" s="409"/>
      <c r="F26" s="409"/>
      <c r="G26" s="409"/>
      <c r="H26" s="409"/>
      <c r="I26" s="409"/>
      <c r="J26" s="409"/>
    </row>
    <row r="27" spans="2:10" x14ac:dyDescent="0.25">
      <c r="B27" s="409" t="s">
        <v>403</v>
      </c>
      <c r="C27" s="409" t="s">
        <v>393</v>
      </c>
      <c r="D27" s="409"/>
      <c r="E27" s="409"/>
      <c r="F27" s="409"/>
      <c r="G27" s="409"/>
      <c r="H27" s="409"/>
      <c r="I27" s="409"/>
      <c r="J27" s="409"/>
    </row>
    <row r="28" spans="2:10" x14ac:dyDescent="0.25">
      <c r="B28" s="409" t="s">
        <v>403</v>
      </c>
      <c r="C28" s="409" t="s">
        <v>387</v>
      </c>
      <c r="D28" s="409"/>
      <c r="E28" s="409"/>
      <c r="F28" s="409"/>
      <c r="G28" s="409"/>
      <c r="H28" s="409"/>
      <c r="I28" s="409"/>
      <c r="J28" s="409"/>
    </row>
    <row r="29" spans="2:10" x14ac:dyDescent="0.25">
      <c r="B29" s="409"/>
      <c r="C29" s="409" t="s">
        <v>406</v>
      </c>
      <c r="D29" s="409"/>
      <c r="E29" s="409"/>
      <c r="F29" s="409"/>
      <c r="G29" s="409"/>
      <c r="H29" s="409"/>
      <c r="I29" s="409"/>
      <c r="J29" s="409"/>
    </row>
    <row r="30" spans="2:10" x14ac:dyDescent="0.25">
      <c r="B30" s="409"/>
      <c r="C30" s="409" t="s">
        <v>449</v>
      </c>
      <c r="D30" s="409"/>
      <c r="E30" s="409"/>
      <c r="F30" s="409"/>
      <c r="G30" s="409"/>
      <c r="H30" s="409"/>
      <c r="I30" s="409"/>
      <c r="J30" s="409"/>
    </row>
    <row r="31" spans="2:10" x14ac:dyDescent="0.25">
      <c r="B31" s="409" t="s">
        <v>403</v>
      </c>
      <c r="C31" s="409" t="s">
        <v>463</v>
      </c>
      <c r="D31" s="409"/>
      <c r="E31" s="409"/>
      <c r="F31" s="409"/>
      <c r="G31" s="409"/>
      <c r="H31" s="409"/>
      <c r="I31" s="409"/>
      <c r="J31" s="409"/>
    </row>
    <row r="32" spans="2:10" x14ac:dyDescent="0.25">
      <c r="B32" s="409" t="s">
        <v>403</v>
      </c>
      <c r="C32" s="409" t="s">
        <v>487</v>
      </c>
      <c r="D32" s="409"/>
      <c r="E32" s="409"/>
      <c r="F32" s="409"/>
      <c r="G32" s="409"/>
      <c r="H32" s="409"/>
      <c r="I32" s="409"/>
      <c r="J32" s="409"/>
    </row>
    <row r="33" spans="2:10" x14ac:dyDescent="0.25">
      <c r="B33" s="409" t="s">
        <v>403</v>
      </c>
      <c r="C33" s="409" t="s">
        <v>488</v>
      </c>
      <c r="D33" s="409"/>
      <c r="E33" s="409"/>
      <c r="F33" s="409"/>
      <c r="G33" s="409"/>
      <c r="H33" s="409"/>
      <c r="I33" s="409"/>
      <c r="J33" s="409"/>
    </row>
    <row r="34" spans="2:10" x14ac:dyDescent="0.25">
      <c r="B34" s="409" t="s">
        <v>403</v>
      </c>
      <c r="C34" s="409" t="s">
        <v>407</v>
      </c>
      <c r="D34" s="409"/>
      <c r="E34" s="409"/>
      <c r="F34" s="409"/>
      <c r="G34" s="409"/>
      <c r="H34" s="409"/>
      <c r="I34" s="409"/>
      <c r="J34" s="409"/>
    </row>
  </sheetData>
  <sheetProtection autoFilter="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F1:X56"/>
  <sheetViews>
    <sheetView tabSelected="1" zoomScale="85" zoomScaleNormal="85" workbookViewId="0">
      <selection activeCell="G3" sqref="G3:I3"/>
    </sheetView>
  </sheetViews>
  <sheetFormatPr baseColWidth="10" defaultRowHeight="15" x14ac:dyDescent="0.25"/>
  <cols>
    <col min="1" max="5" width="11.42578125" style="499"/>
    <col min="6" max="6" width="11" style="499" customWidth="1"/>
    <col min="7" max="9" width="11.42578125" style="499"/>
    <col min="10" max="10" width="5" style="499" customWidth="1"/>
    <col min="11" max="11" width="12.85546875" style="499" bestFit="1" customWidth="1"/>
    <col min="12" max="12" width="11.85546875" style="499" bestFit="1" customWidth="1"/>
    <col min="13" max="13" width="11.42578125" style="499"/>
    <col min="14" max="14" width="11.42578125" style="499" customWidth="1"/>
    <col min="15" max="15" width="3.5703125" style="464" bestFit="1" customWidth="1"/>
    <col min="16" max="16" width="3" style="483" bestFit="1" customWidth="1"/>
    <col min="17" max="22" width="11.42578125" style="464"/>
    <col min="23" max="23" width="3" style="464" customWidth="1"/>
    <col min="24" max="16384" width="11.42578125" style="499"/>
  </cols>
  <sheetData>
    <row r="1" spans="6:24" ht="24" thickBot="1" x14ac:dyDescent="0.3">
      <c r="F1" s="287" t="s">
        <v>111</v>
      </c>
      <c r="G1" s="303" t="s">
        <v>117</v>
      </c>
      <c r="H1" s="884" t="s">
        <v>351</v>
      </c>
      <c r="I1" s="885"/>
      <c r="J1" s="885"/>
      <c r="K1" s="886"/>
      <c r="L1" s="457"/>
      <c r="M1" s="461"/>
      <c r="N1" s="521">
        <v>2021</v>
      </c>
      <c r="P1" s="747" t="s">
        <v>427</v>
      </c>
      <c r="Q1" s="747"/>
      <c r="R1" s="747"/>
      <c r="S1" s="747"/>
      <c r="T1" s="747"/>
      <c r="U1" s="747"/>
      <c r="V1" s="747"/>
    </row>
    <row r="2" spans="6:24" ht="15" customHeight="1" x14ac:dyDescent="0.25">
      <c r="F2" s="897" t="str">
        <f>IF(Prop_Categorie=PO,"BENEFICIAIRE","PROPRIETAIRE")</f>
        <v>PROPRIETAIRE</v>
      </c>
      <c r="G2" s="898"/>
      <c r="H2" s="898"/>
      <c r="I2" s="899"/>
      <c r="J2" s="891" t="s">
        <v>415</v>
      </c>
      <c r="K2" s="749" t="s">
        <v>322</v>
      </c>
      <c r="L2" s="750"/>
      <c r="M2" s="463" t="s">
        <v>117</v>
      </c>
      <c r="N2" s="720" t="s">
        <v>117</v>
      </c>
      <c r="O2" s="748"/>
      <c r="P2" s="489" t="s">
        <v>428</v>
      </c>
      <c r="Q2" s="920"/>
      <c r="R2" s="920"/>
      <c r="S2" s="920"/>
      <c r="T2" s="920"/>
      <c r="U2" s="920"/>
      <c r="V2" s="921"/>
    </row>
    <row r="3" spans="6:24" ht="15" customHeight="1" x14ac:dyDescent="0.25">
      <c r="F3" s="719" t="s">
        <v>56</v>
      </c>
      <c r="G3" s="783" t="s">
        <v>117</v>
      </c>
      <c r="H3" s="784"/>
      <c r="I3" s="877"/>
      <c r="J3" s="892"/>
      <c r="K3" s="811" t="s">
        <v>123</v>
      </c>
      <c r="L3" s="812"/>
      <c r="M3" s="462" t="s">
        <v>117</v>
      </c>
      <c r="N3" s="488" t="s">
        <v>117</v>
      </c>
      <c r="O3" s="748"/>
      <c r="P3" s="490"/>
      <c r="Q3" s="918"/>
      <c r="R3" s="918"/>
      <c r="S3" s="918"/>
      <c r="T3" s="918"/>
      <c r="U3" s="918"/>
      <c r="V3" s="919"/>
      <c r="X3" s="500"/>
    </row>
    <row r="4" spans="6:24" ht="15" customHeight="1" x14ac:dyDescent="0.25">
      <c r="F4" s="719" t="s">
        <v>57</v>
      </c>
      <c r="G4" s="783" t="s">
        <v>117</v>
      </c>
      <c r="H4" s="784"/>
      <c r="I4" s="877"/>
      <c r="J4" s="892"/>
      <c r="K4" s="811" t="s">
        <v>124</v>
      </c>
      <c r="L4" s="812"/>
      <c r="M4" s="910" t="s">
        <v>117</v>
      </c>
      <c r="N4" s="911"/>
      <c r="O4" s="748"/>
      <c r="P4" s="490"/>
      <c r="Q4" s="918"/>
      <c r="R4" s="918"/>
      <c r="S4" s="918"/>
      <c r="T4" s="918"/>
      <c r="U4" s="918"/>
      <c r="V4" s="919"/>
    </row>
    <row r="5" spans="6:24" x14ac:dyDescent="0.25">
      <c r="F5" s="900" t="s">
        <v>173</v>
      </c>
      <c r="G5" s="783" t="s">
        <v>117</v>
      </c>
      <c r="H5" s="784"/>
      <c r="I5" s="877"/>
      <c r="J5" s="892"/>
      <c r="K5" s="811" t="s">
        <v>129</v>
      </c>
      <c r="L5" s="812"/>
      <c r="M5" s="912" t="s">
        <v>117</v>
      </c>
      <c r="N5" s="913"/>
      <c r="O5" s="748"/>
      <c r="P5" s="490"/>
      <c r="Q5" s="918"/>
      <c r="R5" s="918"/>
      <c r="S5" s="918"/>
      <c r="T5" s="918"/>
      <c r="U5" s="918"/>
      <c r="V5" s="919"/>
    </row>
    <row r="6" spans="6:24" x14ac:dyDescent="0.25">
      <c r="F6" s="900"/>
      <c r="G6" s="783" t="s">
        <v>117</v>
      </c>
      <c r="H6" s="784"/>
      <c r="I6" s="877"/>
      <c r="J6" s="892"/>
      <c r="K6" s="811" t="s">
        <v>109</v>
      </c>
      <c r="L6" s="812"/>
      <c r="M6" s="845" t="s">
        <v>117</v>
      </c>
      <c r="N6" s="846"/>
      <c r="O6" s="748"/>
      <c r="P6" s="490"/>
      <c r="Q6" s="918"/>
      <c r="R6" s="918"/>
      <c r="S6" s="918"/>
      <c r="T6" s="918"/>
      <c r="U6" s="918"/>
      <c r="V6" s="919"/>
    </row>
    <row r="7" spans="6:24" ht="16.5" customHeight="1" x14ac:dyDescent="0.25">
      <c r="F7" s="719" t="s">
        <v>52</v>
      </c>
      <c r="G7" s="901" t="s">
        <v>117</v>
      </c>
      <c r="H7" s="902"/>
      <c r="I7" s="903"/>
      <c r="J7" s="892"/>
      <c r="K7" s="811" t="s">
        <v>440</v>
      </c>
      <c r="L7" s="812"/>
      <c r="M7" s="914" t="s">
        <v>117</v>
      </c>
      <c r="N7" s="915"/>
      <c r="O7" s="748"/>
      <c r="P7" s="490"/>
      <c r="Q7" s="918"/>
      <c r="R7" s="918"/>
      <c r="S7" s="918"/>
      <c r="T7" s="918"/>
      <c r="U7" s="918"/>
      <c r="V7" s="919"/>
    </row>
    <row r="8" spans="6:24" ht="15.75" thickBot="1" x14ac:dyDescent="0.3">
      <c r="F8" s="719" t="s">
        <v>53</v>
      </c>
      <c r="G8" s="783" t="s">
        <v>117</v>
      </c>
      <c r="H8" s="784"/>
      <c r="I8" s="877"/>
      <c r="J8" s="892"/>
      <c r="K8" s="811" t="s">
        <v>441</v>
      </c>
      <c r="L8" s="812"/>
      <c r="M8" s="908" t="s">
        <v>117</v>
      </c>
      <c r="N8" s="909"/>
      <c r="O8" s="748"/>
      <c r="P8" s="491"/>
      <c r="Q8" s="916"/>
      <c r="R8" s="916"/>
      <c r="S8" s="916"/>
      <c r="T8" s="916"/>
      <c r="U8" s="916"/>
      <c r="V8" s="917"/>
    </row>
    <row r="9" spans="6:24" x14ac:dyDescent="0.25">
      <c r="F9" s="719" t="s">
        <v>107</v>
      </c>
      <c r="G9" s="866" t="s">
        <v>117</v>
      </c>
      <c r="H9" s="784"/>
      <c r="I9" s="784"/>
      <c r="J9" s="749" t="s">
        <v>180</v>
      </c>
      <c r="K9" s="750"/>
      <c r="L9" s="750"/>
      <c r="M9" s="750"/>
      <c r="N9" s="751"/>
      <c r="O9" s="748"/>
      <c r="P9" s="489" t="s">
        <v>428</v>
      </c>
      <c r="Q9" s="920"/>
      <c r="R9" s="920"/>
      <c r="S9" s="920"/>
      <c r="T9" s="920"/>
      <c r="U9" s="920"/>
      <c r="V9" s="921"/>
    </row>
    <row r="10" spans="6:24" ht="15" customHeight="1" x14ac:dyDescent="0.25">
      <c r="F10" s="852" t="s">
        <v>108</v>
      </c>
      <c r="G10" s="817" t="s">
        <v>117</v>
      </c>
      <c r="H10" s="818"/>
      <c r="I10" s="818"/>
      <c r="J10" s="752" t="s">
        <v>117</v>
      </c>
      <c r="K10" s="753"/>
      <c r="L10" s="753"/>
      <c r="M10" s="753"/>
      <c r="N10" s="754"/>
      <c r="O10" s="748"/>
      <c r="P10" s="490"/>
      <c r="Q10" s="918"/>
      <c r="R10" s="918"/>
      <c r="S10" s="918"/>
      <c r="T10" s="918"/>
      <c r="U10" s="918"/>
      <c r="V10" s="919"/>
    </row>
    <row r="11" spans="6:24" ht="15" customHeight="1" thickBot="1" x14ac:dyDescent="0.3">
      <c r="F11" s="852"/>
      <c r="G11" s="817" t="s">
        <v>117</v>
      </c>
      <c r="H11" s="818"/>
      <c r="I11" s="818"/>
      <c r="J11" s="755" t="s">
        <v>117</v>
      </c>
      <c r="K11" s="756"/>
      <c r="L11" s="756" t="s">
        <v>117</v>
      </c>
      <c r="M11" s="756"/>
      <c r="N11" s="757"/>
      <c r="O11" s="748"/>
      <c r="P11" s="491"/>
      <c r="Q11" s="916"/>
      <c r="R11" s="916"/>
      <c r="S11" s="916"/>
      <c r="T11" s="916"/>
      <c r="U11" s="916"/>
      <c r="V11" s="917"/>
    </row>
    <row r="12" spans="6:24" ht="15" customHeight="1" x14ac:dyDescent="0.25">
      <c r="F12" s="852" t="s">
        <v>121</v>
      </c>
      <c r="G12" s="853"/>
      <c r="H12" s="887" t="s">
        <v>117</v>
      </c>
      <c r="I12" s="888"/>
      <c r="J12" s="758" t="s">
        <v>416</v>
      </c>
      <c r="K12" s="436" t="s">
        <v>137</v>
      </c>
      <c r="L12" s="437"/>
      <c r="M12" s="465" t="s">
        <v>117</v>
      </c>
      <c r="N12" s="764" t="e">
        <f>IF(Prop_RFR_Somme&lt;VLOOKUP(Prop_Nb_Occupant,Plafond_RFR_ANAH,2),"TM",IF(Prop_RFR_Somme&lt;VLOOKUP(Prop_Nb_Occupant,Plafond_RFR_ANAH,3),"M","NR"))</f>
        <v>#VALUE!</v>
      </c>
      <c r="O12" s="748"/>
      <c r="P12" s="489" t="s">
        <v>428</v>
      </c>
      <c r="Q12" s="920"/>
      <c r="R12" s="920"/>
      <c r="S12" s="920"/>
      <c r="T12" s="920"/>
      <c r="U12" s="920"/>
      <c r="V12" s="921"/>
    </row>
    <row r="13" spans="6:24" ht="15.75" customHeight="1" x14ac:dyDescent="0.25">
      <c r="F13" s="852" t="s">
        <v>122</v>
      </c>
      <c r="G13" s="853"/>
      <c r="H13" s="889" t="s">
        <v>117</v>
      </c>
      <c r="I13" s="890"/>
      <c r="J13" s="759"/>
      <c r="K13" s="294" t="s">
        <v>138</v>
      </c>
      <c r="L13" s="438"/>
      <c r="M13" s="305" t="s">
        <v>117</v>
      </c>
      <c r="N13" s="764"/>
      <c r="O13" s="748"/>
      <c r="P13" s="490"/>
      <c r="Q13" s="918"/>
      <c r="R13" s="918"/>
      <c r="S13" s="918"/>
      <c r="T13" s="918"/>
      <c r="U13" s="918"/>
      <c r="V13" s="919"/>
    </row>
    <row r="14" spans="6:24" ht="15" customHeight="1" x14ac:dyDescent="0.25">
      <c r="F14" s="852" t="s">
        <v>174</v>
      </c>
      <c r="G14" s="853"/>
      <c r="H14" s="878" t="s">
        <v>117</v>
      </c>
      <c r="I14" s="879"/>
      <c r="J14" s="759"/>
      <c r="K14" s="294" t="s">
        <v>134</v>
      </c>
      <c r="L14" s="294"/>
      <c r="M14" s="293" t="e">
        <f>Prop_Coprop_RFR+Prop_RFR</f>
        <v>#VALUE!</v>
      </c>
      <c r="N14" s="764"/>
      <c r="O14" s="748"/>
      <c r="P14" s="490"/>
      <c r="Q14" s="918"/>
      <c r="R14" s="918"/>
      <c r="S14" s="918"/>
      <c r="T14" s="918"/>
      <c r="U14" s="918"/>
      <c r="V14" s="919"/>
    </row>
    <row r="15" spans="6:24" ht="15.75" customHeight="1" thickBot="1" x14ac:dyDescent="0.3">
      <c r="F15" s="893" t="s">
        <v>247</v>
      </c>
      <c r="G15" s="894"/>
      <c r="H15" s="895" t="s">
        <v>117</v>
      </c>
      <c r="I15" s="896"/>
      <c r="J15" s="760"/>
      <c r="K15" s="295" t="s">
        <v>139</v>
      </c>
      <c r="L15" s="439"/>
      <c r="M15" s="306" t="s">
        <v>117</v>
      </c>
      <c r="N15" s="765"/>
      <c r="O15" s="748"/>
      <c r="P15" s="491"/>
      <c r="Q15" s="916"/>
      <c r="R15" s="916"/>
      <c r="S15" s="916"/>
      <c r="T15" s="916"/>
      <c r="U15" s="916"/>
      <c r="V15" s="917"/>
    </row>
    <row r="16" spans="6:24" x14ac:dyDescent="0.25">
      <c r="F16" s="847" t="str">
        <f>IF(Prop_Categorie=PO,"CO-BENEFICIAIRE","LOCATAIRE")</f>
        <v>LOCATAIRE</v>
      </c>
      <c r="G16" s="848"/>
      <c r="H16" s="854" t="s">
        <v>117</v>
      </c>
      <c r="I16" s="855"/>
      <c r="J16" s="863" t="s">
        <v>181</v>
      </c>
      <c r="K16" s="481"/>
      <c r="L16" s="481"/>
      <c r="M16" s="481"/>
      <c r="N16" s="482"/>
      <c r="O16" s="748"/>
      <c r="P16" s="489" t="s">
        <v>428</v>
      </c>
      <c r="Q16" s="920"/>
      <c r="R16" s="920"/>
      <c r="S16" s="920"/>
      <c r="T16" s="920"/>
      <c r="U16" s="920"/>
      <c r="V16" s="921"/>
    </row>
    <row r="17" spans="6:22" x14ac:dyDescent="0.25">
      <c r="F17" s="719" t="s">
        <v>56</v>
      </c>
      <c r="G17" s="783" t="s">
        <v>117</v>
      </c>
      <c r="H17" s="784"/>
      <c r="I17" s="877"/>
      <c r="J17" s="864"/>
      <c r="K17" s="294" t="s">
        <v>146</v>
      </c>
      <c r="L17" s="438"/>
      <c r="M17" s="904" t="s">
        <v>117</v>
      </c>
      <c r="N17" s="905"/>
      <c r="O17" s="748"/>
      <c r="P17" s="490"/>
      <c r="Q17" s="918"/>
      <c r="R17" s="918"/>
      <c r="S17" s="918"/>
      <c r="T17" s="918"/>
      <c r="U17" s="918"/>
      <c r="V17" s="919"/>
    </row>
    <row r="18" spans="6:22" x14ac:dyDescent="0.25">
      <c r="F18" s="719" t="s">
        <v>57</v>
      </c>
      <c r="G18" s="783" t="s">
        <v>117</v>
      </c>
      <c r="H18" s="784"/>
      <c r="I18" s="877"/>
      <c r="J18" s="864"/>
      <c r="K18" s="294" t="s">
        <v>147</v>
      </c>
      <c r="L18" s="294"/>
      <c r="M18" s="906" t="s">
        <v>117</v>
      </c>
      <c r="N18" s="907"/>
      <c r="O18" s="748"/>
      <c r="P18" s="490"/>
      <c r="Q18" s="918"/>
      <c r="R18" s="918"/>
      <c r="S18" s="918"/>
      <c r="T18" s="918"/>
      <c r="U18" s="918"/>
      <c r="V18" s="919"/>
    </row>
    <row r="19" spans="6:22" ht="15.75" thickBot="1" x14ac:dyDescent="0.3">
      <c r="F19" s="719" t="s">
        <v>107</v>
      </c>
      <c r="G19" s="866" t="s">
        <v>117</v>
      </c>
      <c r="H19" s="867"/>
      <c r="I19" s="868"/>
      <c r="J19" s="865"/>
      <c r="K19" s="294" t="s">
        <v>148</v>
      </c>
      <c r="L19" s="294"/>
      <c r="M19" s="908" t="s">
        <v>117</v>
      </c>
      <c r="N19" s="909"/>
      <c r="O19" s="748"/>
      <c r="P19" s="491"/>
      <c r="Q19" s="916"/>
      <c r="R19" s="916"/>
      <c r="S19" s="916"/>
      <c r="T19" s="916"/>
      <c r="U19" s="916"/>
      <c r="V19" s="917"/>
    </row>
    <row r="20" spans="6:22" x14ac:dyDescent="0.25">
      <c r="F20" s="717" t="s">
        <v>108</v>
      </c>
      <c r="G20" s="817" t="s">
        <v>117</v>
      </c>
      <c r="H20" s="818"/>
      <c r="I20" s="819"/>
      <c r="J20" s="758" t="s">
        <v>426</v>
      </c>
      <c r="K20" s="820" t="s">
        <v>346</v>
      </c>
      <c r="L20" s="443" t="s">
        <v>420</v>
      </c>
      <c r="M20" s="444"/>
      <c r="N20" s="445"/>
      <c r="O20" s="748"/>
      <c r="P20" s="489" t="s">
        <v>428</v>
      </c>
      <c r="Q20" s="920"/>
      <c r="R20" s="920"/>
      <c r="S20" s="920"/>
      <c r="T20" s="920"/>
      <c r="U20" s="920"/>
      <c r="V20" s="921"/>
    </row>
    <row r="21" spans="6:22" x14ac:dyDescent="0.25">
      <c r="F21" s="717"/>
      <c r="G21" s="817" t="s">
        <v>117</v>
      </c>
      <c r="H21" s="818"/>
      <c r="I21" s="819"/>
      <c r="J21" s="759"/>
      <c r="K21" s="821"/>
      <c r="L21" s="294" t="s">
        <v>67</v>
      </c>
      <c r="M21" s="441"/>
      <c r="N21" s="435"/>
      <c r="O21" s="748"/>
      <c r="P21" s="490"/>
      <c r="Q21" s="918"/>
      <c r="R21" s="918"/>
      <c r="S21" s="918"/>
      <c r="T21" s="918"/>
      <c r="U21" s="918"/>
      <c r="V21" s="919"/>
    </row>
    <row r="22" spans="6:22" x14ac:dyDescent="0.25">
      <c r="F22" s="717" t="s">
        <v>121</v>
      </c>
      <c r="G22" s="718"/>
      <c r="H22" s="887" t="s">
        <v>117</v>
      </c>
      <c r="I22" s="888"/>
      <c r="J22" s="759"/>
      <c r="K22" s="821"/>
      <c r="L22" s="294" t="s">
        <v>337</v>
      </c>
      <c r="M22" s="441"/>
      <c r="N22" s="435"/>
      <c r="O22" s="748"/>
      <c r="P22" s="490"/>
      <c r="Q22" s="918"/>
      <c r="R22" s="918"/>
      <c r="S22" s="918"/>
      <c r="T22" s="918"/>
      <c r="U22" s="918"/>
      <c r="V22" s="919"/>
    </row>
    <row r="23" spans="6:22" x14ac:dyDescent="0.25">
      <c r="F23" s="717" t="s">
        <v>122</v>
      </c>
      <c r="G23" s="718"/>
      <c r="H23" s="880" t="s">
        <v>117</v>
      </c>
      <c r="I23" s="881"/>
      <c r="J23" s="759"/>
      <c r="K23" s="821"/>
      <c r="L23" s="294" t="s">
        <v>338</v>
      </c>
      <c r="M23" s="441"/>
      <c r="N23" s="433"/>
      <c r="O23" s="748"/>
      <c r="P23" s="490"/>
      <c r="Q23" s="918"/>
      <c r="R23" s="918"/>
      <c r="S23" s="918"/>
      <c r="T23" s="918"/>
      <c r="U23" s="918"/>
      <c r="V23" s="919"/>
    </row>
    <row r="24" spans="6:22" x14ac:dyDescent="0.25">
      <c r="F24" s="717" t="s">
        <v>174</v>
      </c>
      <c r="G24" s="718"/>
      <c r="H24" s="783" t="s">
        <v>117</v>
      </c>
      <c r="I24" s="784"/>
      <c r="J24" s="759"/>
      <c r="K24" s="821"/>
      <c r="L24" s="294" t="s">
        <v>350</v>
      </c>
      <c r="M24" s="441"/>
      <c r="N24" s="433"/>
      <c r="O24" s="748"/>
      <c r="P24" s="490"/>
      <c r="Q24" s="918"/>
      <c r="R24" s="918"/>
      <c r="S24" s="918"/>
      <c r="T24" s="918"/>
      <c r="U24" s="918"/>
      <c r="V24" s="919"/>
    </row>
    <row r="25" spans="6:22" ht="15.75" thickBot="1" x14ac:dyDescent="0.3">
      <c r="F25" s="869" t="s">
        <v>247</v>
      </c>
      <c r="G25" s="870"/>
      <c r="H25" s="856" t="s">
        <v>117</v>
      </c>
      <c r="I25" s="857"/>
      <c r="J25" s="760"/>
      <c r="K25" s="822"/>
      <c r="L25" s="295" t="s">
        <v>154</v>
      </c>
      <c r="M25" s="442"/>
      <c r="N25" s="434"/>
      <c r="O25" s="748"/>
      <c r="P25" s="491"/>
      <c r="Q25" s="916"/>
      <c r="R25" s="916"/>
      <c r="S25" s="916"/>
      <c r="T25" s="916"/>
      <c r="U25" s="916"/>
      <c r="V25" s="917"/>
    </row>
    <row r="26" spans="6:22" ht="15.75" thickBot="1" x14ac:dyDescent="0.3">
      <c r="F26" s="520" t="s">
        <v>301</v>
      </c>
      <c r="G26" s="521" t="str">
        <f>IF(AND(PROJET!K3="OUI",PROJET!K24="NON"),1,IF(AND(PROJET!K3="NON",PROJET!K24="OUI"),2,"ERREUR SIM"))</f>
        <v>ERREUR SIM</v>
      </c>
      <c r="H26" s="430"/>
      <c r="I26" s="875" t="s">
        <v>155</v>
      </c>
      <c r="J26" s="876"/>
      <c r="K26" s="876"/>
      <c r="L26" s="466"/>
      <c r="M26" s="466"/>
      <c r="N26" s="467"/>
      <c r="O26" s="748"/>
      <c r="P26" s="492"/>
      <c r="Q26" s="492"/>
      <c r="R26" s="492"/>
      <c r="S26" s="492"/>
      <c r="T26" s="492"/>
      <c r="U26" s="492"/>
      <c r="V26" s="492"/>
    </row>
    <row r="27" spans="6:22" x14ac:dyDescent="0.25">
      <c r="F27" s="843" t="s">
        <v>8</v>
      </c>
      <c r="G27" s="882"/>
      <c r="H27" s="429" t="s">
        <v>413</v>
      </c>
      <c r="I27" s="871"/>
      <c r="J27" s="872"/>
      <c r="K27" s="429" t="s">
        <v>412</v>
      </c>
      <c r="L27" s="432"/>
      <c r="M27" s="429" t="s">
        <v>552</v>
      </c>
      <c r="N27" s="605" t="s">
        <v>117</v>
      </c>
      <c r="O27" s="748"/>
      <c r="P27" s="761" t="s">
        <v>428</v>
      </c>
      <c r="Q27" s="768" t="s">
        <v>117</v>
      </c>
      <c r="R27" s="768"/>
      <c r="S27" s="768"/>
      <c r="T27" s="768"/>
      <c r="U27" s="768"/>
      <c r="V27" s="769"/>
    </row>
    <row r="28" spans="6:22" x14ac:dyDescent="0.25">
      <c r="F28" s="849"/>
      <c r="G28" s="883"/>
      <c r="H28" s="297" t="s">
        <v>149</v>
      </c>
      <c r="I28" s="873" t="s">
        <v>150</v>
      </c>
      <c r="J28" s="873"/>
      <c r="K28" s="297" t="s">
        <v>151</v>
      </c>
      <c r="L28" s="297" t="s">
        <v>152</v>
      </c>
      <c r="M28" s="297" t="s">
        <v>153</v>
      </c>
      <c r="N28" s="298" t="s">
        <v>154</v>
      </c>
      <c r="O28" s="748"/>
      <c r="P28" s="763"/>
      <c r="Q28" s="770" t="s">
        <v>117</v>
      </c>
      <c r="R28" s="770"/>
      <c r="S28" s="770"/>
      <c r="T28" s="770"/>
      <c r="U28" s="770"/>
      <c r="V28" s="771"/>
    </row>
    <row r="29" spans="6:22" ht="15.75" thickBot="1" x14ac:dyDescent="0.3">
      <c r="F29" s="844"/>
      <c r="G29" s="299"/>
      <c r="H29" s="307"/>
      <c r="I29" s="860"/>
      <c r="J29" s="862"/>
      <c r="K29" s="308"/>
      <c r="L29" s="307"/>
      <c r="M29" s="307"/>
      <c r="N29" s="309"/>
      <c r="O29" s="748"/>
      <c r="P29" s="762"/>
      <c r="Q29" s="766" t="s">
        <v>117</v>
      </c>
      <c r="R29" s="766"/>
      <c r="S29" s="766"/>
      <c r="T29" s="766"/>
      <c r="U29" s="766"/>
      <c r="V29" s="767"/>
    </row>
    <row r="30" spans="6:22" x14ac:dyDescent="0.25">
      <c r="F30" s="858" t="s">
        <v>10</v>
      </c>
      <c r="G30" s="789"/>
      <c r="H30" s="850" t="s">
        <v>156</v>
      </c>
      <c r="I30" s="874" t="s">
        <v>249</v>
      </c>
      <c r="J30" s="874"/>
      <c r="K30" s="713" t="s">
        <v>149</v>
      </c>
      <c r="L30" s="713" t="s">
        <v>150</v>
      </c>
      <c r="M30" s="310"/>
      <c r="N30" s="311"/>
      <c r="O30" s="748"/>
      <c r="P30" s="761" t="s">
        <v>428</v>
      </c>
      <c r="Q30" s="768" t="s">
        <v>117</v>
      </c>
      <c r="R30" s="768"/>
      <c r="S30" s="768"/>
      <c r="T30" s="768"/>
      <c r="U30" s="768"/>
      <c r="V30" s="769"/>
    </row>
    <row r="31" spans="6:22" ht="15.75" thickBot="1" x14ac:dyDescent="0.3">
      <c r="F31" s="859"/>
      <c r="G31" s="790"/>
      <c r="H31" s="851"/>
      <c r="I31" s="805"/>
      <c r="J31" s="806"/>
      <c r="K31" s="307"/>
      <c r="L31" s="307"/>
      <c r="M31" s="312"/>
      <c r="N31" s="313"/>
      <c r="O31" s="748"/>
      <c r="P31" s="762"/>
      <c r="Q31" s="766" t="s">
        <v>117</v>
      </c>
      <c r="R31" s="766"/>
      <c r="S31" s="766"/>
      <c r="T31" s="766"/>
      <c r="U31" s="766"/>
      <c r="V31" s="767"/>
    </row>
    <row r="32" spans="6:22" x14ac:dyDescent="0.25">
      <c r="F32" s="858" t="s">
        <v>11</v>
      </c>
      <c r="G32" s="478"/>
      <c r="H32" s="300" t="s">
        <v>271</v>
      </c>
      <c r="I32" s="801" t="s">
        <v>156</v>
      </c>
      <c r="J32" s="802"/>
      <c r="K32" s="715" t="s">
        <v>249</v>
      </c>
      <c r="L32" s="715" t="s">
        <v>149</v>
      </c>
      <c r="M32" s="715" t="s">
        <v>248</v>
      </c>
      <c r="N32" s="716" t="s">
        <v>153</v>
      </c>
      <c r="O32" s="748"/>
      <c r="P32" s="761" t="s">
        <v>428</v>
      </c>
      <c r="Q32" s="768" t="s">
        <v>117</v>
      </c>
      <c r="R32" s="768"/>
      <c r="S32" s="768"/>
      <c r="T32" s="768"/>
      <c r="U32" s="768"/>
      <c r="V32" s="769"/>
    </row>
    <row r="33" spans="6:22" ht="15.75" thickBot="1" x14ac:dyDescent="0.3">
      <c r="F33" s="859"/>
      <c r="G33" s="314"/>
      <c r="H33" s="301">
        <f>IFERROR(VLOOKUP((CONCATENATE(Prop_Categorie,ALS_Type_Dossier,Financeur1,Financeur2)),Table_Frais_AMO,5,FALSE),0)</f>
        <v>0</v>
      </c>
      <c r="I33" s="803"/>
      <c r="J33" s="804"/>
      <c r="K33" s="307"/>
      <c r="L33" s="307"/>
      <c r="M33" s="307"/>
      <c r="N33" s="309"/>
      <c r="O33" s="748"/>
      <c r="P33" s="762"/>
      <c r="Q33" s="766" t="s">
        <v>117</v>
      </c>
      <c r="R33" s="766"/>
      <c r="S33" s="766"/>
      <c r="T33" s="766"/>
      <c r="U33" s="766"/>
      <c r="V33" s="767"/>
    </row>
    <row r="34" spans="6:22" x14ac:dyDescent="0.25">
      <c r="F34" s="843" t="s">
        <v>118</v>
      </c>
      <c r="G34" s="789"/>
      <c r="H34" s="839" t="s">
        <v>156</v>
      </c>
      <c r="I34" s="835" t="s">
        <v>217</v>
      </c>
      <c r="J34" s="835"/>
      <c r="K34" s="835"/>
      <c r="L34" s="431"/>
      <c r="M34" s="835" t="s">
        <v>218</v>
      </c>
      <c r="N34" s="836"/>
      <c r="O34" s="748"/>
      <c r="P34" s="761" t="s">
        <v>428</v>
      </c>
      <c r="Q34" s="768" t="s">
        <v>117</v>
      </c>
      <c r="R34" s="768"/>
      <c r="S34" s="768"/>
      <c r="T34" s="768"/>
      <c r="U34" s="768"/>
      <c r="V34" s="769"/>
    </row>
    <row r="35" spans="6:22" ht="15.75" thickBot="1" x14ac:dyDescent="0.3">
      <c r="F35" s="844"/>
      <c r="G35" s="790"/>
      <c r="H35" s="840"/>
      <c r="I35" s="860"/>
      <c r="J35" s="861"/>
      <c r="K35" s="862"/>
      <c r="L35" s="479"/>
      <c r="M35" s="841"/>
      <c r="N35" s="842"/>
      <c r="O35" s="748"/>
      <c r="P35" s="762"/>
      <c r="Q35" s="766" t="s">
        <v>117</v>
      </c>
      <c r="R35" s="766"/>
      <c r="S35" s="766"/>
      <c r="T35" s="766"/>
      <c r="U35" s="766"/>
      <c r="V35" s="767"/>
    </row>
    <row r="36" spans="6:22" ht="15" customHeight="1" x14ac:dyDescent="0.25">
      <c r="F36" s="807" t="s">
        <v>27</v>
      </c>
      <c r="G36" s="808"/>
      <c r="H36" s="799" t="s">
        <v>339</v>
      </c>
      <c r="I36" s="785" t="s">
        <v>340</v>
      </c>
      <c r="J36" s="786"/>
      <c r="K36" s="815" t="s">
        <v>341</v>
      </c>
      <c r="L36" s="815" t="s">
        <v>342</v>
      </c>
      <c r="M36" s="813" t="s">
        <v>153</v>
      </c>
      <c r="N36" s="814"/>
      <c r="O36" s="748"/>
      <c r="P36" s="761" t="s">
        <v>428</v>
      </c>
      <c r="Q36" s="768" t="s">
        <v>117</v>
      </c>
      <c r="R36" s="768"/>
      <c r="S36" s="768"/>
      <c r="T36" s="768"/>
      <c r="U36" s="768"/>
      <c r="V36" s="769"/>
    </row>
    <row r="37" spans="6:22" ht="15" customHeight="1" x14ac:dyDescent="0.25">
      <c r="F37" s="809"/>
      <c r="G37" s="810"/>
      <c r="H37" s="800"/>
      <c r="I37" s="787"/>
      <c r="J37" s="788"/>
      <c r="K37" s="816"/>
      <c r="L37" s="816"/>
      <c r="M37" s="714" t="s">
        <v>324</v>
      </c>
      <c r="N37" s="302" t="s">
        <v>270</v>
      </c>
      <c r="O37" s="748"/>
      <c r="P37" s="763"/>
      <c r="Q37" s="770" t="s">
        <v>117</v>
      </c>
      <c r="R37" s="770"/>
      <c r="S37" s="770"/>
      <c r="T37" s="770"/>
      <c r="U37" s="770"/>
      <c r="V37" s="771"/>
    </row>
    <row r="38" spans="6:22" ht="15" customHeight="1" x14ac:dyDescent="0.25">
      <c r="F38" s="823" t="s">
        <v>596</v>
      </c>
      <c r="G38" s="824"/>
      <c r="H38" s="721"/>
      <c r="I38" s="791"/>
      <c r="J38" s="792"/>
      <c r="K38" s="738" t="str">
        <f>Montant_PrimeCC_Prev</f>
        <v>Erreur choix SIM</v>
      </c>
      <c r="L38" s="721"/>
      <c r="M38" s="721"/>
      <c r="N38" s="739" t="e">
        <f>Montant_PrimeCC_Def</f>
        <v>#VALUE!</v>
      </c>
      <c r="O38" s="748"/>
      <c r="P38" s="763"/>
      <c r="Q38" s="770" t="s">
        <v>117</v>
      </c>
      <c r="R38" s="770"/>
      <c r="S38" s="770"/>
      <c r="T38" s="770"/>
      <c r="U38" s="770"/>
      <c r="V38" s="771"/>
    </row>
    <row r="39" spans="6:22" ht="15" customHeight="1" thickBot="1" x14ac:dyDescent="0.3">
      <c r="F39" s="825" t="s">
        <v>597</v>
      </c>
      <c r="G39" s="826"/>
      <c r="H39" s="722"/>
      <c r="I39" s="793"/>
      <c r="J39" s="794"/>
      <c r="K39" s="740" t="str">
        <f>Montant_AideCC_Prev</f>
        <v>Erreur choix SIM</v>
      </c>
      <c r="L39" s="722"/>
      <c r="M39" s="722"/>
      <c r="N39" s="741">
        <f>Montant_AideCC_Def</f>
        <v>0</v>
      </c>
      <c r="O39" s="748"/>
      <c r="P39" s="762"/>
      <c r="Q39" s="766" t="s">
        <v>117</v>
      </c>
      <c r="R39" s="766"/>
      <c r="S39" s="766"/>
      <c r="T39" s="766"/>
      <c r="U39" s="766"/>
      <c r="V39" s="767"/>
    </row>
    <row r="40" spans="6:22" ht="15" customHeight="1" x14ac:dyDescent="0.25">
      <c r="F40" s="831" t="s">
        <v>345</v>
      </c>
      <c r="G40" s="832"/>
      <c r="H40" s="797" t="s">
        <v>344</v>
      </c>
      <c r="I40" s="798"/>
      <c r="J40" s="798"/>
      <c r="K40" s="835" t="s">
        <v>343</v>
      </c>
      <c r="L40" s="836"/>
      <c r="M40" s="827" t="e">
        <f>IF(AND(Sim_Retenue=1,PROJET!G47&lt;&gt;0),IF(AND(Anah_Date_Solde&lt;&gt;0,Date_Demande_Participation&lt;&gt;0),"Soldé",""),IF(AND(Sim_Retenue=2,PROJET!H47&lt;&gt;0),IF(AND(Anah_Date_Solde&lt;&gt;0,Date_Demande_Participation&lt;&gt;0),"Soldé",""),IF(ISBLANK(Anah_Date_Solde),"","Soldé")))</f>
        <v>#VALUE!</v>
      </c>
      <c r="N40" s="828"/>
      <c r="O40" s="748"/>
      <c r="P40" s="761" t="s">
        <v>428</v>
      </c>
      <c r="Q40" s="768" t="s">
        <v>117</v>
      </c>
      <c r="R40" s="768"/>
      <c r="S40" s="768"/>
      <c r="T40" s="768"/>
      <c r="U40" s="768"/>
      <c r="V40" s="769"/>
    </row>
    <row r="41" spans="6:22" ht="15" customHeight="1" thickBot="1" x14ac:dyDescent="0.3">
      <c r="F41" s="833"/>
      <c r="G41" s="834"/>
      <c r="H41" s="795"/>
      <c r="I41" s="796"/>
      <c r="J41" s="794"/>
      <c r="K41" s="837" t="e">
        <f>N38/2</f>
        <v>#VALUE!</v>
      </c>
      <c r="L41" s="838"/>
      <c r="M41" s="829"/>
      <c r="N41" s="830"/>
      <c r="O41" s="748"/>
      <c r="P41" s="762"/>
      <c r="Q41" s="766" t="s">
        <v>117</v>
      </c>
      <c r="R41" s="766"/>
      <c r="S41" s="766"/>
      <c r="T41" s="766"/>
      <c r="U41" s="766"/>
      <c r="V41" s="767"/>
    </row>
    <row r="42" spans="6:22" ht="15" customHeight="1" x14ac:dyDescent="0.25">
      <c r="F42" s="780" t="s">
        <v>422</v>
      </c>
      <c r="G42" s="781"/>
      <c r="H42" s="781"/>
      <c r="I42" s="781"/>
      <c r="J42" s="781"/>
      <c r="K42" s="781"/>
      <c r="L42" s="781"/>
      <c r="M42" s="781"/>
      <c r="N42" s="782"/>
      <c r="Q42" s="484"/>
    </row>
    <row r="43" spans="6:22" ht="15" customHeight="1" x14ac:dyDescent="0.25">
      <c r="F43" s="776"/>
      <c r="G43" s="772"/>
      <c r="H43" s="772"/>
      <c r="I43" s="772"/>
      <c r="J43" s="772"/>
      <c r="K43" s="772"/>
      <c r="L43" s="772"/>
      <c r="M43" s="772"/>
      <c r="N43" s="773"/>
      <c r="P43" s="483" t="s">
        <v>117</v>
      </c>
    </row>
    <row r="44" spans="6:22" ht="15" customHeight="1" x14ac:dyDescent="0.25">
      <c r="F44" s="776"/>
      <c r="G44" s="772"/>
      <c r="H44" s="772"/>
      <c r="I44" s="772"/>
      <c r="J44" s="772"/>
      <c r="K44" s="772"/>
      <c r="L44" s="772"/>
      <c r="M44" s="772"/>
      <c r="N44" s="773"/>
      <c r="P44" s="483" t="s">
        <v>117</v>
      </c>
    </row>
    <row r="45" spans="6:22" ht="15" customHeight="1" x14ac:dyDescent="0.25">
      <c r="F45" s="776"/>
      <c r="G45" s="772"/>
      <c r="H45" s="772"/>
      <c r="I45" s="772"/>
      <c r="J45" s="772"/>
      <c r="K45" s="772"/>
      <c r="L45" s="772"/>
      <c r="M45" s="772"/>
      <c r="N45" s="773"/>
      <c r="P45" s="483" t="s">
        <v>117</v>
      </c>
      <c r="Q45" s="499"/>
    </row>
    <row r="46" spans="6:22" ht="15" customHeight="1" x14ac:dyDescent="0.25">
      <c r="F46" s="776"/>
      <c r="G46" s="772"/>
      <c r="H46" s="772"/>
      <c r="I46" s="772"/>
      <c r="J46" s="772"/>
      <c r="K46" s="772"/>
      <c r="L46" s="772"/>
      <c r="M46" s="772"/>
      <c r="N46" s="773"/>
      <c r="P46" s="483" t="s">
        <v>117</v>
      </c>
      <c r="Q46" s="499"/>
    </row>
    <row r="47" spans="6:22" ht="15" customHeight="1" x14ac:dyDescent="0.25">
      <c r="F47" s="776"/>
      <c r="G47" s="772"/>
      <c r="H47" s="772"/>
      <c r="I47" s="772"/>
      <c r="J47" s="772"/>
      <c r="K47" s="772"/>
      <c r="L47" s="772"/>
      <c r="M47" s="772"/>
      <c r="N47" s="773"/>
      <c r="P47" s="483" t="s">
        <v>117</v>
      </c>
    </row>
    <row r="48" spans="6:22" ht="15" customHeight="1" x14ac:dyDescent="0.25">
      <c r="F48" s="776"/>
      <c r="G48" s="772"/>
      <c r="H48" s="772"/>
      <c r="I48" s="772"/>
      <c r="J48" s="772"/>
      <c r="K48" s="772"/>
      <c r="L48" s="772"/>
      <c r="M48" s="772"/>
      <c r="N48" s="773"/>
      <c r="P48" s="483" t="s">
        <v>117</v>
      </c>
    </row>
    <row r="49" spans="6:16" ht="15" customHeight="1" thickBot="1" x14ac:dyDescent="0.3">
      <c r="F49" s="777"/>
      <c r="G49" s="778"/>
      <c r="H49" s="778"/>
      <c r="I49" s="778"/>
      <c r="J49" s="778"/>
      <c r="K49" s="778"/>
      <c r="L49" s="778"/>
      <c r="M49" s="778"/>
      <c r="N49" s="779"/>
      <c r="P49" s="483" t="s">
        <v>117</v>
      </c>
    </row>
    <row r="50" spans="6:16" x14ac:dyDescent="0.25">
      <c r="F50" s="456" t="s">
        <v>324</v>
      </c>
      <c r="G50" s="709" t="s">
        <v>36</v>
      </c>
      <c r="H50" s="774" t="s">
        <v>430</v>
      </c>
      <c r="I50" s="774"/>
      <c r="J50" s="774"/>
      <c r="K50" s="774"/>
      <c r="L50" s="774"/>
      <c r="M50" s="774"/>
      <c r="N50" s="775"/>
      <c r="P50" s="483" t="s">
        <v>117</v>
      </c>
    </row>
    <row r="51" spans="6:16" x14ac:dyDescent="0.25">
      <c r="F51" s="710"/>
      <c r="G51" s="708"/>
      <c r="H51" s="772"/>
      <c r="I51" s="772"/>
      <c r="J51" s="772"/>
      <c r="K51" s="772"/>
      <c r="L51" s="772"/>
      <c r="M51" s="772"/>
      <c r="N51" s="773"/>
      <c r="P51" s="483" t="s">
        <v>117</v>
      </c>
    </row>
    <row r="52" spans="6:16" x14ac:dyDescent="0.25">
      <c r="F52" s="710"/>
      <c r="G52" s="708"/>
      <c r="H52" s="772"/>
      <c r="I52" s="772"/>
      <c r="J52" s="772"/>
      <c r="K52" s="772"/>
      <c r="L52" s="772"/>
      <c r="M52" s="772"/>
      <c r="N52" s="773"/>
      <c r="P52" s="483" t="s">
        <v>117</v>
      </c>
    </row>
    <row r="53" spans="6:16" x14ac:dyDescent="0.25">
      <c r="F53" s="710"/>
      <c r="G53" s="708"/>
      <c r="H53" s="772"/>
      <c r="I53" s="772"/>
      <c r="J53" s="772"/>
      <c r="K53" s="772"/>
      <c r="L53" s="772"/>
      <c r="M53" s="772"/>
      <c r="N53" s="773"/>
      <c r="P53" s="483" t="s">
        <v>117</v>
      </c>
    </row>
    <row r="54" spans="6:16" ht="15.75" thickBot="1" x14ac:dyDescent="0.3">
      <c r="F54" s="711"/>
      <c r="G54" s="712"/>
      <c r="H54" s="778"/>
      <c r="I54" s="778"/>
      <c r="J54" s="778"/>
      <c r="K54" s="778"/>
      <c r="L54" s="778"/>
      <c r="M54" s="778"/>
      <c r="N54" s="779"/>
      <c r="P54" s="483" t="s">
        <v>117</v>
      </c>
    </row>
    <row r="55" spans="6:16" x14ac:dyDescent="0.25">
      <c r="F55" s="493"/>
      <c r="G55" s="494"/>
      <c r="H55" s="494"/>
      <c r="I55" s="494"/>
      <c r="J55" s="494"/>
      <c r="K55" s="494"/>
      <c r="L55" s="494"/>
      <c r="M55" s="494"/>
      <c r="N55" s="495"/>
      <c r="P55" s="483" t="s">
        <v>117</v>
      </c>
    </row>
    <row r="56" spans="6:16" ht="15.75" thickBot="1" x14ac:dyDescent="0.3">
      <c r="F56" s="450"/>
      <c r="G56" s="451"/>
      <c r="H56" s="451"/>
      <c r="I56" s="451"/>
      <c r="J56" s="451"/>
      <c r="K56" s="451"/>
      <c r="L56" s="451"/>
      <c r="M56" s="451"/>
      <c r="N56" s="452"/>
      <c r="P56" s="483" t="s">
        <v>117</v>
      </c>
    </row>
  </sheetData>
  <sheetProtection autoFilter="0"/>
  <customSheetViews>
    <customSheetView guid="{A63F3AF0-420C-4EB7-9C04-DE4CC40F156A}" printArea="1">
      <selection activeCell="K28" sqref="K28"/>
      <pageMargins left="0.25" right="0.25" top="0.75" bottom="0.75" header="0.3" footer="0.3"/>
      <printOptions verticalCentered="1"/>
      <pageSetup paperSize="8" orientation="landscape" verticalDpi="4294967293" r:id="rId1"/>
    </customSheetView>
  </customSheetViews>
  <mergeCells count="154">
    <mergeCell ref="Q19:V19"/>
    <mergeCell ref="Q18:V18"/>
    <mergeCell ref="Q17:V17"/>
    <mergeCell ref="Q16:V16"/>
    <mergeCell ref="Q15:V15"/>
    <mergeCell ref="Q14:V14"/>
    <mergeCell ref="Q13:V13"/>
    <mergeCell ref="Q12:V12"/>
    <mergeCell ref="Q2:V2"/>
    <mergeCell ref="Q3:V3"/>
    <mergeCell ref="Q4:V4"/>
    <mergeCell ref="Q5:V5"/>
    <mergeCell ref="Q6:V6"/>
    <mergeCell ref="Q7:V7"/>
    <mergeCell ref="Q8:V8"/>
    <mergeCell ref="Q9:V9"/>
    <mergeCell ref="Q10:V10"/>
    <mergeCell ref="Q11:V11"/>
    <mergeCell ref="Q29:V29"/>
    <mergeCell ref="Q28:V28"/>
    <mergeCell ref="Q27:V27"/>
    <mergeCell ref="Q25:V25"/>
    <mergeCell ref="Q24:V24"/>
    <mergeCell ref="Q23:V23"/>
    <mergeCell ref="Q22:V22"/>
    <mergeCell ref="Q21:V21"/>
    <mergeCell ref="Q20:V20"/>
    <mergeCell ref="M17:N17"/>
    <mergeCell ref="M18:N18"/>
    <mergeCell ref="M19:N19"/>
    <mergeCell ref="M4:N4"/>
    <mergeCell ref="M5:N5"/>
    <mergeCell ref="M7:N7"/>
    <mergeCell ref="M8:N8"/>
    <mergeCell ref="K3:L3"/>
    <mergeCell ref="K4:L4"/>
    <mergeCell ref="K6:L6"/>
    <mergeCell ref="G4:I4"/>
    <mergeCell ref="F14:G14"/>
    <mergeCell ref="H14:I14"/>
    <mergeCell ref="H23:I23"/>
    <mergeCell ref="F10:F11"/>
    <mergeCell ref="G27:G28"/>
    <mergeCell ref="H1:K1"/>
    <mergeCell ref="H22:I22"/>
    <mergeCell ref="H12:I12"/>
    <mergeCell ref="H13:I13"/>
    <mergeCell ref="G17:I17"/>
    <mergeCell ref="K2:L2"/>
    <mergeCell ref="J2:J8"/>
    <mergeCell ref="G8:I8"/>
    <mergeCell ref="G9:I9"/>
    <mergeCell ref="G3:I3"/>
    <mergeCell ref="G18:I18"/>
    <mergeCell ref="F15:G15"/>
    <mergeCell ref="H15:I15"/>
    <mergeCell ref="F2:I2"/>
    <mergeCell ref="F5:F6"/>
    <mergeCell ref="G5:I5"/>
    <mergeCell ref="G6:I6"/>
    <mergeCell ref="G7:I7"/>
    <mergeCell ref="F30:F31"/>
    <mergeCell ref="I34:K34"/>
    <mergeCell ref="I35:K35"/>
    <mergeCell ref="F32:F33"/>
    <mergeCell ref="J16:J19"/>
    <mergeCell ref="G19:I19"/>
    <mergeCell ref="F25:G25"/>
    <mergeCell ref="I27:J27"/>
    <mergeCell ref="I29:J29"/>
    <mergeCell ref="I28:J28"/>
    <mergeCell ref="I30:J30"/>
    <mergeCell ref="I26:K26"/>
    <mergeCell ref="G10:I10"/>
    <mergeCell ref="G11:I11"/>
    <mergeCell ref="K7:L7"/>
    <mergeCell ref="K8:L8"/>
    <mergeCell ref="F12:G12"/>
    <mergeCell ref="F13:G13"/>
    <mergeCell ref="H16:I16"/>
    <mergeCell ref="G20:I20"/>
    <mergeCell ref="H25:I25"/>
    <mergeCell ref="H54:N54"/>
    <mergeCell ref="K5:L5"/>
    <mergeCell ref="M36:N36"/>
    <mergeCell ref="K36:K37"/>
    <mergeCell ref="L36:L37"/>
    <mergeCell ref="G21:I21"/>
    <mergeCell ref="K20:K25"/>
    <mergeCell ref="F38:G38"/>
    <mergeCell ref="F39:G39"/>
    <mergeCell ref="M40:N41"/>
    <mergeCell ref="F40:G41"/>
    <mergeCell ref="K40:L40"/>
    <mergeCell ref="K41:L41"/>
    <mergeCell ref="H34:H35"/>
    <mergeCell ref="M34:N34"/>
    <mergeCell ref="M35:N35"/>
    <mergeCell ref="F34:F35"/>
    <mergeCell ref="G34:G35"/>
    <mergeCell ref="F47:N47"/>
    <mergeCell ref="M6:N6"/>
    <mergeCell ref="F16:G16"/>
    <mergeCell ref="F27:F29"/>
    <mergeCell ref="H52:N52"/>
    <mergeCell ref="H30:H31"/>
    <mergeCell ref="H53:N53"/>
    <mergeCell ref="P34:P35"/>
    <mergeCell ref="P36:P39"/>
    <mergeCell ref="J20:J25"/>
    <mergeCell ref="H50:N50"/>
    <mergeCell ref="H51:N51"/>
    <mergeCell ref="F48:N48"/>
    <mergeCell ref="F49:N49"/>
    <mergeCell ref="F42:N42"/>
    <mergeCell ref="F43:N43"/>
    <mergeCell ref="F44:N44"/>
    <mergeCell ref="F45:N45"/>
    <mergeCell ref="F46:N46"/>
    <mergeCell ref="H24:I24"/>
    <mergeCell ref="I36:J37"/>
    <mergeCell ref="G30:G31"/>
    <mergeCell ref="I38:J38"/>
    <mergeCell ref="I39:J39"/>
    <mergeCell ref="H41:J41"/>
    <mergeCell ref="H40:J40"/>
    <mergeCell ref="H36:H37"/>
    <mergeCell ref="I32:J33"/>
    <mergeCell ref="I31:J31"/>
    <mergeCell ref="F36:G37"/>
    <mergeCell ref="P1:V1"/>
    <mergeCell ref="O2:O41"/>
    <mergeCell ref="J9:N9"/>
    <mergeCell ref="J10:N10"/>
    <mergeCell ref="J11:K11"/>
    <mergeCell ref="L11:N11"/>
    <mergeCell ref="J12:J15"/>
    <mergeCell ref="P40:P41"/>
    <mergeCell ref="P27:P29"/>
    <mergeCell ref="P30:P31"/>
    <mergeCell ref="P32:P33"/>
    <mergeCell ref="N12:N15"/>
    <mergeCell ref="Q41:V41"/>
    <mergeCell ref="Q40:V40"/>
    <mergeCell ref="Q39:V39"/>
    <mergeCell ref="Q38:V38"/>
    <mergeCell ref="Q37:V37"/>
    <mergeCell ref="Q36:V36"/>
    <mergeCell ref="Q35:V35"/>
    <mergeCell ref="Q34:V34"/>
    <mergeCell ref="Q33:V33"/>
    <mergeCell ref="Q32:V32"/>
    <mergeCell ref="Q31:V31"/>
    <mergeCell ref="Q30:V30"/>
  </mergeCells>
  <dataValidations count="5">
    <dataValidation type="list" allowBlank="1" showInputMessage="1" showErrorMessage="1" sqref="M1" xr:uid="{00000000-0002-0000-0100-000000000000}">
      <formula1>Liste_CC</formula1>
    </dataValidation>
    <dataValidation type="list" allowBlank="1" showInputMessage="1" showErrorMessage="1" sqref="G8:I8" xr:uid="{00000000-0002-0000-0100-000001000000}">
      <formula1>INDIRECT(CC_Nom)</formula1>
    </dataValidation>
    <dataValidation type="date" allowBlank="1" showInputMessage="1" showErrorMessage="1" sqref="H41:J41" xr:uid="{00000000-0002-0000-0100-000002000000}">
      <formula1>43831</formula1>
      <formula2>46387</formula2>
    </dataValidation>
    <dataValidation type="whole" allowBlank="1" showInputMessage="1" showErrorMessage="1" sqref="G7:I7" xr:uid="{00000000-0002-0000-0100-000003000000}">
      <formula1>81000</formula1>
      <formula2>81999</formula2>
    </dataValidation>
    <dataValidation type="date" allowBlank="1" showInputMessage="1" showErrorMessage="1" sqref="M20:M25" xr:uid="{00000000-0002-0000-0100-000004000000}">
      <formula1>43831</formula1>
      <formula2>46022</formula2>
    </dataValidation>
  </dataValidations>
  <printOptions verticalCentered="1"/>
  <pageMargins left="8.6614173228346463" right="3.937007874015748E-2" top="0.74803149606299213" bottom="0.74803149606299213" header="0.31496062992125984" footer="0.31496062992125984"/>
  <pageSetup paperSize="8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76" r:id="rId5" name="Button 12">
              <controlPr defaultSize="0" print="0" autoFill="0" autoPict="0" macro="[0]!Feuil1.Cellules">
                <anchor moveWithCells="1" sizeWithCells="1">
                  <from>
                    <xdr:col>18</xdr:col>
                    <xdr:colOff>66675</xdr:colOff>
                    <xdr:row>46</xdr:row>
                    <xdr:rowOff>0</xdr:rowOff>
                  </from>
                  <to>
                    <xdr:col>19</xdr:col>
                    <xdr:colOff>228600</xdr:colOff>
                    <xdr:row>47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5">
        <x14:dataValidation type="list" allowBlank="1" showInputMessage="1" showErrorMessage="1" xr:uid="{00000000-0002-0000-0100-000005000000}">
          <x14:formula1>
            <xm:f>B_D!$E$42:$E$46</xm:f>
          </x14:formula1>
          <xm:sqref>H14:I14 H24:I24</xm:sqref>
        </x14:dataValidation>
        <x14:dataValidation type="list" allowBlank="1" showInputMessage="1" showErrorMessage="1" xr:uid="{00000000-0002-0000-0100-000006000000}">
          <x14:formula1>
            <xm:f>B_D!$C$5:$C$6</xm:f>
          </x14:formula1>
          <xm:sqref>G1</xm:sqref>
        </x14:dataValidation>
        <x14:dataValidation type="list" allowBlank="1" showInputMessage="1" showErrorMessage="1" xr:uid="{00000000-0002-0000-0100-000007000000}">
          <x14:formula1>
            <xm:f>B_D!$A$33:$A$37</xm:f>
          </x14:formula1>
          <xm:sqref>H16:I16</xm:sqref>
        </x14:dataValidation>
        <x14:dataValidation type="list" allowBlank="1" showInputMessage="1" showErrorMessage="1" xr:uid="{00000000-0002-0000-0100-000008000000}">
          <x14:formula1>
            <xm:f>B_D!$A$40:$A$42</xm:f>
          </x14:formula1>
          <xm:sqref>M5</xm:sqref>
        </x14:dataValidation>
        <x14:dataValidation type="list" allowBlank="1" showInputMessage="1" showErrorMessage="1" xr:uid="{00000000-0002-0000-0100-000009000000}">
          <x14:formula1>
            <xm:f>B_D!$A$55:$A$61</xm:f>
          </x14:formula1>
          <xm:sqref>M19</xm:sqref>
        </x14:dataValidation>
        <x14:dataValidation type="list" allowBlank="1" showInputMessage="1" showErrorMessage="1" xr:uid="{00000000-0002-0000-0100-00000A000000}">
          <x14:formula1>
            <xm:f>B_D!$E$30:$E$31</xm:f>
          </x14:formula1>
          <xm:sqref>G30:G31 M8:N8</xm:sqref>
        </x14:dataValidation>
        <x14:dataValidation type="list" allowBlank="1" showInputMessage="1" showErrorMessage="1" xr:uid="{00000000-0002-0000-0100-00000B000000}">
          <x14:formula1>
            <xm:f>B_D!$E$38:$E$39</xm:f>
          </x14:formula1>
          <xm:sqref>G32</xm:sqref>
        </x14:dataValidation>
        <x14:dataValidation type="list" allowBlank="1" showInputMessage="1" showErrorMessage="1" xr:uid="{00000000-0002-0000-0100-00000C000000}">
          <x14:formula1>
            <xm:f>B_D!$F$38:$F$39</xm:f>
          </x14:formula1>
          <xm:sqref>G33</xm:sqref>
        </x14:dataValidation>
        <x14:dataValidation type="list" allowBlank="1" showInputMessage="1" showErrorMessage="1" xr:uid="{00000000-0002-0000-0100-00000D000000}">
          <x14:formula1>
            <xm:f>B_D!$E$34:$E$35</xm:f>
          </x14:formula1>
          <xm:sqref>G34:G35</xm:sqref>
        </x14:dataValidation>
        <x14:dataValidation type="list" allowBlank="1" showInputMessage="1" showErrorMessage="1" xr:uid="{00000000-0002-0000-0100-00000E000000}">
          <x14:formula1>
            <xm:f>B_D!$A$64:$A$72</xm:f>
          </x14:formula1>
          <xm:sqref>G27:G28</xm:sqref>
        </x14:dataValidation>
        <x14:dataValidation type="list" allowBlank="1" showInputMessage="1" showErrorMessage="1" xr:uid="{00000000-0002-0000-0100-00000F000000}">
          <x14:formula1>
            <xm:f>B_D!$A$75:$A$77</xm:f>
          </x14:formula1>
          <xm:sqref>N2</xm:sqref>
        </x14:dataValidation>
        <x14:dataValidation type="list" allowBlank="1" showInputMessage="1" showErrorMessage="1" xr:uid="{00000000-0002-0000-0100-000010000000}">
          <x14:formula1>
            <xm:f>B_D!$A$80:$B$80</xm:f>
          </x14:formula1>
          <xm:sqref>L1 N20:N25</xm:sqref>
        </x14:dataValidation>
        <x14:dataValidation type="list" allowBlank="1" showInputMessage="1" showErrorMessage="1" xr:uid="{00000000-0002-0000-0100-000011000000}">
          <x14:formula1>
            <xm:f>B_D!$A$83:$A$87</xm:f>
          </x14:formula1>
          <xm:sqref>G51:G54</xm:sqref>
        </x14:dataValidation>
        <x14:dataValidation type="list" allowBlank="1" showInputMessage="1" showErrorMessage="1" prompt="RP - Résidence principale_x000a_RS - Résidence secondaire_x000a_LV - Logement vacant_x000a_LO - Logement PB occupé_x000a_Autre - Autre" xr:uid="{00000000-0002-0000-0100-000012000000}">
          <x14:formula1>
            <xm:f>B_D!$H$71:$H$75</xm:f>
          </x14:formula1>
          <xm:sqref>M7:N7</xm:sqref>
        </x14:dataValidation>
        <x14:dataValidation type="list" allowBlank="1" showInputMessage="1" showErrorMessage="1" xr:uid="{00000000-0002-0000-0100-000013000000}">
          <x14:formula1>
            <xm:f>B_D!$A$45:$A$53</xm:f>
          </x14:formula1>
          <xm:sqref>M17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P30"/>
  <sheetViews>
    <sheetView zoomScale="85" zoomScaleNormal="85" workbookViewId="0">
      <selection activeCell="A32" sqref="A32:E35"/>
    </sheetView>
  </sheetViews>
  <sheetFormatPr baseColWidth="10" defaultRowHeight="15" x14ac:dyDescent="0.25"/>
  <cols>
    <col min="1" max="10" width="11.42578125" style="448"/>
    <col min="11" max="11" width="67.28515625" style="448" bestFit="1" customWidth="1"/>
    <col min="12" max="14" width="11.42578125" style="448"/>
    <col min="15" max="15" width="67.28515625" style="448" bestFit="1" customWidth="1"/>
    <col min="16" max="16384" width="11.42578125" style="448"/>
  </cols>
  <sheetData>
    <row r="1" spans="1:16" ht="24" thickBot="1" x14ac:dyDescent="0.3">
      <c r="A1" s="922" t="s">
        <v>352</v>
      </c>
      <c r="B1" s="922"/>
      <c r="C1" s="922"/>
      <c r="D1" s="922"/>
      <c r="E1" s="922"/>
      <c r="F1" s="922"/>
      <c r="G1" s="922"/>
      <c r="H1" s="922"/>
      <c r="I1" s="922"/>
      <c r="J1" s="922"/>
      <c r="K1" s="922"/>
      <c r="L1" s="485"/>
      <c r="M1" s="485"/>
      <c r="N1" s="485"/>
      <c r="O1" s="485"/>
      <c r="P1" s="485"/>
    </row>
    <row r="2" spans="1:16" ht="15.75" customHeight="1" x14ac:dyDescent="0.25">
      <c r="A2" s="928" t="s">
        <v>357</v>
      </c>
      <c r="B2" s="289" t="s">
        <v>353</v>
      </c>
      <c r="C2" s="290"/>
      <c r="D2" s="290"/>
      <c r="E2" s="290"/>
      <c r="F2" s="290"/>
      <c r="G2" s="290"/>
      <c r="H2" s="290"/>
      <c r="I2" s="923" t="e">
        <f>Devis1_Nom_Entreprise</f>
        <v>#N/A</v>
      </c>
      <c r="J2" s="926" t="s">
        <v>421</v>
      </c>
      <c r="K2" s="927"/>
      <c r="L2" s="485"/>
      <c r="M2" s="923" t="e">
        <f>Devis5_Nom_Entreprise</f>
        <v>#N/A</v>
      </c>
      <c r="N2" s="926" t="s">
        <v>421</v>
      </c>
      <c r="O2" s="927"/>
      <c r="P2" s="485"/>
    </row>
    <row r="3" spans="1:16" ht="15.75" customHeight="1" x14ac:dyDescent="0.25">
      <c r="A3" s="928"/>
      <c r="B3" s="291" t="s">
        <v>354</v>
      </c>
      <c r="C3" s="290"/>
      <c r="D3" s="290"/>
      <c r="E3" s="290"/>
      <c r="F3" s="290"/>
      <c r="G3" s="290"/>
      <c r="H3" s="290"/>
      <c r="I3" s="924"/>
      <c r="J3" s="505"/>
      <c r="K3" s="446" t="s">
        <v>360</v>
      </c>
      <c r="L3" s="485"/>
      <c r="M3" s="924"/>
      <c r="N3" s="505"/>
      <c r="O3" s="446" t="s">
        <v>360</v>
      </c>
      <c r="P3" s="485"/>
    </row>
    <row r="4" spans="1:16" ht="15.75" x14ac:dyDescent="0.25">
      <c r="A4" s="505"/>
      <c r="B4" s="292" t="s">
        <v>374</v>
      </c>
      <c r="C4" s="290"/>
      <c r="D4" s="290"/>
      <c r="E4" s="290"/>
      <c r="F4" s="290"/>
      <c r="G4" s="290"/>
      <c r="H4" s="290"/>
      <c r="I4" s="924"/>
      <c r="J4" s="505"/>
      <c r="K4" s="446" t="s">
        <v>361</v>
      </c>
      <c r="L4" s="485"/>
      <c r="M4" s="924"/>
      <c r="N4" s="505"/>
      <c r="O4" s="446" t="s">
        <v>361</v>
      </c>
      <c r="P4" s="485"/>
    </row>
    <row r="5" spans="1:16" ht="15.75" x14ac:dyDescent="0.25">
      <c r="A5" s="505"/>
      <c r="B5" s="292" t="s">
        <v>359</v>
      </c>
      <c r="C5" s="290"/>
      <c r="D5" s="290"/>
      <c r="E5" s="290"/>
      <c r="F5" s="290"/>
      <c r="G5" s="290"/>
      <c r="H5" s="290"/>
      <c r="I5" s="924"/>
      <c r="J5" s="505"/>
      <c r="K5" s="446" t="s">
        <v>362</v>
      </c>
      <c r="L5" s="485"/>
      <c r="M5" s="924"/>
      <c r="N5" s="505"/>
      <c r="O5" s="446" t="s">
        <v>362</v>
      </c>
      <c r="P5" s="485"/>
    </row>
    <row r="6" spans="1:16" ht="15.75" x14ac:dyDescent="0.25">
      <c r="A6" s="505"/>
      <c r="B6" s="292" t="s">
        <v>375</v>
      </c>
      <c r="C6" s="290"/>
      <c r="D6" s="290"/>
      <c r="E6" s="290"/>
      <c r="F6" s="290"/>
      <c r="G6" s="290"/>
      <c r="H6" s="290"/>
      <c r="I6" s="924"/>
      <c r="J6" s="505"/>
      <c r="K6" s="446" t="s">
        <v>363</v>
      </c>
      <c r="L6" s="485"/>
      <c r="M6" s="924"/>
      <c r="N6" s="505"/>
      <c r="O6" s="446" t="s">
        <v>363</v>
      </c>
      <c r="P6" s="485"/>
    </row>
    <row r="7" spans="1:16" ht="16.5" thickBot="1" x14ac:dyDescent="0.3">
      <c r="A7" s="505"/>
      <c r="B7" s="292" t="s">
        <v>376</v>
      </c>
      <c r="C7" s="290"/>
      <c r="D7" s="290"/>
      <c r="E7" s="290"/>
      <c r="F7" s="290"/>
      <c r="G7" s="290"/>
      <c r="H7" s="290"/>
      <c r="I7" s="925"/>
      <c r="J7" s="507"/>
      <c r="K7" s="447" t="s">
        <v>364</v>
      </c>
      <c r="L7" s="485"/>
      <c r="M7" s="925"/>
      <c r="N7" s="507"/>
      <c r="O7" s="447" t="s">
        <v>364</v>
      </c>
      <c r="P7" s="485"/>
    </row>
    <row r="8" spans="1:16" ht="16.5" thickBot="1" x14ac:dyDescent="0.3">
      <c r="A8" s="505"/>
      <c r="B8" s="292" t="s">
        <v>377</v>
      </c>
      <c r="C8" s="290"/>
      <c r="D8" s="290"/>
      <c r="E8" s="290"/>
      <c r="F8" s="290"/>
      <c r="G8" s="290"/>
      <c r="H8" s="290"/>
      <c r="I8" s="485"/>
      <c r="J8" s="290"/>
      <c r="K8" s="485"/>
      <c r="L8" s="485"/>
      <c r="M8" s="485"/>
      <c r="N8" s="290"/>
      <c r="O8" s="485"/>
      <c r="P8" s="485"/>
    </row>
    <row r="9" spans="1:16" ht="15.75" x14ac:dyDescent="0.25">
      <c r="A9" s="505"/>
      <c r="B9" s="292" t="s">
        <v>378</v>
      </c>
      <c r="C9" s="290"/>
      <c r="D9" s="290"/>
      <c r="E9" s="290"/>
      <c r="F9" s="290"/>
      <c r="G9" s="290"/>
      <c r="H9" s="290"/>
      <c r="I9" s="923" t="e">
        <f>Devis2_Nom_Entreprise</f>
        <v>#N/A</v>
      </c>
      <c r="J9" s="926" t="s">
        <v>421</v>
      </c>
      <c r="K9" s="927"/>
      <c r="L9" s="485"/>
      <c r="M9" s="923" t="e">
        <f>Devis6_Nom_Entreprise</f>
        <v>#N/A</v>
      </c>
      <c r="N9" s="926" t="s">
        <v>421</v>
      </c>
      <c r="O9" s="927"/>
      <c r="P9" s="485"/>
    </row>
    <row r="10" spans="1:16" ht="15.75" x14ac:dyDescent="0.25">
      <c r="A10" s="505"/>
      <c r="B10" s="292" t="s">
        <v>379</v>
      </c>
      <c r="C10" s="290"/>
      <c r="D10" s="290"/>
      <c r="E10" s="290"/>
      <c r="F10" s="290"/>
      <c r="G10" s="290"/>
      <c r="H10" s="290"/>
      <c r="I10" s="924"/>
      <c r="J10" s="505"/>
      <c r="K10" s="446" t="s">
        <v>360</v>
      </c>
      <c r="L10" s="485"/>
      <c r="M10" s="924"/>
      <c r="N10" s="505"/>
      <c r="O10" s="446" t="s">
        <v>360</v>
      </c>
      <c r="P10" s="485"/>
    </row>
    <row r="11" spans="1:16" ht="15.75" x14ac:dyDescent="0.25">
      <c r="A11" s="505"/>
      <c r="B11" s="291" t="s">
        <v>380</v>
      </c>
      <c r="C11" s="290"/>
      <c r="D11" s="290"/>
      <c r="E11" s="290"/>
      <c r="F11" s="290"/>
      <c r="G11" s="290"/>
      <c r="H11" s="290"/>
      <c r="I11" s="924"/>
      <c r="J11" s="505"/>
      <c r="K11" s="446" t="s">
        <v>361</v>
      </c>
      <c r="L11" s="485"/>
      <c r="M11" s="924"/>
      <c r="N11" s="505"/>
      <c r="O11" s="446" t="s">
        <v>361</v>
      </c>
      <c r="P11" s="485"/>
    </row>
    <row r="12" spans="1:16" ht="15.75" x14ac:dyDescent="0.25">
      <c r="A12" s="505"/>
      <c r="B12" s="292" t="s">
        <v>358</v>
      </c>
      <c r="C12" s="290"/>
      <c r="D12" s="290"/>
      <c r="E12" s="290"/>
      <c r="F12" s="290"/>
      <c r="G12" s="290"/>
      <c r="H12" s="290"/>
      <c r="I12" s="924"/>
      <c r="J12" s="505"/>
      <c r="K12" s="446" t="s">
        <v>362</v>
      </c>
      <c r="L12" s="485"/>
      <c r="M12" s="924"/>
      <c r="N12" s="505"/>
      <c r="O12" s="446" t="s">
        <v>362</v>
      </c>
      <c r="P12" s="485"/>
    </row>
    <row r="13" spans="1:16" ht="15.75" x14ac:dyDescent="0.25">
      <c r="A13" s="505"/>
      <c r="B13" s="292" t="s">
        <v>359</v>
      </c>
      <c r="C13" s="290"/>
      <c r="D13" s="290"/>
      <c r="E13" s="290"/>
      <c r="F13" s="290"/>
      <c r="G13" s="290"/>
      <c r="H13" s="290"/>
      <c r="I13" s="924"/>
      <c r="J13" s="505"/>
      <c r="K13" s="446" t="s">
        <v>363</v>
      </c>
      <c r="L13" s="485"/>
      <c r="M13" s="924"/>
      <c r="N13" s="505"/>
      <c r="O13" s="446" t="s">
        <v>363</v>
      </c>
      <c r="P13" s="485"/>
    </row>
    <row r="14" spans="1:16" ht="16.5" thickBot="1" x14ac:dyDescent="0.3">
      <c r="A14" s="506"/>
      <c r="B14" s="292"/>
      <c r="C14" s="290"/>
      <c r="D14" s="290"/>
      <c r="E14" s="290"/>
      <c r="F14" s="290"/>
      <c r="G14" s="290"/>
      <c r="H14" s="290"/>
      <c r="I14" s="925"/>
      <c r="J14" s="507"/>
      <c r="K14" s="447" t="s">
        <v>364</v>
      </c>
      <c r="L14" s="485"/>
      <c r="M14" s="925"/>
      <c r="N14" s="507"/>
      <c r="O14" s="447" t="s">
        <v>364</v>
      </c>
      <c r="P14" s="485"/>
    </row>
    <row r="15" spans="1:16" ht="16.5" thickBot="1" x14ac:dyDescent="0.3">
      <c r="A15" s="506"/>
      <c r="B15" s="289" t="s">
        <v>355</v>
      </c>
      <c r="C15" s="290"/>
      <c r="D15" s="290"/>
      <c r="E15" s="290"/>
      <c r="F15" s="290"/>
      <c r="G15" s="290"/>
      <c r="H15" s="290"/>
      <c r="I15" s="485"/>
      <c r="J15" s="485"/>
      <c r="K15" s="485"/>
      <c r="L15" s="485"/>
      <c r="M15" s="485"/>
      <c r="N15" s="485"/>
      <c r="O15" s="485"/>
      <c r="P15" s="485"/>
    </row>
    <row r="16" spans="1:16" ht="15.75" x14ac:dyDescent="0.25">
      <c r="A16" s="505"/>
      <c r="B16" s="292" t="s">
        <v>365</v>
      </c>
      <c r="C16" s="290"/>
      <c r="D16" s="290"/>
      <c r="E16" s="290"/>
      <c r="F16" s="290"/>
      <c r="G16" s="290"/>
      <c r="H16" s="290"/>
      <c r="I16" s="923" t="e">
        <f>Devis3_Nom_Entreprise</f>
        <v>#N/A</v>
      </c>
      <c r="J16" s="926" t="s">
        <v>421</v>
      </c>
      <c r="K16" s="927"/>
      <c r="L16" s="485"/>
      <c r="M16" s="923" t="e">
        <f>Devis7_Nom_Entreprise</f>
        <v>#N/A</v>
      </c>
      <c r="N16" s="926" t="s">
        <v>421</v>
      </c>
      <c r="O16" s="927"/>
      <c r="P16" s="485"/>
    </row>
    <row r="17" spans="1:16" ht="15.75" x14ac:dyDescent="0.25">
      <c r="A17" s="505"/>
      <c r="B17" s="292" t="s">
        <v>366</v>
      </c>
      <c r="C17" s="290"/>
      <c r="D17" s="290"/>
      <c r="E17" s="290"/>
      <c r="F17" s="290"/>
      <c r="G17" s="290"/>
      <c r="H17" s="290"/>
      <c r="I17" s="924"/>
      <c r="J17" s="505"/>
      <c r="K17" s="446" t="s">
        <v>360</v>
      </c>
      <c r="L17" s="485"/>
      <c r="M17" s="924"/>
      <c r="N17" s="505"/>
      <c r="O17" s="446" t="s">
        <v>360</v>
      </c>
      <c r="P17" s="485"/>
    </row>
    <row r="18" spans="1:16" ht="15.75" x14ac:dyDescent="0.25">
      <c r="A18" s="505"/>
      <c r="B18" s="292" t="s">
        <v>367</v>
      </c>
      <c r="C18" s="290"/>
      <c r="D18" s="290"/>
      <c r="E18" s="290"/>
      <c r="F18" s="290"/>
      <c r="G18" s="290"/>
      <c r="H18" s="290"/>
      <c r="I18" s="924"/>
      <c r="J18" s="505"/>
      <c r="K18" s="446" t="s">
        <v>361</v>
      </c>
      <c r="L18" s="485"/>
      <c r="M18" s="924"/>
      <c r="N18" s="505"/>
      <c r="O18" s="446" t="s">
        <v>361</v>
      </c>
      <c r="P18" s="485"/>
    </row>
    <row r="19" spans="1:16" ht="15.75" x14ac:dyDescent="0.25">
      <c r="A19" s="505"/>
      <c r="B19" s="292" t="s">
        <v>368</v>
      </c>
      <c r="C19" s="290"/>
      <c r="D19" s="290"/>
      <c r="E19" s="290"/>
      <c r="F19" s="290"/>
      <c r="G19" s="290"/>
      <c r="H19" s="290"/>
      <c r="I19" s="924"/>
      <c r="J19" s="505"/>
      <c r="K19" s="446" t="s">
        <v>362</v>
      </c>
      <c r="L19" s="485"/>
      <c r="M19" s="924"/>
      <c r="N19" s="505"/>
      <c r="O19" s="446" t="s">
        <v>362</v>
      </c>
      <c r="P19" s="485"/>
    </row>
    <row r="20" spans="1:16" ht="15.75" x14ac:dyDescent="0.25">
      <c r="A20" s="505"/>
      <c r="B20" s="292" t="s">
        <v>369</v>
      </c>
      <c r="C20" s="290"/>
      <c r="D20" s="290"/>
      <c r="E20" s="290"/>
      <c r="F20" s="290"/>
      <c r="G20" s="290"/>
      <c r="H20" s="290"/>
      <c r="I20" s="924"/>
      <c r="J20" s="505"/>
      <c r="K20" s="446" t="s">
        <v>363</v>
      </c>
      <c r="L20" s="485"/>
      <c r="M20" s="924"/>
      <c r="N20" s="505"/>
      <c r="O20" s="446" t="s">
        <v>363</v>
      </c>
      <c r="P20" s="485"/>
    </row>
    <row r="21" spans="1:16" ht="16.5" thickBot="1" x14ac:dyDescent="0.3">
      <c r="A21" s="505"/>
      <c r="B21" s="292" t="s">
        <v>370</v>
      </c>
      <c r="C21" s="290"/>
      <c r="D21" s="290"/>
      <c r="E21" s="290"/>
      <c r="F21" s="290"/>
      <c r="G21" s="290"/>
      <c r="H21" s="290"/>
      <c r="I21" s="925"/>
      <c r="J21" s="507"/>
      <c r="K21" s="447" t="s">
        <v>364</v>
      </c>
      <c r="L21" s="485"/>
      <c r="M21" s="925"/>
      <c r="N21" s="507"/>
      <c r="O21" s="447" t="s">
        <v>364</v>
      </c>
      <c r="P21" s="485"/>
    </row>
    <row r="22" spans="1:16" ht="15.75" thickBot="1" x14ac:dyDescent="0.3">
      <c r="A22" s="506"/>
      <c r="B22" s="296"/>
      <c r="C22" s="290"/>
      <c r="D22" s="290"/>
      <c r="E22" s="290"/>
      <c r="F22" s="290"/>
      <c r="G22" s="290"/>
      <c r="H22" s="290"/>
      <c r="I22" s="485"/>
      <c r="J22" s="485"/>
      <c r="K22" s="485"/>
      <c r="L22" s="485"/>
      <c r="M22" s="485"/>
      <c r="N22" s="485"/>
      <c r="O22" s="485"/>
      <c r="P22" s="485"/>
    </row>
    <row r="23" spans="1:16" ht="15.75" x14ac:dyDescent="0.25">
      <c r="A23" s="506"/>
      <c r="B23" s="289" t="s">
        <v>356</v>
      </c>
      <c r="C23" s="290"/>
      <c r="D23" s="290"/>
      <c r="E23" s="290"/>
      <c r="F23" s="290"/>
      <c r="G23" s="290"/>
      <c r="H23" s="290"/>
      <c r="I23" s="923" t="e">
        <f>Devis4_Nom_Entreprise</f>
        <v>#N/A</v>
      </c>
      <c r="J23" s="926" t="s">
        <v>421</v>
      </c>
      <c r="K23" s="927"/>
      <c r="L23" s="485"/>
      <c r="M23" s="923" t="e">
        <f>Devis8_Nom_Entreprise</f>
        <v>#N/A</v>
      </c>
      <c r="N23" s="926" t="s">
        <v>421</v>
      </c>
      <c r="O23" s="927"/>
      <c r="P23" s="485"/>
    </row>
    <row r="24" spans="1:16" ht="15.75" x14ac:dyDescent="0.25">
      <c r="A24" s="505"/>
      <c r="B24" s="292" t="s">
        <v>371</v>
      </c>
      <c r="C24" s="290"/>
      <c r="D24" s="290"/>
      <c r="E24" s="290"/>
      <c r="F24" s="290"/>
      <c r="G24" s="290"/>
      <c r="H24" s="290"/>
      <c r="I24" s="924"/>
      <c r="J24" s="505"/>
      <c r="K24" s="446" t="s">
        <v>360</v>
      </c>
      <c r="L24" s="485"/>
      <c r="M24" s="924"/>
      <c r="N24" s="505"/>
      <c r="O24" s="446" t="s">
        <v>360</v>
      </c>
      <c r="P24" s="485"/>
    </row>
    <row r="25" spans="1:16" ht="15.75" x14ac:dyDescent="0.25">
      <c r="A25" s="505"/>
      <c r="B25" s="292" t="s">
        <v>372</v>
      </c>
      <c r="C25" s="290"/>
      <c r="D25" s="290"/>
      <c r="E25" s="290"/>
      <c r="F25" s="290"/>
      <c r="G25" s="290"/>
      <c r="H25" s="290"/>
      <c r="I25" s="924"/>
      <c r="J25" s="505"/>
      <c r="K25" s="446" t="s">
        <v>361</v>
      </c>
      <c r="L25" s="485"/>
      <c r="M25" s="924"/>
      <c r="N25" s="505"/>
      <c r="O25" s="446" t="s">
        <v>361</v>
      </c>
      <c r="P25" s="485"/>
    </row>
    <row r="26" spans="1:16" ht="15.75" x14ac:dyDescent="0.25">
      <c r="A26" s="505"/>
      <c r="B26" s="292" t="s">
        <v>373</v>
      </c>
      <c r="C26" s="290"/>
      <c r="D26" s="290"/>
      <c r="E26" s="290"/>
      <c r="F26" s="290"/>
      <c r="G26" s="290"/>
      <c r="H26" s="290"/>
      <c r="I26" s="924"/>
      <c r="J26" s="505"/>
      <c r="K26" s="446" t="s">
        <v>362</v>
      </c>
      <c r="L26" s="485"/>
      <c r="M26" s="924"/>
      <c r="N26" s="505"/>
      <c r="O26" s="446" t="s">
        <v>362</v>
      </c>
      <c r="P26" s="485"/>
    </row>
    <row r="27" spans="1:16" x14ac:dyDescent="0.25">
      <c r="A27" s="485"/>
      <c r="B27" s="485"/>
      <c r="C27" s="485"/>
      <c r="D27" s="485"/>
      <c r="E27" s="485"/>
      <c r="F27" s="485"/>
      <c r="G27" s="485"/>
      <c r="H27" s="485"/>
      <c r="I27" s="924"/>
      <c r="J27" s="505"/>
      <c r="K27" s="446" t="s">
        <v>363</v>
      </c>
      <c r="L27" s="485"/>
      <c r="M27" s="924"/>
      <c r="N27" s="505"/>
      <c r="O27" s="446" t="s">
        <v>363</v>
      </c>
      <c r="P27" s="485"/>
    </row>
    <row r="28" spans="1:16" ht="15.75" thickBot="1" x14ac:dyDescent="0.3">
      <c r="A28" s="485"/>
      <c r="B28" s="485"/>
      <c r="C28" s="485"/>
      <c r="D28" s="485"/>
      <c r="E28" s="485"/>
      <c r="F28" s="485"/>
      <c r="G28" s="485"/>
      <c r="H28" s="485"/>
      <c r="I28" s="925"/>
      <c r="J28" s="507"/>
      <c r="K28" s="447" t="s">
        <v>364</v>
      </c>
      <c r="L28" s="485"/>
      <c r="M28" s="925"/>
      <c r="N28" s="507"/>
      <c r="O28" s="447" t="s">
        <v>364</v>
      </c>
      <c r="P28" s="485"/>
    </row>
    <row r="29" spans="1:16" x14ac:dyDescent="0.25">
      <c r="A29" s="485"/>
      <c r="B29" s="485"/>
      <c r="C29" s="485"/>
      <c r="D29" s="485"/>
      <c r="E29" s="485"/>
      <c r="F29" s="485"/>
      <c r="G29" s="485"/>
      <c r="H29" s="485"/>
      <c r="I29" s="485"/>
      <c r="J29" s="485"/>
      <c r="K29" s="485"/>
      <c r="L29" s="485"/>
      <c r="M29" s="485"/>
      <c r="N29" s="485"/>
      <c r="O29" s="485"/>
      <c r="P29" s="485"/>
    </row>
    <row r="30" spans="1:16" x14ac:dyDescent="0.25">
      <c r="A30" s="485"/>
      <c r="B30" s="485"/>
      <c r="C30" s="485"/>
      <c r="D30" s="485"/>
      <c r="E30" s="485"/>
      <c r="F30" s="485"/>
      <c r="G30" s="485"/>
      <c r="H30" s="485"/>
      <c r="I30" s="485"/>
      <c r="J30" s="485"/>
      <c r="K30" s="485"/>
      <c r="L30" s="485"/>
      <c r="M30" s="485"/>
      <c r="N30" s="485"/>
      <c r="O30" s="485"/>
      <c r="P30" s="485"/>
    </row>
  </sheetData>
  <sheetProtection autoFilter="0"/>
  <mergeCells count="18">
    <mergeCell ref="N2:O2"/>
    <mergeCell ref="I23:I28"/>
    <mergeCell ref="J23:K23"/>
    <mergeCell ref="A2:A3"/>
    <mergeCell ref="I2:I7"/>
    <mergeCell ref="J2:K2"/>
    <mergeCell ref="N9:O9"/>
    <mergeCell ref="N16:O16"/>
    <mergeCell ref="M23:M28"/>
    <mergeCell ref="N23:O23"/>
    <mergeCell ref="A1:K1"/>
    <mergeCell ref="M2:M7"/>
    <mergeCell ref="I9:I14"/>
    <mergeCell ref="J9:K9"/>
    <mergeCell ref="I16:I21"/>
    <mergeCell ref="J16:K16"/>
    <mergeCell ref="M9:M14"/>
    <mergeCell ref="M16:M2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Feuil1.Cellules">
                <anchor moveWithCells="1" sizeWithCells="1">
                  <from>
                    <xdr:col>2</xdr:col>
                    <xdr:colOff>28575</xdr:colOff>
                    <xdr:row>31</xdr:row>
                    <xdr:rowOff>180975</xdr:rowOff>
                  </from>
                  <to>
                    <xdr:col>3</xdr:col>
                    <xdr:colOff>190500</xdr:colOff>
                    <xdr:row>33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O121"/>
  <sheetViews>
    <sheetView showZeros="0" workbookViewId="0">
      <selection activeCell="L20" sqref="L20"/>
    </sheetView>
  </sheetViews>
  <sheetFormatPr baseColWidth="10" defaultRowHeight="15" x14ac:dyDescent="0.25"/>
  <cols>
    <col min="1" max="1" width="11.42578125" style="448"/>
    <col min="2" max="2" width="13.5703125" style="448" bestFit="1" customWidth="1"/>
    <col min="3" max="3" width="14.85546875" style="448" customWidth="1"/>
    <col min="4" max="4" width="6.5703125" style="448" bestFit="1" customWidth="1"/>
    <col min="5" max="5" width="14.85546875" style="448" customWidth="1"/>
    <col min="6" max="6" width="3.5703125" style="448" bestFit="1" customWidth="1"/>
    <col min="7" max="7" width="12.28515625" style="448" bestFit="1" customWidth="1"/>
    <col min="8" max="8" width="11.85546875" style="448" bestFit="1" customWidth="1"/>
    <col min="9" max="10" width="8.42578125" style="448" bestFit="1" customWidth="1"/>
    <col min="11" max="12" width="28" style="448" customWidth="1"/>
    <col min="13" max="13" width="12.28515625" style="448" bestFit="1" customWidth="1"/>
    <col min="14" max="16" width="11.85546875" style="448" bestFit="1" customWidth="1"/>
    <col min="17" max="16384" width="11.42578125" style="448"/>
  </cols>
  <sheetData>
    <row r="1" spans="1:15" ht="15.75" thickBot="1" x14ac:dyDescent="0.3">
      <c r="A1" s="991" t="str">
        <f>IF(Prop_Categorie=PO,"BENEFICIAIRE","PROPRIETAIRE")</f>
        <v>PROPRIETAIRE</v>
      </c>
      <c r="B1" s="992"/>
      <c r="C1" s="992"/>
      <c r="D1" s="993"/>
      <c r="E1" s="991" t="s">
        <v>80</v>
      </c>
      <c r="F1" s="992"/>
      <c r="G1" s="992"/>
      <c r="H1" s="993"/>
      <c r="J1" s="315" t="s">
        <v>81</v>
      </c>
      <c r="K1" s="316" t="s">
        <v>82</v>
      </c>
      <c r="L1" s="316" t="s">
        <v>83</v>
      </c>
      <c r="M1" s="316" t="s">
        <v>186</v>
      </c>
      <c r="N1" s="316" t="s">
        <v>64</v>
      </c>
      <c r="O1" s="317" t="s">
        <v>65</v>
      </c>
    </row>
    <row r="2" spans="1:15" x14ac:dyDescent="0.25">
      <c r="A2" s="318" t="s">
        <v>112</v>
      </c>
      <c r="B2" s="976" t="str">
        <f>Prop_Nom</f>
        <v/>
      </c>
      <c r="C2" s="976"/>
      <c r="D2" s="977"/>
      <c r="E2" s="994" t="s">
        <v>66</v>
      </c>
      <c r="F2" s="995"/>
      <c r="G2" s="319" t="s">
        <v>12</v>
      </c>
      <c r="H2" s="320">
        <f ca="1">SUMIF(M2:O9,"AUTO",N2:N9)</f>
        <v>0</v>
      </c>
      <c r="J2" s="321">
        <v>1</v>
      </c>
      <c r="K2" s="322" t="e">
        <f>Devis1_Nom_Entreprise</f>
        <v>#N/A</v>
      </c>
      <c r="L2" s="322">
        <f>Devis1_Titre_Travaux</f>
        <v>0</v>
      </c>
      <c r="M2" s="323">
        <f>Devis1_Type_Travaux</f>
        <v>0</v>
      </c>
      <c r="N2" s="324">
        <f>Devis1_HT</f>
        <v>0</v>
      </c>
      <c r="O2" s="325">
        <f>Devis1_TTC</f>
        <v>0</v>
      </c>
    </row>
    <row r="3" spans="1:15" ht="15.75" thickBot="1" x14ac:dyDescent="0.3">
      <c r="A3" s="318" t="s">
        <v>113</v>
      </c>
      <c r="B3" s="976" t="str">
        <f>Prop_Prenom</f>
        <v/>
      </c>
      <c r="C3" s="976"/>
      <c r="D3" s="977"/>
      <c r="E3" s="996"/>
      <c r="F3" s="997"/>
      <c r="G3" s="326" t="s">
        <v>13</v>
      </c>
      <c r="H3" s="327">
        <f ca="1">SUMIF(M2:O9,"AUTO",O2:O9)</f>
        <v>0</v>
      </c>
      <c r="J3" s="328">
        <v>2</v>
      </c>
      <c r="K3" s="329" t="e">
        <f>Devis2_Nom_Entreprise</f>
        <v>#N/A</v>
      </c>
      <c r="L3" s="329">
        <f>Devis2_Titre_Travaux</f>
        <v>0</v>
      </c>
      <c r="M3" s="323">
        <f>Devis2_Type_Travaux</f>
        <v>0</v>
      </c>
      <c r="N3" s="330">
        <f>Devis2_HT</f>
        <v>0</v>
      </c>
      <c r="O3" s="331">
        <f>Devis2_TTC</f>
        <v>0</v>
      </c>
    </row>
    <row r="4" spans="1:15" x14ac:dyDescent="0.25">
      <c r="A4" s="975" t="s">
        <v>114</v>
      </c>
      <c r="B4" s="976" t="str">
        <f>Prop_Adresse1</f>
        <v/>
      </c>
      <c r="C4" s="976"/>
      <c r="D4" s="977"/>
      <c r="E4" s="994" t="s">
        <v>298</v>
      </c>
      <c r="F4" s="995"/>
      <c r="G4" s="319" t="s">
        <v>12</v>
      </c>
      <c r="H4" s="320">
        <f ca="1">SUMIF(M2:O9,"ENERGIE",N2:N9)</f>
        <v>0</v>
      </c>
      <c r="J4" s="328">
        <v>3</v>
      </c>
      <c r="K4" s="329" t="e">
        <f>Devis3_Nom_Entreprise</f>
        <v>#N/A</v>
      </c>
      <c r="L4" s="329">
        <f>Devis3_Titre_Travaux</f>
        <v>0</v>
      </c>
      <c r="M4" s="323">
        <f>Devis3_Type_Travaux</f>
        <v>0</v>
      </c>
      <c r="N4" s="330">
        <f>Devis3_HT</f>
        <v>0</v>
      </c>
      <c r="O4" s="331">
        <f>Devis3_TTC</f>
        <v>0</v>
      </c>
    </row>
    <row r="5" spans="1:15" ht="15.75" thickBot="1" x14ac:dyDescent="0.3">
      <c r="A5" s="975"/>
      <c r="B5" s="976" t="str">
        <f>Prop_Adresse2</f>
        <v/>
      </c>
      <c r="C5" s="976"/>
      <c r="D5" s="977"/>
      <c r="E5" s="996"/>
      <c r="F5" s="997"/>
      <c r="G5" s="326" t="s">
        <v>13</v>
      </c>
      <c r="H5" s="327">
        <f ca="1">SUMIF(M2:O9,"ENERGIE",O2:O9)</f>
        <v>0</v>
      </c>
      <c r="J5" s="328">
        <v>4</v>
      </c>
      <c r="K5" s="329" t="e">
        <f>Devis4_Nom_Entreprise</f>
        <v>#N/A</v>
      </c>
      <c r="L5" s="329">
        <f>Devis4_Titre_Travaux</f>
        <v>0</v>
      </c>
      <c r="M5" s="323">
        <f>Devis4_Type_Travaux</f>
        <v>0</v>
      </c>
      <c r="N5" s="330">
        <f>Devis4_HT</f>
        <v>0</v>
      </c>
      <c r="O5" s="331">
        <f>Devis4_TTC</f>
        <v>0</v>
      </c>
    </row>
    <row r="6" spans="1:15" x14ac:dyDescent="0.25">
      <c r="A6" s="318" t="s">
        <v>115</v>
      </c>
      <c r="B6" s="976" t="str">
        <f>Prop_CP</f>
        <v/>
      </c>
      <c r="C6" s="976"/>
      <c r="D6" s="977"/>
      <c r="E6" s="994" t="s">
        <v>188</v>
      </c>
      <c r="F6" s="995"/>
      <c r="G6" s="319" t="s">
        <v>12</v>
      </c>
      <c r="H6" s="320">
        <f ca="1">SUMIF(M2:O9,"TRX_LOURD",N2:N9)</f>
        <v>0</v>
      </c>
      <c r="J6" s="328">
        <v>5</v>
      </c>
      <c r="K6" s="329" t="e">
        <f>Devis5_Nom_Entreprise</f>
        <v>#N/A</v>
      </c>
      <c r="L6" s="329">
        <f>Devis5_Titre_Travaux</f>
        <v>0</v>
      </c>
      <c r="M6" s="323">
        <f>Devis5_Type_Travaux</f>
        <v>0</v>
      </c>
      <c r="N6" s="330">
        <f>Devis5_HT</f>
        <v>0</v>
      </c>
      <c r="O6" s="331">
        <f>Devis5_TTC</f>
        <v>0</v>
      </c>
    </row>
    <row r="7" spans="1:15" ht="15.75" thickBot="1" x14ac:dyDescent="0.3">
      <c r="A7" s="332" t="s">
        <v>116</v>
      </c>
      <c r="B7" s="978" t="str">
        <f>Prop_Ville</f>
        <v/>
      </c>
      <c r="C7" s="978"/>
      <c r="D7" s="979"/>
      <c r="E7" s="996"/>
      <c r="F7" s="997"/>
      <c r="G7" s="326" t="s">
        <v>13</v>
      </c>
      <c r="H7" s="327">
        <f ca="1">SUMIF(M2:O9,"TRX_LOURD",O2:O9)</f>
        <v>0</v>
      </c>
      <c r="J7" s="328">
        <v>6</v>
      </c>
      <c r="K7" s="329" t="e">
        <f>Devis6_Nom_Entreprise</f>
        <v>#N/A</v>
      </c>
      <c r="L7" s="329">
        <f>Devis6_Titre_Travaux</f>
        <v>0</v>
      </c>
      <c r="M7" s="323">
        <f>Devis6_Type_Travaux</f>
        <v>0</v>
      </c>
      <c r="N7" s="330">
        <f>Devis6_HT</f>
        <v>0</v>
      </c>
      <c r="O7" s="331">
        <f>Devis6_TTC</f>
        <v>0</v>
      </c>
    </row>
    <row r="8" spans="1:15" x14ac:dyDescent="0.25">
      <c r="E8" s="994" t="s">
        <v>325</v>
      </c>
      <c r="F8" s="995"/>
      <c r="G8" s="319" t="s">
        <v>12</v>
      </c>
      <c r="H8" s="320">
        <f ca="1">Devis_Recap_Auto_HT+Devis_Recap_NRJ_HT+Devis_Recap_TRX_LOURD_HT</f>
        <v>0</v>
      </c>
      <c r="J8" s="328">
        <v>7</v>
      </c>
      <c r="K8" s="329" t="e">
        <f>Devis7_Nom_Entreprise</f>
        <v>#N/A</v>
      </c>
      <c r="L8" s="329">
        <f>Devis7_Titre_Travaux</f>
        <v>0</v>
      </c>
      <c r="M8" s="323">
        <f>Devis7_Type_Travaux</f>
        <v>0</v>
      </c>
      <c r="N8" s="330">
        <f>Devis7_HT</f>
        <v>0</v>
      </c>
      <c r="O8" s="331">
        <f>Devis7_TTC</f>
        <v>0</v>
      </c>
    </row>
    <row r="9" spans="1:15" ht="15.75" thickBot="1" x14ac:dyDescent="0.3">
      <c r="E9" s="996"/>
      <c r="F9" s="997"/>
      <c r="G9" s="326" t="s">
        <v>13</v>
      </c>
      <c r="H9" s="327">
        <f ca="1">Devis_Recap_NRJ_TTC+Devis_Recap_Auto_TTC+Devis_Recap_TRX_LOURD_TTC</f>
        <v>0</v>
      </c>
      <c r="J9" s="328">
        <v>8</v>
      </c>
      <c r="K9" s="329" t="e">
        <f>Devis8_Nom_Entreprise</f>
        <v>#N/A</v>
      </c>
      <c r="L9" s="329">
        <f>Devis8_Titre_Travaux</f>
        <v>0</v>
      </c>
      <c r="M9" s="323">
        <f>Devis8_Type_Travaux</f>
        <v>0</v>
      </c>
      <c r="N9" s="330">
        <f>Devis8_HT</f>
        <v>0</v>
      </c>
      <c r="O9" s="333">
        <f>Devis8_TTC</f>
        <v>0</v>
      </c>
    </row>
    <row r="10" spans="1:15" ht="15.75" thickBot="1" x14ac:dyDescent="0.3">
      <c r="J10" s="334"/>
      <c r="K10" s="335"/>
      <c r="L10" s="335"/>
      <c r="M10" s="336" t="s">
        <v>14</v>
      </c>
      <c r="N10" s="337">
        <f>SUM(N2:N9)</f>
        <v>0</v>
      </c>
      <c r="O10" s="338">
        <f>SUM(O2:O9)</f>
        <v>0</v>
      </c>
    </row>
    <row r="11" spans="1:15" ht="15" customHeight="1" thickBot="1" x14ac:dyDescent="0.3">
      <c r="A11" s="988" t="s">
        <v>55</v>
      </c>
      <c r="B11" s="339" t="s">
        <v>55</v>
      </c>
      <c r="C11" s="941"/>
      <c r="D11" s="942"/>
      <c r="E11" s="943"/>
      <c r="F11" s="685"/>
      <c r="G11" s="949" t="s">
        <v>186</v>
      </c>
      <c r="H11" s="961"/>
    </row>
    <row r="12" spans="1:15" ht="15.75" thickBot="1" x14ac:dyDescent="0.3">
      <c r="A12" s="989"/>
      <c r="B12" s="340" t="s">
        <v>182</v>
      </c>
      <c r="C12" s="912"/>
      <c r="D12" s="973"/>
      <c r="E12" s="974"/>
      <c r="F12" s="341"/>
      <c r="G12" s="950"/>
      <c r="H12" s="962"/>
      <c r="K12" s="609" t="s">
        <v>494</v>
      </c>
      <c r="L12" s="610" t="s">
        <v>620</v>
      </c>
      <c r="M12" s="610"/>
      <c r="N12" s="610"/>
      <c r="O12" s="611"/>
    </row>
    <row r="13" spans="1:15" x14ac:dyDescent="0.25">
      <c r="A13" s="989"/>
      <c r="B13" s="342" t="s">
        <v>7</v>
      </c>
      <c r="C13" s="954" t="e">
        <f>VLOOKUP(Devis1_Siret_Entreprise,Table_Entreprise,2,FALSE)</f>
        <v>#N/A</v>
      </c>
      <c r="D13" s="955"/>
      <c r="E13" s="956"/>
      <c r="F13" s="998" t="s">
        <v>117</v>
      </c>
      <c r="G13" s="999"/>
      <c r="H13" s="1000"/>
      <c r="K13" s="616"/>
    </row>
    <row r="14" spans="1:15" x14ac:dyDescent="0.25">
      <c r="A14" s="989"/>
      <c r="B14" s="957" t="s">
        <v>51</v>
      </c>
      <c r="C14" s="954" t="e">
        <f>VLOOKUP(Devis1_Siret_Entreprise,Table_Entreprise,3,FALSE)</f>
        <v>#N/A</v>
      </c>
      <c r="D14" s="955"/>
      <c r="E14" s="956"/>
      <c r="F14" s="341"/>
      <c r="G14" s="343" t="s">
        <v>64</v>
      </c>
      <c r="H14" s="344">
        <f>G18+G21</f>
        <v>0</v>
      </c>
    </row>
    <row r="15" spans="1:15" x14ac:dyDescent="0.25">
      <c r="A15" s="989"/>
      <c r="B15" s="958"/>
      <c r="C15" s="954" t="e">
        <f>VLOOKUP(Devis1_Siret_Entreprise,Table_Entreprise,4,FALSE)</f>
        <v>#N/A</v>
      </c>
      <c r="D15" s="955"/>
      <c r="E15" s="956"/>
      <c r="F15" s="341"/>
      <c r="G15" s="345" t="s">
        <v>65</v>
      </c>
      <c r="H15" s="346">
        <f>H18+H21</f>
        <v>0</v>
      </c>
    </row>
    <row r="16" spans="1:15" x14ac:dyDescent="0.25">
      <c r="A16" s="989"/>
      <c r="B16" s="342" t="s">
        <v>69</v>
      </c>
      <c r="C16" s="686" t="e">
        <f>VLOOKUP(Devis1_Siret_Entreprise,Table_Entreprise,5,FALSE)</f>
        <v>#N/A</v>
      </c>
      <c r="D16" s="954" t="e">
        <f>VLOOKUP(Devis1_Siret_Entreprise,Table_Entreprise,6,FALSE)</f>
        <v>#N/A</v>
      </c>
      <c r="E16" s="956"/>
      <c r="F16" s="347"/>
      <c r="G16" s="348"/>
      <c r="H16" s="349"/>
    </row>
    <row r="17" spans="1:8" x14ac:dyDescent="0.25">
      <c r="A17" s="989"/>
      <c r="B17" s="350"/>
      <c r="C17" s="351" t="s">
        <v>12</v>
      </c>
      <c r="D17" s="351" t="s">
        <v>58</v>
      </c>
      <c r="E17" s="351" t="s">
        <v>13</v>
      </c>
      <c r="F17" s="931" t="s">
        <v>70</v>
      </c>
      <c r="G17" s="351" t="s">
        <v>62</v>
      </c>
      <c r="H17" s="352" t="s">
        <v>63</v>
      </c>
    </row>
    <row r="18" spans="1:8" x14ac:dyDescent="0.25">
      <c r="A18" s="989"/>
      <c r="B18" s="933" t="s">
        <v>61</v>
      </c>
      <c r="C18" s="366"/>
      <c r="D18" s="353">
        <f>TVA_1</f>
        <v>5.5E-2</v>
      </c>
      <c r="E18" s="354">
        <f t="shared" ref="E18:E23" si="0">C18*(1+D18)</f>
        <v>0</v>
      </c>
      <c r="F18" s="931"/>
      <c r="G18" s="934">
        <f>C18+C19+C20</f>
        <v>0</v>
      </c>
      <c r="H18" s="963">
        <f>E18+E19+E20</f>
        <v>0</v>
      </c>
    </row>
    <row r="19" spans="1:8" x14ac:dyDescent="0.25">
      <c r="A19" s="989"/>
      <c r="B19" s="933"/>
      <c r="C19" s="367"/>
      <c r="D19" s="353">
        <f>TVA_2</f>
        <v>0.1</v>
      </c>
      <c r="E19" s="354">
        <f t="shared" si="0"/>
        <v>0</v>
      </c>
      <c r="F19" s="931"/>
      <c r="G19" s="934"/>
      <c r="H19" s="963"/>
    </row>
    <row r="20" spans="1:8" x14ac:dyDescent="0.25">
      <c r="A20" s="989"/>
      <c r="B20" s="933"/>
      <c r="C20" s="366"/>
      <c r="D20" s="353">
        <f>TVA_3</f>
        <v>0.2</v>
      </c>
      <c r="E20" s="354">
        <f t="shared" si="0"/>
        <v>0</v>
      </c>
      <c r="F20" s="931"/>
      <c r="G20" s="934"/>
      <c r="H20" s="963"/>
    </row>
    <row r="21" spans="1:8" x14ac:dyDescent="0.25">
      <c r="A21" s="989"/>
      <c r="B21" s="933" t="s">
        <v>59</v>
      </c>
      <c r="C21" s="366"/>
      <c r="D21" s="353">
        <f>TVA_1</f>
        <v>5.5E-2</v>
      </c>
      <c r="E21" s="354">
        <f t="shared" si="0"/>
        <v>0</v>
      </c>
      <c r="F21" s="931"/>
      <c r="G21" s="934">
        <f>C21+C22+C23</f>
        <v>0</v>
      </c>
      <c r="H21" s="963">
        <f>E21+E22+E23</f>
        <v>0</v>
      </c>
    </row>
    <row r="22" spans="1:8" x14ac:dyDescent="0.25">
      <c r="A22" s="989"/>
      <c r="B22" s="933"/>
      <c r="C22" s="366"/>
      <c r="D22" s="353">
        <f>TVA_2</f>
        <v>0.1</v>
      </c>
      <c r="E22" s="354">
        <f t="shared" si="0"/>
        <v>0</v>
      </c>
      <c r="F22" s="931"/>
      <c r="G22" s="934"/>
      <c r="H22" s="963"/>
    </row>
    <row r="23" spans="1:8" ht="15.75" thickBot="1" x14ac:dyDescent="0.3">
      <c r="A23" s="990"/>
      <c r="B23" s="939"/>
      <c r="C23" s="368"/>
      <c r="D23" s="355">
        <f>TVA_3</f>
        <v>0.2</v>
      </c>
      <c r="E23" s="356">
        <f t="shared" si="0"/>
        <v>0</v>
      </c>
      <c r="F23" s="932"/>
      <c r="G23" s="940"/>
      <c r="H23" s="964"/>
    </row>
    <row r="24" spans="1:8" ht="15.75" thickBot="1" x14ac:dyDescent="0.3">
      <c r="A24" s="304"/>
      <c r="B24" s="304"/>
      <c r="C24" s="304"/>
      <c r="D24" s="304"/>
      <c r="E24" s="304"/>
      <c r="F24" s="304"/>
      <c r="G24" s="304"/>
      <c r="H24" s="304"/>
    </row>
    <row r="25" spans="1:8" x14ac:dyDescent="0.25">
      <c r="A25" s="985" t="s">
        <v>73</v>
      </c>
      <c r="B25" s="357" t="s">
        <v>73</v>
      </c>
      <c r="C25" s="941"/>
      <c r="D25" s="942"/>
      <c r="E25" s="943"/>
      <c r="F25" s="683"/>
      <c r="G25" s="944" t="s">
        <v>186</v>
      </c>
      <c r="H25" s="961"/>
    </row>
    <row r="26" spans="1:8" x14ac:dyDescent="0.25">
      <c r="A26" s="986"/>
      <c r="B26" s="358" t="s">
        <v>182</v>
      </c>
      <c r="C26" s="912"/>
      <c r="D26" s="973"/>
      <c r="E26" s="974"/>
      <c r="F26" s="684"/>
      <c r="G26" s="945"/>
      <c r="H26" s="962"/>
    </row>
    <row r="27" spans="1:8" x14ac:dyDescent="0.25">
      <c r="A27" s="986"/>
      <c r="B27" s="358" t="s">
        <v>7</v>
      </c>
      <c r="C27" s="951" t="e">
        <f>VLOOKUP(Devis2_Siret_Entreprise,Table_Entreprise,2,FALSE)</f>
        <v>#N/A</v>
      </c>
      <c r="D27" s="952"/>
      <c r="E27" s="953"/>
      <c r="F27" s="998" t="s">
        <v>117</v>
      </c>
      <c r="G27" s="999"/>
      <c r="H27" s="1000"/>
    </row>
    <row r="28" spans="1:8" x14ac:dyDescent="0.25">
      <c r="A28" s="986"/>
      <c r="B28" s="959" t="s">
        <v>51</v>
      </c>
      <c r="C28" s="951" t="e">
        <f>VLOOKUP(Devis2_Siret_Entreprise,Table_Entreprise,3,FALSE)</f>
        <v>#N/A</v>
      </c>
      <c r="D28" s="952"/>
      <c r="E28" s="953"/>
      <c r="F28" s="684"/>
      <c r="G28" s="359" t="s">
        <v>64</v>
      </c>
      <c r="H28" s="360">
        <f t="shared" ref="H28" si="1">G32+G35</f>
        <v>0</v>
      </c>
    </row>
    <row r="29" spans="1:8" x14ac:dyDescent="0.25">
      <c r="A29" s="986"/>
      <c r="B29" s="960"/>
      <c r="C29" s="951" t="e">
        <f>VLOOKUP(Devis2_Siret_Entreprise,Table_Entreprise,4,FALSE)</f>
        <v>#N/A</v>
      </c>
      <c r="D29" s="952"/>
      <c r="E29" s="953"/>
      <c r="F29" s="684"/>
      <c r="G29" s="361" t="s">
        <v>65</v>
      </c>
      <c r="H29" s="362">
        <f t="shared" ref="H29" si="2">H32+H35</f>
        <v>0</v>
      </c>
    </row>
    <row r="30" spans="1:8" x14ac:dyDescent="0.25">
      <c r="A30" s="986"/>
      <c r="B30" s="358" t="s">
        <v>69</v>
      </c>
      <c r="C30" s="363" t="e">
        <f>VLOOKUP(Devis2_Siret_Entreprise,Table_Entreprise,5,FALSE)</f>
        <v>#N/A</v>
      </c>
      <c r="D30" s="951" t="e">
        <f>VLOOKUP(Devis2_Siret_Entreprise,Table_Entreprise,6,FALSE)</f>
        <v>#N/A</v>
      </c>
      <c r="E30" s="953"/>
      <c r="F30" s="682"/>
      <c r="G30" s="364"/>
      <c r="H30" s="365"/>
    </row>
    <row r="31" spans="1:8" x14ac:dyDescent="0.25">
      <c r="A31" s="986"/>
      <c r="B31" s="468"/>
      <c r="C31" s="469" t="s">
        <v>12</v>
      </c>
      <c r="D31" s="469" t="s">
        <v>58</v>
      </c>
      <c r="E31" s="469" t="s">
        <v>13</v>
      </c>
      <c r="F31" s="937" t="s">
        <v>70</v>
      </c>
      <c r="G31" s="469" t="s">
        <v>62</v>
      </c>
      <c r="H31" s="470" t="s">
        <v>63</v>
      </c>
    </row>
    <row r="32" spans="1:8" x14ac:dyDescent="0.25">
      <c r="A32" s="986"/>
      <c r="B32" s="935" t="s">
        <v>61</v>
      </c>
      <c r="C32" s="486"/>
      <c r="D32" s="472">
        <f>TVA_1</f>
        <v>5.5E-2</v>
      </c>
      <c r="E32" s="471">
        <f t="shared" ref="E32:E37" si="3">C32*(1+D32)</f>
        <v>0</v>
      </c>
      <c r="F32" s="937"/>
      <c r="G32" s="936">
        <f t="shared" ref="G32" si="4">C32+C33+C34</f>
        <v>0</v>
      </c>
      <c r="H32" s="969">
        <f t="shared" ref="H32" si="5">E32+E33+E34</f>
        <v>0</v>
      </c>
    </row>
    <row r="33" spans="1:8" x14ac:dyDescent="0.25">
      <c r="A33" s="986"/>
      <c r="B33" s="935"/>
      <c r="C33" s="486"/>
      <c r="D33" s="472">
        <f>TVA_2</f>
        <v>0.1</v>
      </c>
      <c r="E33" s="471">
        <f t="shared" si="3"/>
        <v>0</v>
      </c>
      <c r="F33" s="937"/>
      <c r="G33" s="936"/>
      <c r="H33" s="969"/>
    </row>
    <row r="34" spans="1:8" x14ac:dyDescent="0.25">
      <c r="A34" s="986"/>
      <c r="B34" s="935"/>
      <c r="C34" s="486"/>
      <c r="D34" s="472">
        <f>TVA_3</f>
        <v>0.2</v>
      </c>
      <c r="E34" s="471">
        <f t="shared" si="3"/>
        <v>0</v>
      </c>
      <c r="F34" s="937"/>
      <c r="G34" s="936"/>
      <c r="H34" s="969"/>
    </row>
    <row r="35" spans="1:8" x14ac:dyDescent="0.25">
      <c r="A35" s="986"/>
      <c r="B35" s="935" t="s">
        <v>59</v>
      </c>
      <c r="C35" s="486"/>
      <c r="D35" s="472">
        <f>TVA_1</f>
        <v>5.5E-2</v>
      </c>
      <c r="E35" s="471">
        <f t="shared" si="3"/>
        <v>0</v>
      </c>
      <c r="F35" s="937"/>
      <c r="G35" s="936">
        <f t="shared" ref="G35" si="6">C35+C36+C37</f>
        <v>0</v>
      </c>
      <c r="H35" s="969">
        <f t="shared" ref="H35" si="7">E35+E36+E37</f>
        <v>0</v>
      </c>
    </row>
    <row r="36" spans="1:8" x14ac:dyDescent="0.25">
      <c r="A36" s="986"/>
      <c r="B36" s="935"/>
      <c r="C36" s="486"/>
      <c r="D36" s="472">
        <f>TVA_2</f>
        <v>0.1</v>
      </c>
      <c r="E36" s="471">
        <f t="shared" si="3"/>
        <v>0</v>
      </c>
      <c r="F36" s="937"/>
      <c r="G36" s="936"/>
      <c r="H36" s="969"/>
    </row>
    <row r="37" spans="1:8" ht="15.75" thickBot="1" x14ac:dyDescent="0.3">
      <c r="A37" s="987"/>
      <c r="B37" s="970"/>
      <c r="C37" s="487"/>
      <c r="D37" s="474">
        <f>TVA_3</f>
        <v>0.2</v>
      </c>
      <c r="E37" s="473">
        <f t="shared" si="3"/>
        <v>0</v>
      </c>
      <c r="F37" s="938"/>
      <c r="G37" s="971"/>
      <c r="H37" s="972"/>
    </row>
    <row r="38" spans="1:8" ht="15.75" thickBot="1" x14ac:dyDescent="0.3"/>
    <row r="39" spans="1:8" x14ac:dyDescent="0.25">
      <c r="A39" s="988" t="s">
        <v>74</v>
      </c>
      <c r="B39" s="339" t="s">
        <v>74</v>
      </c>
      <c r="C39" s="946"/>
      <c r="D39" s="947"/>
      <c r="E39" s="948"/>
      <c r="F39" s="685"/>
      <c r="G39" s="949" t="s">
        <v>186</v>
      </c>
      <c r="H39" s="965"/>
    </row>
    <row r="40" spans="1:8" x14ac:dyDescent="0.25">
      <c r="A40" s="989"/>
      <c r="B40" s="340" t="s">
        <v>182</v>
      </c>
      <c r="C40" s="910"/>
      <c r="D40" s="967"/>
      <c r="E40" s="968"/>
      <c r="F40" s="341"/>
      <c r="G40" s="950"/>
      <c r="H40" s="966"/>
    </row>
    <row r="41" spans="1:8" x14ac:dyDescent="0.25">
      <c r="A41" s="989"/>
      <c r="B41" s="342" t="s">
        <v>7</v>
      </c>
      <c r="C41" s="954" t="e">
        <f>VLOOKUP(Devis3_Siret_Entreprise,Table_Entreprise,2,FALSE)</f>
        <v>#N/A</v>
      </c>
      <c r="D41" s="955"/>
      <c r="E41" s="956"/>
      <c r="F41" s="1001" t="s">
        <v>117</v>
      </c>
      <c r="G41" s="1002"/>
      <c r="H41" s="1003"/>
    </row>
    <row r="42" spans="1:8" x14ac:dyDescent="0.25">
      <c r="A42" s="989"/>
      <c r="B42" s="957" t="s">
        <v>51</v>
      </c>
      <c r="C42" s="954" t="e">
        <f>VLOOKUP(Devis3_Siret_Entreprise,Table_Entreprise,3,FALSE)</f>
        <v>#N/A</v>
      </c>
      <c r="D42" s="955"/>
      <c r="E42" s="956"/>
      <c r="F42" s="341"/>
      <c r="G42" s="343" t="s">
        <v>64</v>
      </c>
      <c r="H42" s="344">
        <f t="shared" ref="H42" si="8">G46+G49</f>
        <v>0</v>
      </c>
    </row>
    <row r="43" spans="1:8" x14ac:dyDescent="0.25">
      <c r="A43" s="989"/>
      <c r="B43" s="958"/>
      <c r="C43" s="954" t="e">
        <f>VLOOKUP(Devis3_Siret_Entreprise,Table_Entreprise,4,FALSE)</f>
        <v>#N/A</v>
      </c>
      <c r="D43" s="955"/>
      <c r="E43" s="956"/>
      <c r="F43" s="341"/>
      <c r="G43" s="345" t="s">
        <v>65</v>
      </c>
      <c r="H43" s="346">
        <f t="shared" ref="H43" si="9">H46+H49</f>
        <v>0</v>
      </c>
    </row>
    <row r="44" spans="1:8" x14ac:dyDescent="0.25">
      <c r="A44" s="989"/>
      <c r="B44" s="342" t="s">
        <v>69</v>
      </c>
      <c r="C44" s="686" t="e">
        <f>VLOOKUP(Devis3_Siret_Entreprise,Table_Entreprise,5,FALSE)</f>
        <v>#N/A</v>
      </c>
      <c r="D44" s="954" t="e">
        <f>VLOOKUP(Devis3_Siret_Entreprise,Table_Entreprise,6,FALSE)</f>
        <v>#N/A</v>
      </c>
      <c r="E44" s="956"/>
      <c r="F44" s="347"/>
      <c r="G44" s="348"/>
      <c r="H44" s="349"/>
    </row>
    <row r="45" spans="1:8" x14ac:dyDescent="0.25">
      <c r="A45" s="989"/>
      <c r="B45" s="350"/>
      <c r="C45" s="351" t="s">
        <v>12</v>
      </c>
      <c r="D45" s="351" t="s">
        <v>58</v>
      </c>
      <c r="E45" s="351" t="s">
        <v>13</v>
      </c>
      <c r="F45" s="931" t="s">
        <v>70</v>
      </c>
      <c r="G45" s="351" t="s">
        <v>62</v>
      </c>
      <c r="H45" s="352" t="s">
        <v>63</v>
      </c>
    </row>
    <row r="46" spans="1:8" x14ac:dyDescent="0.25">
      <c r="A46" s="989"/>
      <c r="B46" s="933" t="s">
        <v>61</v>
      </c>
      <c r="C46" s="486"/>
      <c r="D46" s="353">
        <f>TVA_1</f>
        <v>5.5E-2</v>
      </c>
      <c r="E46" s="354">
        <f t="shared" ref="E46:E51" si="10">C46*(1+D46)</f>
        <v>0</v>
      </c>
      <c r="F46" s="931"/>
      <c r="G46" s="934">
        <f t="shared" ref="G46" si="11">C46+C47+C48</f>
        <v>0</v>
      </c>
      <c r="H46" s="963">
        <f t="shared" ref="H46" si="12">E46+E47+E48</f>
        <v>0</v>
      </c>
    </row>
    <row r="47" spans="1:8" x14ac:dyDescent="0.25">
      <c r="A47" s="989"/>
      <c r="B47" s="933"/>
      <c r="C47" s="486"/>
      <c r="D47" s="353">
        <f>TVA_2</f>
        <v>0.1</v>
      </c>
      <c r="E47" s="354">
        <f t="shared" si="10"/>
        <v>0</v>
      </c>
      <c r="F47" s="931"/>
      <c r="G47" s="934"/>
      <c r="H47" s="963"/>
    </row>
    <row r="48" spans="1:8" x14ac:dyDescent="0.25">
      <c r="A48" s="989"/>
      <c r="B48" s="933"/>
      <c r="C48" s="486"/>
      <c r="D48" s="353">
        <f>TVA_3</f>
        <v>0.2</v>
      </c>
      <c r="E48" s="354">
        <f t="shared" si="10"/>
        <v>0</v>
      </c>
      <c r="F48" s="931"/>
      <c r="G48" s="934"/>
      <c r="H48" s="963"/>
    </row>
    <row r="49" spans="1:8" x14ac:dyDescent="0.25">
      <c r="A49" s="989"/>
      <c r="B49" s="933" t="s">
        <v>59</v>
      </c>
      <c r="C49" s="486"/>
      <c r="D49" s="353">
        <f>TVA_1</f>
        <v>5.5E-2</v>
      </c>
      <c r="E49" s="354">
        <f t="shared" si="10"/>
        <v>0</v>
      </c>
      <c r="F49" s="931"/>
      <c r="G49" s="934">
        <f t="shared" ref="G49" si="13">C49+C50+C51</f>
        <v>0</v>
      </c>
      <c r="H49" s="963">
        <f t="shared" ref="H49" si="14">E49+E50+E51</f>
        <v>0</v>
      </c>
    </row>
    <row r="50" spans="1:8" x14ac:dyDescent="0.25">
      <c r="A50" s="989"/>
      <c r="B50" s="933"/>
      <c r="C50" s="486"/>
      <c r="D50" s="353">
        <f>TVA_2</f>
        <v>0.1</v>
      </c>
      <c r="E50" s="354">
        <f t="shared" si="10"/>
        <v>0</v>
      </c>
      <c r="F50" s="931"/>
      <c r="G50" s="934"/>
      <c r="H50" s="963"/>
    </row>
    <row r="51" spans="1:8" ht="15.75" thickBot="1" x14ac:dyDescent="0.3">
      <c r="A51" s="990"/>
      <c r="B51" s="939"/>
      <c r="C51" s="487"/>
      <c r="D51" s="355">
        <f>TVA_3</f>
        <v>0.2</v>
      </c>
      <c r="E51" s="356">
        <f t="shared" si="10"/>
        <v>0</v>
      </c>
      <c r="F51" s="932"/>
      <c r="G51" s="940"/>
      <c r="H51" s="964"/>
    </row>
    <row r="52" spans="1:8" ht="15.75" thickBot="1" x14ac:dyDescent="0.3"/>
    <row r="53" spans="1:8" x14ac:dyDescent="0.25">
      <c r="A53" s="985" t="s">
        <v>75</v>
      </c>
      <c r="B53" s="475" t="s">
        <v>75</v>
      </c>
      <c r="C53" s="946"/>
      <c r="D53" s="947"/>
      <c r="E53" s="948"/>
      <c r="F53" s="683"/>
      <c r="G53" s="944" t="s">
        <v>186</v>
      </c>
      <c r="H53" s="965"/>
    </row>
    <row r="54" spans="1:8" x14ac:dyDescent="0.25">
      <c r="A54" s="986"/>
      <c r="B54" s="361" t="s">
        <v>182</v>
      </c>
      <c r="C54" s="980"/>
      <c r="D54" s="981"/>
      <c r="E54" s="982"/>
      <c r="F54" s="684"/>
      <c r="G54" s="945"/>
      <c r="H54" s="966"/>
    </row>
    <row r="55" spans="1:8" x14ac:dyDescent="0.25">
      <c r="A55" s="986"/>
      <c r="B55" s="476" t="s">
        <v>7</v>
      </c>
      <c r="C55" s="951" t="e">
        <f>VLOOKUP(Devis4_Siret_Entreprise,Table_Entreprise,2,FALSE)</f>
        <v>#N/A</v>
      </c>
      <c r="D55" s="952"/>
      <c r="E55" s="953"/>
      <c r="F55" s="1001" t="s">
        <v>117</v>
      </c>
      <c r="G55" s="1002"/>
      <c r="H55" s="1003"/>
    </row>
    <row r="56" spans="1:8" x14ac:dyDescent="0.25">
      <c r="A56" s="986"/>
      <c r="B56" s="929" t="s">
        <v>51</v>
      </c>
      <c r="C56" s="951" t="e">
        <f>VLOOKUP(Devis4_Siret_Entreprise,Table_Entreprise,3,FALSE)</f>
        <v>#N/A</v>
      </c>
      <c r="D56" s="952"/>
      <c r="E56" s="953"/>
      <c r="F56" s="684"/>
      <c r="G56" s="359" t="s">
        <v>64</v>
      </c>
      <c r="H56" s="360">
        <f t="shared" ref="H56" si="15">G60+G63</f>
        <v>0</v>
      </c>
    </row>
    <row r="57" spans="1:8" x14ac:dyDescent="0.25">
      <c r="A57" s="986"/>
      <c r="B57" s="930"/>
      <c r="C57" s="951" t="e">
        <f>VLOOKUP(Devis4_Siret_Entreprise,Table_Entreprise,4,FALSE)</f>
        <v>#N/A</v>
      </c>
      <c r="D57" s="952"/>
      <c r="E57" s="953"/>
      <c r="F57" s="684"/>
      <c r="G57" s="361" t="s">
        <v>65</v>
      </c>
      <c r="H57" s="362">
        <f t="shared" ref="H57" si="16">H60+H63</f>
        <v>0</v>
      </c>
    </row>
    <row r="58" spans="1:8" x14ac:dyDescent="0.25">
      <c r="A58" s="986"/>
      <c r="B58" s="476" t="s">
        <v>69</v>
      </c>
      <c r="C58" s="363" t="e">
        <f>VLOOKUP(Devis4_Siret_Entreprise,Table_Entreprise,5,FALSE)</f>
        <v>#N/A</v>
      </c>
      <c r="D58" s="951" t="e">
        <f>VLOOKUP(Devis4_Siret_Entreprise,Table_Entreprise,6,FALSE)</f>
        <v>#N/A</v>
      </c>
      <c r="E58" s="953"/>
      <c r="F58" s="682"/>
      <c r="G58" s="364"/>
      <c r="H58" s="365"/>
    </row>
    <row r="59" spans="1:8" x14ac:dyDescent="0.25">
      <c r="A59" s="986"/>
      <c r="B59" s="477"/>
      <c r="C59" s="469" t="s">
        <v>12</v>
      </c>
      <c r="D59" s="469" t="s">
        <v>58</v>
      </c>
      <c r="E59" s="469" t="s">
        <v>13</v>
      </c>
      <c r="F59" s="937" t="s">
        <v>70</v>
      </c>
      <c r="G59" s="469" t="s">
        <v>62</v>
      </c>
      <c r="H59" s="470" t="s">
        <v>63</v>
      </c>
    </row>
    <row r="60" spans="1:8" x14ac:dyDescent="0.25">
      <c r="A60" s="986"/>
      <c r="B60" s="983" t="s">
        <v>61</v>
      </c>
      <c r="C60" s="486"/>
      <c r="D60" s="472">
        <f>TVA_1</f>
        <v>5.5E-2</v>
      </c>
      <c r="E60" s="471">
        <f t="shared" ref="E60:E65" si="17">C60*(1+D60)</f>
        <v>0</v>
      </c>
      <c r="F60" s="937"/>
      <c r="G60" s="936">
        <f t="shared" ref="G60" si="18">C60+C61+C62</f>
        <v>0</v>
      </c>
      <c r="H60" s="969">
        <f t="shared" ref="H60" si="19">E60+E61+E62</f>
        <v>0</v>
      </c>
    </row>
    <row r="61" spans="1:8" x14ac:dyDescent="0.25">
      <c r="A61" s="986"/>
      <c r="B61" s="983"/>
      <c r="C61" s="486"/>
      <c r="D61" s="472">
        <f>TVA_2</f>
        <v>0.1</v>
      </c>
      <c r="E61" s="471">
        <f t="shared" si="17"/>
        <v>0</v>
      </c>
      <c r="F61" s="937"/>
      <c r="G61" s="936"/>
      <c r="H61" s="969"/>
    </row>
    <row r="62" spans="1:8" x14ac:dyDescent="0.25">
      <c r="A62" s="986"/>
      <c r="B62" s="983"/>
      <c r="C62" s="486"/>
      <c r="D62" s="472">
        <f>TVA_3</f>
        <v>0.2</v>
      </c>
      <c r="E62" s="471">
        <f t="shared" si="17"/>
        <v>0</v>
      </c>
      <c r="F62" s="937"/>
      <c r="G62" s="936"/>
      <c r="H62" s="969"/>
    </row>
    <row r="63" spans="1:8" x14ac:dyDescent="0.25">
      <c r="A63" s="986"/>
      <c r="B63" s="983" t="s">
        <v>59</v>
      </c>
      <c r="C63" s="486"/>
      <c r="D63" s="472">
        <f>TVA_1</f>
        <v>5.5E-2</v>
      </c>
      <c r="E63" s="471">
        <f t="shared" si="17"/>
        <v>0</v>
      </c>
      <c r="F63" s="937"/>
      <c r="G63" s="936">
        <f t="shared" ref="G63" si="20">C63+C64+C65</f>
        <v>0</v>
      </c>
      <c r="H63" s="969">
        <f t="shared" ref="H63" si="21">E63+E64+E65</f>
        <v>0</v>
      </c>
    </row>
    <row r="64" spans="1:8" x14ac:dyDescent="0.25">
      <c r="A64" s="986"/>
      <c r="B64" s="983"/>
      <c r="C64" s="486"/>
      <c r="D64" s="472">
        <f>TVA_2</f>
        <v>0.1</v>
      </c>
      <c r="E64" s="471">
        <f t="shared" si="17"/>
        <v>0</v>
      </c>
      <c r="F64" s="937"/>
      <c r="G64" s="936"/>
      <c r="H64" s="969"/>
    </row>
    <row r="65" spans="1:8" ht="15.75" thickBot="1" x14ac:dyDescent="0.3">
      <c r="A65" s="987"/>
      <c r="B65" s="984"/>
      <c r="C65" s="487"/>
      <c r="D65" s="474">
        <f>TVA_3</f>
        <v>0.2</v>
      </c>
      <c r="E65" s="473">
        <f t="shared" si="17"/>
        <v>0</v>
      </c>
      <c r="F65" s="938"/>
      <c r="G65" s="971"/>
      <c r="H65" s="972"/>
    </row>
    <row r="66" spans="1:8" ht="15.75" thickBot="1" x14ac:dyDescent="0.3"/>
    <row r="67" spans="1:8" x14ac:dyDescent="0.25">
      <c r="A67" s="988" t="s">
        <v>76</v>
      </c>
      <c r="B67" s="339" t="s">
        <v>76</v>
      </c>
      <c r="C67" s="946"/>
      <c r="D67" s="947"/>
      <c r="E67" s="948"/>
      <c r="F67" s="685"/>
      <c r="G67" s="949" t="s">
        <v>186</v>
      </c>
      <c r="H67" s="965"/>
    </row>
    <row r="68" spans="1:8" x14ac:dyDescent="0.25">
      <c r="A68" s="989"/>
      <c r="B68" s="340" t="s">
        <v>182</v>
      </c>
      <c r="C68" s="910"/>
      <c r="D68" s="967"/>
      <c r="E68" s="968"/>
      <c r="F68" s="341"/>
      <c r="G68" s="950"/>
      <c r="H68" s="966"/>
    </row>
    <row r="69" spans="1:8" x14ac:dyDescent="0.25">
      <c r="A69" s="989"/>
      <c r="B69" s="342" t="s">
        <v>7</v>
      </c>
      <c r="C69" s="954" t="e">
        <f>VLOOKUP(Devis5_Siret_Entreprise,Table_Entreprise,2,FALSE)</f>
        <v>#N/A</v>
      </c>
      <c r="D69" s="955"/>
      <c r="E69" s="956"/>
      <c r="F69" s="1001" t="s">
        <v>117</v>
      </c>
      <c r="G69" s="1002"/>
      <c r="H69" s="1003"/>
    </row>
    <row r="70" spans="1:8" x14ac:dyDescent="0.25">
      <c r="A70" s="989"/>
      <c r="B70" s="957" t="s">
        <v>51</v>
      </c>
      <c r="C70" s="954" t="e">
        <f>VLOOKUP(Devis5_Siret_Entreprise,Table_Entreprise,3,FALSE)</f>
        <v>#N/A</v>
      </c>
      <c r="D70" s="955"/>
      <c r="E70" s="956"/>
      <c r="F70" s="341"/>
      <c r="G70" s="343" t="s">
        <v>64</v>
      </c>
      <c r="H70" s="344">
        <f t="shared" ref="H70" si="22">G74+G77</f>
        <v>0</v>
      </c>
    </row>
    <row r="71" spans="1:8" x14ac:dyDescent="0.25">
      <c r="A71" s="989"/>
      <c r="B71" s="958"/>
      <c r="C71" s="954" t="e">
        <f>VLOOKUP(Devis5_Siret_Entreprise,Table_Entreprise,4,FALSE)</f>
        <v>#N/A</v>
      </c>
      <c r="D71" s="955"/>
      <c r="E71" s="956"/>
      <c r="F71" s="341"/>
      <c r="G71" s="345" t="s">
        <v>65</v>
      </c>
      <c r="H71" s="346">
        <f t="shared" ref="H71" si="23">H74+H77</f>
        <v>0</v>
      </c>
    </row>
    <row r="72" spans="1:8" x14ac:dyDescent="0.25">
      <c r="A72" s="989"/>
      <c r="B72" s="342" t="s">
        <v>69</v>
      </c>
      <c r="C72" s="686" t="e">
        <f>VLOOKUP(Devis5_Siret_Entreprise,Table_Entreprise,5,FALSE)</f>
        <v>#N/A</v>
      </c>
      <c r="D72" s="954" t="e">
        <f>VLOOKUP(Devis5_Siret_Entreprise,Table_Entreprise,6,FALSE)</f>
        <v>#N/A</v>
      </c>
      <c r="E72" s="956"/>
      <c r="F72" s="347"/>
      <c r="G72" s="348"/>
      <c r="H72" s="349"/>
    </row>
    <row r="73" spans="1:8" x14ac:dyDescent="0.25">
      <c r="A73" s="989"/>
      <c r="B73" s="350"/>
      <c r="C73" s="351" t="s">
        <v>12</v>
      </c>
      <c r="D73" s="351" t="s">
        <v>58</v>
      </c>
      <c r="E73" s="351" t="s">
        <v>13</v>
      </c>
      <c r="F73" s="931" t="s">
        <v>70</v>
      </c>
      <c r="G73" s="351" t="s">
        <v>62</v>
      </c>
      <c r="H73" s="352" t="s">
        <v>63</v>
      </c>
    </row>
    <row r="74" spans="1:8" x14ac:dyDescent="0.25">
      <c r="A74" s="989"/>
      <c r="B74" s="933" t="s">
        <v>61</v>
      </c>
      <c r="C74" s="486"/>
      <c r="D74" s="353">
        <f>TVA_1</f>
        <v>5.5E-2</v>
      </c>
      <c r="E74" s="354">
        <f t="shared" ref="E74:E79" si="24">C74*(1+D74)</f>
        <v>0</v>
      </c>
      <c r="F74" s="931"/>
      <c r="G74" s="934">
        <f t="shared" ref="G74" si="25">C74+C75+C76</f>
        <v>0</v>
      </c>
      <c r="H74" s="963">
        <f t="shared" ref="H74" si="26">E74+E75+E76</f>
        <v>0</v>
      </c>
    </row>
    <row r="75" spans="1:8" x14ac:dyDescent="0.25">
      <c r="A75" s="989"/>
      <c r="B75" s="933"/>
      <c r="C75" s="486"/>
      <c r="D75" s="353">
        <f>TVA_2</f>
        <v>0.1</v>
      </c>
      <c r="E75" s="354">
        <f t="shared" si="24"/>
        <v>0</v>
      </c>
      <c r="F75" s="931"/>
      <c r="G75" s="934"/>
      <c r="H75" s="963"/>
    </row>
    <row r="76" spans="1:8" x14ac:dyDescent="0.25">
      <c r="A76" s="989"/>
      <c r="B76" s="933"/>
      <c r="C76" s="486"/>
      <c r="D76" s="353">
        <f>TVA_3</f>
        <v>0.2</v>
      </c>
      <c r="E76" s="354">
        <f t="shared" si="24"/>
        <v>0</v>
      </c>
      <c r="F76" s="931"/>
      <c r="G76" s="934"/>
      <c r="H76" s="963"/>
    </row>
    <row r="77" spans="1:8" x14ac:dyDescent="0.25">
      <c r="A77" s="989"/>
      <c r="B77" s="933" t="s">
        <v>59</v>
      </c>
      <c r="C77" s="486"/>
      <c r="D77" s="353">
        <f>TVA_1</f>
        <v>5.5E-2</v>
      </c>
      <c r="E77" s="354">
        <f t="shared" si="24"/>
        <v>0</v>
      </c>
      <c r="F77" s="931"/>
      <c r="G77" s="934">
        <f t="shared" ref="G77" si="27">C77+C78+C79</f>
        <v>0</v>
      </c>
      <c r="H77" s="963">
        <f t="shared" ref="H77" si="28">E77+E78+E79</f>
        <v>0</v>
      </c>
    </row>
    <row r="78" spans="1:8" x14ac:dyDescent="0.25">
      <c r="A78" s="989"/>
      <c r="B78" s="933"/>
      <c r="C78" s="486"/>
      <c r="D78" s="353">
        <f>TVA_2</f>
        <v>0.1</v>
      </c>
      <c r="E78" s="354">
        <f t="shared" si="24"/>
        <v>0</v>
      </c>
      <c r="F78" s="931"/>
      <c r="G78" s="934"/>
      <c r="H78" s="963"/>
    </row>
    <row r="79" spans="1:8" ht="15.75" thickBot="1" x14ac:dyDescent="0.3">
      <c r="A79" s="990"/>
      <c r="B79" s="939"/>
      <c r="C79" s="487"/>
      <c r="D79" s="355">
        <f>TVA_3</f>
        <v>0.2</v>
      </c>
      <c r="E79" s="356">
        <f t="shared" si="24"/>
        <v>0</v>
      </c>
      <c r="F79" s="932"/>
      <c r="G79" s="940"/>
      <c r="H79" s="964"/>
    </row>
    <row r="80" spans="1:8" ht="15.75" thickBot="1" x14ac:dyDescent="0.3"/>
    <row r="81" spans="1:8" x14ac:dyDescent="0.25">
      <c r="A81" s="985" t="s">
        <v>77</v>
      </c>
      <c r="B81" s="475" t="s">
        <v>77</v>
      </c>
      <c r="C81" s="946"/>
      <c r="D81" s="947"/>
      <c r="E81" s="948"/>
      <c r="F81" s="683"/>
      <c r="G81" s="944" t="s">
        <v>186</v>
      </c>
      <c r="H81" s="965"/>
    </row>
    <row r="82" spans="1:8" x14ac:dyDescent="0.25">
      <c r="A82" s="986"/>
      <c r="B82" s="361" t="s">
        <v>182</v>
      </c>
      <c r="C82" s="980"/>
      <c r="D82" s="981"/>
      <c r="E82" s="982"/>
      <c r="F82" s="684"/>
      <c r="G82" s="945"/>
      <c r="H82" s="966"/>
    </row>
    <row r="83" spans="1:8" x14ac:dyDescent="0.25">
      <c r="A83" s="986"/>
      <c r="B83" s="476" t="s">
        <v>7</v>
      </c>
      <c r="C83" s="951" t="e">
        <f>VLOOKUP(Devis6_Siret_Entreprise,Table_Entreprise,2,FALSE)</f>
        <v>#N/A</v>
      </c>
      <c r="D83" s="952"/>
      <c r="E83" s="953"/>
      <c r="F83" s="1001" t="s">
        <v>117</v>
      </c>
      <c r="G83" s="1002"/>
      <c r="H83" s="1003"/>
    </row>
    <row r="84" spans="1:8" x14ac:dyDescent="0.25">
      <c r="A84" s="986"/>
      <c r="B84" s="929" t="s">
        <v>51</v>
      </c>
      <c r="C84" s="951" t="e">
        <f>VLOOKUP(Devis6_Siret_Entreprise,Table_Entreprise,3,FALSE)</f>
        <v>#N/A</v>
      </c>
      <c r="D84" s="952"/>
      <c r="E84" s="953"/>
      <c r="F84" s="684"/>
      <c r="G84" s="359" t="s">
        <v>64</v>
      </c>
      <c r="H84" s="360">
        <f t="shared" ref="H84" si="29">G88+G91</f>
        <v>0</v>
      </c>
    </row>
    <row r="85" spans="1:8" x14ac:dyDescent="0.25">
      <c r="A85" s="986"/>
      <c r="B85" s="930"/>
      <c r="C85" s="951" t="e">
        <f>VLOOKUP(Devis6_Siret_Entreprise,Table_Entreprise,4,FALSE)</f>
        <v>#N/A</v>
      </c>
      <c r="D85" s="952"/>
      <c r="E85" s="953"/>
      <c r="F85" s="684"/>
      <c r="G85" s="361" t="s">
        <v>65</v>
      </c>
      <c r="H85" s="362">
        <f t="shared" ref="H85" si="30">H88+H91</f>
        <v>0</v>
      </c>
    </row>
    <row r="86" spans="1:8" x14ac:dyDescent="0.25">
      <c r="A86" s="986"/>
      <c r="B86" s="476" t="s">
        <v>69</v>
      </c>
      <c r="C86" s="363" t="e">
        <f>VLOOKUP(Devis6_Siret_Entreprise,Table_Entreprise,5,FALSE)</f>
        <v>#N/A</v>
      </c>
      <c r="D86" s="951" t="e">
        <f>VLOOKUP(Devis6_Siret_Entreprise,Table_Entreprise,6,FALSE)</f>
        <v>#N/A</v>
      </c>
      <c r="E86" s="953"/>
      <c r="F86" s="682"/>
      <c r="G86" s="364"/>
      <c r="H86" s="365"/>
    </row>
    <row r="87" spans="1:8" x14ac:dyDescent="0.25">
      <c r="A87" s="986"/>
      <c r="B87" s="477"/>
      <c r="C87" s="469" t="s">
        <v>12</v>
      </c>
      <c r="D87" s="469" t="s">
        <v>58</v>
      </c>
      <c r="E87" s="469" t="s">
        <v>13</v>
      </c>
      <c r="F87" s="937" t="s">
        <v>70</v>
      </c>
      <c r="G87" s="469" t="s">
        <v>62</v>
      </c>
      <c r="H87" s="470" t="s">
        <v>63</v>
      </c>
    </row>
    <row r="88" spans="1:8" x14ac:dyDescent="0.25">
      <c r="A88" s="986"/>
      <c r="B88" s="983" t="s">
        <v>61</v>
      </c>
      <c r="C88" s="486"/>
      <c r="D88" s="472">
        <f>TVA_1</f>
        <v>5.5E-2</v>
      </c>
      <c r="E88" s="471">
        <f t="shared" ref="E88:E93" si="31">C88*(1+D88)</f>
        <v>0</v>
      </c>
      <c r="F88" s="937"/>
      <c r="G88" s="936">
        <f t="shared" ref="G88" si="32">C88+C89+C90</f>
        <v>0</v>
      </c>
      <c r="H88" s="969">
        <f t="shared" ref="H88" si="33">E88+E89+E90</f>
        <v>0</v>
      </c>
    </row>
    <row r="89" spans="1:8" x14ac:dyDescent="0.25">
      <c r="A89" s="986"/>
      <c r="B89" s="983"/>
      <c r="C89" s="486"/>
      <c r="D89" s="472">
        <f>TVA_2</f>
        <v>0.1</v>
      </c>
      <c r="E89" s="471">
        <f t="shared" si="31"/>
        <v>0</v>
      </c>
      <c r="F89" s="937"/>
      <c r="G89" s="936"/>
      <c r="H89" s="969"/>
    </row>
    <row r="90" spans="1:8" x14ac:dyDescent="0.25">
      <c r="A90" s="986"/>
      <c r="B90" s="983"/>
      <c r="C90" s="486"/>
      <c r="D90" s="472">
        <f>TVA_3</f>
        <v>0.2</v>
      </c>
      <c r="E90" s="471">
        <f t="shared" si="31"/>
        <v>0</v>
      </c>
      <c r="F90" s="937"/>
      <c r="G90" s="936"/>
      <c r="H90" s="969"/>
    </row>
    <row r="91" spans="1:8" x14ac:dyDescent="0.25">
      <c r="A91" s="986"/>
      <c r="B91" s="983" t="s">
        <v>59</v>
      </c>
      <c r="C91" s="486"/>
      <c r="D91" s="472">
        <f>TVA_1</f>
        <v>5.5E-2</v>
      </c>
      <c r="E91" s="471">
        <f t="shared" si="31"/>
        <v>0</v>
      </c>
      <c r="F91" s="937"/>
      <c r="G91" s="936">
        <f t="shared" ref="G91" si="34">C91+C92+C93</f>
        <v>0</v>
      </c>
      <c r="H91" s="969">
        <f t="shared" ref="H91" si="35">E91+E92+E93</f>
        <v>0</v>
      </c>
    </row>
    <row r="92" spans="1:8" x14ac:dyDescent="0.25">
      <c r="A92" s="986"/>
      <c r="B92" s="983"/>
      <c r="C92" s="486"/>
      <c r="D92" s="472">
        <f>TVA_2</f>
        <v>0.1</v>
      </c>
      <c r="E92" s="471">
        <f t="shared" si="31"/>
        <v>0</v>
      </c>
      <c r="F92" s="937"/>
      <c r="G92" s="936"/>
      <c r="H92" s="969"/>
    </row>
    <row r="93" spans="1:8" ht="15.75" thickBot="1" x14ac:dyDescent="0.3">
      <c r="A93" s="987"/>
      <c r="B93" s="984"/>
      <c r="C93" s="487"/>
      <c r="D93" s="474">
        <f>TVA_3</f>
        <v>0.2</v>
      </c>
      <c r="E93" s="473">
        <f t="shared" si="31"/>
        <v>0</v>
      </c>
      <c r="F93" s="938"/>
      <c r="G93" s="971"/>
      <c r="H93" s="972"/>
    </row>
    <row r="94" spans="1:8" ht="15.75" thickBot="1" x14ac:dyDescent="0.3"/>
    <row r="95" spans="1:8" x14ac:dyDescent="0.25">
      <c r="A95" s="988" t="s">
        <v>78</v>
      </c>
      <c r="B95" s="339" t="s">
        <v>78</v>
      </c>
      <c r="C95" s="946"/>
      <c r="D95" s="947"/>
      <c r="E95" s="948"/>
      <c r="F95" s="685"/>
      <c r="G95" s="949" t="s">
        <v>186</v>
      </c>
      <c r="H95" s="965"/>
    </row>
    <row r="96" spans="1:8" x14ac:dyDescent="0.25">
      <c r="A96" s="989"/>
      <c r="B96" s="340" t="s">
        <v>182</v>
      </c>
      <c r="C96" s="910"/>
      <c r="D96" s="967"/>
      <c r="E96" s="968"/>
      <c r="F96" s="341"/>
      <c r="G96" s="950"/>
      <c r="H96" s="966"/>
    </row>
    <row r="97" spans="1:8" x14ac:dyDescent="0.25">
      <c r="A97" s="989"/>
      <c r="B97" s="342" t="s">
        <v>7</v>
      </c>
      <c r="C97" s="954" t="e">
        <f>VLOOKUP(Devis7_Siret_Entreprise,Table_Entreprise,2,FALSE)</f>
        <v>#N/A</v>
      </c>
      <c r="D97" s="955"/>
      <c r="E97" s="956"/>
      <c r="F97" s="1001" t="s">
        <v>117</v>
      </c>
      <c r="G97" s="1002"/>
      <c r="H97" s="1003"/>
    </row>
    <row r="98" spans="1:8" x14ac:dyDescent="0.25">
      <c r="A98" s="989"/>
      <c r="B98" s="957" t="s">
        <v>51</v>
      </c>
      <c r="C98" s="954" t="e">
        <f>VLOOKUP(Devis7_Siret_Entreprise,Table_Entreprise,3,FALSE)</f>
        <v>#N/A</v>
      </c>
      <c r="D98" s="955"/>
      <c r="E98" s="956"/>
      <c r="F98" s="341"/>
      <c r="G98" s="343" t="s">
        <v>64</v>
      </c>
      <c r="H98" s="344">
        <f t="shared" ref="H98" si="36">G102+G105</f>
        <v>0</v>
      </c>
    </row>
    <row r="99" spans="1:8" x14ac:dyDescent="0.25">
      <c r="A99" s="989"/>
      <c r="B99" s="958"/>
      <c r="C99" s="954" t="e">
        <f>VLOOKUP(Devis7_Siret_Entreprise,Table_Entreprise,4,FALSE)</f>
        <v>#N/A</v>
      </c>
      <c r="D99" s="955"/>
      <c r="E99" s="956"/>
      <c r="F99" s="341"/>
      <c r="G99" s="345" t="s">
        <v>65</v>
      </c>
      <c r="H99" s="346">
        <f t="shared" ref="H99" si="37">H102+H105</f>
        <v>0</v>
      </c>
    </row>
    <row r="100" spans="1:8" x14ac:dyDescent="0.25">
      <c r="A100" s="989"/>
      <c r="B100" s="342" t="s">
        <v>69</v>
      </c>
      <c r="C100" s="686" t="e">
        <f>VLOOKUP(Devis7_Siret_Entreprise,Table_Entreprise,5,FALSE)</f>
        <v>#N/A</v>
      </c>
      <c r="D100" s="954" t="e">
        <f>VLOOKUP(Devis7_Siret_Entreprise,Table_Entreprise,6,FALSE)</f>
        <v>#N/A</v>
      </c>
      <c r="E100" s="956"/>
      <c r="F100" s="347"/>
      <c r="G100" s="348"/>
      <c r="H100" s="349"/>
    </row>
    <row r="101" spans="1:8" x14ac:dyDescent="0.25">
      <c r="A101" s="989"/>
      <c r="B101" s="350"/>
      <c r="C101" s="351" t="s">
        <v>12</v>
      </c>
      <c r="D101" s="351" t="s">
        <v>58</v>
      </c>
      <c r="E101" s="351" t="s">
        <v>13</v>
      </c>
      <c r="F101" s="931" t="s">
        <v>70</v>
      </c>
      <c r="G101" s="351" t="s">
        <v>62</v>
      </c>
      <c r="H101" s="352" t="s">
        <v>63</v>
      </c>
    </row>
    <row r="102" spans="1:8" x14ac:dyDescent="0.25">
      <c r="A102" s="989"/>
      <c r="B102" s="933" t="s">
        <v>61</v>
      </c>
      <c r="C102" s="486"/>
      <c r="D102" s="353">
        <f>TVA_1</f>
        <v>5.5E-2</v>
      </c>
      <c r="E102" s="354">
        <f t="shared" ref="E102:E107" si="38">C102*(1+D102)</f>
        <v>0</v>
      </c>
      <c r="F102" s="931"/>
      <c r="G102" s="934">
        <f t="shared" ref="G102" si="39">C102+C103+C104</f>
        <v>0</v>
      </c>
      <c r="H102" s="963">
        <f t="shared" ref="H102" si="40">E102+E103+E104</f>
        <v>0</v>
      </c>
    </row>
    <row r="103" spans="1:8" x14ac:dyDescent="0.25">
      <c r="A103" s="989"/>
      <c r="B103" s="933"/>
      <c r="C103" s="486"/>
      <c r="D103" s="353">
        <f>TVA_2</f>
        <v>0.1</v>
      </c>
      <c r="E103" s="354">
        <f t="shared" si="38"/>
        <v>0</v>
      </c>
      <c r="F103" s="931"/>
      <c r="G103" s="934"/>
      <c r="H103" s="963"/>
    </row>
    <row r="104" spans="1:8" x14ac:dyDescent="0.25">
      <c r="A104" s="989"/>
      <c r="B104" s="933"/>
      <c r="C104" s="486"/>
      <c r="D104" s="353">
        <f>TVA_3</f>
        <v>0.2</v>
      </c>
      <c r="E104" s="354">
        <f t="shared" si="38"/>
        <v>0</v>
      </c>
      <c r="F104" s="931"/>
      <c r="G104" s="934"/>
      <c r="H104" s="963"/>
    </row>
    <row r="105" spans="1:8" x14ac:dyDescent="0.25">
      <c r="A105" s="989"/>
      <c r="B105" s="933" t="s">
        <v>59</v>
      </c>
      <c r="C105" s="486"/>
      <c r="D105" s="353">
        <f>TVA_1</f>
        <v>5.5E-2</v>
      </c>
      <c r="E105" s="354">
        <f t="shared" si="38"/>
        <v>0</v>
      </c>
      <c r="F105" s="931"/>
      <c r="G105" s="934">
        <f t="shared" ref="G105" si="41">C105+C106+C107</f>
        <v>0</v>
      </c>
      <c r="H105" s="963">
        <f t="shared" ref="H105" si="42">E105+E106+E107</f>
        <v>0</v>
      </c>
    </row>
    <row r="106" spans="1:8" x14ac:dyDescent="0.25">
      <c r="A106" s="989"/>
      <c r="B106" s="933"/>
      <c r="C106" s="486"/>
      <c r="D106" s="353">
        <f>TVA_2</f>
        <v>0.1</v>
      </c>
      <c r="E106" s="354">
        <f t="shared" si="38"/>
        <v>0</v>
      </c>
      <c r="F106" s="931"/>
      <c r="G106" s="934"/>
      <c r="H106" s="963"/>
    </row>
    <row r="107" spans="1:8" ht="15.75" thickBot="1" x14ac:dyDescent="0.3">
      <c r="A107" s="990"/>
      <c r="B107" s="939"/>
      <c r="C107" s="487"/>
      <c r="D107" s="355">
        <f>TVA_3</f>
        <v>0.2</v>
      </c>
      <c r="E107" s="356">
        <f t="shared" si="38"/>
        <v>0</v>
      </c>
      <c r="F107" s="932"/>
      <c r="G107" s="940"/>
      <c r="H107" s="964"/>
    </row>
    <row r="108" spans="1:8" ht="15.75" thickBot="1" x14ac:dyDescent="0.3"/>
    <row r="109" spans="1:8" x14ac:dyDescent="0.25">
      <c r="A109" s="985" t="s">
        <v>79</v>
      </c>
      <c r="B109" s="475" t="s">
        <v>79</v>
      </c>
      <c r="C109" s="946"/>
      <c r="D109" s="947"/>
      <c r="E109" s="948"/>
      <c r="F109" s="683"/>
      <c r="G109" s="944" t="s">
        <v>186</v>
      </c>
      <c r="H109" s="965"/>
    </row>
    <row r="110" spans="1:8" x14ac:dyDescent="0.25">
      <c r="A110" s="986"/>
      <c r="B110" s="361" t="s">
        <v>182</v>
      </c>
      <c r="C110" s="980"/>
      <c r="D110" s="981"/>
      <c r="E110" s="982"/>
      <c r="F110" s="684"/>
      <c r="G110" s="945"/>
      <c r="H110" s="966"/>
    </row>
    <row r="111" spans="1:8" x14ac:dyDescent="0.25">
      <c r="A111" s="986"/>
      <c r="B111" s="476" t="s">
        <v>7</v>
      </c>
      <c r="C111" s="951" t="e">
        <f>VLOOKUP(Devis8_Siret_Entreprise,Table_Entreprise,2,FALSE)</f>
        <v>#N/A</v>
      </c>
      <c r="D111" s="952"/>
      <c r="E111" s="953"/>
      <c r="F111" s="1001" t="s">
        <v>117</v>
      </c>
      <c r="G111" s="1002"/>
      <c r="H111" s="1003"/>
    </row>
    <row r="112" spans="1:8" x14ac:dyDescent="0.25">
      <c r="A112" s="986"/>
      <c r="B112" s="929" t="s">
        <v>51</v>
      </c>
      <c r="C112" s="951" t="e">
        <f>VLOOKUP(Devis8_Siret_Entreprise,Table_Entreprise,3,FALSE)</f>
        <v>#N/A</v>
      </c>
      <c r="D112" s="952"/>
      <c r="E112" s="953"/>
      <c r="F112" s="684"/>
      <c r="G112" s="359" t="s">
        <v>64</v>
      </c>
      <c r="H112" s="360">
        <f t="shared" ref="H112" si="43">G116+G119</f>
        <v>0</v>
      </c>
    </row>
    <row r="113" spans="1:8" x14ac:dyDescent="0.25">
      <c r="A113" s="986"/>
      <c r="B113" s="930"/>
      <c r="C113" s="951" t="e">
        <f>VLOOKUP(Devis8_Siret_Entreprise,Table_Entreprise,4,FALSE)</f>
        <v>#N/A</v>
      </c>
      <c r="D113" s="952"/>
      <c r="E113" s="953"/>
      <c r="F113" s="684"/>
      <c r="G113" s="361" t="s">
        <v>65</v>
      </c>
      <c r="H113" s="362">
        <f t="shared" ref="H113" si="44">H116+H119</f>
        <v>0</v>
      </c>
    </row>
    <row r="114" spans="1:8" x14ac:dyDescent="0.25">
      <c r="A114" s="986"/>
      <c r="B114" s="476" t="s">
        <v>69</v>
      </c>
      <c r="C114" s="363" t="e">
        <f>VLOOKUP(Devis8_Siret_Entreprise,Table_Entreprise,5,FALSE)</f>
        <v>#N/A</v>
      </c>
      <c r="D114" s="951" t="e">
        <f>VLOOKUP(Devis8_Siret_Entreprise,Table_Entreprise,6,FALSE)</f>
        <v>#N/A</v>
      </c>
      <c r="E114" s="953"/>
      <c r="F114" s="682"/>
      <c r="G114" s="364"/>
      <c r="H114" s="365"/>
    </row>
    <row r="115" spans="1:8" x14ac:dyDescent="0.25">
      <c r="A115" s="986"/>
      <c r="B115" s="477"/>
      <c r="C115" s="469" t="s">
        <v>12</v>
      </c>
      <c r="D115" s="469" t="s">
        <v>58</v>
      </c>
      <c r="E115" s="469" t="s">
        <v>13</v>
      </c>
      <c r="F115" s="937" t="s">
        <v>70</v>
      </c>
      <c r="G115" s="469" t="s">
        <v>62</v>
      </c>
      <c r="H115" s="470" t="s">
        <v>63</v>
      </c>
    </row>
    <row r="116" spans="1:8" x14ac:dyDescent="0.25">
      <c r="A116" s="986"/>
      <c r="B116" s="983" t="s">
        <v>61</v>
      </c>
      <c r="C116" s="486"/>
      <c r="D116" s="472">
        <f>TVA_1</f>
        <v>5.5E-2</v>
      </c>
      <c r="E116" s="471">
        <f t="shared" ref="E116:E121" si="45">C116*(1+D116)</f>
        <v>0</v>
      </c>
      <c r="F116" s="937"/>
      <c r="G116" s="936">
        <f t="shared" ref="G116" si="46">C116+C117+C118</f>
        <v>0</v>
      </c>
      <c r="H116" s="969">
        <f t="shared" ref="H116" si="47">E116+E117+E118</f>
        <v>0</v>
      </c>
    </row>
    <row r="117" spans="1:8" x14ac:dyDescent="0.25">
      <c r="A117" s="986"/>
      <c r="B117" s="983"/>
      <c r="C117" s="486"/>
      <c r="D117" s="472">
        <f>TVA_2</f>
        <v>0.1</v>
      </c>
      <c r="E117" s="471">
        <f t="shared" si="45"/>
        <v>0</v>
      </c>
      <c r="F117" s="937"/>
      <c r="G117" s="936"/>
      <c r="H117" s="969"/>
    </row>
    <row r="118" spans="1:8" x14ac:dyDescent="0.25">
      <c r="A118" s="986"/>
      <c r="B118" s="983"/>
      <c r="C118" s="486"/>
      <c r="D118" s="472">
        <f>TVA_3</f>
        <v>0.2</v>
      </c>
      <c r="E118" s="471">
        <f t="shared" si="45"/>
        <v>0</v>
      </c>
      <c r="F118" s="937"/>
      <c r="G118" s="936"/>
      <c r="H118" s="969"/>
    </row>
    <row r="119" spans="1:8" x14ac:dyDescent="0.25">
      <c r="A119" s="986"/>
      <c r="B119" s="983" t="s">
        <v>59</v>
      </c>
      <c r="C119" s="486"/>
      <c r="D119" s="472">
        <f>TVA_1</f>
        <v>5.5E-2</v>
      </c>
      <c r="E119" s="471">
        <f t="shared" si="45"/>
        <v>0</v>
      </c>
      <c r="F119" s="937"/>
      <c r="G119" s="936">
        <f t="shared" ref="G119" si="48">C119+C120+C121</f>
        <v>0</v>
      </c>
      <c r="H119" s="969">
        <f t="shared" ref="H119" si="49">E119+E120+E121</f>
        <v>0</v>
      </c>
    </row>
    <row r="120" spans="1:8" x14ac:dyDescent="0.25">
      <c r="A120" s="986"/>
      <c r="B120" s="983"/>
      <c r="C120" s="486"/>
      <c r="D120" s="472">
        <f>TVA_2</f>
        <v>0.1</v>
      </c>
      <c r="E120" s="471">
        <f t="shared" si="45"/>
        <v>0</v>
      </c>
      <c r="F120" s="937"/>
      <c r="G120" s="936"/>
      <c r="H120" s="969"/>
    </row>
    <row r="121" spans="1:8" ht="15.75" thickBot="1" x14ac:dyDescent="0.3">
      <c r="A121" s="987"/>
      <c r="B121" s="984"/>
      <c r="C121" s="487"/>
      <c r="D121" s="474">
        <f>TVA_3</f>
        <v>0.2</v>
      </c>
      <c r="E121" s="473">
        <f t="shared" si="45"/>
        <v>0</v>
      </c>
      <c r="F121" s="938"/>
      <c r="G121" s="971"/>
      <c r="H121" s="972"/>
    </row>
  </sheetData>
  <sheetProtection autoFilter="0"/>
  <customSheetViews>
    <customSheetView guid="{A63F3AF0-420C-4EB7-9C04-DE4CC40F156A}">
      <selection activeCell="K18" sqref="K18"/>
      <pageMargins left="0.23622047244094491" right="0.23622047244094491" top="0.74803149606299213" bottom="0.74803149606299213" header="0.31496062992125984" footer="0.31496062992125984"/>
      <printOptions horizontalCentered="1"/>
      <pageSetup paperSize="9" orientation="portrait" horizontalDpi="4294967293" verticalDpi="4294967293" r:id="rId1"/>
    </customSheetView>
  </customSheetViews>
  <mergeCells count="157">
    <mergeCell ref="C43:E43"/>
    <mergeCell ref="D114:E114"/>
    <mergeCell ref="C113:E113"/>
    <mergeCell ref="D100:E100"/>
    <mergeCell ref="C99:E99"/>
    <mergeCell ref="C85:E85"/>
    <mergeCell ref="D86:E86"/>
    <mergeCell ref="D72:E72"/>
    <mergeCell ref="E2:F3"/>
    <mergeCell ref="E4:F5"/>
    <mergeCell ref="E8:F9"/>
    <mergeCell ref="C56:E56"/>
    <mergeCell ref="C57:E57"/>
    <mergeCell ref="E6:F7"/>
    <mergeCell ref="D58:E58"/>
    <mergeCell ref="F13:H13"/>
    <mergeCell ref="F27:H27"/>
    <mergeCell ref="F41:H41"/>
    <mergeCell ref="F55:H55"/>
    <mergeCell ref="F69:H69"/>
    <mergeCell ref="F83:H83"/>
    <mergeCell ref="F97:H97"/>
    <mergeCell ref="F111:H111"/>
    <mergeCell ref="G77:G79"/>
    <mergeCell ref="E1:H1"/>
    <mergeCell ref="B2:D2"/>
    <mergeCell ref="A1:D1"/>
    <mergeCell ref="B3:D3"/>
    <mergeCell ref="B4:D4"/>
    <mergeCell ref="B5:D5"/>
    <mergeCell ref="A67:A79"/>
    <mergeCell ref="A81:A93"/>
    <mergeCell ref="A95:A107"/>
    <mergeCell ref="C97:E97"/>
    <mergeCell ref="C98:E98"/>
    <mergeCell ref="F87:F93"/>
    <mergeCell ref="B88:B90"/>
    <mergeCell ref="G88:G90"/>
    <mergeCell ref="H88:H90"/>
    <mergeCell ref="B91:B93"/>
    <mergeCell ref="G91:G93"/>
    <mergeCell ref="H91:H93"/>
    <mergeCell ref="F101:F107"/>
    <mergeCell ref="B102:B104"/>
    <mergeCell ref="G102:G104"/>
    <mergeCell ref="B98:B99"/>
    <mergeCell ref="H74:H76"/>
    <mergeCell ref="B77:B79"/>
    <mergeCell ref="A109:A121"/>
    <mergeCell ref="A11:A23"/>
    <mergeCell ref="A25:A37"/>
    <mergeCell ref="A39:A51"/>
    <mergeCell ref="A53:A65"/>
    <mergeCell ref="H116:H118"/>
    <mergeCell ref="B119:B121"/>
    <mergeCell ref="G119:G121"/>
    <mergeCell ref="H119:H121"/>
    <mergeCell ref="C111:E111"/>
    <mergeCell ref="C112:E112"/>
    <mergeCell ref="F115:F121"/>
    <mergeCell ref="B116:B118"/>
    <mergeCell ref="G116:G118"/>
    <mergeCell ref="H102:H104"/>
    <mergeCell ref="B105:B107"/>
    <mergeCell ref="G105:G107"/>
    <mergeCell ref="H105:H107"/>
    <mergeCell ref="C109:E109"/>
    <mergeCell ref="G109:G110"/>
    <mergeCell ref="H109:H110"/>
    <mergeCell ref="C110:E110"/>
    <mergeCell ref="H95:H96"/>
    <mergeCell ref="C96:E96"/>
    <mergeCell ref="H77:H79"/>
    <mergeCell ref="C81:E81"/>
    <mergeCell ref="G81:G82"/>
    <mergeCell ref="H81:H82"/>
    <mergeCell ref="C82:E82"/>
    <mergeCell ref="C67:E67"/>
    <mergeCell ref="G67:G68"/>
    <mergeCell ref="H67:H68"/>
    <mergeCell ref="C68:E68"/>
    <mergeCell ref="C69:E69"/>
    <mergeCell ref="C70:E70"/>
    <mergeCell ref="B49:B51"/>
    <mergeCell ref="G49:G51"/>
    <mergeCell ref="H49:H51"/>
    <mergeCell ref="C53:E53"/>
    <mergeCell ref="G53:G54"/>
    <mergeCell ref="H53:H54"/>
    <mergeCell ref="C54:E54"/>
    <mergeCell ref="C55:E55"/>
    <mergeCell ref="B70:B71"/>
    <mergeCell ref="C71:E71"/>
    <mergeCell ref="F59:F65"/>
    <mergeCell ref="B60:B62"/>
    <mergeCell ref="G60:G62"/>
    <mergeCell ref="H60:H62"/>
    <mergeCell ref="B63:B65"/>
    <mergeCell ref="G63:G65"/>
    <mergeCell ref="H63:H65"/>
    <mergeCell ref="A4:A5"/>
    <mergeCell ref="B6:D6"/>
    <mergeCell ref="B7:D7"/>
    <mergeCell ref="C12:E12"/>
    <mergeCell ref="F17:F23"/>
    <mergeCell ref="C11:E11"/>
    <mergeCell ref="C14:E14"/>
    <mergeCell ref="C13:E13"/>
    <mergeCell ref="G11:G12"/>
    <mergeCell ref="H11:H12"/>
    <mergeCell ref="H18:H20"/>
    <mergeCell ref="H21:H23"/>
    <mergeCell ref="C15:E15"/>
    <mergeCell ref="D16:E16"/>
    <mergeCell ref="B14:B15"/>
    <mergeCell ref="C95:E95"/>
    <mergeCell ref="G95:G96"/>
    <mergeCell ref="C83:E83"/>
    <mergeCell ref="C84:E84"/>
    <mergeCell ref="F73:F79"/>
    <mergeCell ref="B74:B76"/>
    <mergeCell ref="G74:G76"/>
    <mergeCell ref="B84:B85"/>
    <mergeCell ref="B56:B57"/>
    <mergeCell ref="H39:H40"/>
    <mergeCell ref="C40:E40"/>
    <mergeCell ref="H32:H34"/>
    <mergeCell ref="B35:B37"/>
    <mergeCell ref="G35:G37"/>
    <mergeCell ref="H35:H37"/>
    <mergeCell ref="H25:H26"/>
    <mergeCell ref="C26:E26"/>
    <mergeCell ref="H46:H48"/>
    <mergeCell ref="B112:B113"/>
    <mergeCell ref="F45:F51"/>
    <mergeCell ref="B46:B48"/>
    <mergeCell ref="G46:G48"/>
    <mergeCell ref="B32:B34"/>
    <mergeCell ref="G32:G34"/>
    <mergeCell ref="F31:F37"/>
    <mergeCell ref="B18:B20"/>
    <mergeCell ref="B21:B23"/>
    <mergeCell ref="G18:G20"/>
    <mergeCell ref="G21:G23"/>
    <mergeCell ref="C25:E25"/>
    <mergeCell ref="G25:G26"/>
    <mergeCell ref="C39:E39"/>
    <mergeCell ref="G39:G40"/>
    <mergeCell ref="C27:E27"/>
    <mergeCell ref="C28:E28"/>
    <mergeCell ref="C29:E29"/>
    <mergeCell ref="D30:E30"/>
    <mergeCell ref="C41:E41"/>
    <mergeCell ref="C42:E42"/>
    <mergeCell ref="D44:E44"/>
    <mergeCell ref="B42:B43"/>
    <mergeCell ref="B28:B29"/>
  </mergeCells>
  <phoneticPr fontId="13" type="noConversion"/>
  <dataValidations count="10">
    <dataValidation allowBlank="1" showInputMessage="1" showErrorMessage="1" sqref="D118 D34 D48 D62 D76 D90 D104" xr:uid="{00000000-0002-0000-0300-000000000000}"/>
    <dataValidation type="list" allowBlank="1" showInputMessage="1" showErrorMessage="1" sqref="H25:H26 H109:H110 H39:H40 H53:H54 H67:H68 H81:H82 H95:H96 H11:H12" xr:uid="{00000000-0002-0000-0300-000001000000}">
      <formula1>Liste_Type_Travaux</formula1>
    </dataValidation>
    <dataValidation type="list" allowBlank="1" showInputMessage="1" showErrorMessage="1" sqref="C12:E12" xr:uid="{00000000-0002-0000-0300-000002000000}">
      <formula1>INDIRECT(Devis1_Type_Travaux)</formula1>
    </dataValidation>
    <dataValidation type="list" allowBlank="1" showInputMessage="1" showErrorMessage="1" sqref="C26:E26" xr:uid="{00000000-0002-0000-0300-000003000000}">
      <formula1>INDIRECT(Devis2_Type_Travaux)</formula1>
    </dataValidation>
    <dataValidation type="list" allowBlank="1" showInputMessage="1" showErrorMessage="1" sqref="C40:E40" xr:uid="{00000000-0002-0000-0300-000004000000}">
      <formula1>INDIRECT(Devis3_Type_Travaux)</formula1>
    </dataValidation>
    <dataValidation type="list" allowBlank="1" showInputMessage="1" showErrorMessage="1" sqref="C54:E54" xr:uid="{00000000-0002-0000-0300-000005000000}">
      <formula1>INDIRECT(Devis4_Type_Travaux)</formula1>
    </dataValidation>
    <dataValidation type="list" allowBlank="1" showInputMessage="1" showErrorMessage="1" sqref="C68:E68" xr:uid="{00000000-0002-0000-0300-000006000000}">
      <formula1>INDIRECT(Devis5_Type_Travaux)</formula1>
    </dataValidation>
    <dataValidation type="list" allowBlank="1" showInputMessage="1" showErrorMessage="1" sqref="C82:E82" xr:uid="{00000000-0002-0000-0300-000007000000}">
      <formula1>INDIRECT(Devis6_Type_Travaux)</formula1>
    </dataValidation>
    <dataValidation type="list" allowBlank="1" showInputMessage="1" showErrorMessage="1" sqref="C96:E96" xr:uid="{00000000-0002-0000-0300-000008000000}">
      <formula1>INDIRECT(Devis7_Type_Travaux)</formula1>
    </dataValidation>
    <dataValidation type="list" allowBlank="1" showInputMessage="1" showErrorMessage="1" sqref="C110:E110" xr:uid="{00000000-0002-0000-0300-000009000000}">
      <formula1>INDIRECT(Devis8_Type_Travaux)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Feuil1.Cellules">
                <anchor moveWithCells="1" sizeWithCells="1">
                  <from>
                    <xdr:col>0</xdr:col>
                    <xdr:colOff>47625</xdr:colOff>
                    <xdr:row>7</xdr:row>
                    <xdr:rowOff>104775</xdr:rowOff>
                  </from>
                  <to>
                    <xdr:col>1</xdr:col>
                    <xdr:colOff>209550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Button 3">
              <controlPr defaultSize="0" print="0" autoFill="0" autoPict="0" macro="[0]!MAJ_Base_Entreprise.MAJ_Base_Entreprise">
                <anchor moveWithCells="1" sizeWithCells="1">
                  <from>
                    <xdr:col>11</xdr:col>
                    <xdr:colOff>1790700</xdr:colOff>
                    <xdr:row>12</xdr:row>
                    <xdr:rowOff>171450</xdr:rowOff>
                  </from>
                  <to>
                    <xdr:col>14</xdr:col>
                    <xdr:colOff>733425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Button 4">
              <controlPr defaultSize="0" print="0" autoFill="0" autoPict="0" macro="[0]!Ouvrir_Base_Entreprise">
                <anchor moveWithCells="1" sizeWithCells="1">
                  <from>
                    <xdr:col>10</xdr:col>
                    <xdr:colOff>723900</xdr:colOff>
                    <xdr:row>12</xdr:row>
                    <xdr:rowOff>180975</xdr:rowOff>
                  </from>
                  <to>
                    <xdr:col>11</xdr:col>
                    <xdr:colOff>1276350</xdr:colOff>
                    <xdr:row>15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pageSetUpPr fitToPage="1"/>
  </sheetPr>
  <dimension ref="A1:AD61"/>
  <sheetViews>
    <sheetView zoomScale="85" zoomScaleNormal="85" workbookViewId="0">
      <selection activeCell="E59" sqref="E59:F59"/>
    </sheetView>
  </sheetViews>
  <sheetFormatPr baseColWidth="10" defaultColWidth="11.42578125" defaultRowHeight="15" x14ac:dyDescent="0.25"/>
  <cols>
    <col min="1" max="1" width="6.28515625" style="448" customWidth="1"/>
    <col min="2" max="2" width="11.42578125" style="448"/>
    <col min="3" max="3" width="11.42578125" style="448" customWidth="1"/>
    <col min="4" max="4" width="12" style="448" customWidth="1"/>
    <col min="5" max="5" width="14.28515625" style="448" bestFit="1" customWidth="1"/>
    <col min="6" max="6" width="12.140625" style="448" customWidth="1"/>
    <col min="7" max="8" width="14" style="448" customWidth="1"/>
    <col min="9" max="9" width="8.28515625" style="448" customWidth="1"/>
    <col min="10" max="10" width="12.140625" style="448" bestFit="1" customWidth="1"/>
    <col min="11" max="11" width="12.140625" style="448" customWidth="1"/>
    <col min="12" max="12" width="14.140625" style="501" bestFit="1" customWidth="1"/>
    <col min="13" max="13" width="12.28515625" style="448" bestFit="1" customWidth="1"/>
    <col min="14" max="14" width="8.140625" style="448" bestFit="1" customWidth="1"/>
    <col min="15" max="15" width="14.140625" style="448" bestFit="1" customWidth="1"/>
    <col min="16" max="18" width="14.140625" style="448" customWidth="1"/>
    <col min="19" max="19" width="12.28515625" style="448" customWidth="1"/>
    <col min="20" max="21" width="12.140625" style="448" bestFit="1" customWidth="1"/>
    <col min="22" max="23" width="12.140625" style="448" customWidth="1"/>
    <col min="24" max="24" width="3.7109375" style="448" bestFit="1" customWidth="1"/>
    <col min="25" max="25" width="8.85546875" style="448" bestFit="1" customWidth="1"/>
    <col min="26" max="26" width="12.140625" style="448" customWidth="1"/>
    <col min="27" max="27" width="12.140625" style="448" bestFit="1" customWidth="1"/>
    <col min="28" max="28" width="13" style="448" customWidth="1"/>
    <col min="29" max="29" width="11" style="448" bestFit="1" customWidth="1"/>
    <col min="30" max="30" width="11.7109375" style="448" bestFit="1" customWidth="1"/>
    <col min="31" max="31" width="12.140625" style="448" bestFit="1" customWidth="1"/>
    <col min="32" max="32" width="16.42578125" style="448" bestFit="1" customWidth="1"/>
    <col min="33" max="16384" width="11.42578125" style="448"/>
  </cols>
  <sheetData>
    <row r="1" spans="1:30" ht="15.75" customHeight="1" thickBot="1" x14ac:dyDescent="0.3">
      <c r="A1" s="858" t="s">
        <v>388</v>
      </c>
      <c r="B1" s="1242"/>
      <c r="C1" s="1242"/>
      <c r="D1" s="1243"/>
      <c r="E1" s="369" t="e">
        <f>Cat_RFR</f>
        <v>#VALUE!</v>
      </c>
      <c r="F1" s="370" t="s">
        <v>214</v>
      </c>
      <c r="G1" s="300" t="s">
        <v>215</v>
      </c>
      <c r="H1" s="371" t="s">
        <v>216</v>
      </c>
      <c r="J1" s="827" t="s">
        <v>305</v>
      </c>
      <c r="K1" s="1216"/>
      <c r="L1" s="1216"/>
      <c r="M1" s="1216"/>
      <c r="N1" s="1216"/>
      <c r="O1" s="1216"/>
      <c r="P1" s="1216"/>
      <c r="Q1" s="1216"/>
      <c r="R1" s="1216"/>
      <c r="S1" s="1216"/>
      <c r="T1" s="1216"/>
      <c r="U1" s="1216"/>
      <c r="V1" s="1216"/>
      <c r="W1" s="1216"/>
      <c r="X1" s="1216"/>
      <c r="Y1" s="1216"/>
      <c r="Z1" s="1216"/>
      <c r="AA1" s="1216"/>
      <c r="AB1" s="828"/>
    </row>
    <row r="2" spans="1:30" ht="15.75" customHeight="1" thickBot="1" x14ac:dyDescent="0.3">
      <c r="A2" s="1244" t="str">
        <f>CONCATENATE(Prop_Nom," ",Prop_Prenom)</f>
        <v xml:space="preserve"> </v>
      </c>
      <c r="B2" s="1245"/>
      <c r="C2" s="1245"/>
      <c r="D2" s="1246"/>
      <c r="E2" s="410"/>
      <c r="F2" s="411"/>
      <c r="G2" s="370" t="str">
        <f>IF(Cep_Actuel&gt;0,VLOOKUP(Cep_Actuel,Etiquette_DPE,3),"")</f>
        <v/>
      </c>
      <c r="H2" s="412"/>
      <c r="J2" s="829"/>
      <c r="K2" s="1217"/>
      <c r="L2" s="1217"/>
      <c r="M2" s="1217"/>
      <c r="N2" s="1218"/>
      <c r="O2" s="1218"/>
      <c r="P2" s="1218"/>
      <c r="Q2" s="1218"/>
      <c r="R2" s="1218"/>
      <c r="S2" s="1217"/>
      <c r="T2" s="1217"/>
      <c r="U2" s="1217"/>
      <c r="V2" s="1217"/>
      <c r="W2" s="1217"/>
      <c r="X2" s="1217"/>
      <c r="Y2" s="1217"/>
      <c r="Z2" s="1217"/>
      <c r="AA2" s="1217"/>
      <c r="AB2" s="830"/>
    </row>
    <row r="3" spans="1:30" ht="15.75" customHeight="1" thickBot="1" x14ac:dyDescent="0.3">
      <c r="A3" s="1231" t="s">
        <v>5</v>
      </c>
      <c r="B3" s="1232"/>
      <c r="C3" s="1233"/>
      <c r="D3" s="1227" t="s">
        <v>12</v>
      </c>
      <c r="E3" s="1240" t="s">
        <v>13</v>
      </c>
      <c r="F3" s="1238" t="s">
        <v>304</v>
      </c>
      <c r="G3" s="372" t="s">
        <v>333</v>
      </c>
      <c r="H3" s="373" t="s">
        <v>473</v>
      </c>
      <c r="J3" s="1251" t="s">
        <v>6</v>
      </c>
      <c r="K3" s="1253"/>
      <c r="L3" s="1219" t="s">
        <v>5</v>
      </c>
      <c r="M3" s="1220"/>
      <c r="N3" s="1249" t="s">
        <v>297</v>
      </c>
      <c r="O3" s="1250"/>
      <c r="P3" s="1250"/>
      <c r="Q3" s="180">
        <f>ALS_Type_Dossier</f>
        <v>0</v>
      </c>
      <c r="R3" s="1209" t="s">
        <v>8</v>
      </c>
      <c r="S3" s="1210"/>
      <c r="T3" s="1210"/>
      <c r="U3" s="1210"/>
      <c r="V3" s="1210"/>
      <c r="W3" s="1211"/>
      <c r="X3" s="1206" t="s">
        <v>88</v>
      </c>
      <c r="Y3" s="1207"/>
      <c r="Z3" s="1207"/>
      <c r="AA3" s="1208"/>
      <c r="AB3" s="1199" t="s">
        <v>491</v>
      </c>
    </row>
    <row r="4" spans="1:30" ht="15.75" customHeight="1" thickBot="1" x14ac:dyDescent="0.3">
      <c r="A4" s="1234"/>
      <c r="B4" s="1235"/>
      <c r="C4" s="1236"/>
      <c r="D4" s="1228"/>
      <c r="E4" s="1241"/>
      <c r="F4" s="1239"/>
      <c r="G4" s="413"/>
      <c r="H4" s="414"/>
      <c r="J4" s="1252"/>
      <c r="K4" s="1254"/>
      <c r="L4" s="174" t="s">
        <v>295</v>
      </c>
      <c r="M4" s="173" t="s">
        <v>13</v>
      </c>
      <c r="N4" s="522" t="s">
        <v>290</v>
      </c>
      <c r="O4" s="523" t="s">
        <v>91</v>
      </c>
      <c r="P4" s="523" t="s">
        <v>292</v>
      </c>
      <c r="Q4" s="524" t="s">
        <v>293</v>
      </c>
      <c r="R4" s="370" t="s">
        <v>91</v>
      </c>
      <c r="S4" s="723" t="s">
        <v>291</v>
      </c>
      <c r="T4" s="723" t="s">
        <v>45</v>
      </c>
      <c r="U4" s="685" t="s">
        <v>9</v>
      </c>
      <c r="V4" s="300" t="s">
        <v>592</v>
      </c>
      <c r="W4" s="724" t="s">
        <v>593</v>
      </c>
      <c r="X4" s="377" t="s">
        <v>294</v>
      </c>
      <c r="Y4" s="377" t="s">
        <v>270</v>
      </c>
      <c r="Z4" s="378" t="s">
        <v>119</v>
      </c>
      <c r="AA4" s="379" t="s">
        <v>120</v>
      </c>
      <c r="AB4" s="1200"/>
    </row>
    <row r="5" spans="1:30" ht="13.9" customHeight="1" x14ac:dyDescent="0.25">
      <c r="A5" s="1103">
        <v>1</v>
      </c>
      <c r="B5" s="1229" t="str">
        <f>IF(Devis1_Titre_Travaux=0,"",Devis1_Titre_Travaux)</f>
        <v/>
      </c>
      <c r="C5" s="1230"/>
      <c r="D5" s="1226">
        <f>Devis1_HT</f>
        <v>0</v>
      </c>
      <c r="E5" s="1226">
        <f>Devis1_TTC</f>
        <v>0</v>
      </c>
      <c r="F5" s="1248" t="str">
        <f>IF(Devis1_Type_Travaux=0,"",Devis1_Type_Travaux)</f>
        <v/>
      </c>
      <c r="G5" s="1237"/>
      <c r="H5" s="1247"/>
      <c r="J5" s="1201" t="str">
        <f>IFERROR(Devis1_Nom_Entreprise,"")</f>
        <v/>
      </c>
      <c r="K5" s="1202"/>
      <c r="L5" s="1203">
        <f>Devis1_Cat_Travaux</f>
        <v>0</v>
      </c>
      <c r="M5" s="1204">
        <f>IF(G5="X",E5,0)</f>
        <v>0</v>
      </c>
      <c r="N5" s="1255"/>
      <c r="O5" s="1212">
        <f>IF(N5="X",M5,0)</f>
        <v>0</v>
      </c>
      <c r="P5" s="527" t="str">
        <f>IFERROR((IF(P6&gt;0,0,IF(AND(X5="x",Gain_Sim1&gt;=25%,$Q$3="ENERGIE"),O5*$P$21/$N$21,O5*$P$21/$N$21))),"")</f>
        <v/>
      </c>
      <c r="Q5" s="1016">
        <f>IFERROR(IF(P6=0,O5-P5,O5-P6),0)</f>
        <v>0</v>
      </c>
      <c r="R5" s="1014" t="str">
        <f>IFERROR((S5*(E5/D5)),"")</f>
        <v/>
      </c>
      <c r="S5" s="1154" t="str">
        <f>IFERROR(IF(O5&gt;0,(Q5/(E5/D5)),IF(G5="x",D5,"")),"")</f>
        <v/>
      </c>
      <c r="T5" s="1159" t="str">
        <f>IFERROR((S5*$T$21/$S$21),"")</f>
        <v/>
      </c>
      <c r="U5" s="1158" t="str">
        <f>IFERROR((S5*$U$21/$S$21),"")</f>
        <v/>
      </c>
      <c r="V5" s="1158" t="str">
        <f>IFERROR((S5*$V$21/$S$21),"")</f>
        <v/>
      </c>
      <c r="W5" s="1163" t="str">
        <f>IFERROR((S5*$W$21/$S$21),"")</f>
        <v/>
      </c>
      <c r="X5" s="1205"/>
      <c r="Y5" s="1160" t="str">
        <f>IF(AND(X5="x",Prime_Region_ouinon="OUI",Gain_Sim1&gt;=25%),Prime_region,"")</f>
        <v/>
      </c>
      <c r="Z5" s="1154" t="str">
        <f>IF(AND(Prime_Region_ouinon="OUI",Gain_Sim1&gt;=25%),B_D!I34,"")</f>
        <v/>
      </c>
      <c r="AA5" s="1144" t="str">
        <f>IF(AND(Prime_Region_ouinon="OUI",Gain_Sim1&gt;=25%),B_D!I35,"")</f>
        <v/>
      </c>
      <c r="AB5" s="1148">
        <f>IFERROR(IF(P6=0,(M5-P5-T5-U5-V5-W5-(IF(AND(X5="X",Gain_Sim1&gt;25%,Prime_Region_ouinon="OUI"),1500,0))),M5-P6-T5-U5-V5-W5(IF(AND(X5="X",Gain_Sim1&gt;=25%,Prime_Region_ouinon="OUI"),1500,0))),0)</f>
        <v>0</v>
      </c>
      <c r="AD5" s="502"/>
    </row>
    <row r="6" spans="1:30" ht="15.75" thickBot="1" x14ac:dyDescent="0.3">
      <c r="A6" s="1104"/>
      <c r="B6" s="1105"/>
      <c r="C6" s="1106"/>
      <c r="D6" s="1120"/>
      <c r="E6" s="1120"/>
      <c r="F6" s="1033"/>
      <c r="G6" s="1139"/>
      <c r="H6" s="1140"/>
      <c r="J6" s="1141"/>
      <c r="K6" s="1142"/>
      <c r="L6" s="1136"/>
      <c r="M6" s="1021"/>
      <c r="N6" s="1023"/>
      <c r="O6" s="1024"/>
      <c r="P6" s="415"/>
      <c r="Q6" s="1017"/>
      <c r="R6" s="1015"/>
      <c r="S6" s="934"/>
      <c r="T6" s="1099"/>
      <c r="U6" s="1153"/>
      <c r="V6" s="1153"/>
      <c r="W6" s="1155"/>
      <c r="X6" s="1197"/>
      <c r="Y6" s="1161"/>
      <c r="Z6" s="934"/>
      <c r="AA6" s="1145"/>
      <c r="AB6" s="1143"/>
      <c r="AD6" s="502"/>
    </row>
    <row r="7" spans="1:30" ht="13.9" customHeight="1" x14ac:dyDescent="0.25">
      <c r="A7" s="1103">
        <v>2</v>
      </c>
      <c r="B7" s="1105" t="str">
        <f>IF(Devis2_Titre_Travaux=0,"",Devis2_Titre_Travaux)</f>
        <v/>
      </c>
      <c r="C7" s="1106"/>
      <c r="D7" s="1119">
        <f>Devis2_HT</f>
        <v>0</v>
      </c>
      <c r="E7" s="1119">
        <f>Devis2_TTC</f>
        <v>0</v>
      </c>
      <c r="F7" s="1033" t="str">
        <f>IF(Devis2_Type_Travaux=0,"",Devis2_Type_Travaux)</f>
        <v/>
      </c>
      <c r="G7" s="1139"/>
      <c r="H7" s="1140"/>
      <c r="J7" s="1029" t="str">
        <f>IFERROR(Devis2_Nom_Entreprise,"")</f>
        <v/>
      </c>
      <c r="K7" s="1030"/>
      <c r="L7" s="1135">
        <f>Devis2_Cat_Travaux</f>
        <v>0</v>
      </c>
      <c r="M7" s="1020">
        <f>IF(G7="X",E7,0)</f>
        <v>0</v>
      </c>
      <c r="N7" s="1022"/>
      <c r="O7" s="1018">
        <f>IF(N7="X",M7,0)</f>
        <v>0</v>
      </c>
      <c r="P7" s="543" t="str">
        <f>IFERROR((IF(P8&gt;0,0,IF(AND(X7="x",Gain_Sim1&gt;=25%,$Q$3="ENERGIE"),O7*$P$21/$N$21,O7*$P$21/$N$21))),"")</f>
        <v/>
      </c>
      <c r="Q7" s="1025">
        <f>IFERROR(IF(P8=0,O7-P7,O7-P8),0)</f>
        <v>0</v>
      </c>
      <c r="R7" s="1015" t="str">
        <f>IFERROR((S7*(E7/D7)),"")</f>
        <v/>
      </c>
      <c r="S7" s="934" t="str">
        <f>IFERROR(IF(O7&gt;0,(Q7/(E7/D7)),IF(G7="x",D7,"")),"")</f>
        <v/>
      </c>
      <c r="T7" s="1099" t="str">
        <f>IFERROR((S7*$T$21/$S$21),"")</f>
        <v/>
      </c>
      <c r="U7" s="1153" t="str">
        <f>IFERROR((S7*$U$21/$S$21),"")</f>
        <v/>
      </c>
      <c r="V7" s="1153" t="str">
        <f t="shared" ref="V7" si="0">IFERROR((S7*$V$21/$S$21),"")</f>
        <v/>
      </c>
      <c r="W7" s="1155" t="str">
        <f t="shared" ref="W7" si="1">IFERROR((S7*$W$21/$S$21),"")</f>
        <v/>
      </c>
      <c r="X7" s="1196"/>
      <c r="Y7" s="1162" t="str">
        <f>IF(AND(X7="x",Prime_Region_ouinon="OUI",Gain_Sim1&gt;=25%),Prime_region,"")</f>
        <v/>
      </c>
      <c r="Z7" s="1149" t="str">
        <f>IF(AND(Prime_Region_ouinon="OUI",Gain_Sim1&gt;=25%),B_D!I36,"")</f>
        <v/>
      </c>
      <c r="AA7" s="1146" t="str">
        <f>IF(AND(Prime_Region_ouinon="OUI",Gain_Sim1&gt;=25%),B_D!I37,"")</f>
        <v/>
      </c>
      <c r="AB7" s="1143">
        <f>IFERROR(IF(P8=0,(M7-P7-T7-U7-V7-W7-(IF(AND(X7="X",Gain_Sim1&gt;25%,Prime_Region_ouinon="OUI"),1500,0))),M7-P8-T7-U7-V7-W7(IF(AND(X7="X",Gain_Sim1&gt;=25%,Prime_Region_ouinon="OUI"),1500,0))),0)</f>
        <v>0</v>
      </c>
      <c r="AD7" s="502"/>
    </row>
    <row r="8" spans="1:30" ht="15.75" thickBot="1" x14ac:dyDescent="0.3">
      <c r="A8" s="1104"/>
      <c r="B8" s="1105"/>
      <c r="C8" s="1106"/>
      <c r="D8" s="1120"/>
      <c r="E8" s="1120"/>
      <c r="F8" s="1033"/>
      <c r="G8" s="1139"/>
      <c r="H8" s="1140"/>
      <c r="J8" s="1141"/>
      <c r="K8" s="1142"/>
      <c r="L8" s="1136"/>
      <c r="M8" s="1021"/>
      <c r="N8" s="1023"/>
      <c r="O8" s="1024"/>
      <c r="P8" s="415"/>
      <c r="Q8" s="1017"/>
      <c r="R8" s="1015"/>
      <c r="S8" s="934"/>
      <c r="T8" s="1099"/>
      <c r="U8" s="1153"/>
      <c r="V8" s="1153"/>
      <c r="W8" s="1155"/>
      <c r="X8" s="1197"/>
      <c r="Y8" s="1161"/>
      <c r="Z8" s="1150"/>
      <c r="AA8" s="1147"/>
      <c r="AB8" s="1143"/>
      <c r="AD8" s="502"/>
    </row>
    <row r="9" spans="1:30" x14ac:dyDescent="0.25">
      <c r="A9" s="1103">
        <v>3</v>
      </c>
      <c r="B9" s="1105" t="str">
        <f>IF(Devis3_Titre_Travaux=0,"",Devis3_Titre_Travaux)</f>
        <v/>
      </c>
      <c r="C9" s="1106"/>
      <c r="D9" s="1119">
        <f>Devis3_HT</f>
        <v>0</v>
      </c>
      <c r="E9" s="1119">
        <f>Devis3_TTC</f>
        <v>0</v>
      </c>
      <c r="F9" s="1033" t="str">
        <f>IF(Devis3_Type_Travaux=0,"",Devis3_Type_Travaux)</f>
        <v/>
      </c>
      <c r="G9" s="1139"/>
      <c r="H9" s="1140"/>
      <c r="J9" s="1029" t="str">
        <f>IFERROR(Devis3_Nom_Entreprise,"")</f>
        <v/>
      </c>
      <c r="K9" s="1030"/>
      <c r="L9" s="1135">
        <f>Devis3_Cat_Travaux</f>
        <v>0</v>
      </c>
      <c r="M9" s="1020">
        <f>IF(G9="X",E9,0)</f>
        <v>0</v>
      </c>
      <c r="N9" s="1022"/>
      <c r="O9" s="1018">
        <f>IF(N9="X",M9,0)</f>
        <v>0</v>
      </c>
      <c r="P9" s="528" t="str">
        <f>IFERROR((IF(P10&gt;0,0,IF(AND(X9="x",Gain_Sim1&gt;=25%,$Q$3="ENERGIE"),O9*$P$21/$N$21,O9*$P$21/$N$21))),"")</f>
        <v/>
      </c>
      <c r="Q9" s="1025">
        <f>IFERROR(IF(P10=0,O9-P9,O9-P10),0)</f>
        <v>0</v>
      </c>
      <c r="R9" s="1015" t="str">
        <f>IFERROR((S9*(E9/D9)),"")</f>
        <v/>
      </c>
      <c r="S9" s="934" t="str">
        <f>IFERROR(IF(O9&gt;0,(Q9/(E9/D9)),IF(G9="x",D9,"")),"")</f>
        <v/>
      </c>
      <c r="T9" s="1099" t="str">
        <f>IFERROR((S9*$T$21/$S$21),"")</f>
        <v/>
      </c>
      <c r="U9" s="1153" t="str">
        <f>IFERROR((S9*$U$21/$S$21),"")</f>
        <v/>
      </c>
      <c r="V9" s="1153" t="str">
        <f t="shared" ref="V9" si="2">IFERROR((S9*$V$21/$S$21),"")</f>
        <v/>
      </c>
      <c r="W9" s="1155" t="str">
        <f t="shared" ref="W9" si="3">IFERROR((S9*$W$21/$S$21),"")</f>
        <v/>
      </c>
      <c r="X9" s="1196"/>
      <c r="Y9" s="1151" t="str">
        <f>IF(AND(X9="x",Prime_Region_ouinon="OUI",Gain_Sim1&gt;=25%),Prime_region,"")</f>
        <v/>
      </c>
      <c r="Z9" s="934" t="str">
        <f>IF(AND(Prime_Region_ouinon="OUI",Gain_Sim1&gt;=25%),B_D!I38,"")</f>
        <v/>
      </c>
      <c r="AA9" s="1145" t="str">
        <f>IF(AND(Prime_Region_ouinon="OUI",Gain_Sim1&gt;=25%),B_D!I39,"")</f>
        <v/>
      </c>
      <c r="AB9" s="1143">
        <f>IFERROR(IF(P10=0,(M9-P9-T9-U9-V9-W9-(IF(AND(X9="X",Gain_Sim1&gt;25%,Prime_Region_ouinon="OUI"),1500,0))),M9-P10-T9-U9-V9-W9(IF(AND(X9="X",Gain_Sim1&gt;=25%,Prime_Region_ouinon="OUI"),1500,0))),0)</f>
        <v>0</v>
      </c>
      <c r="AD9" s="502"/>
    </row>
    <row r="10" spans="1:30" ht="15.75" thickBot="1" x14ac:dyDescent="0.3">
      <c r="A10" s="1104"/>
      <c r="B10" s="1105"/>
      <c r="C10" s="1106"/>
      <c r="D10" s="1120"/>
      <c r="E10" s="1120"/>
      <c r="F10" s="1033"/>
      <c r="G10" s="1139"/>
      <c r="H10" s="1140"/>
      <c r="J10" s="1141"/>
      <c r="K10" s="1142"/>
      <c r="L10" s="1136"/>
      <c r="M10" s="1021"/>
      <c r="N10" s="1023"/>
      <c r="O10" s="1024"/>
      <c r="P10" s="415"/>
      <c r="Q10" s="1017"/>
      <c r="R10" s="1015"/>
      <c r="S10" s="934"/>
      <c r="T10" s="1099"/>
      <c r="U10" s="1153"/>
      <c r="V10" s="1153"/>
      <c r="W10" s="1155"/>
      <c r="X10" s="1197"/>
      <c r="Y10" s="1152"/>
      <c r="Z10" s="934"/>
      <c r="AA10" s="1145"/>
      <c r="AB10" s="1143"/>
      <c r="AD10" s="502"/>
    </row>
    <row r="11" spans="1:30" x14ac:dyDescent="0.25">
      <c r="A11" s="1103">
        <v>4</v>
      </c>
      <c r="B11" s="1105" t="str">
        <f>IF(Devis4_Titre_Travaux=0,"",Devis4_Titre_Travaux)</f>
        <v/>
      </c>
      <c r="C11" s="1106"/>
      <c r="D11" s="1119">
        <f>Devis4_HT</f>
        <v>0</v>
      </c>
      <c r="E11" s="1119">
        <f>Devis4_TTC</f>
        <v>0</v>
      </c>
      <c r="F11" s="1033" t="str">
        <f>IF(Devis4_Type_Travaux=0,"",Devis4_Type_Travaux)</f>
        <v/>
      </c>
      <c r="G11" s="1139"/>
      <c r="H11" s="1140"/>
      <c r="J11" s="1029" t="str">
        <f>IFERROR(Devis4_Nom_Entreprise,"")</f>
        <v/>
      </c>
      <c r="K11" s="1030"/>
      <c r="L11" s="1135">
        <f>Devis4_Cat_Travaux</f>
        <v>0</v>
      </c>
      <c r="M11" s="1020">
        <f>IF(G11="X",E11,0)</f>
        <v>0</v>
      </c>
      <c r="N11" s="1022"/>
      <c r="O11" s="1018">
        <f>IF(N11="X",M11,0)</f>
        <v>0</v>
      </c>
      <c r="P11" s="528" t="str">
        <f>IFERROR((IF(P12&gt;0,0,IF(AND(X11="x",Gain_Sim1&gt;=25%,$Q$3="ENERGIE"),O11*$P$21/$N$21,O11*$P$21/$N$21))),"")</f>
        <v/>
      </c>
      <c r="Q11" s="1025">
        <f>IFERROR(IF(P12=0,O11-P11,O11-P12),0)</f>
        <v>0</v>
      </c>
      <c r="R11" s="1015" t="str">
        <f>IFERROR((S11*(E11/D11)),"")</f>
        <v/>
      </c>
      <c r="S11" s="934" t="str">
        <f>IFERROR(IF(O11&gt;0,(Q11/(E11/D11)),IF(G11="x",D11,"")),"")</f>
        <v/>
      </c>
      <c r="T11" s="1099" t="str">
        <f>IFERROR((S11*$T$21/$S$21),"")</f>
        <v/>
      </c>
      <c r="U11" s="1153" t="str">
        <f>IFERROR((S11*$U$21/$S$21),"")</f>
        <v/>
      </c>
      <c r="V11" s="1153" t="str">
        <f t="shared" ref="V11" si="4">IFERROR((S11*$V$21/$S$21),"")</f>
        <v/>
      </c>
      <c r="W11" s="1155" t="str">
        <f t="shared" ref="W11" si="5">IFERROR((S11*$W$21/$S$21),"")</f>
        <v/>
      </c>
      <c r="X11" s="1196"/>
      <c r="Y11" s="1151" t="str">
        <f>IF(AND(X11="x",Prime_Region_ouinon="OUI",Gain_Sim1&gt;=25%),Prime_region,"")</f>
        <v/>
      </c>
      <c r="Z11" s="934" t="str">
        <f>IF(AND(Prime_Region_ouinon="OUI",Gain_Sim1&gt;=25%),B_D!I40,"")</f>
        <v/>
      </c>
      <c r="AA11" s="1145" t="str">
        <f>IF(AND(Prime_Region_ouinon="OUI",Gain_Sim1&gt;=25%),B_D!I41,"")</f>
        <v/>
      </c>
      <c r="AB11" s="1143">
        <f>IFERROR(IF(P12=0,(M11-P11-T11-U11-V11-W11-(IF(AND(X11="X",Gain_Sim1&gt;25%,Prime_Region_ouinon="OUI"),1500,0))),M11-P12-T11-U11-V11-W11(IF(AND(X11="X",Gain_Sim1&gt;=25%,Prime_Region_ouinon="OUI"),1500,0))),0)</f>
        <v>0</v>
      </c>
      <c r="AD11" s="502"/>
    </row>
    <row r="12" spans="1:30" ht="15.75" thickBot="1" x14ac:dyDescent="0.3">
      <c r="A12" s="1104"/>
      <c r="B12" s="1105"/>
      <c r="C12" s="1106"/>
      <c r="D12" s="1120"/>
      <c r="E12" s="1120"/>
      <c r="F12" s="1033"/>
      <c r="G12" s="1139"/>
      <c r="H12" s="1140"/>
      <c r="J12" s="1141"/>
      <c r="K12" s="1142"/>
      <c r="L12" s="1136"/>
      <c r="M12" s="1021"/>
      <c r="N12" s="1023"/>
      <c r="O12" s="1024"/>
      <c r="P12" s="415"/>
      <c r="Q12" s="1017"/>
      <c r="R12" s="1015"/>
      <c r="S12" s="934"/>
      <c r="T12" s="1099"/>
      <c r="U12" s="1153"/>
      <c r="V12" s="1153"/>
      <c r="W12" s="1155"/>
      <c r="X12" s="1197"/>
      <c r="Y12" s="1152"/>
      <c r="Z12" s="934"/>
      <c r="AA12" s="1145"/>
      <c r="AB12" s="1143"/>
      <c r="AD12" s="502"/>
    </row>
    <row r="13" spans="1:30" x14ac:dyDescent="0.25">
      <c r="A13" s="1103">
        <v>5</v>
      </c>
      <c r="B13" s="1105" t="str">
        <f>IF(Devis5_Titre_Travaux=0,"",Devis5_Titre_Travaux)</f>
        <v/>
      </c>
      <c r="C13" s="1106"/>
      <c r="D13" s="1119">
        <f>Devis5_HT</f>
        <v>0</v>
      </c>
      <c r="E13" s="1119">
        <f>Devis5_TTC</f>
        <v>0</v>
      </c>
      <c r="F13" s="1033" t="str">
        <f>IF(Devis5_Type_Travaux=0,"",Devis5_Type_Travaux)</f>
        <v/>
      </c>
      <c r="G13" s="1139"/>
      <c r="H13" s="1140"/>
      <c r="J13" s="1029" t="str">
        <f>IFERROR(Devis5_Nom_Entreprise,"")</f>
        <v/>
      </c>
      <c r="K13" s="1030"/>
      <c r="L13" s="1135">
        <f>Devis5_Cat_Travaux</f>
        <v>0</v>
      </c>
      <c r="M13" s="1020">
        <f>IF(G13="X",E13,0)</f>
        <v>0</v>
      </c>
      <c r="N13" s="1022"/>
      <c r="O13" s="1018">
        <f>IF(N13="X",M13,0)</f>
        <v>0</v>
      </c>
      <c r="P13" s="528" t="str">
        <f>IFERROR((IF(P14&gt;0,0,IF(AND(X13="x",Gain_Sim1&gt;=25%,$Q$3="ENERGIE"),O13*$P$21/$N$21,O13*$P$21/$N$21))),"")</f>
        <v/>
      </c>
      <c r="Q13" s="1025">
        <f>IFERROR(IF(P14=0,O13-P13,O13-P14),0)</f>
        <v>0</v>
      </c>
      <c r="R13" s="1015" t="str">
        <f>IFERROR((S13*(E13/D13)),"")</f>
        <v/>
      </c>
      <c r="S13" s="934" t="str">
        <f>IFERROR(IF(O13&gt;0,(Q13/(E13/D13)),IF(G13="x",D13,"")),"")</f>
        <v/>
      </c>
      <c r="T13" s="1099" t="str">
        <f>IFERROR((S13*$T$21/$S$21),"")</f>
        <v/>
      </c>
      <c r="U13" s="1153" t="str">
        <f>IFERROR((S13*$U$21/$S$21),"")</f>
        <v/>
      </c>
      <c r="V13" s="1153" t="str">
        <f t="shared" ref="V13" si="6">IFERROR((S13*$V$21/$S$21),"")</f>
        <v/>
      </c>
      <c r="W13" s="1155" t="str">
        <f t="shared" ref="W13" si="7">IFERROR((S13*$W$21/$S$21),"")</f>
        <v/>
      </c>
      <c r="X13" s="1196"/>
      <c r="Y13" s="1151" t="str">
        <f>IF(AND(X13="x",Prime_Region_ouinon="OUI",Gain_Sim1&gt;=25%),Prime_region,"")</f>
        <v/>
      </c>
      <c r="Z13" s="934" t="str">
        <f>IF(AND(Prime_Region_ouinon="OUI",Gain_Sim1&gt;=25%),B_D!I42,"")</f>
        <v/>
      </c>
      <c r="AA13" s="1145" t="str">
        <f>IF(AND(Prime_Region_ouinon="OUI",Gain_Sim1&gt;=25%),B_D!I43,"")</f>
        <v/>
      </c>
      <c r="AB13" s="1143">
        <f>IFERROR(IF(P14=0,(M13-P13-T13-U13-V13-W13-(IF(AND(X13="X",Gain_Sim1&gt;25%,Prime_Region_ouinon="OUI"),1500,0))),M13-P14-T13-U13-V13-W13(IF(AND(X13="X",Gain_Sim1&gt;=25%,Prime_Region_ouinon="OUI"),1500,0))),0)</f>
        <v>0</v>
      </c>
      <c r="AD13" s="502"/>
    </row>
    <row r="14" spans="1:30" ht="15.75" thickBot="1" x14ac:dyDescent="0.3">
      <c r="A14" s="1104"/>
      <c r="B14" s="1105"/>
      <c r="C14" s="1106"/>
      <c r="D14" s="1120"/>
      <c r="E14" s="1120"/>
      <c r="F14" s="1033"/>
      <c r="G14" s="1139"/>
      <c r="H14" s="1140"/>
      <c r="J14" s="1141"/>
      <c r="K14" s="1142"/>
      <c r="L14" s="1136"/>
      <c r="M14" s="1021"/>
      <c r="N14" s="1023"/>
      <c r="O14" s="1024"/>
      <c r="P14" s="415"/>
      <c r="Q14" s="1017"/>
      <c r="R14" s="1015"/>
      <c r="S14" s="934"/>
      <c r="T14" s="1099"/>
      <c r="U14" s="1153"/>
      <c r="V14" s="1153"/>
      <c r="W14" s="1155"/>
      <c r="X14" s="1197"/>
      <c r="Y14" s="1152"/>
      <c r="Z14" s="934"/>
      <c r="AA14" s="1145"/>
      <c r="AB14" s="1143"/>
      <c r="AD14" s="502"/>
    </row>
    <row r="15" spans="1:30" x14ac:dyDescent="0.25">
      <c r="A15" s="1103">
        <v>6</v>
      </c>
      <c r="B15" s="1105" t="str">
        <f>IF(Devis6_Titre_Travaux=0,"",Devis6_Titre_Travaux)</f>
        <v/>
      </c>
      <c r="C15" s="1106"/>
      <c r="D15" s="1119">
        <f>Devis6_HT</f>
        <v>0</v>
      </c>
      <c r="E15" s="1119">
        <f>Devis6_TTC</f>
        <v>0</v>
      </c>
      <c r="F15" s="1033" t="str">
        <f>IF(Devis6_Type_Travaux=0,"",Devis6_Type_Travaux)</f>
        <v/>
      </c>
      <c r="G15" s="1139"/>
      <c r="H15" s="1140"/>
      <c r="J15" s="1029" t="str">
        <f>IFERROR(Devis6_Nom_Entreprise,"")</f>
        <v/>
      </c>
      <c r="K15" s="1030"/>
      <c r="L15" s="1135">
        <f>Devis6_Cat_Travaux</f>
        <v>0</v>
      </c>
      <c r="M15" s="1020">
        <f>IF(G15="X",E15,0)</f>
        <v>0</v>
      </c>
      <c r="N15" s="1022"/>
      <c r="O15" s="1018">
        <f>IF(N15="X",M15,0)</f>
        <v>0</v>
      </c>
      <c r="P15" s="528" t="str">
        <f>IFERROR((IF(P16&gt;0,0,IF(AND(X15="x",Gain_Sim1&gt;=25%,$Q$3="ENERGIE"),O15*$P$21/$N$21,O15*$P$21/$N$21))),"")</f>
        <v/>
      </c>
      <c r="Q15" s="1025">
        <f>IFERROR(IF(P16=0,O15-P15,O15-P16),0)</f>
        <v>0</v>
      </c>
      <c r="R15" s="1015" t="str">
        <f>IFERROR((S15*(E15/D15)),"")</f>
        <v/>
      </c>
      <c r="S15" s="934" t="str">
        <f>IFERROR(IF(O15&gt;0,(Q15/(E15/D15)),IF(G15="x",D15,"")),"")</f>
        <v/>
      </c>
      <c r="T15" s="1099" t="str">
        <f>IFERROR((S15*$T$21/$S$21),"")</f>
        <v/>
      </c>
      <c r="U15" s="1153" t="str">
        <f>IFERROR((S15*$U$21/$S$21),"")</f>
        <v/>
      </c>
      <c r="V15" s="1153" t="str">
        <f t="shared" ref="V15" si="8">IFERROR((S15*$V$21/$S$21),"")</f>
        <v/>
      </c>
      <c r="W15" s="1155" t="str">
        <f t="shared" ref="W15" si="9">IFERROR((S15*$W$21/$S$21),"")</f>
        <v/>
      </c>
      <c r="X15" s="1185"/>
      <c r="Y15" s="1162" t="str">
        <f>IF(AND(X15="x",Prime_Region_ouinon="OUI",Gain_Sim1&gt;=25%),Prime_region,"")</f>
        <v/>
      </c>
      <c r="Z15" s="934" t="str">
        <f>IF(AND(Prime_Region_ouinon="OUI",Gain_Sim1&gt;=25%),B_D!I44,"")</f>
        <v/>
      </c>
      <c r="AA15" s="1145" t="str">
        <f>IF(AND(Prime_Region_ouinon="OUI",Gain_Sim1&gt;=25%),B_D!I45,"")</f>
        <v/>
      </c>
      <c r="AB15" s="1143">
        <f>IFERROR(IF(P16=0,(M15-P15-T15-U15-V15-W15-(IF(AND(X15="X",Gain_Sim1&gt;25%,Prime_Region_ouinon="OUI"),1500,0))),M15-P16-T15-U15-V15-W15(IF(AND(X15="X",Gain_Sim1&gt;=25%,Prime_Region_ouinon="OUI"),1500,0))),0)</f>
        <v>0</v>
      </c>
    </row>
    <row r="16" spans="1:30" ht="15.75" thickBot="1" x14ac:dyDescent="0.3">
      <c r="A16" s="1104"/>
      <c r="B16" s="1105"/>
      <c r="C16" s="1106"/>
      <c r="D16" s="1120"/>
      <c r="E16" s="1120"/>
      <c r="F16" s="1033"/>
      <c r="G16" s="1139"/>
      <c r="H16" s="1140"/>
      <c r="J16" s="1141"/>
      <c r="K16" s="1142"/>
      <c r="L16" s="1136"/>
      <c r="M16" s="1021"/>
      <c r="N16" s="1023"/>
      <c r="O16" s="1024"/>
      <c r="P16" s="415"/>
      <c r="Q16" s="1017"/>
      <c r="R16" s="1015"/>
      <c r="S16" s="934"/>
      <c r="T16" s="1099"/>
      <c r="U16" s="1153"/>
      <c r="V16" s="1153"/>
      <c r="W16" s="1155"/>
      <c r="X16" s="1197"/>
      <c r="Y16" s="1161"/>
      <c r="Z16" s="934"/>
      <c r="AA16" s="1145"/>
      <c r="AB16" s="1143"/>
    </row>
    <row r="17" spans="1:28" x14ac:dyDescent="0.25">
      <c r="A17" s="1103">
        <v>7</v>
      </c>
      <c r="B17" s="1105" t="str">
        <f>IF(Devis7_Titre_Travaux=0,"",Devis7_Titre_Travaux)</f>
        <v/>
      </c>
      <c r="C17" s="1106"/>
      <c r="D17" s="1119">
        <f>Devis7_HT</f>
        <v>0</v>
      </c>
      <c r="E17" s="1119">
        <f>Devis7_TTC</f>
        <v>0</v>
      </c>
      <c r="F17" s="1033" t="str">
        <f>IF(Devis7_Type_Travaux=0,"",Devis7_Type_Travaux)</f>
        <v/>
      </c>
      <c r="G17" s="1117"/>
      <c r="H17" s="1122"/>
      <c r="J17" s="1029" t="str">
        <f>IFERROR(Devis7_Nom_Entreprise,"")</f>
        <v/>
      </c>
      <c r="K17" s="1030"/>
      <c r="L17" s="1135">
        <f>Devis7_Cat_Travaux</f>
        <v>0</v>
      </c>
      <c r="M17" s="1020">
        <f>IF(G17="X",E17,0)</f>
        <v>0</v>
      </c>
      <c r="N17" s="1022"/>
      <c r="O17" s="1018">
        <f>IF(N17="X",M17,0)</f>
        <v>0</v>
      </c>
      <c r="P17" s="528" t="str">
        <f>IFERROR((IF(P18&gt;0,0,IF(AND(X17="x",Gain_Sim1&gt;=25%,$Q$3="ENERGIE"),O17*$P$21/$N$21,O17*$P$21/$N$21))),"")</f>
        <v/>
      </c>
      <c r="Q17" s="1025">
        <f>IFERROR(IF(P18=0,O17-P17,O17-P18),0)</f>
        <v>0</v>
      </c>
      <c r="R17" s="1015" t="str">
        <f>IFERROR((S17*(E17/D17)),"")</f>
        <v/>
      </c>
      <c r="S17" s="934" t="str">
        <f>IFERROR(IF(O17&gt;0,(Q17/(E17/D17)),IF(G17="x",D17,"")),"")</f>
        <v/>
      </c>
      <c r="T17" s="1099" t="str">
        <f>IFERROR((S17*$T$21/$S$21),"")</f>
        <v/>
      </c>
      <c r="U17" s="1153" t="str">
        <f>IFERROR((S17*$U$21/$S$21),"")</f>
        <v/>
      </c>
      <c r="V17" s="1153" t="str">
        <f t="shared" ref="V17" si="10">IFERROR((S17*$V$21/$S$21),"")</f>
        <v/>
      </c>
      <c r="W17" s="1155" t="str">
        <f t="shared" ref="W17" si="11">IFERROR((S17*$W$21/$S$21),"")</f>
        <v/>
      </c>
      <c r="X17" s="1185"/>
      <c r="Y17" s="1162" t="str">
        <f>IF(AND(X17="x",Prime_Region_ouinon="OUI",Gain_Sim1&gt;=25%),Prime_region,"")</f>
        <v/>
      </c>
      <c r="Z17" s="934" t="str">
        <f>IF(AND(Prime_Region_ouinon="OUI",Gain_Sim1&gt;=25%),B_D!I46,"")</f>
        <v/>
      </c>
      <c r="AA17" s="1145" t="str">
        <f>IF(AND(Prime_Region_ouinon="OUI",Gain_Sim1&gt;=25%),B_D!I47,"")</f>
        <v/>
      </c>
      <c r="AB17" s="1143">
        <f>IFERROR(IF(P18=0,(M17-P17-T17-U17-V17-W17-(IF(AND(X17="X",Gain_Sim1&gt;25%,Prime_Region_ouinon="OUI"),1500,0))),M17-P18-T17-U17-V17-W17(IF(AND(X17="X",Gain_Sim1&gt;=25%,Prime_Region_ouinon="OUI"),1500,0))),0)</f>
        <v>0</v>
      </c>
    </row>
    <row r="18" spans="1:28" ht="15.75" thickBot="1" x14ac:dyDescent="0.3">
      <c r="A18" s="1104"/>
      <c r="B18" s="1105"/>
      <c r="C18" s="1106"/>
      <c r="D18" s="1120"/>
      <c r="E18" s="1120"/>
      <c r="F18" s="1033"/>
      <c r="G18" s="1117"/>
      <c r="H18" s="1122"/>
      <c r="J18" s="1141"/>
      <c r="K18" s="1142"/>
      <c r="L18" s="1136"/>
      <c r="M18" s="1021"/>
      <c r="N18" s="1023"/>
      <c r="O18" s="1024"/>
      <c r="P18" s="416"/>
      <c r="Q18" s="1017"/>
      <c r="R18" s="1015"/>
      <c r="S18" s="934"/>
      <c r="T18" s="1099"/>
      <c r="U18" s="1153"/>
      <c r="V18" s="1153"/>
      <c r="W18" s="1155"/>
      <c r="X18" s="1197"/>
      <c r="Y18" s="1161"/>
      <c r="Z18" s="934"/>
      <c r="AA18" s="1145"/>
      <c r="AB18" s="1143"/>
    </row>
    <row r="19" spans="1:28" x14ac:dyDescent="0.25">
      <c r="A19" s="1103">
        <v>8</v>
      </c>
      <c r="B19" s="1105" t="str">
        <f>IF(Devis8_Titre_Travaux=0,"",Devis8_Titre_Travaux)</f>
        <v/>
      </c>
      <c r="C19" s="1106"/>
      <c r="D19" s="1119">
        <f>Devis8_HT</f>
        <v>0</v>
      </c>
      <c r="E19" s="1119">
        <f>Devis8_TTC</f>
        <v>0</v>
      </c>
      <c r="F19" s="1033" t="str">
        <f>IF(Devis8_Type_Travaux=0,"",Devis8_Type_Travaux)</f>
        <v/>
      </c>
      <c r="G19" s="1117"/>
      <c r="H19" s="1122"/>
      <c r="J19" s="1029" t="str">
        <f>IFERROR(Devis8_Nom_Entreprise,"")</f>
        <v/>
      </c>
      <c r="K19" s="1030"/>
      <c r="L19" s="1135">
        <f>Devis8_Cat_Travaux</f>
        <v>0</v>
      </c>
      <c r="M19" s="1020">
        <f>IF(G19="X",E19,0)</f>
        <v>0</v>
      </c>
      <c r="N19" s="1022"/>
      <c r="O19" s="1018">
        <f>IF(N19="X",M19,0)</f>
        <v>0</v>
      </c>
      <c r="P19" s="529" t="str">
        <f>IFERROR((IF(P20&gt;0,0,IF(AND(X19="x",Gain_Sim1&gt;=25%,$Q$3="ENERGIE"),O19*$P$21/$N$21,O19*$P$21/$N$21))),"")</f>
        <v/>
      </c>
      <c r="Q19" s="1221">
        <f>IFERROR(IF(P20=0,O19-P19,O19-P20),0)</f>
        <v>0</v>
      </c>
      <c r="R19" s="1015" t="str">
        <f>IFERROR((S19*(E19/D19)),"")</f>
        <v/>
      </c>
      <c r="S19" s="934" t="str">
        <f>IFERROR(IF(O19&gt;0,(Q19/(E19/D19)),IF(G19="x",D19,"")),"")</f>
        <v/>
      </c>
      <c r="T19" s="1099" t="str">
        <f>IFERROR((S19*$T$21/$S$21),"")</f>
        <v/>
      </c>
      <c r="U19" s="1153" t="str">
        <f>IFERROR((S19*$U$21/$S$21),"")</f>
        <v/>
      </c>
      <c r="V19" s="1153" t="str">
        <f t="shared" ref="V19" si="12">IFERROR((S19*$V$21/$S$21),"")</f>
        <v/>
      </c>
      <c r="W19" s="1155" t="str">
        <f t="shared" ref="W19" si="13">IFERROR((S19*$W$21/$S$21),"")</f>
        <v/>
      </c>
      <c r="X19" s="1185"/>
      <c r="Y19" s="1162" t="str">
        <f>IF(AND(X19="x",Prime_Region_ouinon="OUI",Gain_Sim1&gt;=25%),Prime_region,"")</f>
        <v/>
      </c>
      <c r="Z19" s="934" t="str">
        <f>IF(AND(Prime_Region_ouinon="OUI",Gain_Sim1&gt;=25%),B_D!I48,"")</f>
        <v/>
      </c>
      <c r="AA19" s="1147" t="str">
        <f>IF(AND(Prime_Region_ouinon="OUI",Gain_Sim1&gt;=25%),B_D!I49,"")</f>
        <v/>
      </c>
      <c r="AB19" s="1143">
        <f>IFERROR(IF(P20=0,(M19-P19-T19-U19-V19-W19-(IF(AND(X19="X",Gain_Sim1&gt;25%,Prime_Region_ouinon="OUI"),1500,0))),M19-P20-T19-U19-V19-W19(IF(AND(X19="X",Gain_Sim1&gt;=25%,Prime_Region_ouinon="OUI"),1500,0))),0)</f>
        <v>0</v>
      </c>
    </row>
    <row r="20" spans="1:28" ht="15.75" thickBot="1" x14ac:dyDescent="0.3">
      <c r="A20" s="1104"/>
      <c r="B20" s="1107"/>
      <c r="C20" s="1108"/>
      <c r="D20" s="1121"/>
      <c r="E20" s="1121"/>
      <c r="F20" s="1137"/>
      <c r="G20" s="1118"/>
      <c r="H20" s="1138"/>
      <c r="J20" s="1031"/>
      <c r="K20" s="1032"/>
      <c r="L20" s="1166"/>
      <c r="M20" s="1034"/>
      <c r="N20" s="1028"/>
      <c r="O20" s="1019"/>
      <c r="P20" s="417"/>
      <c r="Q20" s="1222"/>
      <c r="R20" s="1096"/>
      <c r="S20" s="940"/>
      <c r="T20" s="1100"/>
      <c r="U20" s="1173"/>
      <c r="V20" s="1173"/>
      <c r="W20" s="1215"/>
      <c r="X20" s="1186"/>
      <c r="Y20" s="1193"/>
      <c r="Z20" s="940"/>
      <c r="AA20" s="1145"/>
      <c r="AB20" s="1198"/>
    </row>
    <row r="21" spans="1:28" ht="15.75" customHeight="1" thickBot="1" x14ac:dyDescent="0.3">
      <c r="A21" s="1113" t="s">
        <v>87</v>
      </c>
      <c r="B21" s="1114"/>
      <c r="C21" s="418" t="s">
        <v>117</v>
      </c>
      <c r="D21" s="380" t="s">
        <v>328</v>
      </c>
      <c r="E21" s="1123" t="s">
        <v>37</v>
      </c>
      <c r="F21" s="1124"/>
      <c r="G21" s="132">
        <f>IF(Cep_Sim1=0,0,(100-(Cep_Sim1/Cep_Actuel)*100)/100)</f>
        <v>0</v>
      </c>
      <c r="H21" s="133">
        <f>IF(Cep_Sim2=0,0,(100-(Cep_Sim2/Cep_Actuel)*100)/100)</f>
        <v>0</v>
      </c>
      <c r="L21" s="448"/>
      <c r="M21" s="1164">
        <f>SUM(M5:M20)</f>
        <v>0</v>
      </c>
      <c r="N21" s="1256">
        <f>SUM(O5:O20)</f>
        <v>0</v>
      </c>
      <c r="O21" s="1257"/>
      <c r="P21" s="526">
        <f>IF(Q3="ENERGIE",IF(N21&gt;=(Plafond_Prime_ALS_PO-ALS_Frais_AMO),Plafond_Prime_ALS_PO-ALS_Frais_AMO,N21),IF(N21&gt;=(Plafond_Prime_ALS_Auto-ALS_Frais_AMO),Plafond_Prime_ALS_Auto-ALS_Frais_AMO,N21))</f>
        <v>0</v>
      </c>
      <c r="Q21" s="1223">
        <f>SUM(Q5:Q20)</f>
        <v>0</v>
      </c>
      <c r="R21" s="1097">
        <f>IFERROR((SUMIF(R5:R20,"&gt;0",R5:R20)),0)</f>
        <v>0</v>
      </c>
      <c r="S21" s="1156">
        <f>SUM(S5:S20)</f>
        <v>0</v>
      </c>
      <c r="T21" s="1224" t="str">
        <f>IFERROR((Prime_Anah_Sim1),"")</f>
        <v/>
      </c>
      <c r="U21" s="1171" t="str">
        <f>IFERROR((Prime_ASE_Sim1),"")</f>
        <v/>
      </c>
      <c r="V21" s="1168" t="e">
        <f>Prime_ASE_Passoire_Sim1</f>
        <v>#VALUE!</v>
      </c>
      <c r="W21" s="1213" t="e">
        <f>Prime_ASE_BBC_Sim1</f>
        <v>#VALUE!</v>
      </c>
      <c r="Z21" s="381">
        <f>SUM(Z5:Z20)</f>
        <v>0</v>
      </c>
      <c r="AA21" s="382">
        <f>SUM(AA5:AA20)</f>
        <v>0</v>
      </c>
      <c r="AB21" s="1194" t="e">
        <f>M21-P21-T21-U21-V21-W21-SUM(Y5:Y20)</f>
        <v>#VALUE!</v>
      </c>
    </row>
    <row r="22" spans="1:28" ht="15.75" thickBot="1" x14ac:dyDescent="0.3">
      <c r="A22" s="1115"/>
      <c r="B22" s="1116"/>
      <c r="C22" s="419" t="s">
        <v>117</v>
      </c>
      <c r="D22" s="383" t="s">
        <v>329</v>
      </c>
      <c r="E22" s="1115" t="s">
        <v>213</v>
      </c>
      <c r="F22" s="804"/>
      <c r="G22" s="251" t="str">
        <f>IF(Cep_Actuel&gt;0,VLOOKUP(Cep_Sim1,Etiquette_DPE,3),"")</f>
        <v/>
      </c>
      <c r="H22" s="252" t="str">
        <f>IF(Cep_Actuel&gt;0,VLOOKUP(Cep_Sim2,Etiquette_DPE,3),"")</f>
        <v/>
      </c>
      <c r="L22" s="448"/>
      <c r="M22" s="1165"/>
      <c r="N22" s="530" t="s">
        <v>307</v>
      </c>
      <c r="O22" s="687">
        <f>ALS_Frais_AMO</f>
        <v>0</v>
      </c>
      <c r="P22" s="525">
        <f>P6+P8+P10+P12+P14+P16+P18+P20</f>
        <v>0</v>
      </c>
      <c r="Q22" s="1178"/>
      <c r="R22" s="1098"/>
      <c r="S22" s="1157"/>
      <c r="T22" s="1225"/>
      <c r="U22" s="1172"/>
      <c r="V22" s="1169"/>
      <c r="W22" s="1214"/>
      <c r="Z22" s="1175">
        <f>Z21+AA21</f>
        <v>0</v>
      </c>
      <c r="AA22" s="1176"/>
      <c r="AB22" s="1195"/>
    </row>
    <row r="23" spans="1:28" ht="15.75" customHeight="1" thickBot="1" x14ac:dyDescent="0.3">
      <c r="A23" s="1008" t="s">
        <v>15</v>
      </c>
      <c r="B23" s="1049"/>
      <c r="C23" s="1133" t="s">
        <v>391</v>
      </c>
      <c r="D23" s="1134"/>
      <c r="E23" s="384" t="s">
        <v>12</v>
      </c>
      <c r="F23" s="385" t="s">
        <v>85</v>
      </c>
      <c r="G23" s="88">
        <f>SUMIFS(D5:D20,F5:F20,"ENERGIE",G5:G20,"X")</f>
        <v>0</v>
      </c>
      <c r="H23" s="89">
        <f>SUMIFS(D5:D20,F5:F20,"ENERGIE",H5:H20,"X")</f>
        <v>0</v>
      </c>
    </row>
    <row r="24" spans="1:28" ht="15" customHeight="1" thickBot="1" x14ac:dyDescent="0.3">
      <c r="A24" s="1010"/>
      <c r="B24" s="1050"/>
      <c r="C24" s="1127"/>
      <c r="D24" s="1128"/>
      <c r="E24" s="386" t="s">
        <v>13</v>
      </c>
      <c r="F24" s="387" t="s">
        <v>85</v>
      </c>
      <c r="G24" s="245">
        <f>SUMIFS(E5:E20,F5:F20,"ENERGIE",G5:G20,"X")</f>
        <v>0</v>
      </c>
      <c r="H24" s="246">
        <f>SUMIFS(E5:E20,F5:F20,"ENERGIE",H5:H20,"X")</f>
        <v>0</v>
      </c>
      <c r="J24" s="1251" t="s">
        <v>89</v>
      </c>
      <c r="K24" s="1253"/>
      <c r="L24" s="1219" t="s">
        <v>5</v>
      </c>
      <c r="M24" s="1220"/>
      <c r="N24" s="1249" t="s">
        <v>297</v>
      </c>
      <c r="O24" s="1250"/>
      <c r="P24" s="1250"/>
      <c r="Q24" s="180">
        <f>ALS_Type_Dossier</f>
        <v>0</v>
      </c>
      <c r="R24" s="1209" t="s">
        <v>8</v>
      </c>
      <c r="S24" s="1210"/>
      <c r="T24" s="1210"/>
      <c r="U24" s="1210"/>
      <c r="V24" s="1210"/>
      <c r="W24" s="1211"/>
      <c r="X24" s="1206" t="s">
        <v>88</v>
      </c>
      <c r="Y24" s="1207"/>
      <c r="Z24" s="1207"/>
      <c r="AA24" s="1208"/>
      <c r="AB24" s="1199" t="str">
        <f>AB3</f>
        <v>Reste à charge (Hors CC / CR)</v>
      </c>
    </row>
    <row r="25" spans="1:28" ht="15.75" customHeight="1" thickBot="1" x14ac:dyDescent="0.3">
      <c r="A25" s="1010"/>
      <c r="B25" s="1050"/>
      <c r="C25" s="1125" t="s">
        <v>390</v>
      </c>
      <c r="D25" s="1126"/>
      <c r="E25" s="388" t="s">
        <v>12</v>
      </c>
      <c r="F25" s="389" t="s">
        <v>85</v>
      </c>
      <c r="G25" s="1111">
        <f ca="1">Devis_Recap_Auto_HT</f>
        <v>0</v>
      </c>
      <c r="H25" s="1112"/>
      <c r="J25" s="1252"/>
      <c r="K25" s="1254"/>
      <c r="L25" s="174" t="s">
        <v>295</v>
      </c>
      <c r="M25" s="173" t="s">
        <v>13</v>
      </c>
      <c r="N25" s="531" t="s">
        <v>290</v>
      </c>
      <c r="O25" s="532" t="s">
        <v>91</v>
      </c>
      <c r="P25" s="532" t="s">
        <v>292</v>
      </c>
      <c r="Q25" s="533" t="s">
        <v>293</v>
      </c>
      <c r="R25" s="370" t="s">
        <v>91</v>
      </c>
      <c r="S25" s="723" t="s">
        <v>291</v>
      </c>
      <c r="T25" s="723" t="s">
        <v>45</v>
      </c>
      <c r="U25" s="685" t="s">
        <v>9</v>
      </c>
      <c r="V25" s="300" t="str">
        <f>V4</f>
        <v>Passoire</v>
      </c>
      <c r="W25" s="724" t="str">
        <f>W4</f>
        <v>BBC</v>
      </c>
      <c r="X25" s="377" t="s">
        <v>294</v>
      </c>
      <c r="Y25" s="377" t="s">
        <v>270</v>
      </c>
      <c r="Z25" s="378" t="s">
        <v>119</v>
      </c>
      <c r="AA25" s="379" t="s">
        <v>120</v>
      </c>
      <c r="AB25" s="1200"/>
    </row>
    <row r="26" spans="1:28" ht="13.9" customHeight="1" x14ac:dyDescent="0.25">
      <c r="A26" s="1010"/>
      <c r="B26" s="1050"/>
      <c r="C26" s="1127"/>
      <c r="D26" s="1128"/>
      <c r="E26" s="386" t="s">
        <v>13</v>
      </c>
      <c r="F26" s="387" t="s">
        <v>85</v>
      </c>
      <c r="G26" s="1109">
        <f ca="1">Devis_Recap_Auto_TTC</f>
        <v>0</v>
      </c>
      <c r="H26" s="1110"/>
      <c r="J26" s="1201" t="str">
        <f>IFERROR(Devis1_Nom_Entreprise,"")</f>
        <v/>
      </c>
      <c r="K26" s="1202"/>
      <c r="L26" s="1203">
        <f>Devis1_Cat_Travaux</f>
        <v>0</v>
      </c>
      <c r="M26" s="1204">
        <f>IF(H5="X",E5,0)</f>
        <v>0</v>
      </c>
      <c r="N26" s="1255"/>
      <c r="O26" s="1212">
        <f>IF(N26="X",M26,0)</f>
        <v>0</v>
      </c>
      <c r="P26" s="527" t="str">
        <f>IFERROR((IF(P27&gt;0,0,IF(AND(X26="x",Gain_Sim2&gt;=25%,$Q$3="ENERGIE"),O26*$P$42/$N$42,O26*$P$42/$N$42))),"")</f>
        <v/>
      </c>
      <c r="Q26" s="1016">
        <f>IFERROR(IF(P27=0,O26-P26,O26-P27),0)</f>
        <v>0</v>
      </c>
      <c r="R26" s="1014" t="str">
        <f>IFERROR((S26*(E5/D5)),"")</f>
        <v/>
      </c>
      <c r="S26" s="1154" t="str">
        <f>IFERROR(IF(O26&gt;0,(Q26/(E5/D5)),IF(H5="x",D5,"")),"")</f>
        <v/>
      </c>
      <c r="T26" s="1167" t="str">
        <f>IFERROR((S26*$T$42/$S$42),"")</f>
        <v/>
      </c>
      <c r="U26" s="1170" t="str">
        <f>IFERROR((S26*$U$42/$S$42),"")</f>
        <v/>
      </c>
      <c r="V26" s="1170" t="str">
        <f>IFERROR((S26*$V$42/$S$42),"")</f>
        <v/>
      </c>
      <c r="W26" s="1262" t="str">
        <f>IFERROR((S26*$W$42/$S$42),"")</f>
        <v/>
      </c>
      <c r="X26" s="1205"/>
      <c r="Y26" s="1160" t="str">
        <f>IF(AND(X26="x",Prime_Region_ouinon="OUI",Gain_Sim2&gt;=25%),Prime_region,"")</f>
        <v/>
      </c>
      <c r="Z26" s="1154" t="str">
        <f>IF(AND(Prime_Region_ouinon="OUI",Gain_Sim2&gt;=25%),B_D!L34,"")</f>
        <v/>
      </c>
      <c r="AA26" s="1144" t="str">
        <f>IF(AND(Prime_Region_ouinon="OUI",Gain_Sim2&gt;=25%),B_D!L35,"")</f>
        <v/>
      </c>
      <c r="AB26" s="1148">
        <f ca="1">IFERROR(IF(P27=0,(M26-P26-T26-U26-V26-W26(IF(AND(X26="X",Gain_Sim2&gt;25%,Prime_Region_ouinon="OUI"),1500,0))),M26-P27-T26-U26-(IF(AND(X26="X",Gain_Sim2&gt;=25%,Prime_Region_ouinon="OUI"),1500,0))),0)</f>
        <v>0</v>
      </c>
    </row>
    <row r="27" spans="1:28" x14ac:dyDescent="0.25">
      <c r="A27" s="1010"/>
      <c r="B27" s="1050"/>
      <c r="C27" s="1129" t="s">
        <v>389</v>
      </c>
      <c r="D27" s="1130"/>
      <c r="E27" s="388" t="s">
        <v>12</v>
      </c>
      <c r="F27" s="389" t="s">
        <v>85</v>
      </c>
      <c r="G27" s="1111">
        <f ca="1">Devis_Recap_TRX_LOURD_HT</f>
        <v>0</v>
      </c>
      <c r="H27" s="1112"/>
      <c r="J27" s="1141"/>
      <c r="K27" s="1142"/>
      <c r="L27" s="1136"/>
      <c r="M27" s="1021"/>
      <c r="N27" s="1023"/>
      <c r="O27" s="1024"/>
      <c r="P27" s="415"/>
      <c r="Q27" s="1017"/>
      <c r="R27" s="1015"/>
      <c r="S27" s="934"/>
      <c r="T27" s="1101"/>
      <c r="U27" s="1102"/>
      <c r="V27" s="1102"/>
      <c r="W27" s="1263"/>
      <c r="X27" s="1197"/>
      <c r="Y27" s="1161"/>
      <c r="Z27" s="934"/>
      <c r="AA27" s="1145"/>
      <c r="AB27" s="1143"/>
    </row>
    <row r="28" spans="1:28" x14ac:dyDescent="0.25">
      <c r="A28" s="1010"/>
      <c r="B28" s="1050"/>
      <c r="C28" s="1131"/>
      <c r="D28" s="1132"/>
      <c r="E28" s="386" t="s">
        <v>13</v>
      </c>
      <c r="F28" s="387" t="s">
        <v>85</v>
      </c>
      <c r="G28" s="1109">
        <f ca="1">Devis_Recap_TRX_LOURD_TTC</f>
        <v>0</v>
      </c>
      <c r="H28" s="1110"/>
      <c r="J28" s="1029" t="str">
        <f>IFERROR(Devis2_Nom_Entreprise,"")</f>
        <v/>
      </c>
      <c r="K28" s="1030"/>
      <c r="L28" s="1135">
        <f>Devis2_Cat_Travaux</f>
        <v>0</v>
      </c>
      <c r="M28" s="1020">
        <f>IF(H7="X",E7,0)</f>
        <v>0</v>
      </c>
      <c r="N28" s="1022"/>
      <c r="O28" s="1018">
        <f>IF(N28="X",M28,0)</f>
        <v>0</v>
      </c>
      <c r="P28" s="528" t="str">
        <f>IFERROR((IF(P29&gt;0,0,IF(AND(X28="x",Gain_Sim2&gt;=25%,$Q$3="ENERGIE"),O28*$P$42/$N$42,O28*$P$42/$N$42))),"")</f>
        <v/>
      </c>
      <c r="Q28" s="1025">
        <f>IFERROR(IF(P29=0,O28-P28,O28-P29),0)</f>
        <v>0</v>
      </c>
      <c r="R28" s="1015" t="str">
        <f>IFERROR((S28*(E7/D7)),"")</f>
        <v/>
      </c>
      <c r="S28" s="934" t="str">
        <f>IFERROR(IF(O28&gt;0,(Q28/(E7/D7)),IF(H7="x",D7,"")),"")</f>
        <v/>
      </c>
      <c r="T28" s="1101" t="str">
        <f>IFERROR((S28*$T$42/$S$42),"")</f>
        <v/>
      </c>
      <c r="U28" s="1102" t="str">
        <f>IFERROR((S28*$U$42/$S$42),"")</f>
        <v/>
      </c>
      <c r="V28" s="1102" t="str">
        <f t="shared" ref="V28" si="14">IFERROR((S28*$V$42/$S$42),"")</f>
        <v/>
      </c>
      <c r="W28" s="1263" t="str">
        <f t="shared" ref="W28" si="15">IFERROR((S28*$W$42/$S$42),"")</f>
        <v/>
      </c>
      <c r="X28" s="1196"/>
      <c r="Y28" s="1162" t="str">
        <f>IF(AND(X28="x",Prime_Region_ouinon="OUI",Gain_Sim2&gt;=25%),Prime_region,"")</f>
        <v/>
      </c>
      <c r="Z28" s="934" t="str">
        <f>IF(AND(Prime_Region_ouinon="OUI",Gain_Sim2&gt;=25%),B_D!L36,"")</f>
        <v/>
      </c>
      <c r="AA28" s="1145" t="str">
        <f>IF(AND(Prime_Region_ouinon="OUI",Gain_Sim2&gt;=25%),B_D!L37,"")</f>
        <v/>
      </c>
      <c r="AB28" s="1143">
        <f ca="1">IFERROR(IF(P29=0,(M28-P28-T28-U28-V28-W28(IF(AND(X28="X",Gain_Sim2&gt;25%,Prime_Region_ouinon="OUI"),1500,0))),M28-P29-T28-U28-(IF(AND(X28="X",Gain_Sim2&gt;=25%,Prime_Region_ouinon="OUI"),1500,0))),0)</f>
        <v>0</v>
      </c>
    </row>
    <row r="29" spans="1:28" ht="15.75" thickBot="1" x14ac:dyDescent="0.3">
      <c r="A29" s="1010"/>
      <c r="B29" s="1050"/>
      <c r="C29" s="833" t="s">
        <v>306</v>
      </c>
      <c r="D29" s="834"/>
      <c r="E29" s="390" t="s">
        <v>12</v>
      </c>
      <c r="F29" s="391" t="s">
        <v>85</v>
      </c>
      <c r="G29" s="247">
        <f ca="1">TOTAL_HT_Travaux_NRJ_Sim1+TOTAL_HT_Travaux_Auto+TOTAL_HT_TRX_LOURD_HT</f>
        <v>0</v>
      </c>
      <c r="H29" s="248">
        <f ca="1">TOTAL_HT_Travaux_NRJ_Sim2+TOTAL_HT_Travaux_Auto+TOTAL_HT_TRX_LOURD_HT</f>
        <v>0</v>
      </c>
      <c r="J29" s="1141"/>
      <c r="K29" s="1142"/>
      <c r="L29" s="1136"/>
      <c r="M29" s="1021"/>
      <c r="N29" s="1023"/>
      <c r="O29" s="1024"/>
      <c r="P29" s="415"/>
      <c r="Q29" s="1017"/>
      <c r="R29" s="1015"/>
      <c r="S29" s="934"/>
      <c r="T29" s="1101"/>
      <c r="U29" s="1102"/>
      <c r="V29" s="1102"/>
      <c r="W29" s="1263"/>
      <c r="X29" s="1197"/>
      <c r="Y29" s="1161"/>
      <c r="Z29" s="934"/>
      <c r="AA29" s="1145"/>
      <c r="AB29" s="1143"/>
    </row>
    <row r="30" spans="1:28" ht="15.75" thickBot="1" x14ac:dyDescent="0.3">
      <c r="A30" s="1012"/>
      <c r="B30" s="1051"/>
      <c r="C30" s="833"/>
      <c r="D30" s="834"/>
      <c r="E30" s="392" t="s">
        <v>13</v>
      </c>
      <c r="F30" s="393" t="s">
        <v>85</v>
      </c>
      <c r="G30" s="249">
        <f ca="1">TOTAL_TTC_Travaux_NRJ_Sim1+TOTAL_TTC_Travaux_Auto+TOTAL_HT_TRX_LOURD_TTC</f>
        <v>0</v>
      </c>
      <c r="H30" s="250">
        <f ca="1">TOTAL_TTC_Travaux_NRJ_Sim2+TOTAL_TTC_Travaux_Auto+TOTAL_HT_TRX_LOURD_TTC</f>
        <v>0</v>
      </c>
      <c r="J30" s="1029" t="str">
        <f>IFERROR(Devis3_Nom_Entreprise,"")</f>
        <v/>
      </c>
      <c r="K30" s="1030"/>
      <c r="L30" s="1135">
        <f>Devis3_Cat_Travaux</f>
        <v>0</v>
      </c>
      <c r="M30" s="1020">
        <f>IF(H9="X",E9,0)</f>
        <v>0</v>
      </c>
      <c r="N30" s="1022"/>
      <c r="O30" s="1018">
        <f>IF(N30="X",M30,0)</f>
        <v>0</v>
      </c>
      <c r="P30" s="528" t="str">
        <f>IFERROR((IF(P31&gt;0,0,IF(AND(X30="x",Gain_Sim2&gt;=25%,$Q$3="ENERGIE"),O30*$P$42/$N$42,O30*$P$42/$N$42))),"")</f>
        <v/>
      </c>
      <c r="Q30" s="1025">
        <f>IFERROR(IF(P31=0,O30-P30,O30-P31),0)</f>
        <v>0</v>
      </c>
      <c r="R30" s="1015" t="str">
        <f>IFERROR((S30*(E9/D9)),"")</f>
        <v/>
      </c>
      <c r="S30" s="934" t="str">
        <f>IFERROR(IF(O30&gt;0,(Q30/(E9/D9)),IF(H9="x",D9,"")),"")</f>
        <v/>
      </c>
      <c r="T30" s="1101" t="str">
        <f>IFERROR((S30*$T$42/$S$42),"")</f>
        <v/>
      </c>
      <c r="U30" s="1102" t="str">
        <f>IFERROR((S30*$U$42/$S$42),"")</f>
        <v/>
      </c>
      <c r="V30" s="1102" t="str">
        <f t="shared" ref="V30" si="16">IFERROR((S30*$V$42/$S$42),"")</f>
        <v/>
      </c>
      <c r="W30" s="1263" t="str">
        <f t="shared" ref="W30" si="17">IFERROR((S30*$W$42/$S$42),"")</f>
        <v/>
      </c>
      <c r="X30" s="1196"/>
      <c r="Y30" s="1151" t="str">
        <f>IF(AND(X30="x",Prime_Region_ouinon="OUI",Gain_Sim2&gt;=25%),Prime_region,"")</f>
        <v/>
      </c>
      <c r="Z30" s="934" t="str">
        <f>IF(AND(Prime_Region_ouinon="OUI",Gain_Sim2&gt;=25%),B_D!L38,"")</f>
        <v/>
      </c>
      <c r="AA30" s="1145" t="str">
        <f>IF(AND(Prime_Region_ouinon="OUI",Gain_Sim2&gt;=25%),B_D!L39,"")</f>
        <v/>
      </c>
      <c r="AB30" s="1143">
        <f ca="1">IFERROR(IF(P31=0,(M30-P30-T30-U30-V30-W30(IF(AND(X30="X",Gain_Sim2&gt;25%,Prime_Region_ouinon="OUI"),1500,0))),M30-P31-T30-U30-(IF(AND(X30="X",Gain_Sim2&gt;=25%,Prime_Region_ouinon="OUI"),1500,0))),0)</f>
        <v>0</v>
      </c>
    </row>
    <row r="31" spans="1:28" ht="15.75" thickBot="1" x14ac:dyDescent="0.3">
      <c r="G31" s="501"/>
      <c r="H31" s="501"/>
      <c r="J31" s="1141"/>
      <c r="K31" s="1142"/>
      <c r="L31" s="1136"/>
      <c r="M31" s="1021"/>
      <c r="N31" s="1023"/>
      <c r="O31" s="1024"/>
      <c r="P31" s="415"/>
      <c r="Q31" s="1017"/>
      <c r="R31" s="1015"/>
      <c r="S31" s="934"/>
      <c r="T31" s="1101"/>
      <c r="U31" s="1102"/>
      <c r="V31" s="1102"/>
      <c r="W31" s="1263"/>
      <c r="X31" s="1197"/>
      <c r="Y31" s="1152"/>
      <c r="Z31" s="934"/>
      <c r="AA31" s="1145"/>
      <c r="AB31" s="1143"/>
    </row>
    <row r="32" spans="1:28" ht="15" customHeight="1" x14ac:dyDescent="0.25">
      <c r="A32" s="1035" t="s">
        <v>460</v>
      </c>
      <c r="B32" s="1036"/>
      <c r="C32" s="1039" t="s">
        <v>461</v>
      </c>
      <c r="D32" s="1040"/>
      <c r="E32" s="1040"/>
      <c r="F32" s="1043" t="s">
        <v>85</v>
      </c>
      <c r="G32" s="1045">
        <f>IF(OR(ALS_OuiNon="NON",ISBLANK(ALS_OuiNon)),0,P21)</f>
        <v>0</v>
      </c>
      <c r="H32" s="1047">
        <f>IF(OR(ALS_OuiNon="NON",ISBLANK(ALS_OuiNon)),0,P42)</f>
        <v>0</v>
      </c>
      <c r="J32" s="1029" t="str">
        <f>IFERROR(Devis4_Nom_Entreprise,"")</f>
        <v/>
      </c>
      <c r="K32" s="1030"/>
      <c r="L32" s="1135">
        <f>Devis4_Cat_Travaux</f>
        <v>0</v>
      </c>
      <c r="M32" s="1020">
        <f>IF(H11="X",E11,0)</f>
        <v>0</v>
      </c>
      <c r="N32" s="1022"/>
      <c r="O32" s="1018">
        <f>IF(N32="X",M32,0)</f>
        <v>0</v>
      </c>
      <c r="P32" s="528" t="str">
        <f>IFERROR((IF(P33&gt;0,0,IF(AND(X32="x",Gain_Sim2&gt;=25%,$Q$3="ENERGIE"),O32*$P$42/$N$42,O32*$P$42/$N$42))),"")</f>
        <v/>
      </c>
      <c r="Q32" s="1025">
        <f>IFERROR(IF(P33=0,O32-P32,O32-P33),0)</f>
        <v>0</v>
      </c>
      <c r="R32" s="1015" t="str">
        <f>IFERROR((S32*(E11/D11)),"")</f>
        <v/>
      </c>
      <c r="S32" s="934" t="str">
        <f>IFERROR(IF(O32&gt;0,(Q32/(E11/D11)),IF(H11="x",D11,"")),"")</f>
        <v/>
      </c>
      <c r="T32" s="1101" t="str">
        <f>IFERROR((S32*$T$42/$S$42),"")</f>
        <v/>
      </c>
      <c r="U32" s="1102" t="str">
        <f>IFERROR((S32*$U$42/$S$42),"")</f>
        <v/>
      </c>
      <c r="V32" s="1102" t="str">
        <f t="shared" ref="V32" si="18">IFERROR((S32*$V$42/$S$42),"")</f>
        <v/>
      </c>
      <c r="W32" s="1263" t="str">
        <f t="shared" ref="W32" si="19">IFERROR((S32*$W$42/$S$42),"")</f>
        <v/>
      </c>
      <c r="X32" s="1196"/>
      <c r="Y32" s="1151" t="str">
        <f>IF(AND(X32="x",Prime_Region_ouinon="OUI",Gain_Sim2&gt;=25%),Prime_region,"")</f>
        <v/>
      </c>
      <c r="Z32" s="934" t="str">
        <f>IF(AND(Prime_Region_ouinon="OUI",Gain_Sim2&gt;=25%),B_D!L40,"")</f>
        <v/>
      </c>
      <c r="AA32" s="1145" t="str">
        <f>IF(AND(Prime_Region_ouinon="OUI",Gain_Sim2&gt;=25%),B_D!L41,"")</f>
        <v/>
      </c>
      <c r="AB32" s="1143">
        <f ca="1">IFERROR(IF(P33=0,(M32-P32-T32-U32-V32-W32(IF(AND(X32="X",Gain_Sim2&gt;25%,Prime_Region_ouinon="OUI"),1500,0))),M32-P33-T32-U32-(IF(AND(X32="X",Gain_Sim2&gt;=25%,Prime_Region_ouinon="OUI"),1500,0))),0)</f>
        <v>0</v>
      </c>
    </row>
    <row r="33" spans="1:28" ht="15" customHeight="1" thickBot="1" x14ac:dyDescent="0.3">
      <c r="A33" s="1037"/>
      <c r="B33" s="1038"/>
      <c r="C33" s="1041"/>
      <c r="D33" s="1042"/>
      <c r="E33" s="1042"/>
      <c r="F33" s="1044"/>
      <c r="G33" s="1046"/>
      <c r="H33" s="1048"/>
      <c r="J33" s="1141"/>
      <c r="K33" s="1142"/>
      <c r="L33" s="1136"/>
      <c r="M33" s="1021"/>
      <c r="N33" s="1023"/>
      <c r="O33" s="1024"/>
      <c r="P33" s="415"/>
      <c r="Q33" s="1017"/>
      <c r="R33" s="1015"/>
      <c r="S33" s="934"/>
      <c r="T33" s="1101"/>
      <c r="U33" s="1102"/>
      <c r="V33" s="1102"/>
      <c r="W33" s="1263"/>
      <c r="X33" s="1197"/>
      <c r="Y33" s="1152"/>
      <c r="Z33" s="934"/>
      <c r="AA33" s="1145"/>
      <c r="AB33" s="1143"/>
    </row>
    <row r="34" spans="1:28" ht="15" customHeight="1" thickBot="1" x14ac:dyDescent="0.3">
      <c r="J34" s="1029" t="str">
        <f>IFERROR(Devis5_Nom_Entreprise,"")</f>
        <v/>
      </c>
      <c r="K34" s="1030"/>
      <c r="L34" s="1135">
        <f>Devis5_Cat_Travaux</f>
        <v>0</v>
      </c>
      <c r="M34" s="1020">
        <f>IF(H13="X",E13,0)</f>
        <v>0</v>
      </c>
      <c r="N34" s="1022"/>
      <c r="O34" s="1018">
        <f>IF(N34="X",M34,0)</f>
        <v>0</v>
      </c>
      <c r="P34" s="528" t="str">
        <f>IFERROR((IF(P35&gt;0,0,IF(AND(X34="x",Gain_Sim2&gt;=25%,$Q$3="ENERGIE"),O34*$P$42/$N$42,O34*$P$42/$N$42))),"")</f>
        <v/>
      </c>
      <c r="Q34" s="1025">
        <f>IFERROR(IF(P35=0,O34-P34,O34-P35),0)</f>
        <v>0</v>
      </c>
      <c r="R34" s="1015" t="str">
        <f>IFERROR((S34*(E13/D13)),"")</f>
        <v/>
      </c>
      <c r="S34" s="934" t="str">
        <f>IFERROR(IF(O34&gt;0,(Q34/(E13/D13)),IF(H13="x",D13,"")),"")</f>
        <v/>
      </c>
      <c r="T34" s="1101" t="str">
        <f>IFERROR((S34*$T$42/$S$42),"")</f>
        <v/>
      </c>
      <c r="U34" s="1102" t="str">
        <f>IFERROR((S34*$U$42/$S$42),"")</f>
        <v/>
      </c>
      <c r="V34" s="1102" t="str">
        <f t="shared" ref="V34" si="20">IFERROR((S34*$V$42/$S$42),"")</f>
        <v/>
      </c>
      <c r="W34" s="1263" t="str">
        <f t="shared" ref="W34" si="21">IFERROR((S34*$W$42/$S$42),"")</f>
        <v/>
      </c>
      <c r="X34" s="1185"/>
      <c r="Y34" s="1162" t="str">
        <f>IF(AND(X34="x",Prime_Region_ouinon="OUI",Gain_Sim2&gt;=25%),Prime_region,"")</f>
        <v/>
      </c>
      <c r="Z34" s="934" t="str">
        <f>IF(AND(Prime_Region_ouinon="OUI",Gain_Sim2&gt;=25%),B_D!L42,"")</f>
        <v/>
      </c>
      <c r="AA34" s="1145" t="str">
        <f>IF(AND(Prime_Region_ouinon="OUI",Gain_Sim2&gt;=25%),B_D!L43,"")</f>
        <v/>
      </c>
      <c r="AB34" s="1143">
        <f ca="1">IFERROR(IF(P35=0,(M34-P34-T34-U34-V34-W34(IF(AND(X34="X",Gain_Sim2&gt;25%,Prime_Region_ouinon="OUI"),1500,0))),M34-P35-T34-U34-(IF(AND(X34="X",Gain_Sim2&gt;=25%,Prime_Region_ouinon="OUI"),1500,0))),0)</f>
        <v>0</v>
      </c>
    </row>
    <row r="35" spans="1:28" ht="15.75" customHeight="1" x14ac:dyDescent="0.25">
      <c r="A35" s="1008" t="s">
        <v>472</v>
      </c>
      <c r="B35" s="1009"/>
      <c r="C35" s="1004" t="s">
        <v>462</v>
      </c>
      <c r="D35" s="1005"/>
      <c r="E35" s="592" t="s">
        <v>12</v>
      </c>
      <c r="F35" s="593" t="s">
        <v>85</v>
      </c>
      <c r="G35" s="187">
        <f>BaseCalcul_HT_Sim1</f>
        <v>0</v>
      </c>
      <c r="H35" s="189">
        <f>BaseCalcul_HT_Sim2</f>
        <v>0</v>
      </c>
      <c r="J35" s="1141"/>
      <c r="K35" s="1142"/>
      <c r="L35" s="1136"/>
      <c r="M35" s="1021"/>
      <c r="N35" s="1023"/>
      <c r="O35" s="1024"/>
      <c r="P35" s="415"/>
      <c r="Q35" s="1017"/>
      <c r="R35" s="1015"/>
      <c r="S35" s="934"/>
      <c r="T35" s="1101"/>
      <c r="U35" s="1102"/>
      <c r="V35" s="1102"/>
      <c r="W35" s="1263"/>
      <c r="X35" s="1197"/>
      <c r="Y35" s="1161"/>
      <c r="Z35" s="934"/>
      <c r="AA35" s="1145"/>
      <c r="AB35" s="1143"/>
    </row>
    <row r="36" spans="1:28" ht="15.75" customHeight="1" x14ac:dyDescent="0.25">
      <c r="A36" s="1010"/>
      <c r="B36" s="1011"/>
      <c r="C36" s="1006"/>
      <c r="D36" s="1007"/>
      <c r="E36" s="348" t="s">
        <v>13</v>
      </c>
      <c r="F36" s="297" t="s">
        <v>85</v>
      </c>
      <c r="G36" s="508">
        <f>BaseCalcul_TTC_Sim1</f>
        <v>0</v>
      </c>
      <c r="H36" s="509">
        <f>BaseCalcul_TTC_Sim2</f>
        <v>0</v>
      </c>
      <c r="J36" s="1029" t="str">
        <f>IFERROR(Devis6_Nom_Entreprise,"")</f>
        <v/>
      </c>
      <c r="K36" s="1030"/>
      <c r="L36" s="1135">
        <f>Devis6_Cat_Travaux</f>
        <v>0</v>
      </c>
      <c r="M36" s="1020">
        <f>IF(H15="X",E15,0)</f>
        <v>0</v>
      </c>
      <c r="N36" s="1022"/>
      <c r="O36" s="1018">
        <f>IF(N36="X",M36,0)</f>
        <v>0</v>
      </c>
      <c r="P36" s="528" t="str">
        <f>IFERROR((IF(P37&gt;0,0,IF(AND(X36="x",Gain_Sim2&gt;=25%,$Q$3="ENERGIE"),O36*$P$42/$N$42,O36*$P$42/$N$42))),"")</f>
        <v/>
      </c>
      <c r="Q36" s="1025">
        <f>IFERROR(IF(P37=0,O36-P36,O36-P37),0)</f>
        <v>0</v>
      </c>
      <c r="R36" s="1015" t="str">
        <f>IFERROR((S36*(E15/D15)),"")</f>
        <v/>
      </c>
      <c r="S36" s="934" t="str">
        <f>IFERROR(IF(O36&gt;0,(Q36/(E15/D15)),IF(H15="x",D15,"")),"")</f>
        <v/>
      </c>
      <c r="T36" s="1101" t="str">
        <f>IFERROR((S36*$T$42/$S$42),"")</f>
        <v/>
      </c>
      <c r="U36" s="1102" t="str">
        <f>IFERROR((S36*$U$42/$S$42),"")</f>
        <v/>
      </c>
      <c r="V36" s="1102" t="str">
        <f t="shared" ref="V36" si="22">IFERROR((S36*$V$42/$S$42),"")</f>
        <v/>
      </c>
      <c r="W36" s="1263" t="str">
        <f t="shared" ref="W36" si="23">IFERROR((S36*$W$42/$S$42),"")</f>
        <v/>
      </c>
      <c r="X36" s="1185"/>
      <c r="Y36" s="1162" t="str">
        <f>IF(AND(X36="x",Prime_Region_ouinon="OUI",Gain_Sim2&gt;=25%),Prime_region,"")</f>
        <v/>
      </c>
      <c r="Z36" s="934" t="str">
        <f>IF(AND(Prime_Region_ouinon="OUI",Gain_Sim2&gt;=25%),B_D!L44,"")</f>
        <v/>
      </c>
      <c r="AA36" s="1145" t="str">
        <f>IF(AND(Prime_Region_ouinon="OUI",Gain_Sim2&gt;=25%),B_D!L45,"")</f>
        <v/>
      </c>
      <c r="AB36" s="1143">
        <f ca="1">IFERROR(IF(P37=0,(M36-P36-T36-U36-V36-W36(IF(AND(X36="X",Gain_Sim2&gt;25%,Prime_Region_ouinon="OUI"),1500,0))),M36-P37-T36-U36-(IF(AND(X36="X",Gain_Sim2&gt;=25%,Prime_Region_ouinon="OUI"),1500,0))),0)</f>
        <v>0</v>
      </c>
    </row>
    <row r="37" spans="1:28" ht="15.75" customHeight="1" x14ac:dyDescent="0.25">
      <c r="A37" s="1010"/>
      <c r="B37" s="1011"/>
      <c r="C37" s="594"/>
      <c r="D37" s="595" t="s">
        <v>316</v>
      </c>
      <c r="E37" s="394" t="s">
        <v>317</v>
      </c>
      <c r="F37" s="596"/>
      <c r="G37" s="188"/>
      <c r="H37" s="190"/>
      <c r="J37" s="1141"/>
      <c r="K37" s="1142"/>
      <c r="L37" s="1136"/>
      <c r="M37" s="1021"/>
      <c r="N37" s="1023"/>
      <c r="O37" s="1024"/>
      <c r="P37" s="415"/>
      <c r="Q37" s="1017"/>
      <c r="R37" s="1015"/>
      <c r="S37" s="934"/>
      <c r="T37" s="1101"/>
      <c r="U37" s="1102"/>
      <c r="V37" s="1102"/>
      <c r="W37" s="1263"/>
      <c r="X37" s="1197"/>
      <c r="Y37" s="1161"/>
      <c r="Z37" s="934"/>
      <c r="AA37" s="1145"/>
      <c r="AB37" s="1143"/>
    </row>
    <row r="38" spans="1:28" ht="15.75" customHeight="1" x14ac:dyDescent="0.25">
      <c r="A38" s="1010"/>
      <c r="B38" s="1011"/>
      <c r="C38" s="597" t="s">
        <v>8</v>
      </c>
      <c r="D38" s="598" t="e">
        <f>IF(Gain_Sim1&gt;(VLOOKUP(Code_Dossier,Table_Cond_Projet,5,FALSE)),VLOOKUP(Code_Dossier,Table_Cond_Projet,6,FALSE),VLOOKUP((CONCATENATE(Prop_Categorie,Type_Dossier,Cat_RFR,Anah_Dossier_Depose)),Table_Cond_Projet,6,FALSE))</f>
        <v>#VALUE!</v>
      </c>
      <c r="E38" s="598" t="e">
        <f>IF(Gain_Sim2&gt;(VLOOKUP(Code_Dossier,Table_Cond_Projet,5,FALSE)),VLOOKUP(Code_Dossier,Table_Cond_Projet,7,FALSE),VLOOKUP((CONCATENATE(Prop_Categorie,Type_Dossier,Cat_RFR,Anah_Dossier_Depose)),Table_Cond_Projet,6,FALSE))</f>
        <v>#VALUE!</v>
      </c>
      <c r="F38" s="82" t="s">
        <v>85</v>
      </c>
      <c r="G38" s="86" t="e">
        <f>VLOOKUP(Code_Dossier,Table_Cond_Projet,19,FALSE)</f>
        <v>#VALUE!</v>
      </c>
      <c r="H38" s="87" t="e">
        <f>VLOOKUP(Code_Dossier,Table_Cond_Projet,20,FALSE)</f>
        <v>#VALUE!</v>
      </c>
      <c r="J38" s="1029" t="str">
        <f>IFERROR(Devis7_Nom_Entreprise,"")</f>
        <v/>
      </c>
      <c r="K38" s="1030"/>
      <c r="L38" s="1135">
        <f>Devis7_Cat_Travaux</f>
        <v>0</v>
      </c>
      <c r="M38" s="1020">
        <f>IF(H17="X",E17,0)</f>
        <v>0</v>
      </c>
      <c r="N38" s="1022"/>
      <c r="O38" s="1018">
        <f>IF(N38="X",M38,0)</f>
        <v>0</v>
      </c>
      <c r="P38" s="528" t="str">
        <f>IFERROR((IF(P39&gt;0,0,IF(AND(X38="x",Gain_Sim2&gt;=25%,$Q$3="ENERGIE"),O38*$P$42/$N$42,O38*$P$42/$N$42))),"")</f>
        <v/>
      </c>
      <c r="Q38" s="1025">
        <f>IFERROR(IF(P39=0,O38-P38,O38-P39),0)</f>
        <v>0</v>
      </c>
      <c r="R38" s="1015" t="str">
        <f>IFERROR((S38*(E17/D17)),"")</f>
        <v/>
      </c>
      <c r="S38" s="934" t="str">
        <f>IFERROR(IF(O38&gt;0,(Q38/(E17/D17)),IF(H17="x",D17,"")),"")</f>
        <v/>
      </c>
      <c r="T38" s="1101" t="str">
        <f>IFERROR((S38*$T$42/$S$42),"")</f>
        <v/>
      </c>
      <c r="U38" s="1102" t="str">
        <f>IFERROR((S38*$U$42/$S$42),"")</f>
        <v/>
      </c>
      <c r="V38" s="1102" t="str">
        <f t="shared" ref="V38" si="24">IFERROR((S38*$V$42/$S$42),"")</f>
        <v/>
      </c>
      <c r="W38" s="1263" t="str">
        <f t="shared" ref="W38" si="25">IFERROR((S38*$W$42/$S$42),"")</f>
        <v/>
      </c>
      <c r="X38" s="1185"/>
      <c r="Y38" s="1162" t="str">
        <f>IF(AND(X38="x",Prime_Region_ouinon="OUI",Gain_Sim2&gt;=25%),Prime_region,"")</f>
        <v/>
      </c>
      <c r="Z38" s="934" t="str">
        <f>IF(AND(Prime_Region_ouinon="OUI",Gain_Sim2&gt;=25%),B_D!L46,"")</f>
        <v/>
      </c>
      <c r="AA38" s="1145" t="str">
        <f>IF(AND(Prime_Region_ouinon="OUI",Gain_Sim2&gt;=25%),B_D!L47,"")</f>
        <v/>
      </c>
      <c r="AB38" s="1143">
        <f ca="1">IFERROR(IF(P39=0,(M38-P38-T38-U38-V38-W38(IF(AND(X38="X",Gain_Sim2&gt;25%,Prime_Region_ouinon="OUI"),1500,0))),M38-P39-T38-U38-(IF(AND(X38="X",Gain_Sim2&gt;=25%,Prime_Region_ouinon="OUI"),1500,0))),0)</f>
        <v>0</v>
      </c>
    </row>
    <row r="39" spans="1:28" ht="15.75" customHeight="1" x14ac:dyDescent="0.25">
      <c r="A39" s="1010"/>
      <c r="B39" s="1011"/>
      <c r="C39" s="597" t="s">
        <v>9</v>
      </c>
      <c r="D39" s="599" t="e">
        <f>IF(Gain_Sim1&gt;(VLOOKUP(Code_Dossier,Table_Cond_Projet,5,FALSE)),VLOOKUP(Code_Dossier,Table_Cond_Projet,9,FALSE),0)</f>
        <v>#VALUE!</v>
      </c>
      <c r="E39" s="599" t="e">
        <f>IF(Gain_Sim2&gt;(VLOOKUP(Code_Dossier,Table_Cond_Projet,5,FALSE)),VLOOKUP(Code_Dossier,Table_Cond_Projet,9,FALSE),0)</f>
        <v>#VALUE!</v>
      </c>
      <c r="F39" s="82" t="s">
        <v>85</v>
      </c>
      <c r="G39" s="86" t="e">
        <f>VLOOKUP(Code_Dossier,Table_Cond_Projet,21,FALSE)</f>
        <v>#VALUE!</v>
      </c>
      <c r="H39" s="87" t="e">
        <f>VLOOKUP(Code_Dossier,Table_Cond_Projet,22,FALSE)</f>
        <v>#VALUE!</v>
      </c>
      <c r="J39" s="1141"/>
      <c r="K39" s="1142"/>
      <c r="L39" s="1136"/>
      <c r="M39" s="1021"/>
      <c r="N39" s="1023"/>
      <c r="O39" s="1024"/>
      <c r="P39" s="416"/>
      <c r="Q39" s="1017"/>
      <c r="R39" s="1015"/>
      <c r="S39" s="934"/>
      <c r="T39" s="1101"/>
      <c r="U39" s="1102"/>
      <c r="V39" s="1102"/>
      <c r="W39" s="1263"/>
      <c r="X39" s="1197"/>
      <c r="Y39" s="1161"/>
      <c r="Z39" s="934"/>
      <c r="AA39" s="1145"/>
      <c r="AB39" s="1143"/>
    </row>
    <row r="40" spans="1:28" ht="15.75" customHeight="1" x14ac:dyDescent="0.25">
      <c r="A40" s="1010"/>
      <c r="B40" s="1011"/>
      <c r="C40" s="1026" t="s">
        <v>590</v>
      </c>
      <c r="D40" s="1027"/>
      <c r="E40" s="1027"/>
      <c r="F40" s="82" t="s">
        <v>85</v>
      </c>
      <c r="G40" s="86" t="e">
        <f>VLOOKUP(Code_Dossier,Table_Cond_Projet,25,FALSE)</f>
        <v>#VALUE!</v>
      </c>
      <c r="H40" s="87" t="e">
        <f>VLOOKUP(Code_Dossier,Table_Cond_Projet,26,FALSE)</f>
        <v>#VALUE!</v>
      </c>
      <c r="J40" s="1029" t="str">
        <f>IFERROR(Devis8_Nom_Entreprise,"")</f>
        <v/>
      </c>
      <c r="K40" s="1030"/>
      <c r="L40" s="1135">
        <f>Devis8_Cat_Travaux</f>
        <v>0</v>
      </c>
      <c r="M40" s="1020">
        <f>IF(H19="X",E19,0)</f>
        <v>0</v>
      </c>
      <c r="N40" s="1022"/>
      <c r="O40" s="1191">
        <f>IF(N40="X",M40,0)</f>
        <v>0</v>
      </c>
      <c r="P40" s="529" t="str">
        <f>IFERROR((IF(P41&gt;0,0,IF(AND(X40="x",Gain_Sim2&gt;=25%,$Q$3="ENERGIE"),O40*$P$42/$N$42,O40*$P$42/$N$42))),"")</f>
        <v/>
      </c>
      <c r="Q40" s="1025">
        <f>IFERROR(IF(P41=0,O40-P40,O40-P41),0)</f>
        <v>0</v>
      </c>
      <c r="R40" s="1015" t="str">
        <f>IFERROR((S40*(E19/D19)),"")</f>
        <v/>
      </c>
      <c r="S40" s="934" t="str">
        <f>IFERROR(IF(O40&gt;0,(Q40/(E19/D19)),IF(H19="x",D19,"")),"")</f>
        <v/>
      </c>
      <c r="T40" s="1101" t="str">
        <f>IFERROR((S40*$T$42/$S$42),"")</f>
        <v/>
      </c>
      <c r="U40" s="1102" t="str">
        <f>IFERROR((S40*$U$42/$S$42),"")</f>
        <v/>
      </c>
      <c r="V40" s="1102" t="str">
        <f t="shared" ref="V40" si="26">IFERROR((S40*$V$42/$S$42),"")</f>
        <v/>
      </c>
      <c r="W40" s="1263" t="str">
        <f t="shared" ref="W40" si="27">IFERROR((S40*$W$42/$S$42),"")</f>
        <v/>
      </c>
      <c r="X40" s="1185"/>
      <c r="Y40" s="1162" t="str">
        <f>IF(AND(X40="x",Prime_Region_ouinon="OUI",Gain_Sim2&gt;=25%),Prime_region,"")</f>
        <v/>
      </c>
      <c r="Z40" s="1150" t="str">
        <f>IF(AND(Prime_Region_ouinon="OUI",Gain_Sim2&gt;=25%),B_D!L48,"")</f>
        <v/>
      </c>
      <c r="AA40" s="1147" t="str">
        <f>IF(AND(Prime_Region_ouinon="OUI",Gain_Sim2&gt;=25%),B_D!L49,"")</f>
        <v/>
      </c>
      <c r="AB40" s="1143">
        <f ca="1">IFERROR(IF(P41=0,(M40-P40-T40-U40-V40-W40(IF(AND(X40="X",Gain_Sim2&gt;25%,Prime_Region_ouinon="OUI"),1500,0))),M40-P41-T40-U40-(IF(AND(X40="X",Gain_Sim2&gt;=25%,Prime_Region_ouinon="OUI"),1500,0))),0)</f>
        <v>0</v>
      </c>
    </row>
    <row r="41" spans="1:28" ht="15.75" customHeight="1" thickBot="1" x14ac:dyDescent="0.3">
      <c r="A41" s="1010"/>
      <c r="B41" s="1011"/>
      <c r="C41" s="1026" t="s">
        <v>591</v>
      </c>
      <c r="D41" s="1027"/>
      <c r="E41" s="1027"/>
      <c r="F41" s="82" t="s">
        <v>85</v>
      </c>
      <c r="G41" s="86" t="e">
        <f>VLOOKUP(Code_Dossier,Table_Cond_Projet,27,FALSE)</f>
        <v>#VALUE!</v>
      </c>
      <c r="H41" s="87" t="e">
        <f>VLOOKUP(Code_Dossier,Table_Cond_Projet,28,FALSE)</f>
        <v>#VALUE!</v>
      </c>
      <c r="J41" s="1031"/>
      <c r="K41" s="1032"/>
      <c r="L41" s="1166"/>
      <c r="M41" s="1034"/>
      <c r="N41" s="1028"/>
      <c r="O41" s="1192"/>
      <c r="P41" s="417"/>
      <c r="Q41" s="1017"/>
      <c r="R41" s="1096"/>
      <c r="S41" s="940"/>
      <c r="T41" s="1189"/>
      <c r="U41" s="1190"/>
      <c r="V41" s="1190"/>
      <c r="W41" s="1264"/>
      <c r="X41" s="1186"/>
      <c r="Y41" s="1193"/>
      <c r="Z41" s="940"/>
      <c r="AA41" s="1187"/>
      <c r="AB41" s="1198"/>
    </row>
    <row r="42" spans="1:28" ht="15.75" customHeight="1" thickBot="1" x14ac:dyDescent="0.3">
      <c r="A42" s="1010"/>
      <c r="B42" s="1011"/>
      <c r="C42" s="600"/>
      <c r="D42" s="601" t="s">
        <v>16</v>
      </c>
      <c r="E42" s="601"/>
      <c r="F42" s="602" t="s">
        <v>85</v>
      </c>
      <c r="G42" s="603">
        <f>IF(AND(Gain_Sim1&gt;=GainCep25,Prime_Region_ouinon="OUI"),Prime_region,0)</f>
        <v>0</v>
      </c>
      <c r="H42" s="604">
        <f>IF(AND(Gain_Sim2&gt;=GainCep25,Prime_Region_ouinon="OUI"),Prime_region,0)</f>
        <v>0</v>
      </c>
      <c r="L42" s="448"/>
      <c r="M42" s="1164">
        <f>SUM(M26:M41)</f>
        <v>0</v>
      </c>
      <c r="N42" s="1188">
        <f>SUM(O26:O41)</f>
        <v>0</v>
      </c>
      <c r="O42" s="1178"/>
      <c r="P42" s="534">
        <f>IF(Q24="ENERGIE",IF(N42&gt;=(Plafond_Prime_ALS_PO-ALS_Frais_AMO),Plafond_Prime_ALS_PO-ALS_Frais_AMO,N42),IF(N42&gt;=(Plafond_Prime_ALS_Auto-ALS_Frais_AMO),Plafond_Prime_ALS_Auto-ALS_Frais_AMO,N42))</f>
        <v>0</v>
      </c>
      <c r="Q42" s="1177">
        <f>SUM(Q26:Q41)</f>
        <v>0</v>
      </c>
      <c r="R42" s="1097">
        <f>IFERROR((SUMIF(R26:R41,"&gt;0",R26:R41)),"")</f>
        <v>0</v>
      </c>
      <c r="S42" s="1179">
        <f>SUM(S26:S41)</f>
        <v>0</v>
      </c>
      <c r="T42" s="1181" t="str">
        <f>IFERROR(Prime_Anah_Sim2,"")</f>
        <v/>
      </c>
      <c r="U42" s="1183" t="str">
        <f>IFERROR((Prime_ASE_Sim2),"")</f>
        <v/>
      </c>
      <c r="V42" s="1259" t="e">
        <f>Prime_ASE_Passoire_Sim2</f>
        <v>#VALUE!</v>
      </c>
      <c r="W42" s="1260" t="e">
        <f>Prime_ASE_BBC_Sim2</f>
        <v>#VALUE!</v>
      </c>
      <c r="Z42" s="404">
        <f>SUM(Z26:Z41)</f>
        <v>0</v>
      </c>
      <c r="AA42" s="405">
        <f>SUM(AA26:AA41)</f>
        <v>0</v>
      </c>
      <c r="AB42" s="1194" t="e">
        <f>M42-P42-T42-U42-V42-W42-SUM(Y26:Y41)</f>
        <v>#VALUE!</v>
      </c>
    </row>
    <row r="43" spans="1:28" ht="15.75" customHeight="1" thickBot="1" x14ac:dyDescent="0.3">
      <c r="A43" s="1010"/>
      <c r="B43" s="1011"/>
      <c r="C43" s="395"/>
      <c r="D43" s="397" t="s">
        <v>17</v>
      </c>
      <c r="E43" s="397"/>
      <c r="F43" s="396" t="s">
        <v>85</v>
      </c>
      <c r="G43" s="420"/>
      <c r="H43" s="421"/>
      <c r="L43" s="448"/>
      <c r="M43" s="1174"/>
      <c r="N43" s="530" t="s">
        <v>307</v>
      </c>
      <c r="O43" s="687">
        <f>ALS_Frais_AMO</f>
        <v>0</v>
      </c>
      <c r="P43" s="535">
        <f>P27+P29+P31+P33+P35+P37+P39+P41</f>
        <v>0</v>
      </c>
      <c r="Q43" s="1178"/>
      <c r="R43" s="1098"/>
      <c r="S43" s="1180"/>
      <c r="T43" s="1182"/>
      <c r="U43" s="1184"/>
      <c r="V43" s="1193"/>
      <c r="W43" s="1261"/>
      <c r="Z43" s="1175">
        <f>Z42+AA42</f>
        <v>0</v>
      </c>
      <c r="AA43" s="1176"/>
      <c r="AB43" s="1195"/>
    </row>
    <row r="44" spans="1:28" ht="15" customHeight="1" x14ac:dyDescent="0.25">
      <c r="A44" s="1010"/>
      <c r="B44" s="1011"/>
      <c r="C44" s="395"/>
      <c r="D44" s="397" t="s">
        <v>384</v>
      </c>
      <c r="E44" s="397"/>
      <c r="F44" s="396" t="s">
        <v>85</v>
      </c>
      <c r="G44" s="420"/>
      <c r="H44" s="421"/>
      <c r="L44" s="448"/>
      <c r="AB44" s="502"/>
    </row>
    <row r="45" spans="1:28" ht="15" customHeight="1" x14ac:dyDescent="0.25">
      <c r="A45" s="1010"/>
      <c r="B45" s="1011"/>
      <c r="C45" s="395"/>
      <c r="D45" s="398" t="s">
        <v>383</v>
      </c>
      <c r="E45" s="398"/>
      <c r="F45" s="396" t="s">
        <v>85</v>
      </c>
      <c r="G45" s="399" t="e">
        <f>IF(Cat_RFR="M",(ROUND(IF((Plafond_Anah_Ecretement_Sim1-SUM(G38:G44))&lt;0,Plafond_Anah_Ecretement_Sim1-SUM(G38:G44),0),0)),0)</f>
        <v>#VALUE!</v>
      </c>
      <c r="H45" s="400" t="e">
        <f>IF(Cat_RFR="M",(ROUND(IF((Plafond_Anah_Ecretement_Sim2-SUM(H38:H44))&lt;0,Plafond_Anah_Ecretement_Sim2-SUM(H38:H44),0),0)),0)</f>
        <v>#VALUE!</v>
      </c>
      <c r="J45" s="503"/>
      <c r="L45" s="448"/>
    </row>
    <row r="46" spans="1:28" ht="15" customHeight="1" x14ac:dyDescent="0.25">
      <c r="A46" s="1010"/>
      <c r="B46" s="1011"/>
      <c r="C46" s="395" t="s">
        <v>18</v>
      </c>
      <c r="D46" s="394" t="s">
        <v>316</v>
      </c>
      <c r="E46" s="394" t="s">
        <v>317</v>
      </c>
      <c r="F46" s="401" t="s">
        <v>85</v>
      </c>
      <c r="G46" s="402" t="e">
        <f>VLOOKUP(Code_Dossier,Table_Cond_Projet,13,FALSE)</f>
        <v>#VALUE!</v>
      </c>
      <c r="H46" s="403" t="e">
        <f>VLOOKUP(Code_Dossier,Table_Cond_Projet,13,FALSE)</f>
        <v>#VALUE!</v>
      </c>
      <c r="L46" s="448"/>
    </row>
    <row r="47" spans="1:28" ht="15" customHeight="1" x14ac:dyDescent="0.25">
      <c r="A47" s="1010"/>
      <c r="B47" s="1011"/>
      <c r="C47" s="395" t="s">
        <v>336</v>
      </c>
      <c r="D47" s="406" t="e">
        <f ca="1">Prime_CC_Sim1/TOTAL_HT_Projet_Sim1</f>
        <v>#VALUE!</v>
      </c>
      <c r="E47" s="406" t="e">
        <f ca="1">Prime_CC_Sim2/TOTAL_HT_Projet_Sim2</f>
        <v>#VALUE!</v>
      </c>
      <c r="F47" s="82" t="s">
        <v>85</v>
      </c>
      <c r="G47" s="407" t="e">
        <f>VLOOKUP(Code_Dossier,Table_Cond_Projet,23,FALSE)</f>
        <v>#VALUE!</v>
      </c>
      <c r="H47" s="349" t="e">
        <f>VLOOKUP(Code_Dossier,Table_Cond_Projet,24,FALSE)</f>
        <v>#VALUE!</v>
      </c>
      <c r="L47" s="448"/>
    </row>
    <row r="48" spans="1:28" ht="15" customHeight="1" thickBot="1" x14ac:dyDescent="0.3">
      <c r="A48" s="1012"/>
      <c r="B48" s="1013"/>
      <c r="C48" s="703"/>
      <c r="D48" s="704" t="s">
        <v>19</v>
      </c>
      <c r="E48" s="704"/>
      <c r="F48" s="705" t="s">
        <v>85</v>
      </c>
      <c r="G48" s="706"/>
      <c r="H48" s="707"/>
      <c r="L48" s="448"/>
    </row>
    <row r="49" spans="1:13" ht="15" customHeight="1" x14ac:dyDescent="0.25">
      <c r="A49" s="702"/>
      <c r="B49" s="702"/>
      <c r="C49" s="1052" t="s">
        <v>86</v>
      </c>
      <c r="D49" s="1053"/>
      <c r="E49" s="1053"/>
      <c r="F49" s="1056" t="s">
        <v>85</v>
      </c>
      <c r="G49" s="1058" t="e">
        <f ca="1">TOTAL_TTC_Projet_Sim1-Prime_ALS_Sim1-ROUND(Prime_Anah_Sim1,0)-Prime_ASE_Sim1-Prime_Region_Sim1-Prime_CR_Sim1-Prime_Public_Autre_Sim1-Montant_Ecret_Anah_Sim1-Prime_Public_Autre_Sim1-Prime_CC_Sim1-Prime_3CT_Sim1-Prime_ASE_BBC_Sim1-Prime_ASE_Passoire_Sim1</f>
        <v>#VALUE!</v>
      </c>
      <c r="H49" s="1060" t="e">
        <f ca="1">TOTAL_TTC_Projet_Sim2-Prime_ALS_Sim2-ROUND(Prime_Anah_Sim2,0)-Prime_ASE_Sim2-Prime_Region_Sim2-Prime_CR_Sim2-Prime_Public_Autre_Sim2-Montant_Ecret_Anah_Sim2-Prime_Public_Autre_Sim2-Prime_CC_Sim2-Prime_3CT_Sim2-Prime_ASE_BBC_Sim2-Prime_ASE_Passoire_Sim2</f>
        <v>#VALUE!</v>
      </c>
      <c r="L49" s="448"/>
    </row>
    <row r="50" spans="1:13" ht="15" customHeight="1" thickBot="1" x14ac:dyDescent="0.3">
      <c r="A50" s="702"/>
      <c r="B50" s="702"/>
      <c r="C50" s="1054"/>
      <c r="D50" s="1055"/>
      <c r="E50" s="1055"/>
      <c r="F50" s="1057"/>
      <c r="G50" s="1059"/>
      <c r="H50" s="1061"/>
      <c r="L50" s="448"/>
    </row>
    <row r="51" spans="1:13" ht="15.75" customHeight="1" thickBot="1" x14ac:dyDescent="0.3">
      <c r="L51" s="510"/>
      <c r="M51" s="511"/>
    </row>
    <row r="52" spans="1:13" ht="15" customHeight="1" x14ac:dyDescent="0.25">
      <c r="A52" s="1064" t="s">
        <v>20</v>
      </c>
      <c r="B52" s="1065"/>
      <c r="C52" s="1070" t="str">
        <f>"La simulation "&amp; Sim_Retenue &amp; " est retenue"</f>
        <v>La simulation ERREUR SIM est retenue</v>
      </c>
      <c r="D52" s="1071"/>
      <c r="E52" s="1258" t="s">
        <v>464</v>
      </c>
      <c r="F52" s="774"/>
      <c r="G52" s="774"/>
      <c r="H52" s="775"/>
      <c r="L52" s="448"/>
    </row>
    <row r="53" spans="1:13" ht="15" customHeight="1" x14ac:dyDescent="0.25">
      <c r="A53" s="1066"/>
      <c r="B53" s="1067"/>
      <c r="C53" s="1072"/>
      <c r="D53" s="1073"/>
      <c r="E53" s="1074" t="s">
        <v>316</v>
      </c>
      <c r="F53" s="1075"/>
      <c r="G53" s="1074" t="s">
        <v>398</v>
      </c>
      <c r="H53" s="1091"/>
      <c r="L53" s="448"/>
    </row>
    <row r="54" spans="1:13" ht="15" customHeight="1" x14ac:dyDescent="0.25">
      <c r="A54" s="1066"/>
      <c r="B54" s="1067"/>
      <c r="C54" s="517" t="s">
        <v>466</v>
      </c>
      <c r="D54" s="514"/>
      <c r="E54" s="1080"/>
      <c r="F54" s="1081"/>
      <c r="G54" s="1080"/>
      <c r="H54" s="1090"/>
      <c r="L54" s="448"/>
    </row>
    <row r="55" spans="1:13" ht="15" customHeight="1" x14ac:dyDescent="0.25">
      <c r="A55" s="1066"/>
      <c r="B55" s="1067"/>
      <c r="C55" s="395" t="s">
        <v>468</v>
      </c>
      <c r="D55" s="348"/>
      <c r="E55" s="1076" t="e">
        <f>Prime_Anah_Sim1+Prime_ASE_Sim1+Prime_Region_Sim1+Prime_CR_Sim1+Prime_Public_Autre_Sim1+Montant_Ecret_Anah_Sim1+Prime_3CT_Sim1+Prime_ASE_Passoire_Sim1+Prime_ASE_BBC_Sim1</f>
        <v>#VALUE!</v>
      </c>
      <c r="F55" s="1077"/>
      <c r="G55" s="1076" t="e">
        <f>Prime_Anah_Sim2+Prime_ASE_Sim2+Prime_Region_Sim2+Prime_CR_Sim2+Prime_Public_Autre_Sim2+Montant_Ecret_Anah_Sim2+Prime_3CT_Sim2+Prime_ASE_Passoire_Sim2+Prime_ASE_BBC_Sim2</f>
        <v>#VALUE!</v>
      </c>
      <c r="H55" s="1089"/>
      <c r="L55" s="448"/>
    </row>
    <row r="56" spans="1:13" ht="15" customHeight="1" x14ac:dyDescent="0.25">
      <c r="A56" s="1066"/>
      <c r="B56" s="1067"/>
      <c r="C56" s="518" t="s">
        <v>469</v>
      </c>
      <c r="D56" s="515"/>
      <c r="E56" s="1078" t="e">
        <f>(Prime_AvantCC_Sim1*100/BaseCalcul_HT_Sim1)/100</f>
        <v>#VALUE!</v>
      </c>
      <c r="F56" s="1079"/>
      <c r="G56" s="1078" t="e">
        <f>(Prime_AvantCC_Sim2*100/BaseCalcul_HT_Sim2)/100</f>
        <v>#VALUE!</v>
      </c>
      <c r="H56" s="1092"/>
      <c r="L56" s="448"/>
    </row>
    <row r="57" spans="1:13" ht="15" customHeight="1" x14ac:dyDescent="0.25">
      <c r="A57" s="1066"/>
      <c r="B57" s="1067"/>
      <c r="C57" s="395"/>
      <c r="D57" s="348"/>
      <c r="E57" s="1082"/>
      <c r="F57" s="1082"/>
      <c r="G57" s="513"/>
      <c r="H57" s="516"/>
      <c r="L57" s="448"/>
    </row>
    <row r="58" spans="1:13" ht="15" customHeight="1" x14ac:dyDescent="0.25">
      <c r="A58" s="1066"/>
      <c r="B58" s="1067"/>
      <c r="C58" s="1062" t="s">
        <v>467</v>
      </c>
      <c r="D58" s="1063"/>
      <c r="E58" s="1080"/>
      <c r="F58" s="1081"/>
      <c r="G58" s="1080"/>
      <c r="H58" s="1090"/>
      <c r="L58" s="448"/>
    </row>
    <row r="59" spans="1:13" ht="15.75" customHeight="1" x14ac:dyDescent="0.25">
      <c r="A59" s="1066"/>
      <c r="B59" s="1067"/>
      <c r="C59" s="395" t="str">
        <f>C55</f>
        <v>TOTAL des subventions</v>
      </c>
      <c r="D59" s="348"/>
      <c r="E59" s="1083" t="e">
        <f>Prime_AvantCC_Sim1+Prime_CC_Sim1</f>
        <v>#VALUE!</v>
      </c>
      <c r="F59" s="1084"/>
      <c r="G59" s="1083" t="e">
        <f>Prime_AvantCC_Sim2+Prime_CC_Sim2</f>
        <v>#VALUE!</v>
      </c>
      <c r="H59" s="1093"/>
      <c r="L59" s="448"/>
    </row>
    <row r="60" spans="1:13" ht="15" customHeight="1" x14ac:dyDescent="0.25">
      <c r="A60" s="1066"/>
      <c r="B60" s="1067"/>
      <c r="C60" s="395" t="str">
        <f>C56</f>
        <v>Taux de subvention / HT</v>
      </c>
      <c r="D60" s="348"/>
      <c r="E60" s="1085" t="e">
        <f>((E59)*100/BaseCalcul_HT_Sim1)/100</f>
        <v>#VALUE!</v>
      </c>
      <c r="F60" s="1086"/>
      <c r="G60" s="1085" t="e">
        <f>((G59)*100/BaseCalcul_HT_Sim2)/100</f>
        <v>#VALUE!</v>
      </c>
      <c r="H60" s="1094"/>
      <c r="L60" s="448"/>
    </row>
    <row r="61" spans="1:13" ht="15" customHeight="1" thickBot="1" x14ac:dyDescent="0.3">
      <c r="A61" s="1068"/>
      <c r="B61" s="1069"/>
      <c r="C61" s="519" t="s">
        <v>470</v>
      </c>
      <c r="D61" s="479"/>
      <c r="E61" s="1087" t="e">
        <f>((E59)*100/BaseCalcul_TTC_Sim1)/100</f>
        <v>#VALUE!</v>
      </c>
      <c r="F61" s="1088"/>
      <c r="G61" s="1087" t="e">
        <f>((G59)*100/BaseCalcul_TTC_Sim2)/100</f>
        <v>#VALUE!</v>
      </c>
      <c r="H61" s="1095"/>
    </row>
  </sheetData>
  <sheetProtection autoFilter="0"/>
  <customSheetViews>
    <customSheetView guid="{A63F3AF0-420C-4EB7-9C04-DE4CC40F156A}" scale="85" fitToPage="1" hiddenColumns="1">
      <selection activeCell="E2" sqref="E2"/>
      <pageMargins left="0.23611111111111099" right="0.23611111111111099" top="0.35416666666666702" bottom="0.35416666666666702" header="0.51180555555555496" footer="0.51180555555555496"/>
      <printOptions horizontalCentered="1"/>
      <pageSetup paperSize="9" scale="52" firstPageNumber="0" orientation="landscape" horizontalDpi="300" verticalDpi="300" r:id="rId1"/>
    </customSheetView>
  </customSheetViews>
  <mergeCells count="417">
    <mergeCell ref="E52:H52"/>
    <mergeCell ref="V42:V43"/>
    <mergeCell ref="W42:W43"/>
    <mergeCell ref="W26:W27"/>
    <mergeCell ref="W28:W29"/>
    <mergeCell ref="W30:W31"/>
    <mergeCell ref="W32:W33"/>
    <mergeCell ref="W34:W35"/>
    <mergeCell ref="W36:W37"/>
    <mergeCell ref="W38:W39"/>
    <mergeCell ref="W40:W41"/>
    <mergeCell ref="J34:K35"/>
    <mergeCell ref="L34:L35"/>
    <mergeCell ref="M34:M35"/>
    <mergeCell ref="J32:K33"/>
    <mergeCell ref="L32:L33"/>
    <mergeCell ref="O38:O39"/>
    <mergeCell ref="Q34:Q35"/>
    <mergeCell ref="N36:N37"/>
    <mergeCell ref="O36:O37"/>
    <mergeCell ref="Q36:Q37"/>
    <mergeCell ref="S36:S37"/>
    <mergeCell ref="T36:T37"/>
    <mergeCell ref="N30:N31"/>
    <mergeCell ref="V34:V35"/>
    <mergeCell ref="V36:V37"/>
    <mergeCell ref="V38:V39"/>
    <mergeCell ref="Z34:Z35"/>
    <mergeCell ref="AA34:AA35"/>
    <mergeCell ref="AA32:AA33"/>
    <mergeCell ref="AB3:AB4"/>
    <mergeCell ref="J40:K41"/>
    <mergeCell ref="L40:L41"/>
    <mergeCell ref="N40:N41"/>
    <mergeCell ref="N34:N35"/>
    <mergeCell ref="J36:K37"/>
    <mergeCell ref="L36:L37"/>
    <mergeCell ref="M36:M37"/>
    <mergeCell ref="N26:N27"/>
    <mergeCell ref="J38:K39"/>
    <mergeCell ref="L38:L39"/>
    <mergeCell ref="N38:N39"/>
    <mergeCell ref="Z26:Z27"/>
    <mergeCell ref="X38:X39"/>
    <mergeCell ref="Z38:Z39"/>
    <mergeCell ref="AA38:AA39"/>
    <mergeCell ref="X34:X35"/>
    <mergeCell ref="R3:W3"/>
    <mergeCell ref="M7:M8"/>
    <mergeCell ref="N3:P3"/>
    <mergeCell ref="N24:P24"/>
    <mergeCell ref="J3:J4"/>
    <mergeCell ref="J24:J25"/>
    <mergeCell ref="K3:K4"/>
    <mergeCell ref="G25:H25"/>
    <mergeCell ref="K24:K25"/>
    <mergeCell ref="L24:M24"/>
    <mergeCell ref="L5:L6"/>
    <mergeCell ref="L7:L8"/>
    <mergeCell ref="M5:M6"/>
    <mergeCell ref="N5:N6"/>
    <mergeCell ref="N7:N8"/>
    <mergeCell ref="N9:N10"/>
    <mergeCell ref="N11:N12"/>
    <mergeCell ref="O5:O6"/>
    <mergeCell ref="J9:K10"/>
    <mergeCell ref="J7:K8"/>
    <mergeCell ref="G7:G8"/>
    <mergeCell ref="H7:H8"/>
    <mergeCell ref="G11:G12"/>
    <mergeCell ref="H11:H12"/>
    <mergeCell ref="N21:O21"/>
    <mergeCell ref="F3:F4"/>
    <mergeCell ref="B13:C14"/>
    <mergeCell ref="G13:G14"/>
    <mergeCell ref="H13:H14"/>
    <mergeCell ref="E3:E4"/>
    <mergeCell ref="H9:H10"/>
    <mergeCell ref="A1:D1"/>
    <mergeCell ref="A2:D2"/>
    <mergeCell ref="A5:A6"/>
    <mergeCell ref="A7:A8"/>
    <mergeCell ref="A9:A10"/>
    <mergeCell ref="A11:A12"/>
    <mergeCell ref="A13:A14"/>
    <mergeCell ref="H5:H6"/>
    <mergeCell ref="F7:F8"/>
    <mergeCell ref="F5:F6"/>
    <mergeCell ref="F9:F10"/>
    <mergeCell ref="F11:F12"/>
    <mergeCell ref="A15:A16"/>
    <mergeCell ref="E7:E8"/>
    <mergeCell ref="E9:E10"/>
    <mergeCell ref="E11:E12"/>
    <mergeCell ref="E5:E6"/>
    <mergeCell ref="J5:K6"/>
    <mergeCell ref="A17:A18"/>
    <mergeCell ref="D3:D4"/>
    <mergeCell ref="B5:C6"/>
    <mergeCell ref="B15:C16"/>
    <mergeCell ref="A3:C4"/>
    <mergeCell ref="D13:D14"/>
    <mergeCell ref="D15:D16"/>
    <mergeCell ref="B7:C8"/>
    <mergeCell ref="D9:D10"/>
    <mergeCell ref="B11:C12"/>
    <mergeCell ref="B9:C10"/>
    <mergeCell ref="D17:D18"/>
    <mergeCell ref="D11:D12"/>
    <mergeCell ref="D5:D6"/>
    <mergeCell ref="D7:D8"/>
    <mergeCell ref="J11:K12"/>
    <mergeCell ref="G9:G10"/>
    <mergeCell ref="G5:G6"/>
    <mergeCell ref="W21:W22"/>
    <mergeCell ref="W17:W18"/>
    <mergeCell ref="W19:W20"/>
    <mergeCell ref="J1:AB2"/>
    <mergeCell ref="L3:M3"/>
    <mergeCell ref="AB26:AB27"/>
    <mergeCell ref="M28:M29"/>
    <mergeCell ref="Z28:Z29"/>
    <mergeCell ref="AA28:AA29"/>
    <mergeCell ref="AB28:AB29"/>
    <mergeCell ref="Q19:Q20"/>
    <mergeCell ref="Q21:Q22"/>
    <mergeCell ref="S19:S20"/>
    <mergeCell ref="X3:AA3"/>
    <mergeCell ref="X5:X6"/>
    <mergeCell ref="X7:X8"/>
    <mergeCell ref="X9:X10"/>
    <mergeCell ref="X11:X12"/>
    <mergeCell ref="X13:X14"/>
    <mergeCell ref="X15:X16"/>
    <mergeCell ref="X17:X18"/>
    <mergeCell ref="X19:X20"/>
    <mergeCell ref="Z19:Z20"/>
    <mergeCell ref="T21:T22"/>
    <mergeCell ref="J30:K31"/>
    <mergeCell ref="L30:L31"/>
    <mergeCell ref="AB24:AB25"/>
    <mergeCell ref="M30:M31"/>
    <mergeCell ref="J28:K29"/>
    <mergeCell ref="L28:L29"/>
    <mergeCell ref="J26:K27"/>
    <mergeCell ref="L26:L27"/>
    <mergeCell ref="M26:M27"/>
    <mergeCell ref="X28:X29"/>
    <mergeCell ref="AA26:AA27"/>
    <mergeCell ref="AA30:AA31"/>
    <mergeCell ref="X26:X27"/>
    <mergeCell ref="X24:AA24"/>
    <mergeCell ref="O30:O31"/>
    <mergeCell ref="Q30:Q31"/>
    <mergeCell ref="V30:V31"/>
    <mergeCell ref="R24:W24"/>
    <mergeCell ref="V28:V29"/>
    <mergeCell ref="O26:O27"/>
    <mergeCell ref="N28:N29"/>
    <mergeCell ref="O28:O29"/>
    <mergeCell ref="Q28:Q29"/>
    <mergeCell ref="S28:S29"/>
    <mergeCell ref="AB17:AB18"/>
    <mergeCell ref="AB21:AB22"/>
    <mergeCell ref="AB19:AB20"/>
    <mergeCell ref="AA19:AA20"/>
    <mergeCell ref="AA17:AA18"/>
    <mergeCell ref="Y32:Y33"/>
    <mergeCell ref="Y36:Y37"/>
    <mergeCell ref="Y26:Y27"/>
    <mergeCell ref="Y30:Y31"/>
    <mergeCell ref="Y34:Y35"/>
    <mergeCell ref="AB30:AB31"/>
    <mergeCell ref="AB32:AB33"/>
    <mergeCell ref="AB34:AB35"/>
    <mergeCell ref="Y19:Y20"/>
    <mergeCell ref="Y28:Y29"/>
    <mergeCell ref="Y17:Y18"/>
    <mergeCell ref="Z36:Z37"/>
    <mergeCell ref="Z22:AA22"/>
    <mergeCell ref="Z17:Z18"/>
    <mergeCell ref="Y38:Y39"/>
    <mergeCell ref="Y40:Y41"/>
    <mergeCell ref="V40:V41"/>
    <mergeCell ref="AB42:AB43"/>
    <mergeCell ref="S30:S31"/>
    <mergeCell ref="T30:T31"/>
    <mergeCell ref="U30:U31"/>
    <mergeCell ref="X30:X31"/>
    <mergeCell ref="Z30:Z31"/>
    <mergeCell ref="S32:S33"/>
    <mergeCell ref="T32:T33"/>
    <mergeCell ref="U32:U33"/>
    <mergeCell ref="AA36:AA37"/>
    <mergeCell ref="AB36:AB37"/>
    <mergeCell ref="AB40:AB41"/>
    <mergeCell ref="X32:X33"/>
    <mergeCell ref="Z32:Z33"/>
    <mergeCell ref="S34:S35"/>
    <mergeCell ref="T34:T35"/>
    <mergeCell ref="U34:U35"/>
    <mergeCell ref="X36:X37"/>
    <mergeCell ref="U36:U37"/>
    <mergeCell ref="AB38:AB39"/>
    <mergeCell ref="V32:V33"/>
    <mergeCell ref="Z43:AA43"/>
    <mergeCell ref="Q42:Q43"/>
    <mergeCell ref="S42:S43"/>
    <mergeCell ref="T42:T43"/>
    <mergeCell ref="U42:U43"/>
    <mergeCell ref="X40:X41"/>
    <mergeCell ref="Z40:Z41"/>
    <mergeCell ref="AA40:AA41"/>
    <mergeCell ref="N42:O42"/>
    <mergeCell ref="Q40:Q41"/>
    <mergeCell ref="S40:S41"/>
    <mergeCell ref="T40:T41"/>
    <mergeCell ref="U40:U41"/>
    <mergeCell ref="O40:O41"/>
    <mergeCell ref="R40:R41"/>
    <mergeCell ref="R42:R43"/>
    <mergeCell ref="Q38:Q39"/>
    <mergeCell ref="S38:S39"/>
    <mergeCell ref="T38:T39"/>
    <mergeCell ref="U38:U39"/>
    <mergeCell ref="M38:M39"/>
    <mergeCell ref="M42:M43"/>
    <mergeCell ref="M40:M41"/>
    <mergeCell ref="R30:R31"/>
    <mergeCell ref="R34:R35"/>
    <mergeCell ref="R36:R37"/>
    <mergeCell ref="R38:R39"/>
    <mergeCell ref="R32:R33"/>
    <mergeCell ref="R28:R29"/>
    <mergeCell ref="O32:O33"/>
    <mergeCell ref="O34:O35"/>
    <mergeCell ref="Q32:Q33"/>
    <mergeCell ref="M21:M22"/>
    <mergeCell ref="L19:L20"/>
    <mergeCell ref="T26:T27"/>
    <mergeCell ref="V21:V22"/>
    <mergeCell ref="T11:T12"/>
    <mergeCell ref="T13:T14"/>
    <mergeCell ref="T15:T16"/>
    <mergeCell ref="T17:T18"/>
    <mergeCell ref="S26:S27"/>
    <mergeCell ref="S17:S18"/>
    <mergeCell ref="U26:U27"/>
    <mergeCell ref="U21:U22"/>
    <mergeCell ref="U19:U20"/>
    <mergeCell ref="U17:U18"/>
    <mergeCell ref="V11:V12"/>
    <mergeCell ref="V13:V14"/>
    <mergeCell ref="V15:V16"/>
    <mergeCell ref="V17:V18"/>
    <mergeCell ref="V19:V20"/>
    <mergeCell ref="V26:V27"/>
    <mergeCell ref="S21:S22"/>
    <mergeCell ref="Z5:Z6"/>
    <mergeCell ref="T7:T8"/>
    <mergeCell ref="T9:T10"/>
    <mergeCell ref="U5:U6"/>
    <mergeCell ref="T5:T6"/>
    <mergeCell ref="Z15:Z16"/>
    <mergeCell ref="U7:U8"/>
    <mergeCell ref="U9:U10"/>
    <mergeCell ref="U11:U12"/>
    <mergeCell ref="U13:U14"/>
    <mergeCell ref="U15:U16"/>
    <mergeCell ref="Y5:Y6"/>
    <mergeCell ref="Y7:Y8"/>
    <mergeCell ref="Y11:Y12"/>
    <mergeCell ref="Y13:Y14"/>
    <mergeCell ref="Y15:Y16"/>
    <mergeCell ref="W13:W14"/>
    <mergeCell ref="W15:W16"/>
    <mergeCell ref="V5:V6"/>
    <mergeCell ref="V7:V8"/>
    <mergeCell ref="W5:W6"/>
    <mergeCell ref="W7:W8"/>
    <mergeCell ref="W9:W10"/>
    <mergeCell ref="AB13:AB14"/>
    <mergeCell ref="AB15:AB16"/>
    <mergeCell ref="AA5:AA6"/>
    <mergeCell ref="AA9:AA10"/>
    <mergeCell ref="AA11:AA12"/>
    <mergeCell ref="AA13:AA14"/>
    <mergeCell ref="AA15:AA16"/>
    <mergeCell ref="AA7:AA8"/>
    <mergeCell ref="R11:R12"/>
    <mergeCell ref="R13:R14"/>
    <mergeCell ref="R15:R16"/>
    <mergeCell ref="AB5:AB6"/>
    <mergeCell ref="AB7:AB8"/>
    <mergeCell ref="AB9:AB10"/>
    <mergeCell ref="AB11:AB12"/>
    <mergeCell ref="Z7:Z8"/>
    <mergeCell ref="Z9:Z10"/>
    <mergeCell ref="Z11:Z12"/>
    <mergeCell ref="Z13:Z14"/>
    <mergeCell ref="Y9:Y10"/>
    <mergeCell ref="V9:V10"/>
    <mergeCell ref="S5:S6"/>
    <mergeCell ref="S7:S8"/>
    <mergeCell ref="W11:W12"/>
    <mergeCell ref="M9:M10"/>
    <mergeCell ref="M11:M12"/>
    <mergeCell ref="L9:L10"/>
    <mergeCell ref="L11:L12"/>
    <mergeCell ref="C29:D30"/>
    <mergeCell ref="M32:M33"/>
    <mergeCell ref="N32:N33"/>
    <mergeCell ref="G28:H28"/>
    <mergeCell ref="F19:F20"/>
    <mergeCell ref="G17:G18"/>
    <mergeCell ref="H19:H20"/>
    <mergeCell ref="E13:E14"/>
    <mergeCell ref="G15:G16"/>
    <mergeCell ref="M15:M16"/>
    <mergeCell ref="L15:L16"/>
    <mergeCell ref="F15:F16"/>
    <mergeCell ref="H15:H16"/>
    <mergeCell ref="J15:K16"/>
    <mergeCell ref="J17:K18"/>
    <mergeCell ref="E15:E16"/>
    <mergeCell ref="L17:L18"/>
    <mergeCell ref="M13:M14"/>
    <mergeCell ref="J13:K14"/>
    <mergeCell ref="L13:L14"/>
    <mergeCell ref="S9:S10"/>
    <mergeCell ref="S11:S12"/>
    <mergeCell ref="S13:S14"/>
    <mergeCell ref="S15:S16"/>
    <mergeCell ref="T19:T20"/>
    <mergeCell ref="T28:T29"/>
    <mergeCell ref="U28:U29"/>
    <mergeCell ref="A19:A20"/>
    <mergeCell ref="B17:C18"/>
    <mergeCell ref="B19:C20"/>
    <mergeCell ref="G26:H26"/>
    <mergeCell ref="G27:H27"/>
    <mergeCell ref="A21:B22"/>
    <mergeCell ref="G19:G20"/>
    <mergeCell ref="E17:E18"/>
    <mergeCell ref="E19:E20"/>
    <mergeCell ref="D19:D20"/>
    <mergeCell ref="H17:H18"/>
    <mergeCell ref="F17:F18"/>
    <mergeCell ref="E21:F21"/>
    <mergeCell ref="C25:D26"/>
    <mergeCell ref="C27:D28"/>
    <mergeCell ref="C23:D24"/>
    <mergeCell ref="E22:F22"/>
    <mergeCell ref="O9:O10"/>
    <mergeCell ref="O11:O12"/>
    <mergeCell ref="R19:R20"/>
    <mergeCell ref="R21:R22"/>
    <mergeCell ref="Q5:Q6"/>
    <mergeCell ref="Q7:Q8"/>
    <mergeCell ref="Q9:Q10"/>
    <mergeCell ref="Q11:Q12"/>
    <mergeCell ref="Q13:Q14"/>
    <mergeCell ref="Q15:Q16"/>
    <mergeCell ref="R5:R6"/>
    <mergeCell ref="R7:R8"/>
    <mergeCell ref="R9:R10"/>
    <mergeCell ref="R17:R18"/>
    <mergeCell ref="O15:O16"/>
    <mergeCell ref="O7:O8"/>
    <mergeCell ref="C49:E50"/>
    <mergeCell ref="F49:F50"/>
    <mergeCell ref="G49:G50"/>
    <mergeCell ref="H49:H50"/>
    <mergeCell ref="C58:D58"/>
    <mergeCell ref="A52:B61"/>
    <mergeCell ref="C52:D53"/>
    <mergeCell ref="E53:F53"/>
    <mergeCell ref="E55:F55"/>
    <mergeCell ref="E56:F56"/>
    <mergeCell ref="E54:F54"/>
    <mergeCell ref="E57:F57"/>
    <mergeCell ref="E58:F58"/>
    <mergeCell ref="E59:F59"/>
    <mergeCell ref="E60:F60"/>
    <mergeCell ref="E61:F61"/>
    <mergeCell ref="G55:H55"/>
    <mergeCell ref="G54:H54"/>
    <mergeCell ref="G53:H53"/>
    <mergeCell ref="G56:H56"/>
    <mergeCell ref="G58:H58"/>
    <mergeCell ref="G59:H59"/>
    <mergeCell ref="G60:H60"/>
    <mergeCell ref="G61:H61"/>
    <mergeCell ref="C35:D36"/>
    <mergeCell ref="A35:B48"/>
    <mergeCell ref="R26:R27"/>
    <mergeCell ref="Q26:Q27"/>
    <mergeCell ref="O19:O20"/>
    <mergeCell ref="M17:M18"/>
    <mergeCell ref="N13:N14"/>
    <mergeCell ref="N15:N16"/>
    <mergeCell ref="N17:N18"/>
    <mergeCell ref="O13:O14"/>
    <mergeCell ref="O17:O18"/>
    <mergeCell ref="Q17:Q18"/>
    <mergeCell ref="C40:E40"/>
    <mergeCell ref="C41:E41"/>
    <mergeCell ref="N19:N20"/>
    <mergeCell ref="J19:K20"/>
    <mergeCell ref="F13:F14"/>
    <mergeCell ref="M19:M20"/>
    <mergeCell ref="A32:B33"/>
    <mergeCell ref="C32:E33"/>
    <mergeCell ref="F32:F33"/>
    <mergeCell ref="G32:G33"/>
    <mergeCell ref="H32:H33"/>
    <mergeCell ref="A23:B30"/>
  </mergeCells>
  <conditionalFormatting sqref="J3:M4 M21">
    <cfRule type="expression" dxfId="137" priority="86">
      <formula>$K$3="OUI"</formula>
    </cfRule>
  </conditionalFormatting>
  <conditionalFormatting sqref="J24:M25 M42">
    <cfRule type="expression" dxfId="136" priority="85">
      <formula>$K$24="OUI"</formula>
    </cfRule>
  </conditionalFormatting>
  <conditionalFormatting sqref="G32:G33">
    <cfRule type="expression" dxfId="135" priority="76">
      <formula>$K$3="OUI"</formula>
    </cfRule>
  </conditionalFormatting>
  <conditionalFormatting sqref="H32:H33">
    <cfRule type="expression" dxfId="134" priority="75">
      <formula>$K$24="OUI"</formula>
    </cfRule>
  </conditionalFormatting>
  <conditionalFormatting sqref="G3">
    <cfRule type="expression" dxfId="133" priority="72">
      <formula>$K$3="OUI"</formula>
    </cfRule>
  </conditionalFormatting>
  <conditionalFormatting sqref="H3">
    <cfRule type="expression" dxfId="132" priority="71">
      <formula>$K$24="OUI"</formula>
    </cfRule>
  </conditionalFormatting>
  <conditionalFormatting sqref="R4:W4 R21:W21 R3 R22:U22">
    <cfRule type="expression" dxfId="131" priority="53">
      <formula>AND($K$3="OUI",NOT(ISBLANK(Anah_Dossier_Depose)))</formula>
    </cfRule>
  </conditionalFormatting>
  <conditionalFormatting sqref="R25:W25 R42:W42 R24 R43:U43">
    <cfRule type="expression" dxfId="130" priority="52">
      <formula>$K$24="OUI"</formula>
    </cfRule>
  </conditionalFormatting>
  <conditionalFormatting sqref="G35:G41">
    <cfRule type="expression" dxfId="129" priority="51">
      <formula>AND($K$3="OUI",NOT(ISBLANK(Anah_Dossier_Depose)))</formula>
    </cfRule>
  </conditionalFormatting>
  <conditionalFormatting sqref="H35:H41">
    <cfRule type="expression" dxfId="128" priority="50">
      <formula>AND($K$24="OUI",NOT(ISBLANK(Anah_Dossier_Depose)))</formula>
    </cfRule>
  </conditionalFormatting>
  <conditionalFormatting sqref="C35:F39 C40:C41 F40:F41">
    <cfRule type="expression" dxfId="127" priority="48">
      <formula>NOT(ISBLANK(Anah_Dossier_Depose))</formula>
    </cfRule>
  </conditionalFormatting>
  <conditionalFormatting sqref="R5:W5 R6:U6">
    <cfRule type="expression" dxfId="126" priority="47">
      <formula>AND($G$5="x",$K$3="OUI",NOT(ISBLANK(Anah_Dossier_Depose)))</formula>
    </cfRule>
  </conditionalFormatting>
  <conditionalFormatting sqref="R7:W7 R8:U8">
    <cfRule type="expression" dxfId="125" priority="46">
      <formula>AND($G$7="x",$K$3="OUI",NOT(ISBLANK(Anah_Dossier_Depose)))</formula>
    </cfRule>
  </conditionalFormatting>
  <conditionalFormatting sqref="R9:W9 R10:U10">
    <cfRule type="expression" dxfId="124" priority="45">
      <formula>AND($G$9="x",$K$3="OUI",NOT(ISBLANK(Anah_Dossier_Depose)))</formula>
    </cfRule>
  </conditionalFormatting>
  <conditionalFormatting sqref="R11:W11 R12:U12">
    <cfRule type="expression" dxfId="123" priority="44">
      <formula>AND($G$11="x",$K$3="OUI",NOT(ISBLANK(Anah_Dossier_Depose)))</formula>
    </cfRule>
  </conditionalFormatting>
  <conditionalFormatting sqref="R13:W13 R14:U14">
    <cfRule type="expression" dxfId="122" priority="43">
      <formula>AND($G$13="x",$K$3="OUI",NOT(ISBLANK(Anah_Dossier_Depose)))</formula>
    </cfRule>
  </conditionalFormatting>
  <conditionalFormatting sqref="R15:W15 R16:U16">
    <cfRule type="expression" dxfId="121" priority="42">
      <formula>AND($G$15="x",$K$3="OUI",NOT(ISBLANK(Anah_Dossier_Depose)))</formula>
    </cfRule>
  </conditionalFormatting>
  <conditionalFormatting sqref="R17:W17 R18:U18">
    <cfRule type="expression" dxfId="120" priority="41">
      <formula>AND($G$17="x",$K$3="OUI",NOT(ISBLANK(Anah_Dossier_Depose)))</formula>
    </cfRule>
  </conditionalFormatting>
  <conditionalFormatting sqref="R19:W19 R20:U20">
    <cfRule type="expression" dxfId="119" priority="40">
      <formula>AND($G$19="x",$K$3="OUI",NOT(ISBLANK(Anah_Dossier_Depose)))</formula>
    </cfRule>
  </conditionalFormatting>
  <conditionalFormatting sqref="R26:W27">
    <cfRule type="expression" dxfId="118" priority="39">
      <formula>AND($H$5="x",$K$24="OUI",NOT(ISBLANK(Anah_Dossier_Depose)))</formula>
    </cfRule>
  </conditionalFormatting>
  <conditionalFormatting sqref="R28:W28 R29:U29">
    <cfRule type="expression" dxfId="117" priority="38">
      <formula>AND($H$7="x",$K$24="OUI",NOT(ISBLANK(Anah_Dossier_Depose)))</formula>
    </cfRule>
  </conditionalFormatting>
  <conditionalFormatting sqref="R30:W30 R31:U31">
    <cfRule type="expression" dxfId="116" priority="37">
      <formula>AND($H$9="x",$K$24="OUI",NOT(ISBLANK(Anah_Dossier_Depose)))</formula>
    </cfRule>
  </conditionalFormatting>
  <conditionalFormatting sqref="R32:W32 R33:U33">
    <cfRule type="expression" dxfId="115" priority="36">
      <formula>AND($H$11="x",$K$24="OUI",NOT(ISBLANK(Anah_Dossier_Depose)))</formula>
    </cfRule>
  </conditionalFormatting>
  <conditionalFormatting sqref="R34:W34 R35:U35">
    <cfRule type="expression" dxfId="114" priority="35">
      <formula>AND($H$11="x",$K$24="OUI",NOT(ISBLANK(Anah_Dossier_Depose)))</formula>
    </cfRule>
  </conditionalFormatting>
  <conditionalFormatting sqref="R36:W36 R37:U37">
    <cfRule type="expression" dxfId="113" priority="34">
      <formula>AND($H$15="x",$K$24="OUI",NOT(ISBLANK(Anah_Dossier_Depose)))</formula>
    </cfRule>
  </conditionalFormatting>
  <conditionalFormatting sqref="R38:W38 R39:U39">
    <cfRule type="expression" dxfId="112" priority="33">
      <formula>AND($H$17="x",$K$24="OUI",NOT(ISBLANK(Anah_Dossier_Depose)))</formula>
    </cfRule>
  </conditionalFormatting>
  <conditionalFormatting sqref="R40:W40 R41:U41">
    <cfRule type="expression" dxfId="111" priority="32">
      <formula>AND($H$19="x",$K$24="OUI",NOT(ISBLANK(Anah_Dossier_Depose)))</formula>
    </cfRule>
  </conditionalFormatting>
  <conditionalFormatting sqref="A5:F6">
    <cfRule type="expression" dxfId="110" priority="10">
      <formula>OR($G$5="x",$H$5="x")</formula>
    </cfRule>
  </conditionalFormatting>
  <conditionalFormatting sqref="A7:F8">
    <cfRule type="expression" dxfId="109" priority="9">
      <formula>OR($G$7="x",$H$7="x")</formula>
    </cfRule>
  </conditionalFormatting>
  <conditionalFormatting sqref="A9:F10">
    <cfRule type="expression" dxfId="108" priority="8">
      <formula>OR($G$9="x",$H$9="x")</formula>
    </cfRule>
  </conditionalFormatting>
  <conditionalFormatting sqref="A11:F12">
    <cfRule type="expression" dxfId="107" priority="7">
      <formula>OR($G$11="x",$H$11="x")</formula>
    </cfRule>
  </conditionalFormatting>
  <conditionalFormatting sqref="A13:F14">
    <cfRule type="expression" dxfId="106" priority="6">
      <formula>OR($G$13="x",$H$13="x")</formula>
    </cfRule>
  </conditionalFormatting>
  <conditionalFormatting sqref="A15:F16">
    <cfRule type="expression" dxfId="105" priority="5">
      <formula>OR($G$15="x",$H$15="x")</formula>
    </cfRule>
  </conditionalFormatting>
  <conditionalFormatting sqref="A17:F18">
    <cfRule type="expression" dxfId="104" priority="4">
      <formula>OR($G$17="x",$H$17="x")</formula>
    </cfRule>
  </conditionalFormatting>
  <conditionalFormatting sqref="A19:F20">
    <cfRule type="expression" dxfId="103" priority="3">
      <formula>OR($G$19="x",$H$19="x")</formula>
    </cfRule>
  </conditionalFormatting>
  <conditionalFormatting sqref="J5:M20">
    <cfRule type="expression" dxfId="102" priority="2">
      <formula>AND($K$3="OUI",$G5="x")</formula>
    </cfRule>
  </conditionalFormatting>
  <conditionalFormatting sqref="J26:M41">
    <cfRule type="expression" dxfId="101" priority="1">
      <formula>AND($K$24="OUI",$H5="x")</formula>
    </cfRule>
  </conditionalFormatting>
  <dataValidations xWindow="494" yWindow="465" count="1">
    <dataValidation allowBlank="1" showErrorMessage="1" promptTitle="Attention" prompt="Ne pas cocher si travaux AUTONOMIE" sqref="G5:H20" xr:uid="{00000000-0002-0000-0400-000000000000}"/>
  </dataValidations>
  <printOptions horizontalCentered="1"/>
  <pageMargins left="0.23611111111111099" right="0.23611111111111099" top="0.35416666666666702" bottom="0.35416666666666702" header="0.51180555555555496" footer="0.51180555555555496"/>
  <pageSetup paperSize="9" scale="40" firstPageNumber="0" orientation="landscape" horizontalDpi="300" verticalDpi="300" r:id="rId2"/>
  <ignoredErrors>
    <ignoredError sqref="R21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5" name="Button 1">
              <controlPr defaultSize="0" print="0" autoFill="0" autoPict="0" macro="[0]!Feuil1.Cellules">
                <anchor moveWithCells="1" sizeWithCells="1">
                  <from>
                    <xdr:col>27</xdr:col>
                    <xdr:colOff>257175</xdr:colOff>
                    <xdr:row>47</xdr:row>
                    <xdr:rowOff>47625</xdr:rowOff>
                  </from>
                  <to>
                    <xdr:col>28</xdr:col>
                    <xdr:colOff>314325</xdr:colOff>
                    <xdr:row>51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6" name="Button 2">
              <controlPr defaultSize="0" print="0" autoFill="0" autoPict="0" macro="[0]!ExportPDF.ExportPDF">
                <anchor moveWithCells="1" sizeWithCells="1">
                  <from>
                    <xdr:col>9</xdr:col>
                    <xdr:colOff>466725</xdr:colOff>
                    <xdr:row>44</xdr:row>
                    <xdr:rowOff>114300</xdr:rowOff>
                  </from>
                  <to>
                    <xdr:col>11</xdr:col>
                    <xdr:colOff>428625</xdr:colOff>
                    <xdr:row>51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7" name="Button 3">
              <controlPr defaultSize="0" print="0" autoFill="0" autoPict="0" macro="[0]!Export_Selection_To_Pdf">
                <anchor moveWithCells="1" sizeWithCells="1">
                  <from>
                    <xdr:col>12</xdr:col>
                    <xdr:colOff>85725</xdr:colOff>
                    <xdr:row>44</xdr:row>
                    <xdr:rowOff>104775</xdr:rowOff>
                  </from>
                  <to>
                    <xdr:col>14</xdr:col>
                    <xdr:colOff>304800</xdr:colOff>
                    <xdr:row>51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4" id="{B613923A-4031-4821-BE83-9656420E2B38}">
            <xm:f>INFOS!$G$32="OUI"</xm:f>
            <x14:dxf>
              <fill>
                <patternFill>
                  <bgColor theme="7" tint="0.39994506668294322"/>
                </patternFill>
              </fill>
            </x14:dxf>
          </x14:cfRule>
          <xm:sqref>A32:F33</xm:sqref>
        </x14:conditionalFormatting>
        <x14:conditionalFormatting xmlns:xm="http://schemas.microsoft.com/office/excel/2006/main">
          <x14:cfRule type="expression" priority="81" id="{A3ECDDCC-2809-423B-B119-5F7C3E18AACE}">
            <xm:f>AND(INFOS!$G$32="OUI",$K$24="OUI")</xm:f>
            <x14:dxf>
              <fill>
                <patternFill>
                  <bgColor theme="7" tint="0.39994506668294322"/>
                </patternFill>
              </fill>
            </x14:dxf>
          </x14:cfRule>
          <xm:sqref>N24:Q25 N42:Q43</xm:sqref>
        </x14:conditionalFormatting>
        <x14:conditionalFormatting xmlns:xm="http://schemas.microsoft.com/office/excel/2006/main">
          <x14:cfRule type="expression" priority="70" id="{A6FDE8F7-EF5C-4D30-BF02-283F03908717}">
            <xm:f>AND(INFOS!$G$32="OUI",$K$3="OUI")</xm:f>
            <x14:dxf>
              <fill>
                <patternFill>
                  <bgColor theme="7" tint="0.39994506668294322"/>
                </patternFill>
              </fill>
            </x14:dxf>
          </x14:cfRule>
          <xm:sqref>N3:Q4 N21:Q22</xm:sqref>
        </x14:conditionalFormatting>
        <x14:conditionalFormatting xmlns:xm="http://schemas.microsoft.com/office/excel/2006/main">
          <x14:cfRule type="expression" priority="69" id="{18553770-4E1C-4441-AD2D-9395DFA5532C}">
            <xm:f>AND(INFOS!$G$32="OUI",$K$3="OUI",$N$5="x")</xm:f>
            <x14:dxf>
              <fill>
                <patternFill>
                  <bgColor theme="7" tint="0.59996337778862885"/>
                </patternFill>
              </fill>
            </x14:dxf>
          </x14:cfRule>
          <xm:sqref>N5:Q6</xm:sqref>
        </x14:conditionalFormatting>
        <x14:conditionalFormatting xmlns:xm="http://schemas.microsoft.com/office/excel/2006/main">
          <x14:cfRule type="expression" priority="68" id="{6E4ED16B-8DFF-40F0-B2DA-720F2F8F4A5C}">
            <xm:f>AND(INFOS!$G$32="OUI",$K$3="OUI",$N$7="x")</xm:f>
            <x14:dxf>
              <fill>
                <patternFill>
                  <bgColor theme="7" tint="0.59996337778862885"/>
                </patternFill>
              </fill>
            </x14:dxf>
          </x14:cfRule>
          <xm:sqref>N7:Q8</xm:sqref>
        </x14:conditionalFormatting>
        <x14:conditionalFormatting xmlns:xm="http://schemas.microsoft.com/office/excel/2006/main">
          <x14:cfRule type="expression" priority="67" id="{3ABAD74B-8259-4CE6-A30A-24721AA8A0A9}">
            <xm:f>AND(INFOS!$G$32="OUI",$K$3="OUI",$N$9="x")</xm:f>
            <x14:dxf>
              <fill>
                <patternFill>
                  <bgColor theme="7" tint="0.59996337778862885"/>
                </patternFill>
              </fill>
            </x14:dxf>
          </x14:cfRule>
          <xm:sqref>N9:Q10</xm:sqref>
        </x14:conditionalFormatting>
        <x14:conditionalFormatting xmlns:xm="http://schemas.microsoft.com/office/excel/2006/main">
          <x14:cfRule type="expression" priority="66" id="{48A8DF87-CB12-4915-991B-0F81395AD60E}">
            <xm:f>AND(INFOS!$G$32="OUI",$K$3="OUI",$N$11="x")</xm:f>
            <x14:dxf>
              <fill>
                <patternFill>
                  <bgColor theme="7" tint="0.59996337778862885"/>
                </patternFill>
              </fill>
            </x14:dxf>
          </x14:cfRule>
          <xm:sqref>N11:Q12</xm:sqref>
        </x14:conditionalFormatting>
        <x14:conditionalFormatting xmlns:xm="http://schemas.microsoft.com/office/excel/2006/main">
          <x14:cfRule type="expression" priority="65" id="{D1B57B32-BAE1-4515-ADDF-7B6C2C9AE8FF}">
            <xm:f>AND(INFOS!$G$32="OUI",$K$3="OUI",$N$13="x")</xm:f>
            <x14:dxf>
              <fill>
                <patternFill>
                  <bgColor theme="7" tint="0.59996337778862885"/>
                </patternFill>
              </fill>
            </x14:dxf>
          </x14:cfRule>
          <xm:sqref>N13:Q14</xm:sqref>
        </x14:conditionalFormatting>
        <x14:conditionalFormatting xmlns:xm="http://schemas.microsoft.com/office/excel/2006/main">
          <x14:cfRule type="expression" priority="64" id="{FB0B34F4-1072-48A8-BD74-5C89B5CB1FE5}">
            <xm:f>AND(INFOS!$G$32="OUI",$K$3="OUI",$N$15="x")</xm:f>
            <x14:dxf>
              <fill>
                <patternFill>
                  <bgColor theme="7" tint="0.59996337778862885"/>
                </patternFill>
              </fill>
            </x14:dxf>
          </x14:cfRule>
          <xm:sqref>N15:Q16</xm:sqref>
        </x14:conditionalFormatting>
        <x14:conditionalFormatting xmlns:xm="http://schemas.microsoft.com/office/excel/2006/main">
          <x14:cfRule type="expression" priority="63" id="{7C80D81B-B778-454D-8E8A-73ED5142A2E0}">
            <xm:f>AND(INFOS!$G$32="OUI",$K$3="OUI",$N$17="x")</xm:f>
            <x14:dxf>
              <fill>
                <patternFill>
                  <bgColor theme="7" tint="0.59996337778862885"/>
                </patternFill>
              </fill>
            </x14:dxf>
          </x14:cfRule>
          <xm:sqref>N17:Q18</xm:sqref>
        </x14:conditionalFormatting>
        <x14:conditionalFormatting xmlns:xm="http://schemas.microsoft.com/office/excel/2006/main">
          <x14:cfRule type="expression" priority="62" id="{B0DE8028-8A57-4019-B170-56695341840F}">
            <xm:f>AND(INFOS!$G$32="OUI",$K$3="OUI",$N$19="x")</xm:f>
            <x14:dxf>
              <fill>
                <patternFill>
                  <bgColor theme="7" tint="0.59996337778862885"/>
                </patternFill>
              </fill>
            </x14:dxf>
          </x14:cfRule>
          <xm:sqref>N19:Q20</xm:sqref>
        </x14:conditionalFormatting>
        <x14:conditionalFormatting xmlns:xm="http://schemas.microsoft.com/office/excel/2006/main">
          <x14:cfRule type="expression" priority="61" id="{1FE14118-0D21-480E-A0D6-6A8A9BCDDCB7}">
            <xm:f>AND(INFOS!$G$32="OUI",$K$24="OUI",$N$26="x")</xm:f>
            <x14:dxf>
              <fill>
                <patternFill>
                  <bgColor theme="7" tint="0.59996337778862885"/>
                </patternFill>
              </fill>
            </x14:dxf>
          </x14:cfRule>
          <xm:sqref>N26:Q27</xm:sqref>
        </x14:conditionalFormatting>
        <x14:conditionalFormatting xmlns:xm="http://schemas.microsoft.com/office/excel/2006/main">
          <x14:cfRule type="expression" priority="60" id="{14A40A7D-4303-4C4D-94D9-06ECA4408874}">
            <xm:f>AND(INFOS!$G$32="OUI",$K$24="OUI",$N$28="x")</xm:f>
            <x14:dxf>
              <fill>
                <patternFill>
                  <bgColor theme="7" tint="0.59996337778862885"/>
                </patternFill>
              </fill>
            </x14:dxf>
          </x14:cfRule>
          <xm:sqref>N28:Q29</xm:sqref>
        </x14:conditionalFormatting>
        <x14:conditionalFormatting xmlns:xm="http://schemas.microsoft.com/office/excel/2006/main">
          <x14:cfRule type="expression" priority="59" id="{735FCCB1-1DA5-479C-B48D-ED297F7832E0}">
            <xm:f>AND(INFOS!$G$32="OUI",$K$24="OUI",$N$30="x")</xm:f>
            <x14:dxf>
              <fill>
                <patternFill>
                  <bgColor theme="7" tint="0.59996337778862885"/>
                </patternFill>
              </fill>
            </x14:dxf>
          </x14:cfRule>
          <xm:sqref>N30:Q31</xm:sqref>
        </x14:conditionalFormatting>
        <x14:conditionalFormatting xmlns:xm="http://schemas.microsoft.com/office/excel/2006/main">
          <x14:cfRule type="expression" priority="58" id="{92AF2F7B-E672-4DF8-8373-7E756387AFCF}">
            <xm:f>AND(INFOS!$G$32="OUI",$K$24="OUI",$N$32="x")</xm:f>
            <x14:dxf>
              <fill>
                <patternFill>
                  <bgColor theme="7" tint="0.59996337778862885"/>
                </patternFill>
              </fill>
            </x14:dxf>
          </x14:cfRule>
          <xm:sqref>N32:Q33</xm:sqref>
        </x14:conditionalFormatting>
        <x14:conditionalFormatting xmlns:xm="http://schemas.microsoft.com/office/excel/2006/main">
          <x14:cfRule type="expression" priority="57" id="{627DC63E-430C-4A68-B339-FFF286E6A70F}">
            <xm:f>AND(INFOS!$G$32="OUI",$K$24="OUI",$N$34="x")</xm:f>
            <x14:dxf>
              <fill>
                <patternFill>
                  <bgColor theme="7" tint="0.59996337778862885"/>
                </patternFill>
              </fill>
            </x14:dxf>
          </x14:cfRule>
          <xm:sqref>N34:Q35</xm:sqref>
        </x14:conditionalFormatting>
        <x14:conditionalFormatting xmlns:xm="http://schemas.microsoft.com/office/excel/2006/main">
          <x14:cfRule type="expression" priority="56" id="{16D51B7C-0206-49E5-ABAD-FB36D3272154}">
            <xm:f>AND(INFOS!$G$32="OUI",$K$24="OUI",$N$36="x")</xm:f>
            <x14:dxf>
              <fill>
                <patternFill>
                  <bgColor theme="7" tint="0.59996337778862885"/>
                </patternFill>
              </fill>
            </x14:dxf>
          </x14:cfRule>
          <xm:sqref>N36:Q37</xm:sqref>
        </x14:conditionalFormatting>
        <x14:conditionalFormatting xmlns:xm="http://schemas.microsoft.com/office/excel/2006/main">
          <x14:cfRule type="expression" priority="55" id="{2DD0EE53-B77D-47D9-845E-18DCD4523587}">
            <xm:f>AND(INFOS!$G$32="OUI",$K$24="OUI",$N$38="x")</xm:f>
            <x14:dxf>
              <fill>
                <patternFill>
                  <bgColor theme="7" tint="0.59996337778862885"/>
                </patternFill>
              </fill>
            </x14:dxf>
          </x14:cfRule>
          <xm:sqref>N38:Q39</xm:sqref>
        </x14:conditionalFormatting>
        <x14:conditionalFormatting xmlns:xm="http://schemas.microsoft.com/office/excel/2006/main">
          <x14:cfRule type="expression" priority="54" id="{823E42BC-88C8-40AB-8CD4-C90A10DA6F0A}">
            <xm:f>AND(INFOS!$G$32="OUI",$K$24="OUI",$N$40="x")</xm:f>
            <x14:dxf>
              <fill>
                <patternFill>
                  <bgColor theme="7" tint="0.59996337778862885"/>
                </patternFill>
              </fill>
            </x14:dxf>
          </x14:cfRule>
          <xm:sqref>N40:Q41</xm:sqref>
        </x14:conditionalFormatting>
        <x14:conditionalFormatting xmlns:xm="http://schemas.microsoft.com/office/excel/2006/main">
          <x14:cfRule type="expression" priority="31" id="{2AC15993-6B59-46C6-A507-7B98677F94FC}">
            <xm:f>INFOS!$G$30="OUI"</xm:f>
            <x14:dxf>
              <fill>
                <patternFill>
                  <bgColor rgb="FFFF6699"/>
                </patternFill>
              </fill>
            </x14:dxf>
          </x14:cfRule>
          <xm:sqref>C42:F42</xm:sqref>
        </x14:conditionalFormatting>
        <x14:conditionalFormatting xmlns:xm="http://schemas.microsoft.com/office/excel/2006/main">
          <x14:cfRule type="expression" priority="30" id="{17E1D236-5565-463A-AEE8-989F719EF517}">
            <xm:f>AND(INFOS!$G$30="OUI",Gain_Sim1&gt;=25%,$K$3="OUI")</xm:f>
            <x14:dxf>
              <fill>
                <patternFill>
                  <bgColor rgb="FFFF6699"/>
                </patternFill>
              </fill>
            </x14:dxf>
          </x14:cfRule>
          <xm:sqref>X3:AA4 Z21:AA22</xm:sqref>
        </x14:conditionalFormatting>
        <x14:conditionalFormatting xmlns:xm="http://schemas.microsoft.com/office/excel/2006/main">
          <x14:cfRule type="expression" priority="29" id="{A885F5F4-E06C-4F20-8733-AB9D8EA05266}">
            <xm:f>AND(INFOS!$G$30="OUI",Gain_Sim2&gt;=25%,$K$24="OUI")</xm:f>
            <x14:dxf>
              <fill>
                <patternFill>
                  <bgColor rgb="FFFF6699"/>
                </patternFill>
              </fill>
            </x14:dxf>
          </x14:cfRule>
          <xm:sqref>X24:AA25 Z42:AA43</xm:sqref>
        </x14:conditionalFormatting>
        <x14:conditionalFormatting xmlns:xm="http://schemas.microsoft.com/office/excel/2006/main">
          <x14:cfRule type="expression" priority="28" id="{0992DD72-AE22-40AE-9C18-114A52389062}">
            <xm:f>AND(INFOS!$G$30="OUI",Gain_Sim1&gt;=25%,$K$3="OUI",$X$5="x")</xm:f>
            <x14:dxf>
              <fill>
                <patternFill>
                  <bgColor rgb="FFFF9999"/>
                </patternFill>
              </fill>
            </x14:dxf>
          </x14:cfRule>
          <xm:sqref>X5:AA6</xm:sqref>
        </x14:conditionalFormatting>
        <x14:conditionalFormatting xmlns:xm="http://schemas.microsoft.com/office/excel/2006/main">
          <x14:cfRule type="expression" priority="27" id="{82B0CFB3-202A-49C1-A7AC-12EBBF7522C5}">
            <xm:f>AND(INFOS!$G$30="OUI",Gain_Sim1&gt;=25%,$K$3="OUI",$X$7="x")</xm:f>
            <x14:dxf>
              <fill>
                <patternFill>
                  <bgColor rgb="FFFF9999"/>
                </patternFill>
              </fill>
            </x14:dxf>
          </x14:cfRule>
          <xm:sqref>X7:AA8</xm:sqref>
        </x14:conditionalFormatting>
        <x14:conditionalFormatting xmlns:xm="http://schemas.microsoft.com/office/excel/2006/main">
          <x14:cfRule type="expression" priority="26" id="{58819792-BB98-45DF-95F9-93118D11BD6C}">
            <xm:f>AND(INFOS!$G$30="OUI",Gain_Sim1&gt;=25%,$K$3="OUI",$X$9="x")</xm:f>
            <x14:dxf>
              <fill>
                <patternFill>
                  <bgColor rgb="FFFF9999"/>
                </patternFill>
              </fill>
            </x14:dxf>
          </x14:cfRule>
          <xm:sqref>X9:AA10</xm:sqref>
        </x14:conditionalFormatting>
        <x14:conditionalFormatting xmlns:xm="http://schemas.microsoft.com/office/excel/2006/main">
          <x14:cfRule type="expression" priority="25" id="{A5D94075-1731-4A47-A57B-F2E379A7ED7B}">
            <xm:f>AND(INFOS!$G$30="OUI",Gain_Sim1&gt;=25%,$K$3="OUI",$X$11="x")</xm:f>
            <x14:dxf>
              <fill>
                <patternFill>
                  <bgColor rgb="FFFF9999"/>
                </patternFill>
              </fill>
            </x14:dxf>
          </x14:cfRule>
          <xm:sqref>X11:AA12</xm:sqref>
        </x14:conditionalFormatting>
        <x14:conditionalFormatting xmlns:xm="http://schemas.microsoft.com/office/excel/2006/main">
          <x14:cfRule type="expression" priority="24" id="{6C82636A-BEC8-4B30-A0EB-8D3083CD8AFD}">
            <xm:f>AND(INFOS!$G$30="OUI",Gain_Sim1&gt;=25%,$K$3="OUI",$X$13="x")</xm:f>
            <x14:dxf>
              <fill>
                <patternFill>
                  <bgColor rgb="FFFF9999"/>
                </patternFill>
              </fill>
            </x14:dxf>
          </x14:cfRule>
          <xm:sqref>X13:AA14</xm:sqref>
        </x14:conditionalFormatting>
        <x14:conditionalFormatting xmlns:xm="http://schemas.microsoft.com/office/excel/2006/main">
          <x14:cfRule type="expression" priority="23" id="{935EFC0D-4CBD-408D-B042-F79DD98FC887}">
            <xm:f>AND(INFOS!$G$30="OUI",Gain_Sim1&gt;=25%,$K$3="OUI",$X$15="x")</xm:f>
            <x14:dxf>
              <fill>
                <patternFill>
                  <bgColor rgb="FFFF9999"/>
                </patternFill>
              </fill>
            </x14:dxf>
          </x14:cfRule>
          <xm:sqref>X15:AA16</xm:sqref>
        </x14:conditionalFormatting>
        <x14:conditionalFormatting xmlns:xm="http://schemas.microsoft.com/office/excel/2006/main">
          <x14:cfRule type="expression" priority="22" id="{BFBF8098-8365-4199-9B0C-A13B4DC398FC}">
            <xm:f>AND(INFOS!$G$30="OUI",Gain_Sim1&gt;=25%,$K$3="OUI",$X$17="x")</xm:f>
            <x14:dxf>
              <fill>
                <patternFill>
                  <bgColor rgb="FFFF9999"/>
                </patternFill>
              </fill>
            </x14:dxf>
          </x14:cfRule>
          <xm:sqref>X17:AA18</xm:sqref>
        </x14:conditionalFormatting>
        <x14:conditionalFormatting xmlns:xm="http://schemas.microsoft.com/office/excel/2006/main">
          <x14:cfRule type="expression" priority="21" id="{233AD7FE-51E4-4DC5-B556-9769BA35E33D}">
            <xm:f>AND(INFOS!$G$30="OUI",Gain_Sim1&gt;=25%,$K$3="OUI",$X$19="x")</xm:f>
            <x14:dxf>
              <fill>
                <patternFill>
                  <bgColor rgb="FFFF9999"/>
                </patternFill>
              </fill>
            </x14:dxf>
          </x14:cfRule>
          <xm:sqref>X19:AA20</xm:sqref>
        </x14:conditionalFormatting>
        <x14:conditionalFormatting xmlns:xm="http://schemas.microsoft.com/office/excel/2006/main">
          <x14:cfRule type="expression" priority="20" id="{24EC74D9-9974-4524-868E-CC46977E1026}">
            <xm:f>AND(INFOS!$G$30="OUI",Gain_Sim2&gt;=25%,$K$24="OUI",$X$26="x")</xm:f>
            <x14:dxf>
              <fill>
                <patternFill>
                  <bgColor rgb="FFFF9999"/>
                </patternFill>
              </fill>
            </x14:dxf>
          </x14:cfRule>
          <xm:sqref>X26:AA27</xm:sqref>
        </x14:conditionalFormatting>
        <x14:conditionalFormatting xmlns:xm="http://schemas.microsoft.com/office/excel/2006/main">
          <x14:cfRule type="expression" priority="19" id="{94EED299-3BC5-494F-A363-46205ECAD1D7}">
            <xm:f>AND(INFOS!$G$30="OUI",Gain_Sim2&gt;=25%,$K$24="OUI",$X$28="x")</xm:f>
            <x14:dxf>
              <fill>
                <patternFill>
                  <bgColor rgb="FFFF9999"/>
                </patternFill>
              </fill>
            </x14:dxf>
          </x14:cfRule>
          <xm:sqref>X28:AA29</xm:sqref>
        </x14:conditionalFormatting>
        <x14:conditionalFormatting xmlns:xm="http://schemas.microsoft.com/office/excel/2006/main">
          <x14:cfRule type="expression" priority="18" id="{9EC1288A-7077-408B-8E45-5985C31F93F3}">
            <xm:f>AND(INFOS!$G$30="OUI",Gain_Sim2&gt;=25%,$K$24="OUI",$X$30="x")</xm:f>
            <x14:dxf>
              <fill>
                <patternFill>
                  <bgColor rgb="FFFF9999"/>
                </patternFill>
              </fill>
            </x14:dxf>
          </x14:cfRule>
          <xm:sqref>X30:AA31</xm:sqref>
        </x14:conditionalFormatting>
        <x14:conditionalFormatting xmlns:xm="http://schemas.microsoft.com/office/excel/2006/main">
          <x14:cfRule type="expression" priority="17" id="{F1324806-11A5-49A4-AC99-04501C2C644A}">
            <xm:f>AND(INFOS!$G$30="OUI",Gain_Sim2&gt;=25%,$K$24="OUI",$X$32="x")</xm:f>
            <x14:dxf>
              <fill>
                <patternFill>
                  <bgColor rgb="FFFF9999"/>
                </patternFill>
              </fill>
            </x14:dxf>
          </x14:cfRule>
          <xm:sqref>X32:AA33</xm:sqref>
        </x14:conditionalFormatting>
        <x14:conditionalFormatting xmlns:xm="http://schemas.microsoft.com/office/excel/2006/main">
          <x14:cfRule type="expression" priority="16" id="{E7264508-FA15-4693-BF0F-0E48B73FDE72}">
            <xm:f>AND(INFOS!$G$30="OUI",Gain_Sim2&gt;=25%,$K$24="OUI",$X$34="x")</xm:f>
            <x14:dxf>
              <fill>
                <patternFill>
                  <bgColor rgb="FFFF9999"/>
                </patternFill>
              </fill>
            </x14:dxf>
          </x14:cfRule>
          <xm:sqref>X34:AA35</xm:sqref>
        </x14:conditionalFormatting>
        <x14:conditionalFormatting xmlns:xm="http://schemas.microsoft.com/office/excel/2006/main">
          <x14:cfRule type="expression" priority="15" id="{4723E9E7-E13B-4DDD-A647-B1885B1B8E55}">
            <xm:f>AND(INFOS!$G$30="OUI",Gain_Sim2&gt;=25%,$K$24="OUI",$X$36="x")</xm:f>
            <x14:dxf>
              <fill>
                <patternFill>
                  <bgColor rgb="FFFF9999"/>
                </patternFill>
              </fill>
            </x14:dxf>
          </x14:cfRule>
          <xm:sqref>X36:AA37</xm:sqref>
        </x14:conditionalFormatting>
        <x14:conditionalFormatting xmlns:xm="http://schemas.microsoft.com/office/excel/2006/main">
          <x14:cfRule type="expression" priority="14" id="{84C316EF-4B1D-4982-BC90-8BE8A0C124D2}">
            <xm:f>AND(INFOS!$G$30="OUI",Gain_Sim2&gt;=25%,$K$24="OUI",$X$38="x")</xm:f>
            <x14:dxf>
              <fill>
                <patternFill>
                  <bgColor rgb="FFFF9999"/>
                </patternFill>
              </fill>
            </x14:dxf>
          </x14:cfRule>
          <xm:sqref>X38:AA39</xm:sqref>
        </x14:conditionalFormatting>
        <x14:conditionalFormatting xmlns:xm="http://schemas.microsoft.com/office/excel/2006/main">
          <x14:cfRule type="expression" priority="13" id="{066A6B1B-8F86-4F9A-AF76-020E273C32A5}">
            <xm:f>AND(INFOS!$G$30="OUI",Gain_Sim2&gt;=25%,$K$24="OUI",$X$40="x")</xm:f>
            <x14:dxf>
              <fill>
                <patternFill>
                  <bgColor rgb="FFFF9999"/>
                </patternFill>
              </fill>
            </x14:dxf>
          </x14:cfRule>
          <xm:sqref>X40:AA41</xm:sqref>
        </x14:conditionalFormatting>
        <x14:conditionalFormatting xmlns:xm="http://schemas.microsoft.com/office/excel/2006/main">
          <x14:cfRule type="expression" priority="12" id="{2C905C7F-9AFA-492B-B2E5-3FA679A1F65C}">
            <xm:f>AND(INFOS!$G$30="OUI",Gain_Sim1&gt;=25%,$K$3="OUI")</xm:f>
            <x14:dxf>
              <fill>
                <patternFill>
                  <bgColor rgb="FFFF9999"/>
                </patternFill>
              </fill>
            </x14:dxf>
          </x14:cfRule>
          <xm:sqref>G42</xm:sqref>
        </x14:conditionalFormatting>
        <x14:conditionalFormatting xmlns:xm="http://schemas.microsoft.com/office/excel/2006/main">
          <x14:cfRule type="expression" priority="11" id="{EEEAC5E8-FBE1-4331-A7CE-54CD4563A678}">
            <xm:f>AND(INFOS!$G$30="OUI",Gain_Sim2&gt;=25%,$K$24="OUI")</xm:f>
            <x14:dxf>
              <fill>
                <patternFill>
                  <bgColor rgb="FFFF9999"/>
                </patternFill>
              </fill>
            </x14:dxf>
          </x14:cfRule>
          <xm:sqref>H42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494" yWindow="465" count="2">
        <x14:dataValidation type="list" allowBlank="1" showInputMessage="1" showErrorMessage="1" xr:uid="{00000000-0002-0000-0400-000001000000}">
          <x14:formula1>
            <xm:f>B_D!$G$30:$G$31</xm:f>
          </x14:formula1>
          <xm:sqref>K24:K25 K3:K4</xm:sqref>
        </x14:dataValidation>
        <x14:dataValidation type="list" allowBlank="1" showInputMessage="1" showErrorMessage="1" xr:uid="{00000000-0002-0000-0400-000002000000}">
          <x14:formula1>
            <xm:f>B_D!$A$5:$A$11</xm:f>
          </x14:formula1>
          <xm:sqref>E2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5">
    <pageSetUpPr fitToPage="1"/>
  </sheetPr>
  <dimension ref="A1:X59"/>
  <sheetViews>
    <sheetView zoomScale="85" zoomScaleNormal="85" workbookViewId="0">
      <selection activeCell="O46" sqref="O46:P46"/>
    </sheetView>
  </sheetViews>
  <sheetFormatPr baseColWidth="10" defaultColWidth="11.42578125" defaultRowHeight="15" x14ac:dyDescent="0.25"/>
  <cols>
    <col min="1" max="1" width="6.28515625" style="448" customWidth="1"/>
    <col min="2" max="2" width="11.42578125" style="448"/>
    <col min="3" max="3" width="11.42578125" style="448" customWidth="1"/>
    <col min="4" max="4" width="12" style="448" customWidth="1"/>
    <col min="5" max="5" width="14.28515625" style="448" bestFit="1" customWidth="1"/>
    <col min="6" max="6" width="12.140625" style="448" customWidth="1"/>
    <col min="7" max="7" width="14" style="448" customWidth="1"/>
    <col min="8" max="8" width="8.28515625" style="448" customWidth="1"/>
    <col min="9" max="9" width="12.140625" style="448" bestFit="1" customWidth="1"/>
    <col min="10" max="10" width="12.140625" style="448" customWidth="1"/>
    <col min="11" max="11" width="14.140625" style="501" bestFit="1" customWidth="1"/>
    <col min="12" max="12" width="12.28515625" style="448" bestFit="1" customWidth="1"/>
    <col min="13" max="13" width="8.140625" style="448" bestFit="1" customWidth="1"/>
    <col min="14" max="14" width="14.140625" style="448" bestFit="1" customWidth="1"/>
    <col min="15" max="17" width="14.140625" style="448" customWidth="1"/>
    <col min="18" max="18" width="12.28515625" style="448" customWidth="1"/>
    <col min="19" max="20" width="12.140625" style="448" bestFit="1" customWidth="1"/>
    <col min="21" max="21" width="3.7109375" style="448" bestFit="1" customWidth="1"/>
    <col min="22" max="22" width="8.85546875" style="448" bestFit="1" customWidth="1"/>
    <col min="23" max="23" width="11" style="448" bestFit="1" customWidth="1"/>
    <col min="24" max="24" width="11.7109375" style="448" bestFit="1" customWidth="1"/>
    <col min="25" max="25" width="12.140625" style="448" bestFit="1" customWidth="1"/>
    <col min="26" max="26" width="16.42578125" style="448" bestFit="1" customWidth="1"/>
    <col min="27" max="16384" width="11.42578125" style="448"/>
  </cols>
  <sheetData>
    <row r="1" spans="1:24" ht="15.75" customHeight="1" thickBot="1" x14ac:dyDescent="0.3">
      <c r="A1" s="1270" t="s">
        <v>154</v>
      </c>
      <c r="B1" s="1271"/>
      <c r="C1" s="725" t="s">
        <v>582</v>
      </c>
      <c r="D1" s="726"/>
      <c r="E1" s="369" t="e">
        <f>Cat_RFR</f>
        <v>#VALUE!</v>
      </c>
      <c r="F1" s="370" t="s">
        <v>214</v>
      </c>
      <c r="G1" s="300" t="s">
        <v>215</v>
      </c>
      <c r="I1" s="827" t="s">
        <v>305</v>
      </c>
      <c r="J1" s="1216"/>
      <c r="K1" s="1216"/>
      <c r="L1" s="1216"/>
      <c r="M1" s="1216"/>
      <c r="N1" s="1216"/>
      <c r="O1" s="1216"/>
      <c r="P1" s="1216"/>
      <c r="Q1" s="1216"/>
      <c r="R1" s="1216"/>
      <c r="S1" s="1216"/>
      <c r="T1" s="1216"/>
      <c r="U1" s="1216"/>
      <c r="V1" s="1216"/>
    </row>
    <row r="2" spans="1:24" ht="15.75" customHeight="1" thickBot="1" x14ac:dyDescent="0.3">
      <c r="A2" s="1244" t="str">
        <f>CONCATENATE(Prop_Nom," ",Prop_Prenom)</f>
        <v xml:space="preserve"> </v>
      </c>
      <c r="B2" s="1245"/>
      <c r="C2" s="1245"/>
      <c r="D2" s="1246"/>
      <c r="E2" s="410"/>
      <c r="F2" s="411"/>
      <c r="G2" s="370" t="str">
        <f>IF(Cep_Actuel&gt;0,VLOOKUP(Cep_Actuel,Etiquette_DPE,3),"")</f>
        <v/>
      </c>
      <c r="I2" s="829"/>
      <c r="J2" s="1217"/>
      <c r="K2" s="1217"/>
      <c r="L2" s="1217"/>
      <c r="M2" s="1218"/>
      <c r="N2" s="1218"/>
      <c r="O2" s="1218"/>
      <c r="P2" s="1218"/>
      <c r="Q2" s="1218"/>
      <c r="R2" s="1217"/>
      <c r="S2" s="1217"/>
      <c r="T2" s="1217"/>
      <c r="U2" s="1217"/>
      <c r="V2" s="1217"/>
    </row>
    <row r="3" spans="1:24" ht="15.75" customHeight="1" thickBot="1" x14ac:dyDescent="0.3">
      <c r="A3" s="1231" t="s">
        <v>5</v>
      </c>
      <c r="B3" s="1232"/>
      <c r="C3" s="1233"/>
      <c r="D3" s="1227" t="s">
        <v>12</v>
      </c>
      <c r="E3" s="1240" t="s">
        <v>13</v>
      </c>
      <c r="F3" s="1238" t="s">
        <v>304</v>
      </c>
      <c r="G3" s="372" t="s">
        <v>574</v>
      </c>
      <c r="I3" s="1251" t="s">
        <v>6</v>
      </c>
      <c r="J3" s="1268" t="s">
        <v>172</v>
      </c>
      <c r="K3" s="1219" t="s">
        <v>5</v>
      </c>
      <c r="L3" s="1220"/>
      <c r="M3" s="1249" t="s">
        <v>297</v>
      </c>
      <c r="N3" s="1250"/>
      <c r="O3" s="1250"/>
      <c r="P3" s="180">
        <f>ALS_Type_Dossier</f>
        <v>0</v>
      </c>
      <c r="Q3" s="1272" t="s">
        <v>8</v>
      </c>
      <c r="R3" s="1273"/>
      <c r="S3" s="1273"/>
      <c r="T3" s="1274"/>
      <c r="U3" s="1206" t="s">
        <v>88</v>
      </c>
      <c r="V3" s="1208"/>
    </row>
    <row r="4" spans="1:24" ht="15.75" customHeight="1" thickBot="1" x14ac:dyDescent="0.3">
      <c r="A4" s="1234"/>
      <c r="B4" s="1235"/>
      <c r="C4" s="1236"/>
      <c r="D4" s="1228"/>
      <c r="E4" s="1241"/>
      <c r="F4" s="1239"/>
      <c r="G4" s="413"/>
      <c r="I4" s="1252"/>
      <c r="J4" s="1269"/>
      <c r="K4" s="174" t="s">
        <v>295</v>
      </c>
      <c r="L4" s="173" t="s">
        <v>13</v>
      </c>
      <c r="M4" s="522" t="s">
        <v>290</v>
      </c>
      <c r="N4" s="523" t="s">
        <v>91</v>
      </c>
      <c r="O4" s="523" t="s">
        <v>292</v>
      </c>
      <c r="P4" s="524" t="s">
        <v>293</v>
      </c>
      <c r="Q4" s="374" t="s">
        <v>91</v>
      </c>
      <c r="R4" s="375" t="s">
        <v>291</v>
      </c>
      <c r="S4" s="375" t="s">
        <v>45</v>
      </c>
      <c r="T4" s="376" t="s">
        <v>9</v>
      </c>
      <c r="U4" s="681" t="s">
        <v>294</v>
      </c>
      <c r="V4" s="680" t="s">
        <v>270</v>
      </c>
    </row>
    <row r="5" spans="1:24" ht="13.9" customHeight="1" x14ac:dyDescent="0.25">
      <c r="A5" s="1103">
        <v>1</v>
      </c>
      <c r="B5" s="1229" t="str">
        <f>IF(Facture1_Titre_Travaux=0,"",Facture1_Titre_Travaux)</f>
        <v/>
      </c>
      <c r="C5" s="1230"/>
      <c r="D5" s="1226">
        <f>Facture1_HT</f>
        <v>0</v>
      </c>
      <c r="E5" s="1226">
        <f>Facture1_TTC</f>
        <v>0</v>
      </c>
      <c r="F5" s="1248" t="str">
        <f>IF(Facture1_Type_Travaux=0,"",Facture1_Type_Travaux)</f>
        <v/>
      </c>
      <c r="G5" s="1237" t="s">
        <v>32</v>
      </c>
      <c r="I5" s="1201" t="str">
        <f>IFERROR(Facture1_Nom_Entreprise,"")</f>
        <v/>
      </c>
      <c r="J5" s="1202"/>
      <c r="K5" s="1203">
        <f>Facture1_Cat_Travaux</f>
        <v>0</v>
      </c>
      <c r="L5" s="1204">
        <f>IF(G5="X",E5,0)</f>
        <v>0</v>
      </c>
      <c r="M5" s="1255"/>
      <c r="N5" s="1212">
        <f>IF(M5="X",L5,0)</f>
        <v>0</v>
      </c>
      <c r="O5" s="527" t="str">
        <f>IFERROR((IF(O6&gt;0,0,IF(AND(U5="x",Gain_Sim1&gt;=25%,$P$3="ENERGIE"),N5*$O$21/$M$21,N5*$O$21/$M$21))),"")</f>
        <v/>
      </c>
      <c r="P5" s="1223">
        <f>IFERROR(IF(O6=0,N5-O5,N5-O6),0)</f>
        <v>0</v>
      </c>
      <c r="Q5" s="1278" t="str">
        <f>IFERROR((R5*(E5/D5)),"")</f>
        <v/>
      </c>
      <c r="R5" s="1280">
        <f>IFERROR(IF(N5&gt;0,(P5/(E5/D5)),IF(G5="x",D5,"")),"")</f>
        <v>0</v>
      </c>
      <c r="S5" s="1282" t="str">
        <f>IFERROR((R5*$S$21/$R$21),"")</f>
        <v/>
      </c>
      <c r="T5" s="1283" t="str">
        <f>IFERROR((R5*$T$21/$R$21),"")</f>
        <v/>
      </c>
      <c r="U5" s="1284"/>
      <c r="V5" s="1275" t="str">
        <f>IF(U5="x",1500,"")</f>
        <v/>
      </c>
      <c r="X5" s="502"/>
    </row>
    <row r="6" spans="1:24" ht="15.75" thickBot="1" x14ac:dyDescent="0.3">
      <c r="A6" s="1104"/>
      <c r="B6" s="1105"/>
      <c r="C6" s="1106"/>
      <c r="D6" s="1120"/>
      <c r="E6" s="1120"/>
      <c r="F6" s="1033"/>
      <c r="G6" s="1139"/>
      <c r="I6" s="1141"/>
      <c r="J6" s="1142"/>
      <c r="K6" s="1136"/>
      <c r="L6" s="1021"/>
      <c r="M6" s="1023"/>
      <c r="N6" s="1024"/>
      <c r="O6" s="415"/>
      <c r="P6" s="1277"/>
      <c r="Q6" s="1279"/>
      <c r="R6" s="1281"/>
      <c r="S6" s="1265"/>
      <c r="T6" s="1267"/>
      <c r="U6" s="1285"/>
      <c r="V6" s="1276"/>
      <c r="X6" s="502"/>
    </row>
    <row r="7" spans="1:24" ht="13.9" customHeight="1" x14ac:dyDescent="0.25">
      <c r="A7" s="1103">
        <v>2</v>
      </c>
      <c r="B7" s="1105" t="str">
        <f>IF(Facture2_Titre_Travaux=0,"",Facture2_Titre_Travaux)</f>
        <v/>
      </c>
      <c r="C7" s="1106"/>
      <c r="D7" s="1119">
        <f>Facture2_HT</f>
        <v>0</v>
      </c>
      <c r="E7" s="1119">
        <f>Facture2_TTC</f>
        <v>0</v>
      </c>
      <c r="F7" s="1033" t="str">
        <f>IF(Facture2_Type_Travaux=0,"",Facture2_Type_Travaux)</f>
        <v/>
      </c>
      <c r="G7" s="1139" t="s">
        <v>32</v>
      </c>
      <c r="I7" s="1029" t="str">
        <f>IFERROR(Facture2_Nom_Entreprise,"")</f>
        <v/>
      </c>
      <c r="J7" s="1030"/>
      <c r="K7" s="1135">
        <f>Facture2_Cat_Travaux</f>
        <v>0</v>
      </c>
      <c r="L7" s="1020">
        <f>IF(G7="X",E7,0)</f>
        <v>0</v>
      </c>
      <c r="M7" s="1022"/>
      <c r="N7" s="1018">
        <f>IF(M7="X",L7,0)</f>
        <v>0</v>
      </c>
      <c r="O7" s="543" t="str">
        <f>IFERROR((IF(O8&gt;0,0,IF(AND(U7="x",Gain_Sim1&gt;=25%,$P$3="ENERGIE"),N7*$O$21/$M$21,N7*$O$21/$M$21))),"")</f>
        <v/>
      </c>
      <c r="P7" s="1287">
        <f>IFERROR(IF(O8=0,N7-O7,N7-O8),0)</f>
        <v>0</v>
      </c>
      <c r="Q7" s="1288" t="str">
        <f>IFERROR((R7*(E7/D7)),"")</f>
        <v/>
      </c>
      <c r="R7" s="1289">
        <f>IFERROR(IF(N7&gt;0,(P7/(E7/D7)),IF(G7="x",D7,"")),"")</f>
        <v>0</v>
      </c>
      <c r="S7" s="1224" t="str">
        <f>IFERROR((R7*$S$21/$R$21),"")</f>
        <v/>
      </c>
      <c r="T7" s="1266" t="str">
        <f>IFERROR((R7*$T$21/$R$21),"")</f>
        <v/>
      </c>
      <c r="U7" s="1286"/>
      <c r="V7" s="1276" t="str">
        <f t="shared" ref="V7" si="0">IF(U7="x",1500,"")</f>
        <v/>
      </c>
      <c r="X7" s="502"/>
    </row>
    <row r="8" spans="1:24" ht="15.75" thickBot="1" x14ac:dyDescent="0.3">
      <c r="A8" s="1104"/>
      <c r="B8" s="1105"/>
      <c r="C8" s="1106"/>
      <c r="D8" s="1120"/>
      <c r="E8" s="1120"/>
      <c r="F8" s="1033"/>
      <c r="G8" s="1139"/>
      <c r="I8" s="1141"/>
      <c r="J8" s="1142"/>
      <c r="K8" s="1136"/>
      <c r="L8" s="1021"/>
      <c r="M8" s="1023"/>
      <c r="N8" s="1024"/>
      <c r="O8" s="415"/>
      <c r="P8" s="1277"/>
      <c r="Q8" s="1279"/>
      <c r="R8" s="1281"/>
      <c r="S8" s="1265"/>
      <c r="T8" s="1267"/>
      <c r="U8" s="1285"/>
      <c r="V8" s="1276"/>
      <c r="X8" s="502"/>
    </row>
    <row r="9" spans="1:24" x14ac:dyDescent="0.25">
      <c r="A9" s="1103">
        <v>3</v>
      </c>
      <c r="B9" s="1105" t="str">
        <f>IF(Facture3_Titre_Travaux=0,"",Facture3_Titre_Travaux)</f>
        <v/>
      </c>
      <c r="C9" s="1106"/>
      <c r="D9" s="1119">
        <f>Facture3_HT</f>
        <v>0</v>
      </c>
      <c r="E9" s="1119">
        <f>Facture3_TTC</f>
        <v>0</v>
      </c>
      <c r="F9" s="1033" t="str">
        <f>IF(Facture3_Type_Travaux=0,"",Facture3_Type_Travaux)</f>
        <v/>
      </c>
      <c r="G9" s="1139" t="s">
        <v>32</v>
      </c>
      <c r="I9" s="1029" t="str">
        <f>IFERROR(Facture3_Nom_Entreprise,"")</f>
        <v/>
      </c>
      <c r="J9" s="1030"/>
      <c r="K9" s="1135">
        <f>Facture3_Cat_Travaux</f>
        <v>0</v>
      </c>
      <c r="L9" s="1020">
        <f>IF(G9="X",E9,0)</f>
        <v>0</v>
      </c>
      <c r="M9" s="1022"/>
      <c r="N9" s="1018">
        <f>IF(M9="X",L9,0)</f>
        <v>0</v>
      </c>
      <c r="O9" s="528" t="str">
        <f>IFERROR((IF(O10&gt;0,0,IF(AND(U9="x",Gain_Sim1&gt;=25%,$P$3="ENERGIE"),N9*$O$21/$M$21,N9*$O$21/$M$21))),"")</f>
        <v/>
      </c>
      <c r="P9" s="1287">
        <f>IFERROR(IF(O10=0,N9-O9,N9-O10),0)</f>
        <v>0</v>
      </c>
      <c r="Q9" s="1288" t="str">
        <f>IFERROR((R9*(E9/D9)),"")</f>
        <v/>
      </c>
      <c r="R9" s="1289">
        <f>IFERROR(IF(N9&gt;0,(P9/(E9/D9)),IF(G9="x",D9,"")),"")</f>
        <v>0</v>
      </c>
      <c r="S9" s="1224" t="str">
        <f>IFERROR((R9*$S$21/$R$21),"")</f>
        <v/>
      </c>
      <c r="T9" s="1266" t="str">
        <f>IFERROR((R9*$T$21/$R$21),"")</f>
        <v/>
      </c>
      <c r="U9" s="1286"/>
      <c r="V9" s="1276" t="str">
        <f t="shared" ref="V9" si="1">IF(U9="x",1500,"")</f>
        <v/>
      </c>
      <c r="X9" s="502"/>
    </row>
    <row r="10" spans="1:24" ht="15.75" thickBot="1" x14ac:dyDescent="0.3">
      <c r="A10" s="1104"/>
      <c r="B10" s="1105"/>
      <c r="C10" s="1106"/>
      <c r="D10" s="1120"/>
      <c r="E10" s="1120"/>
      <c r="F10" s="1033"/>
      <c r="G10" s="1139"/>
      <c r="I10" s="1141"/>
      <c r="J10" s="1142"/>
      <c r="K10" s="1136"/>
      <c r="L10" s="1021"/>
      <c r="M10" s="1023"/>
      <c r="N10" s="1024"/>
      <c r="O10" s="415"/>
      <c r="P10" s="1277"/>
      <c r="Q10" s="1279"/>
      <c r="R10" s="1281"/>
      <c r="S10" s="1265"/>
      <c r="T10" s="1267"/>
      <c r="U10" s="1285"/>
      <c r="V10" s="1276"/>
      <c r="X10" s="502"/>
    </row>
    <row r="11" spans="1:24" x14ac:dyDescent="0.25">
      <c r="A11" s="1103">
        <v>4</v>
      </c>
      <c r="B11" s="1105" t="str">
        <f>IF(Facture4_Titre_Travaux=0,"",Facture4_Titre_Travaux)</f>
        <v/>
      </c>
      <c r="C11" s="1106"/>
      <c r="D11" s="1119">
        <f>Facture4_HT</f>
        <v>0</v>
      </c>
      <c r="E11" s="1119">
        <f>Facture4_TTC</f>
        <v>0</v>
      </c>
      <c r="F11" s="1033" t="str">
        <f>IF(Facture4_Type_Travaux=0,"",Facture4_Type_Travaux)</f>
        <v/>
      </c>
      <c r="G11" s="1139" t="s">
        <v>32</v>
      </c>
      <c r="I11" s="1029" t="str">
        <f>IFERROR(Facture4_Nom_Entreprise,"")</f>
        <v/>
      </c>
      <c r="J11" s="1030"/>
      <c r="K11" s="1135">
        <f>Facture4_Cat_Travaux</f>
        <v>0</v>
      </c>
      <c r="L11" s="1020">
        <f>IF(G11="X",E11,0)</f>
        <v>0</v>
      </c>
      <c r="M11" s="1022"/>
      <c r="N11" s="1018">
        <f>IF(M11="X",L11,0)</f>
        <v>0</v>
      </c>
      <c r="O11" s="528" t="str">
        <f>IFERROR((IF(O12&gt;0,0,IF(AND(U11="x",Gain_Sim1&gt;=25%,$P$3="ENERGIE"),N11*$O$21/$M$21,N11*$O$21/$M$21))),"")</f>
        <v/>
      </c>
      <c r="P11" s="1287">
        <f>IFERROR(IF(O12=0,N11-O11,N11-O12),0)</f>
        <v>0</v>
      </c>
      <c r="Q11" s="1288" t="str">
        <f>IFERROR((R11*(E11/D11)),"")</f>
        <v/>
      </c>
      <c r="R11" s="1289">
        <f>IFERROR(IF(N11&gt;0,(P11/(E11/D11)),IF(G11="x",D11,"")),"")</f>
        <v>0</v>
      </c>
      <c r="S11" s="1224" t="str">
        <f>IFERROR((R11*$S$21/$R$21),"")</f>
        <v/>
      </c>
      <c r="T11" s="1266" t="str">
        <f>IFERROR((R11*$T$21/$R$21),"")</f>
        <v/>
      </c>
      <c r="U11" s="1286"/>
      <c r="V11" s="1276" t="str">
        <f t="shared" ref="V11" si="2">IF(U11="x",1500,"")</f>
        <v/>
      </c>
      <c r="X11" s="502"/>
    </row>
    <row r="12" spans="1:24" ht="15.75" thickBot="1" x14ac:dyDescent="0.3">
      <c r="A12" s="1104"/>
      <c r="B12" s="1105"/>
      <c r="C12" s="1106"/>
      <c r="D12" s="1120"/>
      <c r="E12" s="1120"/>
      <c r="F12" s="1033"/>
      <c r="G12" s="1139"/>
      <c r="I12" s="1141"/>
      <c r="J12" s="1142"/>
      <c r="K12" s="1136"/>
      <c r="L12" s="1021"/>
      <c r="M12" s="1023"/>
      <c r="N12" s="1024"/>
      <c r="O12" s="415"/>
      <c r="P12" s="1277"/>
      <c r="Q12" s="1279"/>
      <c r="R12" s="1281"/>
      <c r="S12" s="1265"/>
      <c r="T12" s="1267"/>
      <c r="U12" s="1285"/>
      <c r="V12" s="1276"/>
      <c r="X12" s="502"/>
    </row>
    <row r="13" spans="1:24" x14ac:dyDescent="0.25">
      <c r="A13" s="1103">
        <v>5</v>
      </c>
      <c r="B13" s="1105" t="str">
        <f>IF(Facture5_Titre_Travaux=0,"",Facture5_Titre_Travaux)</f>
        <v/>
      </c>
      <c r="C13" s="1106"/>
      <c r="D13" s="1119">
        <f>Facture5_HT</f>
        <v>0</v>
      </c>
      <c r="E13" s="1119">
        <f>Facture5_TTC</f>
        <v>0</v>
      </c>
      <c r="F13" s="1033" t="str">
        <f>IF(Facture5_Type_Travaux=0,"",Facture5_Type_Travaux)</f>
        <v/>
      </c>
      <c r="G13" s="1139" t="s">
        <v>32</v>
      </c>
      <c r="I13" s="1029" t="str">
        <f>IFERROR(Facture5_Nom_Entreprise,"")</f>
        <v/>
      </c>
      <c r="J13" s="1030"/>
      <c r="K13" s="1135">
        <f>Facture5_Cat_Travaux</f>
        <v>0</v>
      </c>
      <c r="L13" s="1020">
        <f>IF(G13="X",E13,0)</f>
        <v>0</v>
      </c>
      <c r="M13" s="1022"/>
      <c r="N13" s="1018">
        <f>IF(M13="X",L13,0)</f>
        <v>0</v>
      </c>
      <c r="O13" s="528" t="str">
        <f>IFERROR((IF(O14&gt;0,0,IF(AND(U13="x",Gain_Sim1&gt;=25%,$P$3="ENERGIE"),N13*$O$21/$M$21,N13*$O$21/$M$21))),"")</f>
        <v/>
      </c>
      <c r="P13" s="1287">
        <f>IFERROR(IF(O14=0,N13-O13,N13-O14),0)</f>
        <v>0</v>
      </c>
      <c r="Q13" s="1288" t="str">
        <f>IFERROR((R13*(E13/D13)),"")</f>
        <v/>
      </c>
      <c r="R13" s="1289">
        <f>IFERROR(IF(N13&gt;0,(P13/(E13/D13)),IF(G13="x",D13,"")),"")</f>
        <v>0</v>
      </c>
      <c r="S13" s="1224" t="str">
        <f>IFERROR((R13*$S$21/$R$21),"")</f>
        <v/>
      </c>
      <c r="T13" s="1266" t="str">
        <f>IFERROR((R13*$T$21/$R$21),"")</f>
        <v/>
      </c>
      <c r="U13" s="1286"/>
      <c r="V13" s="1276" t="str">
        <f t="shared" ref="V13" si="3">IF(U13="x",1500,"")</f>
        <v/>
      </c>
      <c r="X13" s="502"/>
    </row>
    <row r="14" spans="1:24" ht="15.75" thickBot="1" x14ac:dyDescent="0.3">
      <c r="A14" s="1104"/>
      <c r="B14" s="1105"/>
      <c r="C14" s="1106"/>
      <c r="D14" s="1120"/>
      <c r="E14" s="1120"/>
      <c r="F14" s="1033"/>
      <c r="G14" s="1139"/>
      <c r="I14" s="1141"/>
      <c r="J14" s="1142"/>
      <c r="K14" s="1136"/>
      <c r="L14" s="1021"/>
      <c r="M14" s="1023"/>
      <c r="N14" s="1024"/>
      <c r="O14" s="415"/>
      <c r="P14" s="1277"/>
      <c r="Q14" s="1279"/>
      <c r="R14" s="1281"/>
      <c r="S14" s="1265"/>
      <c r="T14" s="1267"/>
      <c r="U14" s="1285"/>
      <c r="V14" s="1276"/>
      <c r="X14" s="502"/>
    </row>
    <row r="15" spans="1:24" x14ac:dyDescent="0.25">
      <c r="A15" s="1103">
        <v>6</v>
      </c>
      <c r="B15" s="1105" t="str">
        <f>IF(Facture6_Titre_Travaux=0,"",Facture6_Titre_Travaux)</f>
        <v/>
      </c>
      <c r="C15" s="1106"/>
      <c r="D15" s="1119">
        <f>Facture6_HT</f>
        <v>0</v>
      </c>
      <c r="E15" s="1119">
        <f>Facture6_TTC</f>
        <v>0</v>
      </c>
      <c r="F15" s="1033" t="str">
        <f>IF(Facture6_Type_Travaux=0,"",Facture6_Type_Travaux)</f>
        <v/>
      </c>
      <c r="G15" s="1139"/>
      <c r="I15" s="1029" t="str">
        <f>IFERROR(Facture6_Nom_Entreprise,"")</f>
        <v/>
      </c>
      <c r="J15" s="1030"/>
      <c r="K15" s="1135">
        <f>Facture6_Cat_Travaux</f>
        <v>0</v>
      </c>
      <c r="L15" s="1020">
        <f>IF(G15="X",E15,0)</f>
        <v>0</v>
      </c>
      <c r="M15" s="1022"/>
      <c r="N15" s="1018">
        <f>IF(M15="X",L15,0)</f>
        <v>0</v>
      </c>
      <c r="O15" s="528" t="str">
        <f>IFERROR((IF(O16&gt;0,0,IF(AND(U15="x",Gain_Sim1&gt;=25%,$P$3="ENERGIE"),N15*$O$21/$M$21,N15*$O$21/$M$21))),"")</f>
        <v/>
      </c>
      <c r="P15" s="1287">
        <f>IFERROR(IF(O16=0,N15-O15,N15-O16),0)</f>
        <v>0</v>
      </c>
      <c r="Q15" s="1288" t="str">
        <f>IFERROR((R15*(E15/D15)),"")</f>
        <v/>
      </c>
      <c r="R15" s="1289" t="str">
        <f>IFERROR(IF(N15&gt;0,(P15/(E15/D15)),IF(G15="x",D15,"")),"")</f>
        <v/>
      </c>
      <c r="S15" s="1224" t="str">
        <f>IFERROR((R15*$S$21/$R$21),"")</f>
        <v/>
      </c>
      <c r="T15" s="1266" t="str">
        <f>IFERROR((R15*$T$21/$R$21),"")</f>
        <v/>
      </c>
      <c r="U15" s="1290"/>
      <c r="V15" s="1276" t="str">
        <f t="shared" ref="V15" si="4">IF(U15="x",1500,"")</f>
        <v/>
      </c>
    </row>
    <row r="16" spans="1:24" ht="15.75" thickBot="1" x14ac:dyDescent="0.3">
      <c r="A16" s="1104"/>
      <c r="B16" s="1105"/>
      <c r="C16" s="1106"/>
      <c r="D16" s="1120"/>
      <c r="E16" s="1120"/>
      <c r="F16" s="1033"/>
      <c r="G16" s="1139"/>
      <c r="I16" s="1141"/>
      <c r="J16" s="1142"/>
      <c r="K16" s="1136"/>
      <c r="L16" s="1021"/>
      <c r="M16" s="1023"/>
      <c r="N16" s="1024"/>
      <c r="O16" s="415"/>
      <c r="P16" s="1277"/>
      <c r="Q16" s="1279"/>
      <c r="R16" s="1281"/>
      <c r="S16" s="1265"/>
      <c r="T16" s="1267"/>
      <c r="U16" s="1285"/>
      <c r="V16" s="1276"/>
    </row>
    <row r="17" spans="1:22" x14ac:dyDescent="0.25">
      <c r="A17" s="1103">
        <v>7</v>
      </c>
      <c r="B17" s="1105" t="str">
        <f>IF(Facture7_Titre_Travaux=0,"",Facture7_Titre_Travaux)</f>
        <v/>
      </c>
      <c r="C17" s="1106"/>
      <c r="D17" s="1119">
        <f>Facture7_HT</f>
        <v>0</v>
      </c>
      <c r="E17" s="1119">
        <f>Facture7_TTC</f>
        <v>0</v>
      </c>
      <c r="F17" s="1033" t="str">
        <f>IF(Facture7_Type_Travaux=0,"",Facture7_Type_Travaux)</f>
        <v/>
      </c>
      <c r="G17" s="1117"/>
      <c r="I17" s="1029" t="str">
        <f>IFERROR(Facture7_Nom_Entreprise,"")</f>
        <v/>
      </c>
      <c r="J17" s="1030"/>
      <c r="K17" s="1135">
        <f>Facture7_Cat_Travaux</f>
        <v>0</v>
      </c>
      <c r="L17" s="1020">
        <f>IF(G17="X",E17,0)</f>
        <v>0</v>
      </c>
      <c r="M17" s="1022"/>
      <c r="N17" s="1018">
        <f>IF(M17="X",L17,0)</f>
        <v>0</v>
      </c>
      <c r="O17" s="528" t="str">
        <f>IFERROR((IF(O18&gt;0,0,IF(AND(U17="x",Gain_Sim1&gt;=25%,$P$3="ENERGIE"),N17*$O$21/$M$21,N17*$O$21/$M$21))),"")</f>
        <v/>
      </c>
      <c r="P17" s="1287">
        <f>IFERROR(IF(O18=0,N17-O17,N17-O18),0)</f>
        <v>0</v>
      </c>
      <c r="Q17" s="1288" t="str">
        <f>IFERROR((R17*(E17/D17)),"")</f>
        <v/>
      </c>
      <c r="R17" s="1289" t="str">
        <f>IFERROR(IF(N17&gt;0,(P17/(E17/D17)),IF(G17="x",D17,"")),"")</f>
        <v/>
      </c>
      <c r="S17" s="1224" t="str">
        <f>IFERROR((R17*$S$21/$R$21),"")</f>
        <v/>
      </c>
      <c r="T17" s="1266" t="str">
        <f>IFERROR((R17*$T$21/$R$21),"")</f>
        <v/>
      </c>
      <c r="U17" s="1290"/>
      <c r="V17" s="1276" t="str">
        <f t="shared" ref="V17" si="5">IF(U17="x",1500,"")</f>
        <v/>
      </c>
    </row>
    <row r="18" spans="1:22" ht="15.75" thickBot="1" x14ac:dyDescent="0.3">
      <c r="A18" s="1104"/>
      <c r="B18" s="1105"/>
      <c r="C18" s="1106"/>
      <c r="D18" s="1120"/>
      <c r="E18" s="1120"/>
      <c r="F18" s="1033"/>
      <c r="G18" s="1117"/>
      <c r="I18" s="1141"/>
      <c r="J18" s="1142"/>
      <c r="K18" s="1136"/>
      <c r="L18" s="1021"/>
      <c r="M18" s="1023"/>
      <c r="N18" s="1024"/>
      <c r="O18" s="416"/>
      <c r="P18" s="1277"/>
      <c r="Q18" s="1279"/>
      <c r="R18" s="1281"/>
      <c r="S18" s="1265"/>
      <c r="T18" s="1267"/>
      <c r="U18" s="1285"/>
      <c r="V18" s="1276"/>
    </row>
    <row r="19" spans="1:22" x14ac:dyDescent="0.25">
      <c r="A19" s="1103">
        <v>8</v>
      </c>
      <c r="B19" s="1105" t="str">
        <f>IF(Facture8_Titre_Travaux=0,"",Facture8_Titre_Travaux)</f>
        <v/>
      </c>
      <c r="C19" s="1106"/>
      <c r="D19" s="1119">
        <f>Facture8_HT</f>
        <v>0</v>
      </c>
      <c r="E19" s="1119">
        <f>Facture8_TTC</f>
        <v>0</v>
      </c>
      <c r="F19" s="1033" t="str">
        <f>IF(Facture8_Type_Travaux=0,"",Facture8_Type_Travaux)</f>
        <v/>
      </c>
      <c r="G19" s="1117"/>
      <c r="I19" s="1029" t="str">
        <f>IFERROR(Facture8_Nom_Entreprise,"")</f>
        <v/>
      </c>
      <c r="J19" s="1030"/>
      <c r="K19" s="1135">
        <f>Facture8_Cat_Travaux</f>
        <v>0</v>
      </c>
      <c r="L19" s="1020">
        <f>IF(G19="X",E19,0)</f>
        <v>0</v>
      </c>
      <c r="M19" s="1022"/>
      <c r="N19" s="1018">
        <f>IF(M19="X",L19,0)</f>
        <v>0</v>
      </c>
      <c r="O19" s="529" t="str">
        <f>IFERROR((IF(O20&gt;0,0,IF(AND(U19="x",Gain_Sim1&gt;=25%,$P$3="ENERGIE"),N19*$O$21/$M$21,N19*$O$21/$M$21))),"")</f>
        <v/>
      </c>
      <c r="P19" s="1177">
        <f>IFERROR(IF(O20=0,N19-O19,N19-O20),0)</f>
        <v>0</v>
      </c>
      <c r="Q19" s="1288" t="str">
        <f>IFERROR((R19*(E19/D19)),"")</f>
        <v/>
      </c>
      <c r="R19" s="1289" t="str">
        <f>IFERROR(IF(N19&gt;0,(P19/(E19/D19)),IF(G19="x",D19,"")),"")</f>
        <v/>
      </c>
      <c r="S19" s="1224" t="str">
        <f>IFERROR((R19*$S$21/$R$21),"")</f>
        <v/>
      </c>
      <c r="T19" s="1266" t="str">
        <f>IFERROR((R19*$T$21/$R$21),"")</f>
        <v/>
      </c>
      <c r="U19" s="1290"/>
      <c r="V19" s="1276" t="str">
        <f t="shared" ref="V19" si="6">IF(U19="x",1500,"")</f>
        <v/>
      </c>
    </row>
    <row r="20" spans="1:22" ht="15.75" thickBot="1" x14ac:dyDescent="0.3">
      <c r="A20" s="1104"/>
      <c r="B20" s="1107"/>
      <c r="C20" s="1108"/>
      <c r="D20" s="1121"/>
      <c r="E20" s="1121"/>
      <c r="F20" s="1137"/>
      <c r="G20" s="1118"/>
      <c r="I20" s="1031"/>
      <c r="J20" s="1032"/>
      <c r="K20" s="1166"/>
      <c r="L20" s="1034"/>
      <c r="M20" s="1028"/>
      <c r="N20" s="1019"/>
      <c r="O20" s="417"/>
      <c r="P20" s="1178"/>
      <c r="Q20" s="1098"/>
      <c r="R20" s="1180"/>
      <c r="S20" s="1225"/>
      <c r="T20" s="1291"/>
      <c r="U20" s="1293"/>
      <c r="V20" s="1292"/>
    </row>
    <row r="21" spans="1:22" ht="15.75" customHeight="1" thickBot="1" x14ac:dyDescent="0.3">
      <c r="A21" s="1113" t="s">
        <v>87</v>
      </c>
      <c r="B21" s="1114"/>
      <c r="C21" s="660" t="str">
        <f>Prop_S.Hab_AvTx</f>
        <v/>
      </c>
      <c r="D21" s="380" t="s">
        <v>328</v>
      </c>
      <c r="E21" s="1123" t="s">
        <v>37</v>
      </c>
      <c r="F21" s="1124"/>
      <c r="G21" s="133">
        <f>IF(Solde_Cep_Sim_Solde=0,0,(100-(Solde_Cep_Sim_Solde/Solde_Cep_Actuel)*100)/100)</f>
        <v>0</v>
      </c>
      <c r="K21" s="448"/>
      <c r="L21" s="1164">
        <f>SUM(L5:L20)</f>
        <v>0</v>
      </c>
      <c r="M21" s="1256">
        <f>SUM(N5:N20)</f>
        <v>0</v>
      </c>
      <c r="N21" s="1257"/>
      <c r="O21" s="526">
        <f>IF(P3="ENERGIE",IF(M21&gt;=(Plafond_Prime_ALS_PO-ALS_Frais_AMO),Plafond_Prime_ALS_PO-ALS_Frais_AMO,M21),IF(M21&gt;=(Plafond_Prime_ALS_Auto-ALS_Frais_AMO),Plafond_Prime_ALS_Auto-ALS_Frais_AMO,M21))</f>
        <v>0</v>
      </c>
      <c r="P21" s="1223">
        <f>SUM(P5:P20)</f>
        <v>0</v>
      </c>
      <c r="Q21" s="1278">
        <f>IFERROR((SUMIF(Q5:Q20,"&gt;0",Q5:Q20)),0)</f>
        <v>0</v>
      </c>
      <c r="R21" s="1294">
        <f>SUM(R5:R20)</f>
        <v>0</v>
      </c>
      <c r="S21" s="1282" t="str">
        <f>IFERROR((Solde_Prime_Anah_Sim_Solde),"")</f>
        <v/>
      </c>
      <c r="T21" s="1283" t="str">
        <f>IFERROR((Solde_Prime_ASE_Sim_Solde),"")</f>
        <v/>
      </c>
    </row>
    <row r="22" spans="1:22" ht="15.75" thickBot="1" x14ac:dyDescent="0.3">
      <c r="A22" s="1115"/>
      <c r="B22" s="1116"/>
      <c r="C22" s="659" t="str">
        <f>Prop_S.Hab_ApTx</f>
        <v/>
      </c>
      <c r="D22" s="383" t="s">
        <v>329</v>
      </c>
      <c r="E22" s="1115" t="s">
        <v>213</v>
      </c>
      <c r="F22" s="804"/>
      <c r="G22" s="252" t="str">
        <f>IF(Solde_Cep_Actuel&gt;0,VLOOKUP(Solde_Cep_Sim_Solde,Etiquette_DPE,3),"")</f>
        <v/>
      </c>
      <c r="K22" s="448"/>
      <c r="L22" s="1165"/>
      <c r="M22" s="530" t="s">
        <v>307</v>
      </c>
      <c r="N22" s="617">
        <f>ALS_Frais_AMO</f>
        <v>0</v>
      </c>
      <c r="O22" s="525">
        <f>O6+O8+O10+O12+O14+O16+O18+O20</f>
        <v>0</v>
      </c>
      <c r="P22" s="1178"/>
      <c r="Q22" s="1098"/>
      <c r="R22" s="1157"/>
      <c r="S22" s="1225"/>
      <c r="T22" s="1291"/>
    </row>
    <row r="23" spans="1:22" ht="15.75" customHeight="1" x14ac:dyDescent="0.25">
      <c r="A23" s="1008" t="s">
        <v>15</v>
      </c>
      <c r="B23" s="1049"/>
      <c r="C23" s="1133" t="s">
        <v>391</v>
      </c>
      <c r="D23" s="1134"/>
      <c r="E23" s="384" t="s">
        <v>12</v>
      </c>
      <c r="F23" s="385" t="s">
        <v>85</v>
      </c>
      <c r="G23" s="89">
        <f>SUMIFS(D5:D20,F5:F20,"ENERGIE",G5:G20,"X")</f>
        <v>0</v>
      </c>
    </row>
    <row r="24" spans="1:22" ht="15" customHeight="1" x14ac:dyDescent="0.25">
      <c r="A24" s="1010"/>
      <c r="B24" s="1050"/>
      <c r="C24" s="1127"/>
      <c r="D24" s="1128"/>
      <c r="E24" s="386" t="s">
        <v>13</v>
      </c>
      <c r="F24" s="387" t="s">
        <v>85</v>
      </c>
      <c r="G24" s="246">
        <f>SUMIFS(E5:E20,F5:F20,"ENERGIE",G5:G20,"X")</f>
        <v>0</v>
      </c>
      <c r="I24" s="504"/>
      <c r="J24" s="504"/>
      <c r="K24" s="504"/>
      <c r="L24" s="504"/>
      <c r="M24" s="504"/>
      <c r="N24" s="504"/>
      <c r="O24" s="504"/>
      <c r="P24" s="504"/>
      <c r="Q24" s="504"/>
      <c r="R24" s="504"/>
      <c r="S24" s="504"/>
      <c r="T24" s="504"/>
      <c r="U24" s="504"/>
      <c r="V24" s="504"/>
    </row>
    <row r="25" spans="1:22" ht="15.75" customHeight="1" x14ac:dyDescent="0.25">
      <c r="A25" s="1010"/>
      <c r="B25" s="1050"/>
      <c r="C25" s="1125" t="s">
        <v>390</v>
      </c>
      <c r="D25" s="1126"/>
      <c r="E25" s="388" t="s">
        <v>12</v>
      </c>
      <c r="F25" s="389" t="s">
        <v>85</v>
      </c>
      <c r="G25" s="665">
        <f ca="1">Facture_Recap_Auto_HT</f>
        <v>0</v>
      </c>
      <c r="I25" s="504"/>
      <c r="J25" s="504"/>
      <c r="K25" s="504"/>
      <c r="L25" s="504"/>
      <c r="M25" s="504"/>
      <c r="N25" s="504"/>
      <c r="O25" s="504"/>
      <c r="P25" s="504"/>
      <c r="Q25" s="504"/>
      <c r="R25" s="504"/>
      <c r="S25" s="504"/>
      <c r="T25" s="504"/>
      <c r="U25" s="504"/>
      <c r="V25" s="504"/>
    </row>
    <row r="26" spans="1:22" ht="13.9" customHeight="1" x14ac:dyDescent="0.25">
      <c r="A26" s="1010"/>
      <c r="B26" s="1050"/>
      <c r="C26" s="1127"/>
      <c r="D26" s="1128"/>
      <c r="E26" s="386" t="s">
        <v>13</v>
      </c>
      <c r="F26" s="387" t="s">
        <v>85</v>
      </c>
      <c r="G26" s="664">
        <f ca="1">Facture_Recap_Auto_TTC</f>
        <v>0</v>
      </c>
      <c r="P26" s="504"/>
      <c r="Q26" s="504"/>
      <c r="R26" s="504"/>
      <c r="S26" s="504"/>
      <c r="T26" s="504"/>
      <c r="U26" s="504"/>
      <c r="V26" s="504"/>
    </row>
    <row r="27" spans="1:22" x14ac:dyDescent="0.25">
      <c r="A27" s="1010"/>
      <c r="B27" s="1050"/>
      <c r="C27" s="1129" t="s">
        <v>389</v>
      </c>
      <c r="D27" s="1130"/>
      <c r="E27" s="388" t="s">
        <v>12</v>
      </c>
      <c r="F27" s="389" t="s">
        <v>85</v>
      </c>
      <c r="G27" s="665">
        <f ca="1">Facture_Recap_Trx_Lourd_HT</f>
        <v>0</v>
      </c>
      <c r="P27" s="504"/>
      <c r="Q27" s="504"/>
      <c r="R27" s="504"/>
      <c r="S27" s="504"/>
      <c r="T27" s="504"/>
      <c r="U27" s="504"/>
      <c r="V27" s="504"/>
    </row>
    <row r="28" spans="1:22" x14ac:dyDescent="0.25">
      <c r="A28" s="1010"/>
      <c r="B28" s="1050"/>
      <c r="C28" s="1131"/>
      <c r="D28" s="1132"/>
      <c r="E28" s="386" t="s">
        <v>13</v>
      </c>
      <c r="F28" s="387" t="s">
        <v>85</v>
      </c>
      <c r="G28" s="664">
        <f ca="1">Facture_Recap_Trx_Lourd_TTC</f>
        <v>0</v>
      </c>
      <c r="P28" s="504"/>
      <c r="Q28" s="504"/>
      <c r="R28" s="504"/>
      <c r="S28" s="504"/>
      <c r="T28" s="504"/>
      <c r="U28" s="504"/>
      <c r="V28" s="504"/>
    </row>
    <row r="29" spans="1:22" ht="15.75" thickBot="1" x14ac:dyDescent="0.3">
      <c r="A29" s="1010"/>
      <c r="B29" s="1050"/>
      <c r="C29" s="833" t="s">
        <v>306</v>
      </c>
      <c r="D29" s="834"/>
      <c r="E29" s="390" t="s">
        <v>12</v>
      </c>
      <c r="F29" s="391" t="s">
        <v>85</v>
      </c>
      <c r="G29" s="248">
        <f ca="1">Solde_TOTAL_HT_Travaux_NRJ_Sim_Solde+Solde_TOTAL_HT_Travaux_Auto+Solde_TOTAL_HT_TRX_LOURD_HT</f>
        <v>0</v>
      </c>
      <c r="P29" s="504"/>
      <c r="Q29" s="504"/>
      <c r="R29" s="504"/>
      <c r="S29" s="504"/>
      <c r="T29" s="504"/>
      <c r="U29" s="504"/>
      <c r="V29" s="504"/>
    </row>
    <row r="30" spans="1:22" ht="15.75" thickBot="1" x14ac:dyDescent="0.3">
      <c r="A30" s="1012"/>
      <c r="B30" s="1051"/>
      <c r="C30" s="833"/>
      <c r="D30" s="834"/>
      <c r="E30" s="392" t="s">
        <v>13</v>
      </c>
      <c r="F30" s="393" t="s">
        <v>85</v>
      </c>
      <c r="G30" s="250">
        <f ca="1">Solde_TOTAL_TTC_Travaux_NRJ_Sim_Solde+Solde_TOTAL_TTC_Travaux_Auto+Solde_TOTAL_HT_TRX_LOURD_TTC</f>
        <v>0</v>
      </c>
      <c r="P30" s="504"/>
      <c r="Q30" s="504"/>
      <c r="R30" s="504"/>
      <c r="S30" s="504"/>
      <c r="T30" s="504"/>
      <c r="U30" s="504"/>
      <c r="V30" s="504"/>
    </row>
    <row r="31" spans="1:22" ht="15.75" thickBot="1" x14ac:dyDescent="0.3">
      <c r="G31" s="501"/>
      <c r="P31" s="504"/>
      <c r="Q31" s="504"/>
      <c r="R31" s="504"/>
      <c r="S31" s="504"/>
      <c r="T31" s="504"/>
      <c r="U31" s="504"/>
      <c r="V31" s="504"/>
    </row>
    <row r="32" spans="1:22" ht="15" customHeight="1" x14ac:dyDescent="0.25">
      <c r="A32" s="1035" t="s">
        <v>460</v>
      </c>
      <c r="B32" s="1036"/>
      <c r="C32" s="1039" t="s">
        <v>461</v>
      </c>
      <c r="D32" s="1040"/>
      <c r="E32" s="1040"/>
      <c r="F32" s="1043" t="s">
        <v>85</v>
      </c>
      <c r="G32" s="1047">
        <f>IF(OR(ALS_OuiNon="NON",ISBLANK(ALS_OuiNon)),0,O21)</f>
        <v>0</v>
      </c>
      <c r="P32" s="504"/>
      <c r="Q32" s="504"/>
      <c r="R32" s="504"/>
      <c r="S32" s="504"/>
      <c r="T32" s="504"/>
      <c r="U32" s="504"/>
      <c r="V32" s="504"/>
    </row>
    <row r="33" spans="1:22" ht="15" customHeight="1" thickBot="1" x14ac:dyDescent="0.3">
      <c r="A33" s="1037"/>
      <c r="B33" s="1038"/>
      <c r="C33" s="1041"/>
      <c r="D33" s="1042"/>
      <c r="E33" s="1042"/>
      <c r="F33" s="1044"/>
      <c r="G33" s="1048"/>
      <c r="P33" s="504"/>
      <c r="Q33" s="504"/>
      <c r="R33" s="504"/>
      <c r="S33" s="504"/>
      <c r="T33" s="504"/>
      <c r="U33" s="504"/>
      <c r="V33" s="504"/>
    </row>
    <row r="34" spans="1:22" ht="15" customHeight="1" thickBot="1" x14ac:dyDescent="0.3">
      <c r="P34" s="504"/>
      <c r="Q34" s="504"/>
      <c r="R34" s="504"/>
      <c r="S34" s="504"/>
      <c r="T34" s="504"/>
      <c r="U34" s="504"/>
      <c r="V34" s="504"/>
    </row>
    <row r="35" spans="1:22" ht="15.75" customHeight="1" x14ac:dyDescent="0.25">
      <c r="A35" s="1008" t="s">
        <v>472</v>
      </c>
      <c r="B35" s="1009"/>
      <c r="C35" s="1004" t="s">
        <v>462</v>
      </c>
      <c r="D35" s="1005"/>
      <c r="E35" s="592" t="s">
        <v>12</v>
      </c>
      <c r="F35" s="593" t="s">
        <v>85</v>
      </c>
      <c r="G35" s="189">
        <f>Solde_BaseCalcul_HT_Sim_Solde</f>
        <v>0</v>
      </c>
      <c r="P35" s="504"/>
      <c r="Q35" s="504"/>
      <c r="R35" s="504"/>
      <c r="S35" s="504"/>
      <c r="T35" s="504"/>
      <c r="U35" s="504"/>
      <c r="V35" s="504"/>
    </row>
    <row r="36" spans="1:22" ht="15.75" customHeight="1" x14ac:dyDescent="0.25">
      <c r="A36" s="1010"/>
      <c r="B36" s="1011"/>
      <c r="C36" s="1006"/>
      <c r="D36" s="1007"/>
      <c r="E36" s="348" t="s">
        <v>13</v>
      </c>
      <c r="F36" s="297" t="s">
        <v>85</v>
      </c>
      <c r="G36" s="509">
        <f>Solde_BaseCalcul_TTC_Sim_Solde</f>
        <v>0</v>
      </c>
      <c r="I36" s="504"/>
      <c r="J36" s="504"/>
      <c r="K36" s="504"/>
      <c r="L36" s="504"/>
      <c r="M36" s="504"/>
      <c r="N36" s="504"/>
      <c r="O36" s="504"/>
      <c r="P36" s="504"/>
      <c r="Q36" s="504"/>
      <c r="R36" s="504"/>
      <c r="S36" s="504"/>
      <c r="T36" s="504"/>
      <c r="U36" s="504"/>
      <c r="V36" s="504"/>
    </row>
    <row r="37" spans="1:22" ht="15.75" customHeight="1" x14ac:dyDescent="0.25">
      <c r="A37" s="1010"/>
      <c r="B37" s="1011"/>
      <c r="C37" s="594"/>
      <c r="D37" s="1295" t="s">
        <v>575</v>
      </c>
      <c r="E37" s="1296"/>
      <c r="F37" s="596"/>
      <c r="G37" s="190"/>
      <c r="I37" s="504"/>
      <c r="J37" s="504"/>
      <c r="K37" s="504"/>
      <c r="L37" s="504"/>
      <c r="M37" s="504"/>
      <c r="N37" s="504"/>
      <c r="O37" s="504"/>
      <c r="P37" s="504"/>
      <c r="Q37" s="504"/>
      <c r="R37" s="504"/>
      <c r="S37" s="504"/>
      <c r="T37" s="504"/>
      <c r="U37" s="504"/>
      <c r="V37" s="504"/>
    </row>
    <row r="38" spans="1:22" ht="15.75" customHeight="1" thickBot="1" x14ac:dyDescent="0.3">
      <c r="A38" s="1010"/>
      <c r="B38" s="1011"/>
      <c r="C38" s="597" t="s">
        <v>8</v>
      </c>
      <c r="D38" s="1297" t="e">
        <f>IF(Solde_Gain_Sim_Solde&gt;(VLOOKUP(Solde_Code_dossier,Solde_Table_Cond,5,FALSE)),VLOOKUP(Solde_Code_dossier,Solde_Table_Cond,6,FALSE),VLOOKUP((CONCATENATE(Prop_Categorie,Type_Dossier,Cat_RFR,Solde_Anah_Dossier_Depose)),Solde_Table_Cond,6,FALSE))</f>
        <v>#VALUE!</v>
      </c>
      <c r="E38" s="1298"/>
      <c r="F38" s="82" t="s">
        <v>85</v>
      </c>
      <c r="G38" s="87" t="e">
        <f>VLOOKUP(Solde_Code_dossier,Solde_Table_Cond,19,FALSE)</f>
        <v>#VALUE!</v>
      </c>
      <c r="I38" s="504"/>
      <c r="J38" s="504"/>
      <c r="K38" s="504"/>
      <c r="L38" s="504"/>
      <c r="M38" s="504"/>
      <c r="N38" s="504"/>
      <c r="O38" s="504"/>
      <c r="P38" s="504"/>
      <c r="Q38" s="504"/>
      <c r="R38" s="504"/>
      <c r="S38" s="504"/>
      <c r="T38" s="504"/>
      <c r="U38" s="504"/>
      <c r="V38" s="504"/>
    </row>
    <row r="39" spans="1:22" ht="15.75" customHeight="1" x14ac:dyDescent="0.25">
      <c r="A39" s="1010"/>
      <c r="B39" s="1011"/>
      <c r="C39" s="597" t="s">
        <v>9</v>
      </c>
      <c r="D39" s="1299" t="e">
        <f>IF(Solde_Gain_Sim_Solde&gt;(VLOOKUP(Solde_Code_dossier,Solde_Table_Cond,5,FALSE)),VLOOKUP(Solde_Code_dossier,Solde_Table_Cond,9,FALSE),0)</f>
        <v>#VALUE!</v>
      </c>
      <c r="E39" s="1300"/>
      <c r="F39" s="82" t="s">
        <v>85</v>
      </c>
      <c r="G39" s="87" t="e">
        <f>VLOOKUP(Solde_Code_dossier,Solde_Table_Cond,21,FALSE)</f>
        <v>#VALUE!</v>
      </c>
      <c r="I39" s="1064" t="s">
        <v>20</v>
      </c>
      <c r="J39" s="1065"/>
      <c r="K39" s="1070" t="str">
        <f>"La simulation "&amp; Sim_Retenue &amp; " du projet a été retenue"</f>
        <v>La simulation ERREUR SIM du projet a été retenue</v>
      </c>
      <c r="L39" s="1071"/>
      <c r="M39" s="1305" t="s">
        <v>464</v>
      </c>
      <c r="N39" s="1308"/>
      <c r="O39" s="1305" t="s">
        <v>465</v>
      </c>
      <c r="P39" s="1306"/>
      <c r="Q39" s="504"/>
      <c r="R39" s="504"/>
      <c r="S39" s="504"/>
      <c r="T39" s="504"/>
      <c r="U39" s="504"/>
      <c r="V39" s="504"/>
    </row>
    <row r="40" spans="1:22" ht="15.75" customHeight="1" x14ac:dyDescent="0.25">
      <c r="A40" s="1010"/>
      <c r="B40" s="1011"/>
      <c r="C40" s="1026" t="s">
        <v>590</v>
      </c>
      <c r="D40" s="1027"/>
      <c r="E40" s="1027"/>
      <c r="F40" s="82" t="s">
        <v>85</v>
      </c>
      <c r="G40" s="87" t="e">
        <f>VLOOKUP(Solde_Code_dossier,Solde_Table_Cond,24,FALSE)</f>
        <v>#VALUE!</v>
      </c>
      <c r="I40" s="1066"/>
      <c r="J40" s="1067"/>
      <c r="K40" s="1072"/>
      <c r="L40" s="1073"/>
      <c r="M40" s="1307" t="s">
        <v>575</v>
      </c>
      <c r="N40" s="1309"/>
      <c r="O40" s="1307" t="s">
        <v>575</v>
      </c>
      <c r="P40" s="782"/>
      <c r="Q40" s="504"/>
      <c r="R40" s="504"/>
      <c r="S40" s="504"/>
      <c r="T40" s="504"/>
      <c r="U40" s="504"/>
      <c r="V40" s="504"/>
    </row>
    <row r="41" spans="1:22" ht="15.75" customHeight="1" x14ac:dyDescent="0.25">
      <c r="A41" s="1010"/>
      <c r="B41" s="1011"/>
      <c r="C41" s="1026" t="s">
        <v>591</v>
      </c>
      <c r="D41" s="1027"/>
      <c r="E41" s="1027"/>
      <c r="F41" s="82" t="s">
        <v>85</v>
      </c>
      <c r="G41" s="87" t="e">
        <f>VLOOKUP(Solde_Code_dossier,Solde_Table_Cond,26,FALSE)</f>
        <v>#VALUE!</v>
      </c>
      <c r="I41" s="1066"/>
      <c r="J41" s="1067"/>
      <c r="K41" s="517" t="s">
        <v>466</v>
      </c>
      <c r="L41" s="514"/>
      <c r="M41" s="1080"/>
      <c r="N41" s="1081"/>
      <c r="O41" s="1080"/>
      <c r="P41" s="1090"/>
      <c r="Q41" s="504"/>
      <c r="R41" s="504"/>
      <c r="S41" s="504"/>
      <c r="T41" s="504"/>
      <c r="U41" s="504"/>
      <c r="V41" s="504"/>
    </row>
    <row r="42" spans="1:22" ht="15.75" customHeight="1" x14ac:dyDescent="0.25">
      <c r="A42" s="1010"/>
      <c r="B42" s="1011"/>
      <c r="C42" s="600"/>
      <c r="D42" s="601" t="s">
        <v>16</v>
      </c>
      <c r="E42" s="601"/>
      <c r="F42" s="602" t="s">
        <v>85</v>
      </c>
      <c r="G42" s="604">
        <f>IF(AND(Solde_Gain_Sim_Solde&gt;=GainCep25,Prime_Region_ouinon="OUI"),Prime_region,0)</f>
        <v>0</v>
      </c>
      <c r="I42" s="1066"/>
      <c r="J42" s="1067"/>
      <c r="K42" s="395" t="s">
        <v>468</v>
      </c>
      <c r="L42" s="348"/>
      <c r="M42" s="1076" t="e">
        <f>SUM(G38:G45)</f>
        <v>#VALUE!</v>
      </c>
      <c r="N42" s="1077"/>
      <c r="O42" s="1076" t="e">
        <f>Solde_Prime_AvantCC_Sim_Solde+Solde_Prime_ALS_Sim_Solde</f>
        <v>#VALUE!</v>
      </c>
      <c r="P42" s="1089"/>
      <c r="Q42" s="504"/>
      <c r="R42" s="504"/>
      <c r="S42" s="504"/>
      <c r="T42" s="504"/>
      <c r="U42" s="504"/>
      <c r="V42" s="504"/>
    </row>
    <row r="43" spans="1:22" ht="15.75" customHeight="1" x14ac:dyDescent="0.25">
      <c r="A43" s="1010"/>
      <c r="B43" s="1011"/>
      <c r="C43" s="395"/>
      <c r="D43" s="397" t="s">
        <v>17</v>
      </c>
      <c r="E43" s="397"/>
      <c r="F43" s="396" t="s">
        <v>85</v>
      </c>
      <c r="G43" s="421"/>
      <c r="I43" s="1066"/>
      <c r="J43" s="1067"/>
      <c r="K43" s="518" t="s">
        <v>469</v>
      </c>
      <c r="L43" s="515"/>
      <c r="M43" s="1078" t="e">
        <f>(Solde_Prime_AvantCC_Sim_Solde*100/Solde_BaseCalcul_HT_Sim_Solde)/100</f>
        <v>#VALUE!</v>
      </c>
      <c r="N43" s="1079"/>
      <c r="O43" s="1078" t="e">
        <f ca="1">((Solde_Prime_AvantCC_Sim_Solde+Solde_Prime_ALS_Sim_Solde)*100/Solde_TOTAL_HT_Projet_Sim_Solde)/100</f>
        <v>#VALUE!</v>
      </c>
      <c r="P43" s="1092"/>
      <c r="Q43" s="504"/>
      <c r="R43" s="504"/>
      <c r="S43" s="504"/>
      <c r="T43" s="504"/>
      <c r="U43" s="504"/>
      <c r="V43" s="504"/>
    </row>
    <row r="44" spans="1:22" ht="15" customHeight="1" x14ac:dyDescent="0.25">
      <c r="A44" s="1010"/>
      <c r="B44" s="1011"/>
      <c r="C44" s="395"/>
      <c r="D44" s="397" t="s">
        <v>384</v>
      </c>
      <c r="E44" s="397"/>
      <c r="F44" s="396" t="s">
        <v>85</v>
      </c>
      <c r="G44" s="421"/>
      <c r="I44" s="1066"/>
      <c r="J44" s="1067"/>
      <c r="K44" s="395"/>
      <c r="L44" s="348"/>
      <c r="M44" s="1082"/>
      <c r="N44" s="1082"/>
      <c r="O44" s="1082"/>
      <c r="P44" s="1094"/>
    </row>
    <row r="45" spans="1:22" ht="15" customHeight="1" x14ac:dyDescent="0.25">
      <c r="A45" s="1010"/>
      <c r="B45" s="1011"/>
      <c r="C45" s="395"/>
      <c r="D45" s="398" t="s">
        <v>383</v>
      </c>
      <c r="E45" s="398"/>
      <c r="F45" s="396" t="s">
        <v>85</v>
      </c>
      <c r="G45" s="666" t="e">
        <f>IF(Cat_RFR="M",(ROUND(IF((Solde_Plafond_Anah_Ecretement_Sim_Solde-SUM(G38:G44))&lt;0,Solde_Plafond_Anah_Ecretement_Sim_Solde-SUM(G38:G44),0),0)),0)</f>
        <v>#VALUE!</v>
      </c>
      <c r="I45" s="1066"/>
      <c r="J45" s="1067"/>
      <c r="K45" s="1062" t="s">
        <v>467</v>
      </c>
      <c r="L45" s="1063"/>
      <c r="M45" s="1080"/>
      <c r="N45" s="1081"/>
      <c r="O45" s="1080"/>
      <c r="P45" s="1090"/>
    </row>
    <row r="46" spans="1:22" ht="15" customHeight="1" x14ac:dyDescent="0.25">
      <c r="A46" s="1010"/>
      <c r="B46" s="1011"/>
      <c r="C46" s="395" t="s">
        <v>18</v>
      </c>
      <c r="D46" s="1301" t="s">
        <v>575</v>
      </c>
      <c r="E46" s="1302"/>
      <c r="F46" s="401" t="s">
        <v>85</v>
      </c>
      <c r="G46" s="403" t="e">
        <f>VLOOKUP(Solde_Code_dossier,Solde_Table_Cond,13,FALSE)</f>
        <v>#VALUE!</v>
      </c>
      <c r="I46" s="1066"/>
      <c r="J46" s="1067"/>
      <c r="K46" s="395" t="str">
        <f>K42</f>
        <v>TOTAL des subventions</v>
      </c>
      <c r="L46" s="348"/>
      <c r="M46" s="1083" t="e">
        <f>Solde_Prime_AvantCC_Sim_Solde+Solde_Prime_CC_Sim_Solde</f>
        <v>#VALUE!</v>
      </c>
      <c r="N46" s="1084"/>
      <c r="O46" s="1076" t="e">
        <f>O42+Solde_Prime_ALS_Sim_Solde</f>
        <v>#VALUE!</v>
      </c>
      <c r="P46" s="1089"/>
    </row>
    <row r="47" spans="1:22" ht="15" customHeight="1" x14ac:dyDescent="0.25">
      <c r="A47" s="1010"/>
      <c r="B47" s="1011"/>
      <c r="C47" s="395" t="s">
        <v>336</v>
      </c>
      <c r="D47" s="1303" t="e">
        <f ca="1">Solde_Prime_CC_Sim_Solde/Solde_TOTAL_HT_Projet_Sim_Solde</f>
        <v>#VALUE!</v>
      </c>
      <c r="E47" s="1304"/>
      <c r="F47" s="82" t="s">
        <v>85</v>
      </c>
      <c r="G47" s="349" t="e">
        <f>VLOOKUP(Solde_Code_dossier,Solde_Table_Cond,23,FALSE)</f>
        <v>#VALUE!</v>
      </c>
      <c r="I47" s="1066"/>
      <c r="J47" s="1067"/>
      <c r="K47" s="395" t="str">
        <f>K43</f>
        <v>Taux de subvention / HT</v>
      </c>
      <c r="L47" s="348"/>
      <c r="M47" s="1085" t="e">
        <f>((M46)*100/Solde_BaseCalcul_HT_Sim_Solde)/100</f>
        <v>#VALUE!</v>
      </c>
      <c r="N47" s="1086"/>
      <c r="O47" s="1085" t="e">
        <f ca="1">((O46)*100/Solde_TOTAL_HT_Projet_Sim_Solde)/100</f>
        <v>#VALUE!</v>
      </c>
      <c r="P47" s="1094"/>
    </row>
    <row r="48" spans="1:22" ht="15" customHeight="1" thickBot="1" x14ac:dyDescent="0.3">
      <c r="A48" s="1010"/>
      <c r="B48" s="1011"/>
      <c r="C48" s="408"/>
      <c r="D48" s="398" t="s">
        <v>19</v>
      </c>
      <c r="E48" s="398"/>
      <c r="F48" s="396" t="s">
        <v>85</v>
      </c>
      <c r="G48" s="422"/>
      <c r="I48" s="1068"/>
      <c r="J48" s="1069"/>
      <c r="K48" s="519" t="s">
        <v>470</v>
      </c>
      <c r="L48" s="479"/>
      <c r="M48" s="1087" t="e">
        <f>((M46)*100/Solde_BaseCalcul_TTC_Sim_Solde)/100</f>
        <v>#VALUE!</v>
      </c>
      <c r="N48" s="1088"/>
      <c r="O48" s="1087" t="e">
        <f ca="1">((O46)*100/Solde_TOTAL_TTC_Projet_Sim_Solde)/100</f>
        <v>#VALUE!</v>
      </c>
      <c r="P48" s="1095"/>
    </row>
    <row r="49" spans="1:12" ht="15.75" customHeight="1" x14ac:dyDescent="0.25">
      <c r="A49" s="1010"/>
      <c r="B49" s="1011"/>
      <c r="C49" s="1052" t="s">
        <v>86</v>
      </c>
      <c r="D49" s="1053"/>
      <c r="E49" s="1053"/>
      <c r="F49" s="1056" t="s">
        <v>85</v>
      </c>
      <c r="G49" s="1060" t="e">
        <f ca="1">Solde_TOTAL_TTC_Projet_Sim_Solde-Solde_Prime_ALS_Sim_Solde-Solde_Prime_Anah_Sim_Solde-Solde_Prime_ASE_Sim_Solde-Solde_Prime_ASE_Passoire-Solde_Prime_ASE_BBC-Solde_Prime_Region_Sim_Solde-Solde_Prime_CR_Sim_Solde-Solde_Prime_Public_Autre_Sim_Solde-Solde_Montant_Ecret_Anah_Sim_Solde-Solde_Prime_CC_Sim_Solde-Solde_Prime_3CT_Sim_Solde</f>
        <v>#VALUE!</v>
      </c>
      <c r="K49" s="510"/>
      <c r="L49" s="511"/>
    </row>
    <row r="50" spans="1:12" ht="15" customHeight="1" thickBot="1" x14ac:dyDescent="0.3">
      <c r="A50" s="1012"/>
      <c r="B50" s="1013"/>
      <c r="C50" s="1054"/>
      <c r="D50" s="1055"/>
      <c r="E50" s="1055"/>
      <c r="F50" s="1057"/>
      <c r="G50" s="1061"/>
      <c r="K50" s="504"/>
    </row>
    <row r="51" spans="1:12" ht="15" customHeight="1" x14ac:dyDescent="0.25">
      <c r="K51" s="504"/>
    </row>
    <row r="52" spans="1:12" ht="15" customHeight="1" x14ac:dyDescent="0.25">
      <c r="K52" s="504"/>
    </row>
    <row r="53" spans="1:12" ht="15" customHeight="1" x14ac:dyDescent="0.25">
      <c r="K53" s="504"/>
    </row>
    <row r="54" spans="1:12" ht="15" customHeight="1" x14ac:dyDescent="0.25">
      <c r="K54" s="504"/>
    </row>
    <row r="55" spans="1:12" ht="15" customHeight="1" x14ac:dyDescent="0.25">
      <c r="K55" s="504"/>
    </row>
    <row r="56" spans="1:12" ht="15" customHeight="1" x14ac:dyDescent="0.25">
      <c r="K56" s="504"/>
    </row>
    <row r="57" spans="1:12" ht="15.75" customHeight="1" x14ac:dyDescent="0.25">
      <c r="K57" s="504"/>
    </row>
    <row r="58" spans="1:12" ht="15" customHeight="1" x14ac:dyDescent="0.25">
      <c r="K58" s="504"/>
    </row>
    <row r="59" spans="1:12" ht="15" customHeight="1" x14ac:dyDescent="0.25">
      <c r="K59" s="504"/>
    </row>
  </sheetData>
  <sheetProtection autoFilter="0"/>
  <mergeCells count="211">
    <mergeCell ref="M48:N48"/>
    <mergeCell ref="O39:P39"/>
    <mergeCell ref="O40:P40"/>
    <mergeCell ref="O41:P41"/>
    <mergeCell ref="O42:P42"/>
    <mergeCell ref="O43:P43"/>
    <mergeCell ref="O44:P44"/>
    <mergeCell ref="O45:P45"/>
    <mergeCell ref="O46:P46"/>
    <mergeCell ref="O47:P47"/>
    <mergeCell ref="O48:P4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I39:J48"/>
    <mergeCell ref="K39:L40"/>
    <mergeCell ref="K45:L45"/>
    <mergeCell ref="C25:D26"/>
    <mergeCell ref="C23:D24"/>
    <mergeCell ref="C27:D28"/>
    <mergeCell ref="C29:D30"/>
    <mergeCell ref="A32:B33"/>
    <mergeCell ref="C32:E33"/>
    <mergeCell ref="F32:F33"/>
    <mergeCell ref="G32:G33"/>
    <mergeCell ref="A23:B30"/>
    <mergeCell ref="C35:D36"/>
    <mergeCell ref="D37:E37"/>
    <mergeCell ref="D38:E38"/>
    <mergeCell ref="D39:E39"/>
    <mergeCell ref="A35:B50"/>
    <mergeCell ref="D46:E46"/>
    <mergeCell ref="D47:E47"/>
    <mergeCell ref="C40:E40"/>
    <mergeCell ref="C41:E41"/>
    <mergeCell ref="C49:E50"/>
    <mergeCell ref="F49:F50"/>
    <mergeCell ref="G49:G50"/>
    <mergeCell ref="S21:S22"/>
    <mergeCell ref="T21:T22"/>
    <mergeCell ref="E22:F22"/>
    <mergeCell ref="V19:V20"/>
    <mergeCell ref="S19:S20"/>
    <mergeCell ref="T19:T20"/>
    <mergeCell ref="U19:U20"/>
    <mergeCell ref="A21:B22"/>
    <mergeCell ref="E21:F21"/>
    <mergeCell ref="L21:L22"/>
    <mergeCell ref="M21:N21"/>
    <mergeCell ref="P21:P22"/>
    <mergeCell ref="Q21:Q22"/>
    <mergeCell ref="P19:P20"/>
    <mergeCell ref="Q19:Q20"/>
    <mergeCell ref="R19:R20"/>
    <mergeCell ref="I19:J20"/>
    <mergeCell ref="K19:K20"/>
    <mergeCell ref="L19:L20"/>
    <mergeCell ref="M19:M20"/>
    <mergeCell ref="N19:N20"/>
    <mergeCell ref="R21:R22"/>
    <mergeCell ref="A19:A20"/>
    <mergeCell ref="B19:C20"/>
    <mergeCell ref="N17:N18"/>
    <mergeCell ref="U15:U16"/>
    <mergeCell ref="I15:J16"/>
    <mergeCell ref="K15:K16"/>
    <mergeCell ref="L15:L16"/>
    <mergeCell ref="M15:M16"/>
    <mergeCell ref="N15:N16"/>
    <mergeCell ref="D19:D20"/>
    <mergeCell ref="E19:E20"/>
    <mergeCell ref="F19:F20"/>
    <mergeCell ref="G19:G20"/>
    <mergeCell ref="P17:P18"/>
    <mergeCell ref="Q17:Q18"/>
    <mergeCell ref="R17:R18"/>
    <mergeCell ref="S17:S18"/>
    <mergeCell ref="T17:T18"/>
    <mergeCell ref="V17:V18"/>
    <mergeCell ref="A17:A18"/>
    <mergeCell ref="B17:C18"/>
    <mergeCell ref="D17:D18"/>
    <mergeCell ref="E17:E18"/>
    <mergeCell ref="F17:F18"/>
    <mergeCell ref="G17:G18"/>
    <mergeCell ref="P15:P16"/>
    <mergeCell ref="Q15:Q16"/>
    <mergeCell ref="R15:R16"/>
    <mergeCell ref="A15:A16"/>
    <mergeCell ref="B15:C16"/>
    <mergeCell ref="D15:D16"/>
    <mergeCell ref="E15:E16"/>
    <mergeCell ref="F15:F16"/>
    <mergeCell ref="G15:G16"/>
    <mergeCell ref="V15:V16"/>
    <mergeCell ref="S15:S16"/>
    <mergeCell ref="T15:T16"/>
    <mergeCell ref="U17:U18"/>
    <mergeCell ref="I17:J18"/>
    <mergeCell ref="K17:K18"/>
    <mergeCell ref="L17:L18"/>
    <mergeCell ref="M17:M18"/>
    <mergeCell ref="P13:P14"/>
    <mergeCell ref="Q13:Q14"/>
    <mergeCell ref="R13:R14"/>
    <mergeCell ref="S13:S14"/>
    <mergeCell ref="T13:T14"/>
    <mergeCell ref="U13:U14"/>
    <mergeCell ref="I13:J14"/>
    <mergeCell ref="K13:K14"/>
    <mergeCell ref="L13:L14"/>
    <mergeCell ref="M13:M14"/>
    <mergeCell ref="N13:N14"/>
    <mergeCell ref="U11:U12"/>
    <mergeCell ref="I11:J12"/>
    <mergeCell ref="K11:K12"/>
    <mergeCell ref="L11:L12"/>
    <mergeCell ref="M11:M12"/>
    <mergeCell ref="N11:N12"/>
    <mergeCell ref="V13:V14"/>
    <mergeCell ref="A13:A14"/>
    <mergeCell ref="B13:C14"/>
    <mergeCell ref="D13:D14"/>
    <mergeCell ref="E13:E14"/>
    <mergeCell ref="F13:F14"/>
    <mergeCell ref="G13:G14"/>
    <mergeCell ref="P11:P12"/>
    <mergeCell ref="Q11:Q12"/>
    <mergeCell ref="R11:R12"/>
    <mergeCell ref="A11:A12"/>
    <mergeCell ref="B11:C12"/>
    <mergeCell ref="D11:D12"/>
    <mergeCell ref="E11:E12"/>
    <mergeCell ref="F11:F12"/>
    <mergeCell ref="G11:G12"/>
    <mergeCell ref="V11:V12"/>
    <mergeCell ref="S11:S12"/>
    <mergeCell ref="P9:P10"/>
    <mergeCell ref="Q9:Q10"/>
    <mergeCell ref="R9:R10"/>
    <mergeCell ref="S9:S10"/>
    <mergeCell ref="T9:T10"/>
    <mergeCell ref="U9:U10"/>
    <mergeCell ref="I9:J10"/>
    <mergeCell ref="K9:K10"/>
    <mergeCell ref="L9:L10"/>
    <mergeCell ref="M9:M10"/>
    <mergeCell ref="N9:N10"/>
    <mergeCell ref="T11:T12"/>
    <mergeCell ref="U7:U8"/>
    <mergeCell ref="I7:J8"/>
    <mergeCell ref="K7:K8"/>
    <mergeCell ref="L7:L8"/>
    <mergeCell ref="M7:M8"/>
    <mergeCell ref="N7:N8"/>
    <mergeCell ref="V9:V10"/>
    <mergeCell ref="A9:A10"/>
    <mergeCell ref="B9:C10"/>
    <mergeCell ref="D9:D10"/>
    <mergeCell ref="E9:E10"/>
    <mergeCell ref="F9:F10"/>
    <mergeCell ref="G9:G10"/>
    <mergeCell ref="P7:P8"/>
    <mergeCell ref="Q7:Q8"/>
    <mergeCell ref="R7:R8"/>
    <mergeCell ref="A7:A8"/>
    <mergeCell ref="B7:C8"/>
    <mergeCell ref="D7:D8"/>
    <mergeCell ref="E7:E8"/>
    <mergeCell ref="F7:F8"/>
    <mergeCell ref="G7:G8"/>
    <mergeCell ref="V7:V8"/>
    <mergeCell ref="R5:R6"/>
    <mergeCell ref="S5:S6"/>
    <mergeCell ref="T5:T6"/>
    <mergeCell ref="U5:U6"/>
    <mergeCell ref="I5:J6"/>
    <mergeCell ref="K5:K6"/>
    <mergeCell ref="L5:L6"/>
    <mergeCell ref="M5:M6"/>
    <mergeCell ref="N5:N6"/>
    <mergeCell ref="S7:S8"/>
    <mergeCell ref="T7:T8"/>
    <mergeCell ref="A5:A6"/>
    <mergeCell ref="B5:C6"/>
    <mergeCell ref="D5:D6"/>
    <mergeCell ref="E5:E6"/>
    <mergeCell ref="I1:V2"/>
    <mergeCell ref="A2:D2"/>
    <mergeCell ref="A3:C4"/>
    <mergeCell ref="D3:D4"/>
    <mergeCell ref="E3:E4"/>
    <mergeCell ref="F3:F4"/>
    <mergeCell ref="I3:I4"/>
    <mergeCell ref="J3:J4"/>
    <mergeCell ref="K3:L3"/>
    <mergeCell ref="A1:B1"/>
    <mergeCell ref="M3:O3"/>
    <mergeCell ref="Q3:T3"/>
    <mergeCell ref="U3:V3"/>
    <mergeCell ref="F5:F6"/>
    <mergeCell ref="G5:G6"/>
    <mergeCell ref="V5:V6"/>
    <mergeCell ref="P5:P6"/>
    <mergeCell ref="Q5:Q6"/>
  </mergeCells>
  <conditionalFormatting sqref="I3:L4 L21">
    <cfRule type="expression" dxfId="60" priority="78">
      <formula>$J$3="OUI"</formula>
    </cfRule>
  </conditionalFormatting>
  <conditionalFormatting sqref="G32:G33">
    <cfRule type="expression" dxfId="59" priority="74">
      <formula>$J$3="OUI"</formula>
    </cfRule>
  </conditionalFormatting>
  <conditionalFormatting sqref="G3">
    <cfRule type="expression" dxfId="58" priority="72">
      <formula>$J$3="OUI"</formula>
    </cfRule>
  </conditionalFormatting>
  <conditionalFormatting sqref="Q3:T4 Q21:T22">
    <cfRule type="expression" dxfId="57" priority="53">
      <formula>AND($J$3="OUI",NOT(ISBLANK(Anah_Dossier_Depose)))</formula>
    </cfRule>
  </conditionalFormatting>
  <conditionalFormatting sqref="G35:G41">
    <cfRule type="expression" dxfId="56" priority="51">
      <formula>AND($J$3="OUI",NOT(ISBLANK(Anah_Dossier_Depose)))</formula>
    </cfRule>
  </conditionalFormatting>
  <conditionalFormatting sqref="C35:F36 C37:D39 F37:F41 C41">
    <cfRule type="expression" dxfId="55" priority="49">
      <formula>NOT(ISBLANK(Anah_Dossier_Depose))</formula>
    </cfRule>
  </conditionalFormatting>
  <conditionalFormatting sqref="Q5:T6">
    <cfRule type="expression" dxfId="54" priority="48">
      <formula>AND($G$5="x",$J$3="OUI",NOT(ISBLANK(Anah_Dossier_Depose)))</formula>
    </cfRule>
  </conditionalFormatting>
  <conditionalFormatting sqref="Q7:T8">
    <cfRule type="expression" dxfId="53" priority="47">
      <formula>AND($G$7="x",$J$3="OUI",NOT(ISBLANK(Anah_Dossier_Depose)))</formula>
    </cfRule>
  </conditionalFormatting>
  <conditionalFormatting sqref="Q9:T10">
    <cfRule type="expression" dxfId="52" priority="46">
      <formula>AND($G$9="x",$J$3="OUI",NOT(ISBLANK(Anah_Dossier_Depose)))</formula>
    </cfRule>
  </conditionalFormatting>
  <conditionalFormatting sqref="Q11:T12">
    <cfRule type="expression" dxfId="51" priority="45">
      <formula>AND($G$11="x",$J$3="OUI",NOT(ISBLANK(Anah_Dossier_Depose)))</formula>
    </cfRule>
  </conditionalFormatting>
  <conditionalFormatting sqref="Q13:T14">
    <cfRule type="expression" dxfId="50" priority="44">
      <formula>AND($G$13="x",$J$3="OUI",NOT(ISBLANK(Anah_Dossier_Depose)))</formula>
    </cfRule>
  </conditionalFormatting>
  <conditionalFormatting sqref="Q15:T16">
    <cfRule type="expression" dxfId="49" priority="43">
      <formula>AND($G$15="x",$J$3="OUI",NOT(ISBLANK(Anah_Dossier_Depose)))</formula>
    </cfRule>
  </conditionalFormatting>
  <conditionalFormatting sqref="Q17:T18">
    <cfRule type="expression" dxfId="48" priority="42">
      <formula>AND($G$17="x",$J$3="OUI",NOT(ISBLANK(Anah_Dossier_Depose)))</formula>
    </cfRule>
  </conditionalFormatting>
  <conditionalFormatting sqref="Q19:T20">
    <cfRule type="expression" dxfId="47" priority="41">
      <formula>AND($G$19="x",$J$3="OUI",NOT(ISBLANK(Anah_Dossier_Depose)))</formula>
    </cfRule>
  </conditionalFormatting>
  <conditionalFormatting sqref="I5:L20">
    <cfRule type="expression" dxfId="46" priority="3">
      <formula>AND($J$3="OUI",$G5="x")</formula>
    </cfRule>
  </conditionalFormatting>
  <conditionalFormatting sqref="A5:F6">
    <cfRule type="expression" dxfId="45" priority="92">
      <formula>OR($G$5="x",#REF!="x")</formula>
    </cfRule>
  </conditionalFormatting>
  <conditionalFormatting sqref="A7:F8">
    <cfRule type="expression" dxfId="44" priority="93">
      <formula>OR($G$7="x",#REF!="x")</formula>
    </cfRule>
  </conditionalFormatting>
  <conditionalFormatting sqref="A9:F10">
    <cfRule type="expression" dxfId="43" priority="94">
      <formula>OR($G$9="x",#REF!="x")</formula>
    </cfRule>
  </conditionalFormatting>
  <conditionalFormatting sqref="A11:F12">
    <cfRule type="expression" dxfId="42" priority="95">
      <formula>OR($G$11="x",#REF!="x")</formula>
    </cfRule>
  </conditionalFormatting>
  <conditionalFormatting sqref="A13:F14">
    <cfRule type="expression" dxfId="41" priority="96">
      <formula>OR($G$13="x",#REF!="x")</formula>
    </cfRule>
  </conditionalFormatting>
  <conditionalFormatting sqref="A15:F16">
    <cfRule type="expression" dxfId="40" priority="97">
      <formula>OR($G$15="x",#REF!="x")</formula>
    </cfRule>
  </conditionalFormatting>
  <conditionalFormatting sqref="A17:F18">
    <cfRule type="expression" dxfId="39" priority="98">
      <formula>OR($G$17="x",#REF!="x")</formula>
    </cfRule>
  </conditionalFormatting>
  <conditionalFormatting sqref="A19:F20">
    <cfRule type="expression" dxfId="38" priority="99">
      <formula>OR($G$19="x",#REF!="x")</formula>
    </cfRule>
  </conditionalFormatting>
  <conditionalFormatting sqref="C40">
    <cfRule type="expression" dxfId="37" priority="1">
      <formula>NOT(ISBLANK(Anah_Dossier_Depose))</formula>
    </cfRule>
  </conditionalFormatting>
  <dataValidations count="1">
    <dataValidation allowBlank="1" showErrorMessage="1" promptTitle="Attention" prompt="Ne pas cocher si travaux AUTONOMIE" sqref="G5:G20" xr:uid="{00000000-0002-0000-0500-000000000000}"/>
  </dataValidations>
  <printOptions horizontalCentered="1"/>
  <pageMargins left="0.23611111111111099" right="0.23611111111111099" top="0.35416666666666702" bottom="0.35416666666666702" header="0.51180555555555496" footer="0.51180555555555496"/>
  <pageSetup paperSize="8" scale="62" firstPageNumber="0" orientation="landscape" horizontalDpi="300" verticalDpi="300" r:id="rId1"/>
  <ignoredErrors>
    <ignoredError sqref="C21:C22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Feuil1.Cellules">
                <anchor moveWithCells="1" sizeWithCells="1">
                  <from>
                    <xdr:col>21</xdr:col>
                    <xdr:colOff>57150</xdr:colOff>
                    <xdr:row>47</xdr:row>
                    <xdr:rowOff>47625</xdr:rowOff>
                  </from>
                  <to>
                    <xdr:col>22</xdr:col>
                    <xdr:colOff>314325</xdr:colOff>
                    <xdr:row>49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6" id="{3EAABCDB-4188-489A-A7A9-9A38E414E238}">
            <xm:f>INFOS!$G$32="OUI"</xm:f>
            <x14:dxf>
              <fill>
                <patternFill>
                  <bgColor theme="7" tint="0.39994506668294322"/>
                </patternFill>
              </fill>
            </x14:dxf>
          </x14:cfRule>
          <xm:sqref>A32:F33</xm:sqref>
        </x14:conditionalFormatting>
        <x14:conditionalFormatting xmlns:xm="http://schemas.microsoft.com/office/excel/2006/main">
          <x14:cfRule type="expression" priority="70" id="{792DF89B-07F5-43C2-8B87-CFDBCE83EAB7}">
            <xm:f>AND(INFOS!$G$32="OUI",$J$3="OUI")</xm:f>
            <x14:dxf>
              <fill>
                <patternFill>
                  <bgColor theme="7" tint="0.39994506668294322"/>
                </patternFill>
              </fill>
            </x14:dxf>
          </x14:cfRule>
          <xm:sqref>M3:P4 M21:P22</xm:sqref>
        </x14:conditionalFormatting>
        <x14:conditionalFormatting xmlns:xm="http://schemas.microsoft.com/office/excel/2006/main">
          <x14:cfRule type="expression" priority="69" id="{96A14DF8-E7E8-4E59-A94D-966D6CE6BA06}">
            <xm:f>AND(INFOS!$G$32="OUI",$J$3="OUI",$M$5="x")</xm:f>
            <x14:dxf>
              <fill>
                <patternFill>
                  <bgColor theme="7" tint="0.59996337778862885"/>
                </patternFill>
              </fill>
            </x14:dxf>
          </x14:cfRule>
          <xm:sqref>M5:P6</xm:sqref>
        </x14:conditionalFormatting>
        <x14:conditionalFormatting xmlns:xm="http://schemas.microsoft.com/office/excel/2006/main">
          <x14:cfRule type="expression" priority="68" id="{A3E1FCFE-0E95-4461-9D13-AD3DA6C053A9}">
            <xm:f>AND(INFOS!$G$32="OUI",$J$3="OUI",$M$7="x")</xm:f>
            <x14:dxf>
              <fill>
                <patternFill>
                  <bgColor theme="7" tint="0.59996337778862885"/>
                </patternFill>
              </fill>
            </x14:dxf>
          </x14:cfRule>
          <xm:sqref>M7:P8</xm:sqref>
        </x14:conditionalFormatting>
        <x14:conditionalFormatting xmlns:xm="http://schemas.microsoft.com/office/excel/2006/main">
          <x14:cfRule type="expression" priority="67" id="{D09B1597-352D-47A8-A28B-8929BA3D2148}">
            <xm:f>AND(INFOS!$G$32="OUI",$J$3="OUI",$M$9="x")</xm:f>
            <x14:dxf>
              <fill>
                <patternFill>
                  <bgColor theme="7" tint="0.59996337778862885"/>
                </patternFill>
              </fill>
            </x14:dxf>
          </x14:cfRule>
          <xm:sqref>M9:P10</xm:sqref>
        </x14:conditionalFormatting>
        <x14:conditionalFormatting xmlns:xm="http://schemas.microsoft.com/office/excel/2006/main">
          <x14:cfRule type="expression" priority="66" id="{8BB31CBF-547F-489C-9318-377CCE84149E}">
            <xm:f>AND(INFOS!$G$32="OUI",$J$3="OUI",$M$11="x")</xm:f>
            <x14:dxf>
              <fill>
                <patternFill>
                  <bgColor theme="7" tint="0.59996337778862885"/>
                </patternFill>
              </fill>
            </x14:dxf>
          </x14:cfRule>
          <xm:sqref>M11:P12</xm:sqref>
        </x14:conditionalFormatting>
        <x14:conditionalFormatting xmlns:xm="http://schemas.microsoft.com/office/excel/2006/main">
          <x14:cfRule type="expression" priority="65" id="{0068303E-B8FE-4F4A-8F70-4297F1BD1EB7}">
            <xm:f>AND(INFOS!$G$32="OUI",$J$3="OUI",$M$13="x")</xm:f>
            <x14:dxf>
              <fill>
                <patternFill>
                  <bgColor theme="7" tint="0.59996337778862885"/>
                </patternFill>
              </fill>
            </x14:dxf>
          </x14:cfRule>
          <xm:sqref>M13:P14</xm:sqref>
        </x14:conditionalFormatting>
        <x14:conditionalFormatting xmlns:xm="http://schemas.microsoft.com/office/excel/2006/main">
          <x14:cfRule type="expression" priority="64" id="{72482A7B-3DCC-4E02-9632-A80262B0B291}">
            <xm:f>AND(INFOS!$G$32="OUI",$J$3="OUI",$M$15="x")</xm:f>
            <x14:dxf>
              <fill>
                <patternFill>
                  <bgColor theme="7" tint="0.59996337778862885"/>
                </patternFill>
              </fill>
            </x14:dxf>
          </x14:cfRule>
          <xm:sqref>M15:P16</xm:sqref>
        </x14:conditionalFormatting>
        <x14:conditionalFormatting xmlns:xm="http://schemas.microsoft.com/office/excel/2006/main">
          <x14:cfRule type="expression" priority="63" id="{40D27CBD-B8B8-4674-B960-C1AFE979F493}">
            <xm:f>AND(INFOS!$G$32="OUI",$J$3="OUI",$M$17="x")</xm:f>
            <x14:dxf>
              <fill>
                <patternFill>
                  <bgColor theme="7" tint="0.59996337778862885"/>
                </patternFill>
              </fill>
            </x14:dxf>
          </x14:cfRule>
          <xm:sqref>M17:P18</xm:sqref>
        </x14:conditionalFormatting>
        <x14:conditionalFormatting xmlns:xm="http://schemas.microsoft.com/office/excel/2006/main">
          <x14:cfRule type="expression" priority="62" id="{FAD34B07-36ED-4F73-A6F6-2AA48B53A08A}">
            <xm:f>AND(INFOS!$G$32="OUI",$J$3="OUI",$M$19="x")</xm:f>
            <x14:dxf>
              <fill>
                <patternFill>
                  <bgColor theme="7" tint="0.59996337778862885"/>
                </patternFill>
              </fill>
            </x14:dxf>
          </x14:cfRule>
          <xm:sqref>M19:P20</xm:sqref>
        </x14:conditionalFormatting>
        <x14:conditionalFormatting xmlns:xm="http://schemas.microsoft.com/office/excel/2006/main">
          <x14:cfRule type="expression" priority="32" id="{BB8EF3A6-C30E-41BE-9740-23298AD92AC8}">
            <xm:f>INFOS!$G$30="OUI"</xm:f>
            <x14:dxf>
              <fill>
                <patternFill>
                  <bgColor rgb="FFFF6699"/>
                </patternFill>
              </fill>
            </x14:dxf>
          </x14:cfRule>
          <xm:sqref>C42:F42</xm:sqref>
        </x14:conditionalFormatting>
        <x14:conditionalFormatting xmlns:xm="http://schemas.microsoft.com/office/excel/2006/main">
          <x14:cfRule type="expression" priority="31" id="{BC74728A-ECFD-45A9-8B6E-7BF80982461C}">
            <xm:f>AND(INFOS!$G$30="OUI",Gain_Sim1&gt;=25%,$J$3="OUI")</xm:f>
            <x14:dxf>
              <fill>
                <patternFill>
                  <bgColor rgb="FFFF6699"/>
                </patternFill>
              </fill>
            </x14:dxf>
          </x14:cfRule>
          <xm:sqref>U3:V4</xm:sqref>
        </x14:conditionalFormatting>
        <x14:conditionalFormatting xmlns:xm="http://schemas.microsoft.com/office/excel/2006/main">
          <x14:cfRule type="expression" priority="29" id="{4990169F-8F05-49CF-AA8A-9075993DE504}">
            <xm:f>AND(INFOS!$G$30="OUI",Gain_Sim1&gt;=25%,$J$3="OUI",$U$5="x")</xm:f>
            <x14:dxf>
              <fill>
                <patternFill>
                  <bgColor rgb="FFFF9999"/>
                </patternFill>
              </fill>
            </x14:dxf>
          </x14:cfRule>
          <xm:sqref>U5:V6 V7:V20</xm:sqref>
        </x14:conditionalFormatting>
        <x14:conditionalFormatting xmlns:xm="http://schemas.microsoft.com/office/excel/2006/main">
          <x14:cfRule type="expression" priority="28" id="{46C57462-8B33-4C2D-B706-D105CB836054}">
            <xm:f>AND(INFOS!$G$30="OUI",Gain_Sim1&gt;=25%,$J$3="OUI",$U$7="x")</xm:f>
            <x14:dxf>
              <fill>
                <patternFill>
                  <bgColor rgb="FFFF9999"/>
                </patternFill>
              </fill>
            </x14:dxf>
          </x14:cfRule>
          <xm:sqref>U7:U8</xm:sqref>
        </x14:conditionalFormatting>
        <x14:conditionalFormatting xmlns:xm="http://schemas.microsoft.com/office/excel/2006/main">
          <x14:cfRule type="expression" priority="27" id="{48F5DF1A-8412-406B-AA2D-3823419BB6A0}">
            <xm:f>AND(INFOS!$G$30="OUI",Gain_Sim1&gt;=25%,$J$3="OUI",$U$9="x")</xm:f>
            <x14:dxf>
              <fill>
                <patternFill>
                  <bgColor rgb="FFFF9999"/>
                </patternFill>
              </fill>
            </x14:dxf>
          </x14:cfRule>
          <xm:sqref>U9:U10</xm:sqref>
        </x14:conditionalFormatting>
        <x14:conditionalFormatting xmlns:xm="http://schemas.microsoft.com/office/excel/2006/main">
          <x14:cfRule type="expression" priority="26" id="{FC568D66-CB49-4AEA-BE18-C04E37FC80A6}">
            <xm:f>AND(INFOS!$G$30="OUI",Gain_Sim1&gt;=25%,$J$3="OUI",$U$11="x")</xm:f>
            <x14:dxf>
              <fill>
                <patternFill>
                  <bgColor rgb="FFFF9999"/>
                </patternFill>
              </fill>
            </x14:dxf>
          </x14:cfRule>
          <xm:sqref>U11:U12</xm:sqref>
        </x14:conditionalFormatting>
        <x14:conditionalFormatting xmlns:xm="http://schemas.microsoft.com/office/excel/2006/main">
          <x14:cfRule type="expression" priority="25" id="{03F04535-E11B-4385-A333-6D20F466D205}">
            <xm:f>AND(INFOS!$G$30="OUI",Gain_Sim1&gt;=25%,$J$3="OUI",$U$13="x")</xm:f>
            <x14:dxf>
              <fill>
                <patternFill>
                  <bgColor rgb="FFFF9999"/>
                </patternFill>
              </fill>
            </x14:dxf>
          </x14:cfRule>
          <xm:sqref>U13:U14</xm:sqref>
        </x14:conditionalFormatting>
        <x14:conditionalFormatting xmlns:xm="http://schemas.microsoft.com/office/excel/2006/main">
          <x14:cfRule type="expression" priority="24" id="{3A7F5A4E-A408-497D-A657-0AEDE45DC61B}">
            <xm:f>AND(INFOS!$G$30="OUI",Gain_Sim1&gt;=25%,$J$3="OUI",$U$15="x")</xm:f>
            <x14:dxf>
              <fill>
                <patternFill>
                  <bgColor rgb="FFFF9999"/>
                </patternFill>
              </fill>
            </x14:dxf>
          </x14:cfRule>
          <xm:sqref>U15:U16</xm:sqref>
        </x14:conditionalFormatting>
        <x14:conditionalFormatting xmlns:xm="http://schemas.microsoft.com/office/excel/2006/main">
          <x14:cfRule type="expression" priority="23" id="{232CF942-D804-4372-B610-B753FF5E6056}">
            <xm:f>AND(INFOS!$G$30="OUI",Gain_Sim1&gt;=25%,$J$3="OUI",$U$17="x")</xm:f>
            <x14:dxf>
              <fill>
                <patternFill>
                  <bgColor rgb="FFFF9999"/>
                </patternFill>
              </fill>
            </x14:dxf>
          </x14:cfRule>
          <xm:sqref>U17:U18</xm:sqref>
        </x14:conditionalFormatting>
        <x14:conditionalFormatting xmlns:xm="http://schemas.microsoft.com/office/excel/2006/main">
          <x14:cfRule type="expression" priority="22" id="{20E459F5-BCD6-4CD0-BB1C-0F0ED73C9160}">
            <xm:f>AND(INFOS!$G$30="OUI",Gain_Sim1&gt;=25%,$J$3="OUI",$U$19="x")</xm:f>
            <x14:dxf>
              <fill>
                <patternFill>
                  <bgColor rgb="FFFF9999"/>
                </patternFill>
              </fill>
            </x14:dxf>
          </x14:cfRule>
          <xm:sqref>U19:U20</xm:sqref>
        </x14:conditionalFormatting>
        <x14:conditionalFormatting xmlns:xm="http://schemas.microsoft.com/office/excel/2006/main">
          <x14:cfRule type="expression" priority="13" id="{F24AA239-579E-49A4-B82B-72CD8B769F83}">
            <xm:f>AND(INFOS!$G$30="OUI",Gain_Sim1&gt;=25%,$J$3="OUI")</xm:f>
            <x14:dxf>
              <fill>
                <patternFill>
                  <bgColor rgb="FFFF9999"/>
                </patternFill>
              </fill>
            </x14:dxf>
          </x14:cfRule>
          <xm:sqref>G42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500-000001000000}">
          <x14:formula1>
            <xm:f>B_D!$A$5:$A$11</xm:f>
          </x14:formula1>
          <xm:sqref>E2</xm:sqref>
        </x14:dataValidation>
        <x14:dataValidation type="list" allowBlank="1" showInputMessage="1" showErrorMessage="1" xr:uid="{00000000-0002-0000-0500-000002000000}">
          <x14:formula1>
            <xm:f>B_D!$G$30:$G$31</xm:f>
          </x14:formula1>
          <xm:sqref>J3:J4</xm:sqref>
        </x14:dataValidation>
        <x14:dataValidation type="list" allowBlank="1" showInputMessage="1" showErrorMessage="1" xr:uid="{00000000-0002-0000-0500-000003000000}">
          <x14:formula1>
            <xm:f>B_D!$A$64:$A$72</xm:f>
          </x14:formula1>
          <xm:sqref>D1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O121"/>
  <sheetViews>
    <sheetView workbookViewId="0">
      <selection activeCell="C62" sqref="C62"/>
    </sheetView>
  </sheetViews>
  <sheetFormatPr baseColWidth="10" defaultRowHeight="15" x14ac:dyDescent="0.25"/>
  <cols>
    <col min="1" max="1" width="11.42578125" style="504"/>
    <col min="2" max="2" width="13.5703125" style="504" bestFit="1" customWidth="1"/>
    <col min="3" max="3" width="11.85546875" style="504" bestFit="1" customWidth="1"/>
    <col min="4" max="4" width="11.42578125" style="504"/>
    <col min="5" max="5" width="11.85546875" style="504" bestFit="1" customWidth="1"/>
    <col min="6" max="6" width="3.5703125" style="504" bestFit="1" customWidth="1"/>
    <col min="7" max="7" width="12.28515625" style="504" bestFit="1" customWidth="1"/>
    <col min="8" max="8" width="11.85546875" style="504" bestFit="1" customWidth="1"/>
    <col min="9" max="10" width="11.42578125" style="504"/>
    <col min="11" max="11" width="22.140625" style="504" bestFit="1" customWidth="1"/>
    <col min="12" max="12" width="27.85546875" style="504" bestFit="1" customWidth="1"/>
    <col min="13" max="13" width="12.28515625" style="504" bestFit="1" customWidth="1"/>
    <col min="14" max="15" width="11.85546875" style="504" bestFit="1" customWidth="1"/>
    <col min="16" max="16384" width="11.42578125" style="504"/>
  </cols>
  <sheetData>
    <row r="1" spans="1:15" ht="15.75" thickBot="1" x14ac:dyDescent="0.3">
      <c r="A1" s="1325" t="str">
        <f>IF(Prop_Categorie=PO,"BENEFICIAIRE","PROPRIETAIRE")</f>
        <v>PROPRIETAIRE</v>
      </c>
      <c r="B1" s="1326"/>
      <c r="C1" s="1326"/>
      <c r="D1" s="1327"/>
      <c r="E1" s="1325" t="s">
        <v>276</v>
      </c>
      <c r="F1" s="1326"/>
      <c r="G1" s="1326"/>
      <c r="H1" s="1327"/>
      <c r="J1" s="68" t="s">
        <v>289</v>
      </c>
      <c r="K1" s="69" t="s">
        <v>82</v>
      </c>
      <c r="L1" s="69" t="s">
        <v>288</v>
      </c>
      <c r="M1" s="69" t="s">
        <v>186</v>
      </c>
      <c r="N1" s="69" t="s">
        <v>285</v>
      </c>
      <c r="O1" s="70" t="s">
        <v>286</v>
      </c>
    </row>
    <row r="2" spans="1:15" x14ac:dyDescent="0.25">
      <c r="A2" s="64" t="s">
        <v>112</v>
      </c>
      <c r="B2" s="1310" t="str">
        <f>Prop_Nom</f>
        <v/>
      </c>
      <c r="C2" s="1310"/>
      <c r="D2" s="1311"/>
      <c r="E2" s="1312" t="s">
        <v>71</v>
      </c>
      <c r="F2" s="1313"/>
      <c r="G2" s="96" t="s">
        <v>12</v>
      </c>
      <c r="H2" s="66">
        <f ca="1">SUMIF(M2:O9,"AUTO",N2:N9)</f>
        <v>0</v>
      </c>
      <c r="J2" s="71">
        <v>1</v>
      </c>
      <c r="K2" s="236" t="str">
        <f>IFERROR(Facture1_Nom_Entreprise,"")</f>
        <v/>
      </c>
      <c r="L2" s="606">
        <f>Facture1_Titre_Travaux</f>
        <v>0</v>
      </c>
      <c r="M2" s="607">
        <f>Facture1_Type_Travaux</f>
        <v>0</v>
      </c>
      <c r="N2" s="72">
        <f>Facture1_HT</f>
        <v>0</v>
      </c>
      <c r="O2" s="73">
        <f>Facture1_TTC</f>
        <v>0</v>
      </c>
    </row>
    <row r="3" spans="1:15" ht="15.75" thickBot="1" x14ac:dyDescent="0.3">
      <c r="A3" s="64" t="s">
        <v>113</v>
      </c>
      <c r="B3" s="1310" t="str">
        <f>Prop_Prenom</f>
        <v/>
      </c>
      <c r="C3" s="1310"/>
      <c r="D3" s="1311"/>
      <c r="E3" s="1314"/>
      <c r="F3" s="1315"/>
      <c r="G3" s="97" t="s">
        <v>13</v>
      </c>
      <c r="H3" s="67">
        <f ca="1">SUMIF(M2:O9,"AUTO",O2:O9)</f>
        <v>0</v>
      </c>
      <c r="J3" s="74">
        <v>2</v>
      </c>
      <c r="K3" s="237" t="str">
        <f>IFERROR(Facture2_Nom_Entreprise,"")</f>
        <v/>
      </c>
      <c r="L3" s="606">
        <f>Facture2_Titre_Travaux</f>
        <v>0</v>
      </c>
      <c r="M3" s="607">
        <f>Facture2_Type_Travaux</f>
        <v>0</v>
      </c>
      <c r="N3" s="75">
        <f>Facture2_HT</f>
        <v>0</v>
      </c>
      <c r="O3" s="76">
        <f>Facture2_TTC</f>
        <v>0</v>
      </c>
    </row>
    <row r="4" spans="1:15" x14ac:dyDescent="0.25">
      <c r="A4" s="1328" t="s">
        <v>114</v>
      </c>
      <c r="B4" s="1310" t="str">
        <f>Prop_Adresse1</f>
        <v/>
      </c>
      <c r="C4" s="1310"/>
      <c r="D4" s="1311"/>
      <c r="E4" s="1312" t="s">
        <v>298</v>
      </c>
      <c r="F4" s="1313"/>
      <c r="G4" s="96" t="s">
        <v>12</v>
      </c>
      <c r="H4" s="66">
        <f ca="1">SUMIF(M2:O9,"ENERGIE",N2:N9)</f>
        <v>0</v>
      </c>
      <c r="J4" s="74">
        <v>3</v>
      </c>
      <c r="K4" s="237" t="str">
        <f>IFERROR(Facture3_Nom_Entreprise,"")</f>
        <v/>
      </c>
      <c r="L4" s="606">
        <f>Facture3_Titre_Travaux</f>
        <v>0</v>
      </c>
      <c r="M4" s="607">
        <f>Facture3_Type_Travaux</f>
        <v>0</v>
      </c>
      <c r="N4" s="75">
        <f>Facture3_HT</f>
        <v>0</v>
      </c>
      <c r="O4" s="76">
        <f>Facture3_TTC</f>
        <v>0</v>
      </c>
    </row>
    <row r="5" spans="1:15" ht="15.75" thickBot="1" x14ac:dyDescent="0.3">
      <c r="A5" s="1328"/>
      <c r="B5" s="1310" t="str">
        <f>Prop_Adresse2</f>
        <v/>
      </c>
      <c r="C5" s="1310"/>
      <c r="D5" s="1311"/>
      <c r="E5" s="1314"/>
      <c r="F5" s="1315"/>
      <c r="G5" s="97" t="s">
        <v>13</v>
      </c>
      <c r="H5" s="67">
        <f ca="1">SUMIF(M2:O9,"ENERGIE",O2:O9)</f>
        <v>0</v>
      </c>
      <c r="J5" s="74">
        <v>4</v>
      </c>
      <c r="K5" s="237" t="str">
        <f>IFERROR(Facture4_Nom_Entreprise,"")</f>
        <v/>
      </c>
      <c r="L5" s="606">
        <f>Facture4_Titre_Travaux</f>
        <v>0</v>
      </c>
      <c r="M5" s="607">
        <f>Facture4_Type_Travaux</f>
        <v>0</v>
      </c>
      <c r="N5" s="75">
        <f>Facture4_HT</f>
        <v>0</v>
      </c>
      <c r="O5" s="76">
        <f>Facture4_TTC</f>
        <v>0</v>
      </c>
    </row>
    <row r="6" spans="1:15" x14ac:dyDescent="0.25">
      <c r="A6" s="64" t="s">
        <v>115</v>
      </c>
      <c r="B6" s="1310" t="str">
        <f>Prop_CP</f>
        <v/>
      </c>
      <c r="C6" s="1310"/>
      <c r="D6" s="1311"/>
      <c r="E6" s="1312" t="s">
        <v>188</v>
      </c>
      <c r="F6" s="1313"/>
      <c r="G6" s="96" t="s">
        <v>12</v>
      </c>
      <c r="H6" s="66">
        <f ca="1">SUMIF(M4:O13,"TRX_LOURD",N4:N13)</f>
        <v>0</v>
      </c>
      <c r="J6" s="74">
        <v>5</v>
      </c>
      <c r="K6" s="237" t="str">
        <f>IFERROR(Facture5_Nom_Entreprise,"")</f>
        <v/>
      </c>
      <c r="L6" s="606">
        <f>Facture5_Titre_Travaux</f>
        <v>0</v>
      </c>
      <c r="M6" s="607">
        <f>Facture5_Type_Travaux</f>
        <v>0</v>
      </c>
      <c r="N6" s="75">
        <f>Facture5_HT</f>
        <v>0</v>
      </c>
      <c r="O6" s="76">
        <f>Facture5_TTC</f>
        <v>0</v>
      </c>
    </row>
    <row r="7" spans="1:15" ht="15.75" thickBot="1" x14ac:dyDescent="0.3">
      <c r="A7" s="65" t="s">
        <v>116</v>
      </c>
      <c r="B7" s="1316" t="str">
        <f>Prop_Ville</f>
        <v/>
      </c>
      <c r="C7" s="1316"/>
      <c r="D7" s="1317"/>
      <c r="E7" s="1314"/>
      <c r="F7" s="1315"/>
      <c r="G7" s="97" t="s">
        <v>13</v>
      </c>
      <c r="H7" s="67">
        <f ca="1">SUMIF(M4:O13,"TRX_LOURD",O4:O13)</f>
        <v>0</v>
      </c>
      <c r="J7" s="74">
        <v>6</v>
      </c>
      <c r="K7" s="237" t="str">
        <f>IFERROR(Facture6_Nom_Entreprise,"")</f>
        <v/>
      </c>
      <c r="L7" s="606">
        <f>Facture6_Titre_Travaux</f>
        <v>0</v>
      </c>
      <c r="M7" s="607">
        <f>Facture6_Type_Travaux</f>
        <v>0</v>
      </c>
      <c r="N7" s="75">
        <f>Facture6_HT</f>
        <v>0</v>
      </c>
      <c r="O7" s="76">
        <f>Facture6_TTC</f>
        <v>0</v>
      </c>
    </row>
    <row r="8" spans="1:15" x14ac:dyDescent="0.25">
      <c r="E8" s="1318" t="s">
        <v>326</v>
      </c>
      <c r="F8" s="1319"/>
      <c r="G8" s="96" t="s">
        <v>12</v>
      </c>
      <c r="H8" s="66">
        <f ca="1">Devis_Recap_Auto_HT+Devis_Recap_NRJ_HT+Devis_Recap_TRX_LOURD_HT</f>
        <v>0</v>
      </c>
      <c r="J8" s="74">
        <v>7</v>
      </c>
      <c r="K8" s="237" t="str">
        <f>IFERROR(Facture7_Nom_Entreprise,"")</f>
        <v/>
      </c>
      <c r="L8" s="606">
        <f>Facture7_Titre_Travaux</f>
        <v>0</v>
      </c>
      <c r="M8" s="607">
        <f>Facture7_Type_Travaux</f>
        <v>0</v>
      </c>
      <c r="N8" s="75">
        <f>Facture7_HT</f>
        <v>0</v>
      </c>
      <c r="O8" s="76">
        <f>Facture7_TTC</f>
        <v>0</v>
      </c>
    </row>
    <row r="9" spans="1:15" ht="15.75" thickBot="1" x14ac:dyDescent="0.3">
      <c r="E9" s="1320"/>
      <c r="F9" s="1321"/>
      <c r="G9" s="97" t="s">
        <v>13</v>
      </c>
      <c r="H9" s="67">
        <f ca="1">Devis_Recap_NRJ_TTC+Devis_Recap_Auto_TTC+Devis_Recap_TRX_LOURD_TTC</f>
        <v>0</v>
      </c>
      <c r="J9" s="74">
        <v>8</v>
      </c>
      <c r="K9" s="237" t="str">
        <f>IFERROR(Facture8_Nom_Entreprise,"")</f>
        <v/>
      </c>
      <c r="L9" s="606">
        <f>Facture8_Titre_Travaux</f>
        <v>0</v>
      </c>
      <c r="M9" s="607">
        <f>Facture8_Type_Travaux</f>
        <v>0</v>
      </c>
      <c r="N9" s="75">
        <f>Facture8_HT</f>
        <v>0</v>
      </c>
      <c r="O9" s="76">
        <f>Facture8_TTC</f>
        <v>0</v>
      </c>
    </row>
    <row r="10" spans="1:15" ht="15.75" thickBot="1" x14ac:dyDescent="0.3">
      <c r="E10"/>
      <c r="F10"/>
      <c r="G10"/>
      <c r="H10"/>
      <c r="J10" s="77"/>
      <c r="K10" s="238"/>
      <c r="L10" s="78"/>
      <c r="M10" s="79" t="s">
        <v>14</v>
      </c>
      <c r="N10" s="80">
        <f>SUM(N2:N9)</f>
        <v>0</v>
      </c>
      <c r="O10" s="81">
        <f>SUM(O2:O9)</f>
        <v>0</v>
      </c>
    </row>
    <row r="11" spans="1:15" x14ac:dyDescent="0.25">
      <c r="A11" s="1345" t="s">
        <v>277</v>
      </c>
      <c r="B11" s="60" t="str">
        <f>A11</f>
        <v>FACTURE 1</v>
      </c>
      <c r="C11" s="1322"/>
      <c r="D11" s="1323"/>
      <c r="E11" s="1324"/>
      <c r="F11" s="283"/>
      <c r="G11" s="1352" t="s">
        <v>186</v>
      </c>
      <c r="H11" s="1340"/>
    </row>
    <row r="12" spans="1:15" x14ac:dyDescent="0.25">
      <c r="A12" s="1346"/>
      <c r="B12" s="172" t="s">
        <v>182</v>
      </c>
      <c r="C12" s="1342"/>
      <c r="D12" s="1343"/>
      <c r="E12" s="1344"/>
      <c r="F12" s="284"/>
      <c r="G12" s="1353"/>
      <c r="H12" s="1341"/>
    </row>
    <row r="13" spans="1:15" x14ac:dyDescent="0.25">
      <c r="A13" s="1346"/>
      <c r="B13" s="61" t="s">
        <v>7</v>
      </c>
      <c r="C13" s="1348" t="e">
        <f>VLOOKUP(Fact1_Siret_Entreprise,Table_Entreprise,2,FALSE)</f>
        <v>#N/A</v>
      </c>
      <c r="D13" s="1354"/>
      <c r="E13" s="1349"/>
      <c r="F13" s="1357"/>
      <c r="G13" s="1358"/>
      <c r="H13" s="1359"/>
    </row>
    <row r="14" spans="1:15" x14ac:dyDescent="0.25">
      <c r="A14" s="1346"/>
      <c r="B14" s="1355" t="s">
        <v>51</v>
      </c>
      <c r="C14" s="1348" t="e">
        <f>VLOOKUP(Fact1_Siret_Entreprise,Table_Entreprise,3,FALSE)</f>
        <v>#N/A</v>
      </c>
      <c r="D14" s="1354"/>
      <c r="E14" s="1349"/>
      <c r="F14" s="270"/>
      <c r="G14" s="241" t="s">
        <v>285</v>
      </c>
      <c r="H14" s="242">
        <f>G18+G21</f>
        <v>0</v>
      </c>
    </row>
    <row r="15" spans="1:15" x14ac:dyDescent="0.25">
      <c r="A15" s="1346"/>
      <c r="B15" s="1356"/>
      <c r="C15" s="1348" t="e">
        <f>VLOOKUP(Fact1_Siret_Entreprise,Table_Entreprise,4,FALSE)</f>
        <v>#N/A</v>
      </c>
      <c r="D15" s="1354"/>
      <c r="E15" s="1349"/>
      <c r="F15" s="270"/>
      <c r="G15" s="62" t="s">
        <v>286</v>
      </c>
      <c r="H15" s="63">
        <f>H18+H21</f>
        <v>0</v>
      </c>
    </row>
    <row r="16" spans="1:15" x14ac:dyDescent="0.25">
      <c r="A16" s="1346"/>
      <c r="B16" s="61" t="s">
        <v>69</v>
      </c>
      <c r="C16" s="276" t="e">
        <f>VLOOKUP(Fact1_Siret_Entreprise,Table_Entreprise,5,FALSE)</f>
        <v>#N/A</v>
      </c>
      <c r="D16" s="1348" t="e">
        <f>VLOOKUP(Fact1_Siret_Entreprise,Table_Entreprise,6,FALSE)</f>
        <v>#N/A</v>
      </c>
      <c r="E16" s="1349"/>
      <c r="F16" s="271"/>
      <c r="G16" s="240"/>
      <c r="H16" s="83"/>
    </row>
    <row r="17" spans="1:8" x14ac:dyDescent="0.25">
      <c r="A17" s="1346"/>
      <c r="B17" s="121"/>
      <c r="C17" s="54" t="s">
        <v>12</v>
      </c>
      <c r="D17" s="54" t="s">
        <v>58</v>
      </c>
      <c r="E17" s="54" t="s">
        <v>13</v>
      </c>
      <c r="F17" s="1350" t="s">
        <v>70</v>
      </c>
      <c r="G17" s="54" t="s">
        <v>62</v>
      </c>
      <c r="H17" s="55" t="s">
        <v>63</v>
      </c>
    </row>
    <row r="18" spans="1:8" x14ac:dyDescent="0.25">
      <c r="A18" s="1346"/>
      <c r="B18" s="1331" t="s">
        <v>61</v>
      </c>
      <c r="C18" s="32"/>
      <c r="D18" s="56">
        <f>TVA_1</f>
        <v>5.5E-2</v>
      </c>
      <c r="E18" s="57">
        <f t="shared" ref="E18:E23" si="0">C18*(1+D18)</f>
        <v>0</v>
      </c>
      <c r="F18" s="1350"/>
      <c r="G18" s="1329">
        <f>C18+C19+C20</f>
        <v>0</v>
      </c>
      <c r="H18" s="1330">
        <f>E18+E19+E20</f>
        <v>0</v>
      </c>
    </row>
    <row r="19" spans="1:8" x14ac:dyDescent="0.25">
      <c r="A19" s="1346"/>
      <c r="B19" s="1331"/>
      <c r="C19" s="32"/>
      <c r="D19" s="56">
        <f>TVA_2</f>
        <v>0.1</v>
      </c>
      <c r="E19" s="57">
        <f t="shared" si="0"/>
        <v>0</v>
      </c>
      <c r="F19" s="1350"/>
      <c r="G19" s="1329"/>
      <c r="H19" s="1330"/>
    </row>
    <row r="20" spans="1:8" x14ac:dyDescent="0.25">
      <c r="A20" s="1346"/>
      <c r="B20" s="1331"/>
      <c r="C20" s="32"/>
      <c r="D20" s="56">
        <f>TVA_3</f>
        <v>0.2</v>
      </c>
      <c r="E20" s="57">
        <f t="shared" si="0"/>
        <v>0</v>
      </c>
      <c r="F20" s="1350"/>
      <c r="G20" s="1329"/>
      <c r="H20" s="1330"/>
    </row>
    <row r="21" spans="1:8" x14ac:dyDescent="0.25">
      <c r="A21" s="1346"/>
      <c r="B21" s="1331" t="s">
        <v>59</v>
      </c>
      <c r="C21" s="32"/>
      <c r="D21" s="56">
        <f>TVA_1</f>
        <v>5.5E-2</v>
      </c>
      <c r="E21" s="57">
        <f t="shared" si="0"/>
        <v>0</v>
      </c>
      <c r="F21" s="1350"/>
      <c r="G21" s="1329">
        <f>C21+C22+C23</f>
        <v>0</v>
      </c>
      <c r="H21" s="1330">
        <f>E21+E22+E23</f>
        <v>0</v>
      </c>
    </row>
    <row r="22" spans="1:8" x14ac:dyDescent="0.25">
      <c r="A22" s="1346"/>
      <c r="B22" s="1331"/>
      <c r="C22" s="32"/>
      <c r="D22" s="56">
        <f>TVA_2</f>
        <v>0.1</v>
      </c>
      <c r="E22" s="57">
        <f t="shared" si="0"/>
        <v>0</v>
      </c>
      <c r="F22" s="1350"/>
      <c r="G22" s="1329"/>
      <c r="H22" s="1330"/>
    </row>
    <row r="23" spans="1:8" ht="15.75" thickBot="1" x14ac:dyDescent="0.3">
      <c r="A23" s="1347"/>
      <c r="B23" s="1332"/>
      <c r="C23" s="33"/>
      <c r="D23" s="58">
        <f>TVA_3</f>
        <v>0.2</v>
      </c>
      <c r="E23" s="59">
        <f t="shared" si="0"/>
        <v>0</v>
      </c>
      <c r="F23" s="1351"/>
      <c r="G23" s="1333"/>
      <c r="H23" s="1334"/>
    </row>
    <row r="24" spans="1:8" ht="15.75" thickBot="1" x14ac:dyDescent="0.3">
      <c r="A24"/>
      <c r="B24"/>
      <c r="C24"/>
      <c r="D24"/>
      <c r="E24"/>
      <c r="F24"/>
      <c r="G24"/>
      <c r="H24"/>
    </row>
    <row r="25" spans="1:8" x14ac:dyDescent="0.25">
      <c r="A25" s="1335" t="s">
        <v>278</v>
      </c>
      <c r="B25" s="122" t="str">
        <f>+A25</f>
        <v>FACTURE 2</v>
      </c>
      <c r="C25" s="1322"/>
      <c r="D25" s="1323"/>
      <c r="E25" s="1324"/>
      <c r="F25" s="275"/>
      <c r="G25" s="1338" t="s">
        <v>186</v>
      </c>
      <c r="H25" s="1340"/>
    </row>
    <row r="26" spans="1:8" x14ac:dyDescent="0.25">
      <c r="A26" s="1336"/>
      <c r="B26" s="123" t="s">
        <v>182</v>
      </c>
      <c r="C26" s="1342"/>
      <c r="D26" s="1343"/>
      <c r="E26" s="1344"/>
      <c r="F26" s="268"/>
      <c r="G26" s="1339"/>
      <c r="H26" s="1341"/>
    </row>
    <row r="27" spans="1:8" x14ac:dyDescent="0.25">
      <c r="A27" s="1336"/>
      <c r="B27" s="123" t="s">
        <v>7</v>
      </c>
      <c r="C27" s="1362" t="e">
        <f>VLOOKUP(Fact2_Siret_Entreprise,Table_Entreprise,2,FALSE)</f>
        <v>#N/A</v>
      </c>
      <c r="D27" s="1363"/>
      <c r="E27" s="1364"/>
      <c r="F27" s="1357"/>
      <c r="G27" s="1358"/>
      <c r="H27" s="1359"/>
    </row>
    <row r="28" spans="1:8" x14ac:dyDescent="0.25">
      <c r="A28" s="1336"/>
      <c r="B28" s="1365" t="s">
        <v>51</v>
      </c>
      <c r="C28" s="1362" t="e">
        <f>VLOOKUP(Fact2_Siret_Entreprise,Table_Entreprise,3,FALSE)</f>
        <v>#N/A</v>
      </c>
      <c r="D28" s="1363"/>
      <c r="E28" s="1364"/>
      <c r="F28" s="268"/>
      <c r="G28" s="243" t="s">
        <v>285</v>
      </c>
      <c r="H28" s="244">
        <f t="shared" ref="H28" si="1">G32+G35</f>
        <v>0</v>
      </c>
    </row>
    <row r="29" spans="1:8" x14ac:dyDescent="0.25">
      <c r="A29" s="1336"/>
      <c r="B29" s="1366"/>
      <c r="C29" s="1362" t="e">
        <f>VLOOKUP(Fact2_Siret_Entreprise,Table_Entreprise,4,FALSE)</f>
        <v>#N/A</v>
      </c>
      <c r="D29" s="1363"/>
      <c r="E29" s="1364"/>
      <c r="F29" s="268"/>
      <c r="G29" s="52" t="s">
        <v>286</v>
      </c>
      <c r="H29" s="53">
        <f t="shared" ref="H29" si="2">H32+H35</f>
        <v>0</v>
      </c>
    </row>
    <row r="30" spans="1:8" x14ac:dyDescent="0.25">
      <c r="A30" s="1336"/>
      <c r="B30" s="123" t="s">
        <v>69</v>
      </c>
      <c r="C30" s="267" t="e">
        <f>VLOOKUP(Fact2_Siret_Entreprise,Table_Entreprise,5,FALSE)</f>
        <v>#N/A</v>
      </c>
      <c r="D30" s="1362" t="e">
        <f>VLOOKUP(Fact2_Siret_Entreprise,Table_Entreprise,6,FALSE)</f>
        <v>#N/A</v>
      </c>
      <c r="E30" s="1364"/>
      <c r="F30" s="274"/>
      <c r="G30" s="269"/>
      <c r="H30" s="235"/>
    </row>
    <row r="31" spans="1:8" x14ac:dyDescent="0.25">
      <c r="A31" s="1336"/>
      <c r="B31" s="124"/>
      <c r="C31" s="46" t="s">
        <v>12</v>
      </c>
      <c r="D31" s="46" t="s">
        <v>58</v>
      </c>
      <c r="E31" s="46" t="s">
        <v>13</v>
      </c>
      <c r="F31" s="1367" t="s">
        <v>70</v>
      </c>
      <c r="G31" s="46" t="s">
        <v>62</v>
      </c>
      <c r="H31" s="47" t="s">
        <v>63</v>
      </c>
    </row>
    <row r="32" spans="1:8" x14ac:dyDescent="0.25">
      <c r="A32" s="1336"/>
      <c r="B32" s="1369" t="s">
        <v>61</v>
      </c>
      <c r="C32" s="32"/>
      <c r="D32" s="48">
        <f>TVA_1</f>
        <v>5.5E-2</v>
      </c>
      <c r="E32" s="49">
        <f t="shared" ref="E32:E37" si="3">C32*(1+D32)</f>
        <v>0</v>
      </c>
      <c r="F32" s="1367"/>
      <c r="G32" s="1370">
        <f t="shared" ref="G32" si="4">C32+C33+C34</f>
        <v>0</v>
      </c>
      <c r="H32" s="1371">
        <f t="shared" ref="H32" si="5">E32+E33+E34</f>
        <v>0</v>
      </c>
    </row>
    <row r="33" spans="1:8" x14ac:dyDescent="0.25">
      <c r="A33" s="1336"/>
      <c r="B33" s="1369"/>
      <c r="C33" s="32"/>
      <c r="D33" s="48">
        <f>TVA_2</f>
        <v>0.1</v>
      </c>
      <c r="E33" s="49">
        <f t="shared" si="3"/>
        <v>0</v>
      </c>
      <c r="F33" s="1367"/>
      <c r="G33" s="1370"/>
      <c r="H33" s="1371"/>
    </row>
    <row r="34" spans="1:8" x14ac:dyDescent="0.25">
      <c r="A34" s="1336"/>
      <c r="B34" s="1369"/>
      <c r="C34" s="32"/>
      <c r="D34" s="48">
        <f>TVA_3</f>
        <v>0.2</v>
      </c>
      <c r="E34" s="49">
        <f t="shared" si="3"/>
        <v>0</v>
      </c>
      <c r="F34" s="1367"/>
      <c r="G34" s="1370"/>
      <c r="H34" s="1371"/>
    </row>
    <row r="35" spans="1:8" x14ac:dyDescent="0.25">
      <c r="A35" s="1336"/>
      <c r="B35" s="1369" t="s">
        <v>59</v>
      </c>
      <c r="C35" s="32"/>
      <c r="D35" s="48">
        <f>TVA_1</f>
        <v>5.5E-2</v>
      </c>
      <c r="E35" s="49">
        <f t="shared" si="3"/>
        <v>0</v>
      </c>
      <c r="F35" s="1367"/>
      <c r="G35" s="1370">
        <f t="shared" ref="G35" si="6">C35+C36+C37</f>
        <v>0</v>
      </c>
      <c r="H35" s="1371">
        <f t="shared" ref="H35" si="7">E35+E36+E37</f>
        <v>0</v>
      </c>
    </row>
    <row r="36" spans="1:8" x14ac:dyDescent="0.25">
      <c r="A36" s="1336"/>
      <c r="B36" s="1369"/>
      <c r="C36" s="32"/>
      <c r="D36" s="48">
        <f>TVA_2</f>
        <v>0.1</v>
      </c>
      <c r="E36" s="49">
        <f t="shared" si="3"/>
        <v>0</v>
      </c>
      <c r="F36" s="1367"/>
      <c r="G36" s="1370"/>
      <c r="H36" s="1371"/>
    </row>
    <row r="37" spans="1:8" ht="15.75" thickBot="1" x14ac:dyDescent="0.3">
      <c r="A37" s="1337"/>
      <c r="B37" s="1372"/>
      <c r="C37" s="33"/>
      <c r="D37" s="50">
        <f>TVA_3</f>
        <v>0.2</v>
      </c>
      <c r="E37" s="51">
        <f t="shared" si="3"/>
        <v>0</v>
      </c>
      <c r="F37" s="1368"/>
      <c r="G37" s="1373"/>
      <c r="H37" s="1374"/>
    </row>
    <row r="38" spans="1:8" ht="15.75" thickBot="1" x14ac:dyDescent="0.3">
      <c r="A38"/>
      <c r="B38"/>
      <c r="C38"/>
      <c r="D38"/>
      <c r="E38"/>
      <c r="F38"/>
      <c r="G38"/>
      <c r="H38"/>
    </row>
    <row r="39" spans="1:8" x14ac:dyDescent="0.25">
      <c r="A39" s="1345" t="s">
        <v>279</v>
      </c>
      <c r="B39" s="60" t="str">
        <f>A39</f>
        <v>FACTURE 3</v>
      </c>
      <c r="C39" s="1322"/>
      <c r="D39" s="1323"/>
      <c r="E39" s="1324"/>
      <c r="F39" s="273"/>
      <c r="G39" s="1352" t="s">
        <v>186</v>
      </c>
      <c r="H39" s="1340"/>
    </row>
    <row r="40" spans="1:8" x14ac:dyDescent="0.25">
      <c r="A40" s="1346"/>
      <c r="B40" s="172" t="s">
        <v>182</v>
      </c>
      <c r="C40" s="1342"/>
      <c r="D40" s="1343"/>
      <c r="E40" s="1344"/>
      <c r="F40" s="270"/>
      <c r="G40" s="1360"/>
      <c r="H40" s="1361"/>
    </row>
    <row r="41" spans="1:8" x14ac:dyDescent="0.25">
      <c r="A41" s="1346"/>
      <c r="B41" s="61" t="s">
        <v>7</v>
      </c>
      <c r="C41" s="1348" t="e">
        <f>VLOOKUP(Fact3_Siret_Entreprise,Table_Entreprise,2,FALSE)</f>
        <v>#N/A</v>
      </c>
      <c r="D41" s="1354"/>
      <c r="E41" s="1349"/>
      <c r="F41" s="1357"/>
      <c r="G41" s="1358"/>
      <c r="H41" s="1359"/>
    </row>
    <row r="42" spans="1:8" x14ac:dyDescent="0.25">
      <c r="A42" s="1346"/>
      <c r="B42" s="1355" t="s">
        <v>51</v>
      </c>
      <c r="C42" s="1348" t="e">
        <f>VLOOKUP(Fact3_Siret_Entreprise,Table_Entreprise,3,FALSE)</f>
        <v>#N/A</v>
      </c>
      <c r="D42" s="1354"/>
      <c r="E42" s="1349"/>
      <c r="F42" s="270"/>
      <c r="G42" s="62" t="s">
        <v>285</v>
      </c>
      <c r="H42" s="63">
        <f t="shared" ref="H42" si="8">G46+G49</f>
        <v>0</v>
      </c>
    </row>
    <row r="43" spans="1:8" x14ac:dyDescent="0.25">
      <c r="A43" s="1346"/>
      <c r="B43" s="1356"/>
      <c r="C43" s="1348" t="e">
        <f>VLOOKUP(Fact3_Siret_Entreprise,Table_Entreprise,4,FALSE)</f>
        <v>#N/A</v>
      </c>
      <c r="D43" s="1354"/>
      <c r="E43" s="1349"/>
      <c r="F43" s="270"/>
      <c r="G43" s="62" t="s">
        <v>286</v>
      </c>
      <c r="H43" s="63">
        <f t="shared" ref="H43" si="9">H46+H49</f>
        <v>0</v>
      </c>
    </row>
    <row r="44" spans="1:8" x14ac:dyDescent="0.25">
      <c r="A44" s="1346"/>
      <c r="B44" s="61" t="s">
        <v>69</v>
      </c>
      <c r="C44" s="276" t="e">
        <f>VLOOKUP(Fact3_Siret_Entreprise,Table_Entreprise,5,FALSE)</f>
        <v>#N/A</v>
      </c>
      <c r="D44" s="1348" t="e">
        <f>VLOOKUP(Fact3_Siret_Entreprise,Table_Entreprise,6,FALSE)</f>
        <v>#N/A</v>
      </c>
      <c r="E44" s="1349"/>
      <c r="F44" s="271"/>
      <c r="G44" s="240"/>
      <c r="H44" s="83"/>
    </row>
    <row r="45" spans="1:8" x14ac:dyDescent="0.25">
      <c r="A45" s="1346"/>
      <c r="B45" s="121"/>
      <c r="C45" s="54" t="s">
        <v>12</v>
      </c>
      <c r="D45" s="54" t="s">
        <v>58</v>
      </c>
      <c r="E45" s="54" t="s">
        <v>13</v>
      </c>
      <c r="F45" s="1350" t="s">
        <v>70</v>
      </c>
      <c r="G45" s="54" t="s">
        <v>62</v>
      </c>
      <c r="H45" s="55" t="s">
        <v>63</v>
      </c>
    </row>
    <row r="46" spans="1:8" x14ac:dyDescent="0.25">
      <c r="A46" s="1346"/>
      <c r="B46" s="1331" t="s">
        <v>61</v>
      </c>
      <c r="C46" s="32"/>
      <c r="D46" s="56">
        <f>TVA_1</f>
        <v>5.5E-2</v>
      </c>
      <c r="E46" s="57">
        <f t="shared" ref="E46:E51" si="10">C46*(1+D46)</f>
        <v>0</v>
      </c>
      <c r="F46" s="1350"/>
      <c r="G46" s="1329">
        <f t="shared" ref="G46" si="11">C46+C47+C48</f>
        <v>0</v>
      </c>
      <c r="H46" s="1330">
        <f t="shared" ref="H46" si="12">E46+E47+E48</f>
        <v>0</v>
      </c>
    </row>
    <row r="47" spans="1:8" x14ac:dyDescent="0.25">
      <c r="A47" s="1346"/>
      <c r="B47" s="1331"/>
      <c r="C47" s="32"/>
      <c r="D47" s="56">
        <f>TVA_2</f>
        <v>0.1</v>
      </c>
      <c r="E47" s="57">
        <f t="shared" si="10"/>
        <v>0</v>
      </c>
      <c r="F47" s="1350"/>
      <c r="G47" s="1329"/>
      <c r="H47" s="1330"/>
    </row>
    <row r="48" spans="1:8" x14ac:dyDescent="0.25">
      <c r="A48" s="1346"/>
      <c r="B48" s="1331"/>
      <c r="C48" s="32"/>
      <c r="D48" s="56">
        <f>TVA_3</f>
        <v>0.2</v>
      </c>
      <c r="E48" s="57">
        <f t="shared" si="10"/>
        <v>0</v>
      </c>
      <c r="F48" s="1350"/>
      <c r="G48" s="1329"/>
      <c r="H48" s="1330"/>
    </row>
    <row r="49" spans="1:8" x14ac:dyDescent="0.25">
      <c r="A49" s="1346"/>
      <c r="B49" s="1331" t="s">
        <v>59</v>
      </c>
      <c r="C49" s="32"/>
      <c r="D49" s="56">
        <f>TVA_1</f>
        <v>5.5E-2</v>
      </c>
      <c r="E49" s="57">
        <f t="shared" si="10"/>
        <v>0</v>
      </c>
      <c r="F49" s="1350"/>
      <c r="G49" s="1329">
        <f t="shared" ref="G49" si="13">C49+C50+C51</f>
        <v>0</v>
      </c>
      <c r="H49" s="1330">
        <f t="shared" ref="H49" si="14">E49+E50+E51</f>
        <v>0</v>
      </c>
    </row>
    <row r="50" spans="1:8" x14ac:dyDescent="0.25">
      <c r="A50" s="1346"/>
      <c r="B50" s="1331"/>
      <c r="C50" s="32"/>
      <c r="D50" s="56">
        <f>TVA_2</f>
        <v>0.1</v>
      </c>
      <c r="E50" s="57">
        <f t="shared" si="10"/>
        <v>0</v>
      </c>
      <c r="F50" s="1350"/>
      <c r="G50" s="1329"/>
      <c r="H50" s="1330"/>
    </row>
    <row r="51" spans="1:8" ht="15.75" thickBot="1" x14ac:dyDescent="0.3">
      <c r="A51" s="1347"/>
      <c r="B51" s="1332"/>
      <c r="C51" s="33"/>
      <c r="D51" s="58">
        <f>TVA_3</f>
        <v>0.2</v>
      </c>
      <c r="E51" s="59">
        <f t="shared" si="10"/>
        <v>0</v>
      </c>
      <c r="F51" s="1351"/>
      <c r="G51" s="1333"/>
      <c r="H51" s="1334"/>
    </row>
    <row r="52" spans="1:8" ht="15.75" thickBot="1" x14ac:dyDescent="0.3">
      <c r="A52"/>
      <c r="B52"/>
      <c r="C52"/>
      <c r="D52"/>
      <c r="E52"/>
      <c r="F52"/>
      <c r="G52"/>
      <c r="H52"/>
    </row>
    <row r="53" spans="1:8" x14ac:dyDescent="0.25">
      <c r="A53" s="1335" t="s">
        <v>280</v>
      </c>
      <c r="B53" s="122" t="str">
        <f>+A53</f>
        <v>FACTURE 4</v>
      </c>
      <c r="C53" s="1322"/>
      <c r="D53" s="1323"/>
      <c r="E53" s="1324"/>
      <c r="F53" s="275"/>
      <c r="G53" s="1338" t="s">
        <v>186</v>
      </c>
      <c r="H53" s="1340"/>
    </row>
    <row r="54" spans="1:8" x14ac:dyDescent="0.25">
      <c r="A54" s="1336"/>
      <c r="B54" s="52" t="s">
        <v>182</v>
      </c>
      <c r="C54" s="1379"/>
      <c r="D54" s="1380"/>
      <c r="E54" s="1381"/>
      <c r="F54" s="268"/>
      <c r="G54" s="1378"/>
      <c r="H54" s="1361"/>
    </row>
    <row r="55" spans="1:8" x14ac:dyDescent="0.25">
      <c r="A55" s="1336"/>
      <c r="B55" s="45" t="s">
        <v>7</v>
      </c>
      <c r="C55" s="1362" t="e">
        <f>VLOOKUP(Fact4_Siret_Entreprise,Table_Entreprise,2,FALSE)</f>
        <v>#N/A</v>
      </c>
      <c r="D55" s="1363"/>
      <c r="E55" s="1364"/>
      <c r="F55" s="1357"/>
      <c r="G55" s="1358"/>
      <c r="H55" s="1359"/>
    </row>
    <row r="56" spans="1:8" x14ac:dyDescent="0.25">
      <c r="A56" s="1336"/>
      <c r="B56" s="1375" t="s">
        <v>51</v>
      </c>
      <c r="C56" s="1362" t="e">
        <f>VLOOKUP(Fact4_Siret_Entreprise,Table_Entreprise,3,FALSE)</f>
        <v>#N/A</v>
      </c>
      <c r="D56" s="1363"/>
      <c r="E56" s="1364"/>
      <c r="F56" s="285"/>
      <c r="G56" s="52" t="s">
        <v>285</v>
      </c>
      <c r="H56" s="53">
        <f t="shared" ref="H56" si="15">G60+G63</f>
        <v>0</v>
      </c>
    </row>
    <row r="57" spans="1:8" x14ac:dyDescent="0.25">
      <c r="A57" s="1336"/>
      <c r="B57" s="1376"/>
      <c r="C57" s="1362" t="e">
        <f>VLOOKUP(Fact4_Siret_Entreprise,Table_Entreprise,4,FALSE)</f>
        <v>#N/A</v>
      </c>
      <c r="D57" s="1363"/>
      <c r="E57" s="1364"/>
      <c r="F57" s="285"/>
      <c r="G57" s="52" t="s">
        <v>286</v>
      </c>
      <c r="H57" s="53">
        <f t="shared" ref="H57" si="16">H60+H63</f>
        <v>0</v>
      </c>
    </row>
    <row r="58" spans="1:8" x14ac:dyDescent="0.25">
      <c r="A58" s="1336"/>
      <c r="B58" s="45" t="s">
        <v>69</v>
      </c>
      <c r="C58" s="267" t="e">
        <f>VLOOKUP(Fact4_Siret_Entreprise,Table_Entreprise,5,FALSE)</f>
        <v>#N/A</v>
      </c>
      <c r="D58" s="1362" t="e">
        <f>VLOOKUP(Fact4_Siret_Entreprise,Table_Entreprise,6,FALSE)</f>
        <v>#N/A</v>
      </c>
      <c r="E58" s="1364"/>
      <c r="F58" s="286"/>
      <c r="G58" s="269"/>
      <c r="H58" s="235"/>
    </row>
    <row r="59" spans="1:8" x14ac:dyDescent="0.25">
      <c r="A59" s="1336"/>
      <c r="B59" s="120"/>
      <c r="C59" s="46" t="s">
        <v>12</v>
      </c>
      <c r="D59" s="46" t="s">
        <v>58</v>
      </c>
      <c r="E59" s="46" t="s">
        <v>13</v>
      </c>
      <c r="F59" s="1367" t="s">
        <v>70</v>
      </c>
      <c r="G59" s="46" t="s">
        <v>62</v>
      </c>
      <c r="H59" s="47" t="s">
        <v>63</v>
      </c>
    </row>
    <row r="60" spans="1:8" x14ac:dyDescent="0.25">
      <c r="A60" s="1336"/>
      <c r="B60" s="1377" t="s">
        <v>61</v>
      </c>
      <c r="C60" s="32"/>
      <c r="D60" s="48">
        <f>TVA_1</f>
        <v>5.5E-2</v>
      </c>
      <c r="E60" s="49">
        <f t="shared" ref="E60:E65" si="17">C60*(1+D60)</f>
        <v>0</v>
      </c>
      <c r="F60" s="1367"/>
      <c r="G60" s="1370">
        <f t="shared" ref="G60" si="18">C60+C61+C62</f>
        <v>0</v>
      </c>
      <c r="H60" s="1371">
        <f t="shared" ref="H60" si="19">E60+E61+E62</f>
        <v>0</v>
      </c>
    </row>
    <row r="61" spans="1:8" x14ac:dyDescent="0.25">
      <c r="A61" s="1336"/>
      <c r="B61" s="1377"/>
      <c r="C61" s="32"/>
      <c r="D61" s="48">
        <f>TVA_2</f>
        <v>0.1</v>
      </c>
      <c r="E61" s="49">
        <f t="shared" si="17"/>
        <v>0</v>
      </c>
      <c r="F61" s="1367"/>
      <c r="G61" s="1370"/>
      <c r="H61" s="1371"/>
    </row>
    <row r="62" spans="1:8" x14ac:dyDescent="0.25">
      <c r="A62" s="1336"/>
      <c r="B62" s="1377"/>
      <c r="C62" s="32"/>
      <c r="D62" s="48">
        <f>TVA_3</f>
        <v>0.2</v>
      </c>
      <c r="E62" s="49">
        <f t="shared" si="17"/>
        <v>0</v>
      </c>
      <c r="F62" s="1367"/>
      <c r="G62" s="1370"/>
      <c r="H62" s="1371"/>
    </row>
    <row r="63" spans="1:8" x14ac:dyDescent="0.25">
      <c r="A63" s="1336"/>
      <c r="B63" s="1377" t="s">
        <v>59</v>
      </c>
      <c r="C63" s="32"/>
      <c r="D63" s="48">
        <f>TVA_1</f>
        <v>5.5E-2</v>
      </c>
      <c r="E63" s="49">
        <f t="shared" si="17"/>
        <v>0</v>
      </c>
      <c r="F63" s="1367"/>
      <c r="G63" s="1370">
        <f t="shared" ref="G63" si="20">C63+C64+C65</f>
        <v>0</v>
      </c>
      <c r="H63" s="1371">
        <f t="shared" ref="H63" si="21">E63+E64+E65</f>
        <v>0</v>
      </c>
    </row>
    <row r="64" spans="1:8" x14ac:dyDescent="0.25">
      <c r="A64" s="1336"/>
      <c r="B64" s="1377"/>
      <c r="C64" s="32"/>
      <c r="D64" s="48">
        <f>TVA_2</f>
        <v>0.1</v>
      </c>
      <c r="E64" s="49">
        <f t="shared" si="17"/>
        <v>0</v>
      </c>
      <c r="F64" s="1367"/>
      <c r="G64" s="1370"/>
      <c r="H64" s="1371"/>
    </row>
    <row r="65" spans="1:8" ht="15.75" thickBot="1" x14ac:dyDescent="0.3">
      <c r="A65" s="1337"/>
      <c r="B65" s="1382"/>
      <c r="C65" s="33"/>
      <c r="D65" s="50">
        <f>TVA_3</f>
        <v>0.2</v>
      </c>
      <c r="E65" s="51">
        <f t="shared" si="17"/>
        <v>0</v>
      </c>
      <c r="F65" s="1368"/>
      <c r="G65" s="1373"/>
      <c r="H65" s="1374"/>
    </row>
    <row r="66" spans="1:8" ht="15.75" thickBot="1" x14ac:dyDescent="0.3">
      <c r="A66"/>
      <c r="B66"/>
      <c r="C66"/>
      <c r="D66"/>
      <c r="E66"/>
      <c r="F66"/>
      <c r="G66"/>
      <c r="H66"/>
    </row>
    <row r="67" spans="1:8" x14ac:dyDescent="0.25">
      <c r="A67" s="1345" t="s">
        <v>281</v>
      </c>
      <c r="B67" s="60" t="str">
        <f>A67</f>
        <v>FACTURE 5</v>
      </c>
      <c r="C67" s="1322"/>
      <c r="D67" s="1323"/>
      <c r="E67" s="1324"/>
      <c r="F67" s="273"/>
      <c r="G67" s="1352" t="s">
        <v>186</v>
      </c>
      <c r="H67" s="1340"/>
    </row>
    <row r="68" spans="1:8" x14ac:dyDescent="0.25">
      <c r="A68" s="1346"/>
      <c r="B68" s="172" t="s">
        <v>182</v>
      </c>
      <c r="C68" s="1342"/>
      <c r="D68" s="1343"/>
      <c r="E68" s="1344"/>
      <c r="F68" s="270"/>
      <c r="G68" s="1360"/>
      <c r="H68" s="1361"/>
    </row>
    <row r="69" spans="1:8" x14ac:dyDescent="0.25">
      <c r="A69" s="1346"/>
      <c r="B69" s="61" t="s">
        <v>7</v>
      </c>
      <c r="C69" s="1348" t="e">
        <f>VLOOKUP(Fact5_Siret_Entreprise,Table_Entreprise,2,FALSE)</f>
        <v>#N/A</v>
      </c>
      <c r="D69" s="1354"/>
      <c r="E69" s="1349"/>
      <c r="F69" s="1357"/>
      <c r="G69" s="1358"/>
      <c r="H69" s="1359"/>
    </row>
    <row r="70" spans="1:8" x14ac:dyDescent="0.25">
      <c r="A70" s="1346"/>
      <c r="B70" s="1355" t="s">
        <v>51</v>
      </c>
      <c r="C70" s="1348" t="e">
        <f>VLOOKUP(Fact5_Siret_Entreprise,Table_Entreprise,3,FALSE)</f>
        <v>#N/A</v>
      </c>
      <c r="D70" s="1354"/>
      <c r="E70" s="1349"/>
      <c r="F70" s="270"/>
      <c r="G70" s="62" t="s">
        <v>285</v>
      </c>
      <c r="H70" s="63">
        <f t="shared" ref="H70" si="22">G74+G77</f>
        <v>0</v>
      </c>
    </row>
    <row r="71" spans="1:8" x14ac:dyDescent="0.25">
      <c r="A71" s="1346"/>
      <c r="B71" s="1356"/>
      <c r="C71" s="1348" t="e">
        <f>VLOOKUP(Fact5_Siret_Entreprise,Table_Entreprise,4,FALSE)</f>
        <v>#N/A</v>
      </c>
      <c r="D71" s="1354"/>
      <c r="E71" s="1349"/>
      <c r="F71" s="270"/>
      <c r="G71" s="62" t="s">
        <v>286</v>
      </c>
      <c r="H71" s="63">
        <f t="shared" ref="H71" si="23">H74+H77</f>
        <v>0</v>
      </c>
    </row>
    <row r="72" spans="1:8" x14ac:dyDescent="0.25">
      <c r="A72" s="1346"/>
      <c r="B72" s="61" t="s">
        <v>69</v>
      </c>
      <c r="C72" s="276" t="e">
        <f>VLOOKUP(Fact5_Siret_Entreprise,Table_Entreprise,5,FALSE)</f>
        <v>#N/A</v>
      </c>
      <c r="D72" s="1348" t="e">
        <f>VLOOKUP(Fact5_Siret_Entreprise,Table_Entreprise,6,FALSE)</f>
        <v>#N/A</v>
      </c>
      <c r="E72" s="1349"/>
      <c r="F72" s="271"/>
      <c r="G72" s="240"/>
      <c r="H72" s="83"/>
    </row>
    <row r="73" spans="1:8" x14ac:dyDescent="0.25">
      <c r="A73" s="1346"/>
      <c r="B73" s="121"/>
      <c r="C73" s="54" t="s">
        <v>12</v>
      </c>
      <c r="D73" s="54" t="s">
        <v>58</v>
      </c>
      <c r="E73" s="54" t="s">
        <v>13</v>
      </c>
      <c r="F73" s="1350" t="s">
        <v>70</v>
      </c>
      <c r="G73" s="54" t="s">
        <v>62</v>
      </c>
      <c r="H73" s="55" t="s">
        <v>63</v>
      </c>
    </row>
    <row r="74" spans="1:8" x14ac:dyDescent="0.25">
      <c r="A74" s="1346"/>
      <c r="B74" s="1331" t="s">
        <v>61</v>
      </c>
      <c r="C74" s="32"/>
      <c r="D74" s="56">
        <f>TVA_1</f>
        <v>5.5E-2</v>
      </c>
      <c r="E74" s="57">
        <f t="shared" ref="E74:E79" si="24">C74*(1+D74)</f>
        <v>0</v>
      </c>
      <c r="F74" s="1350"/>
      <c r="G74" s="1329">
        <f t="shared" ref="G74" si="25">C74+C75+C76</f>
        <v>0</v>
      </c>
      <c r="H74" s="1330">
        <f t="shared" ref="H74" si="26">E74+E75+E76</f>
        <v>0</v>
      </c>
    </row>
    <row r="75" spans="1:8" x14ac:dyDescent="0.25">
      <c r="A75" s="1346"/>
      <c r="B75" s="1331"/>
      <c r="C75" s="32"/>
      <c r="D75" s="56">
        <f>TVA_2</f>
        <v>0.1</v>
      </c>
      <c r="E75" s="57">
        <f t="shared" si="24"/>
        <v>0</v>
      </c>
      <c r="F75" s="1350"/>
      <c r="G75" s="1329"/>
      <c r="H75" s="1330"/>
    </row>
    <row r="76" spans="1:8" x14ac:dyDescent="0.25">
      <c r="A76" s="1346"/>
      <c r="B76" s="1331"/>
      <c r="C76" s="32"/>
      <c r="D76" s="56">
        <f>TVA_3</f>
        <v>0.2</v>
      </c>
      <c r="E76" s="57">
        <f t="shared" si="24"/>
        <v>0</v>
      </c>
      <c r="F76" s="1350"/>
      <c r="G76" s="1329"/>
      <c r="H76" s="1330"/>
    </row>
    <row r="77" spans="1:8" x14ac:dyDescent="0.25">
      <c r="A77" s="1346"/>
      <c r="B77" s="1331" t="s">
        <v>59</v>
      </c>
      <c r="C77" s="32"/>
      <c r="D77" s="56">
        <f>TVA_1</f>
        <v>5.5E-2</v>
      </c>
      <c r="E77" s="57">
        <f t="shared" si="24"/>
        <v>0</v>
      </c>
      <c r="F77" s="1350"/>
      <c r="G77" s="1329">
        <f t="shared" ref="G77" si="27">C77+C78+C79</f>
        <v>0</v>
      </c>
      <c r="H77" s="1330">
        <f t="shared" ref="H77" si="28">E77+E78+E79</f>
        <v>0</v>
      </c>
    </row>
    <row r="78" spans="1:8" x14ac:dyDescent="0.25">
      <c r="A78" s="1346"/>
      <c r="B78" s="1331"/>
      <c r="C78" s="32"/>
      <c r="D78" s="56">
        <f>TVA_2</f>
        <v>0.1</v>
      </c>
      <c r="E78" s="57">
        <f t="shared" si="24"/>
        <v>0</v>
      </c>
      <c r="F78" s="1350"/>
      <c r="G78" s="1329"/>
      <c r="H78" s="1330"/>
    </row>
    <row r="79" spans="1:8" ht="15.75" thickBot="1" x14ac:dyDescent="0.3">
      <c r="A79" s="1347"/>
      <c r="B79" s="1332"/>
      <c r="C79" s="33"/>
      <c r="D79" s="58">
        <f>TVA_3</f>
        <v>0.2</v>
      </c>
      <c r="E79" s="59">
        <f t="shared" si="24"/>
        <v>0</v>
      </c>
      <c r="F79" s="1351"/>
      <c r="G79" s="1333"/>
      <c r="H79" s="1334"/>
    </row>
    <row r="80" spans="1:8" ht="15.75" thickBot="1" x14ac:dyDescent="0.3">
      <c r="A80"/>
      <c r="B80"/>
      <c r="C80"/>
      <c r="D80"/>
      <c r="E80"/>
      <c r="F80"/>
      <c r="G80"/>
      <c r="H80"/>
    </row>
    <row r="81" spans="1:8" x14ac:dyDescent="0.25">
      <c r="A81" s="1335" t="s">
        <v>282</v>
      </c>
      <c r="B81" s="122" t="str">
        <f>+A81</f>
        <v>FACTURE 6</v>
      </c>
      <c r="C81" s="1322"/>
      <c r="D81" s="1323"/>
      <c r="E81" s="1324"/>
      <c r="F81" s="275"/>
      <c r="G81" s="1338" t="s">
        <v>186</v>
      </c>
      <c r="H81" s="1340"/>
    </row>
    <row r="82" spans="1:8" x14ac:dyDescent="0.25">
      <c r="A82" s="1336"/>
      <c r="B82" s="52" t="s">
        <v>182</v>
      </c>
      <c r="C82" s="1379"/>
      <c r="D82" s="1380"/>
      <c r="E82" s="1381"/>
      <c r="F82" s="268"/>
      <c r="G82" s="1378"/>
      <c r="H82" s="1361"/>
    </row>
    <row r="83" spans="1:8" x14ac:dyDescent="0.25">
      <c r="A83" s="1336"/>
      <c r="B83" s="45" t="s">
        <v>7</v>
      </c>
      <c r="C83" s="1362" t="e">
        <f>VLOOKUP(Fact6_Siret_Entreprise,Table_Entreprise,2,FALSE)</f>
        <v>#N/A</v>
      </c>
      <c r="D83" s="1363"/>
      <c r="E83" s="1364"/>
      <c r="F83" s="1357" t="s">
        <v>117</v>
      </c>
      <c r="G83" s="1358" t="s">
        <v>117</v>
      </c>
      <c r="H83" s="1359" t="s">
        <v>117</v>
      </c>
    </row>
    <row r="84" spans="1:8" x14ac:dyDescent="0.25">
      <c r="A84" s="1336"/>
      <c r="B84" s="1375" t="s">
        <v>51</v>
      </c>
      <c r="C84" s="1362" t="e">
        <f>VLOOKUP(Fact6_Siret_Entreprise,Table_Entreprise,3,FALSE)</f>
        <v>#N/A</v>
      </c>
      <c r="D84" s="1363"/>
      <c r="E84" s="1364"/>
      <c r="F84" s="268"/>
      <c r="G84" s="52" t="s">
        <v>285</v>
      </c>
      <c r="H84" s="53">
        <f t="shared" ref="H84" si="29">G88+G91</f>
        <v>0</v>
      </c>
    </row>
    <row r="85" spans="1:8" x14ac:dyDescent="0.25">
      <c r="A85" s="1336"/>
      <c r="B85" s="1376"/>
      <c r="C85" s="1362" t="e">
        <f>VLOOKUP(Fact6_Siret_Entreprise,Table_Entreprise,4,FALSE)</f>
        <v>#N/A</v>
      </c>
      <c r="D85" s="1363"/>
      <c r="E85" s="1364"/>
      <c r="F85" s="268"/>
      <c r="G85" s="52" t="s">
        <v>286</v>
      </c>
      <c r="H85" s="53">
        <f t="shared" ref="H85" si="30">H88+H91</f>
        <v>0</v>
      </c>
    </row>
    <row r="86" spans="1:8" x14ac:dyDescent="0.25">
      <c r="A86" s="1336"/>
      <c r="B86" s="45" t="s">
        <v>69</v>
      </c>
      <c r="C86" s="267" t="e">
        <f>VLOOKUP(Fact6_Siret_Entreprise,Table_Entreprise,5,FALSE)</f>
        <v>#N/A</v>
      </c>
      <c r="D86" s="1362" t="e">
        <f>VLOOKUP(Fact6_Siret_Entreprise,Table_Entreprise,6,FALSE)</f>
        <v>#N/A</v>
      </c>
      <c r="E86" s="1364"/>
      <c r="F86" s="274"/>
      <c r="G86" s="269"/>
      <c r="H86" s="235"/>
    </row>
    <row r="87" spans="1:8" x14ac:dyDescent="0.25">
      <c r="A87" s="1336"/>
      <c r="B87" s="120"/>
      <c r="C87" s="46" t="s">
        <v>12</v>
      </c>
      <c r="D87" s="46" t="s">
        <v>58</v>
      </c>
      <c r="E87" s="46" t="s">
        <v>13</v>
      </c>
      <c r="F87" s="1367" t="s">
        <v>70</v>
      </c>
      <c r="G87" s="46" t="s">
        <v>62</v>
      </c>
      <c r="H87" s="47" t="s">
        <v>63</v>
      </c>
    </row>
    <row r="88" spans="1:8" x14ac:dyDescent="0.25">
      <c r="A88" s="1336"/>
      <c r="B88" s="1377" t="s">
        <v>61</v>
      </c>
      <c r="C88" s="32"/>
      <c r="D88" s="48">
        <f>TVA_1</f>
        <v>5.5E-2</v>
      </c>
      <c r="E88" s="49">
        <f t="shared" ref="E88:E93" si="31">C88*(1+D88)</f>
        <v>0</v>
      </c>
      <c r="F88" s="1367"/>
      <c r="G88" s="1370">
        <f t="shared" ref="G88" si="32">C88+C89+C90</f>
        <v>0</v>
      </c>
      <c r="H88" s="1371">
        <f t="shared" ref="H88" si="33">E88+E89+E90</f>
        <v>0</v>
      </c>
    </row>
    <row r="89" spans="1:8" x14ac:dyDescent="0.25">
      <c r="A89" s="1336"/>
      <c r="B89" s="1377"/>
      <c r="C89" s="32"/>
      <c r="D89" s="48">
        <f>TVA_2</f>
        <v>0.1</v>
      </c>
      <c r="E89" s="49">
        <f t="shared" si="31"/>
        <v>0</v>
      </c>
      <c r="F89" s="1367"/>
      <c r="G89" s="1370"/>
      <c r="H89" s="1371"/>
    </row>
    <row r="90" spans="1:8" x14ac:dyDescent="0.25">
      <c r="A90" s="1336"/>
      <c r="B90" s="1377"/>
      <c r="C90" s="32"/>
      <c r="D90" s="48">
        <f>TVA_3</f>
        <v>0.2</v>
      </c>
      <c r="E90" s="49">
        <f t="shared" si="31"/>
        <v>0</v>
      </c>
      <c r="F90" s="1367"/>
      <c r="G90" s="1370"/>
      <c r="H90" s="1371"/>
    </row>
    <row r="91" spans="1:8" x14ac:dyDescent="0.25">
      <c r="A91" s="1336"/>
      <c r="B91" s="1377" t="s">
        <v>59</v>
      </c>
      <c r="C91" s="32"/>
      <c r="D91" s="48">
        <f>TVA_1</f>
        <v>5.5E-2</v>
      </c>
      <c r="E91" s="49">
        <f t="shared" si="31"/>
        <v>0</v>
      </c>
      <c r="F91" s="1367"/>
      <c r="G91" s="1370">
        <f t="shared" ref="G91" si="34">C91+C92+C93</f>
        <v>0</v>
      </c>
      <c r="H91" s="1371">
        <f t="shared" ref="H91" si="35">E91+E92+E93</f>
        <v>0</v>
      </c>
    </row>
    <row r="92" spans="1:8" x14ac:dyDescent="0.25">
      <c r="A92" s="1336"/>
      <c r="B92" s="1377"/>
      <c r="C92" s="32"/>
      <c r="D92" s="48">
        <f>TVA_2</f>
        <v>0.1</v>
      </c>
      <c r="E92" s="49">
        <f t="shared" si="31"/>
        <v>0</v>
      </c>
      <c r="F92" s="1367"/>
      <c r="G92" s="1370"/>
      <c r="H92" s="1371"/>
    </row>
    <row r="93" spans="1:8" ht="15.75" thickBot="1" x14ac:dyDescent="0.3">
      <c r="A93" s="1337"/>
      <c r="B93" s="1382"/>
      <c r="C93" s="33"/>
      <c r="D93" s="50">
        <f>TVA_3</f>
        <v>0.2</v>
      </c>
      <c r="E93" s="51">
        <f t="shared" si="31"/>
        <v>0</v>
      </c>
      <c r="F93" s="1368"/>
      <c r="G93" s="1373"/>
      <c r="H93" s="1374"/>
    </row>
    <row r="94" spans="1:8" ht="15.75" thickBot="1" x14ac:dyDescent="0.3">
      <c r="A94"/>
      <c r="B94"/>
      <c r="C94"/>
      <c r="D94"/>
      <c r="E94"/>
      <c r="F94"/>
      <c r="G94"/>
      <c r="H94"/>
    </row>
    <row r="95" spans="1:8" x14ac:dyDescent="0.25">
      <c r="A95" s="1345" t="s">
        <v>283</v>
      </c>
      <c r="B95" s="60" t="str">
        <f>A95</f>
        <v>FACTURE 7</v>
      </c>
      <c r="C95" s="1322"/>
      <c r="D95" s="1323"/>
      <c r="E95" s="1324"/>
      <c r="F95" s="273"/>
      <c r="G95" s="1352" t="s">
        <v>186</v>
      </c>
      <c r="H95" s="1340"/>
    </row>
    <row r="96" spans="1:8" x14ac:dyDescent="0.25">
      <c r="A96" s="1346"/>
      <c r="B96" s="172" t="s">
        <v>182</v>
      </c>
      <c r="C96" s="1342"/>
      <c r="D96" s="1343"/>
      <c r="E96" s="1344"/>
      <c r="F96" s="270"/>
      <c r="G96" s="1360"/>
      <c r="H96" s="1361"/>
    </row>
    <row r="97" spans="1:8" x14ac:dyDescent="0.25">
      <c r="A97" s="1346"/>
      <c r="B97" s="61" t="s">
        <v>7</v>
      </c>
      <c r="C97" s="1348" t="e">
        <f>VLOOKUP(Fact7_Siret_Entreprise,Table_Entreprise,2,FALSE)</f>
        <v>#N/A</v>
      </c>
      <c r="D97" s="1354"/>
      <c r="E97" s="1349"/>
      <c r="F97" s="1357" t="s">
        <v>117</v>
      </c>
      <c r="G97" s="1358" t="s">
        <v>117</v>
      </c>
      <c r="H97" s="1359" t="s">
        <v>117</v>
      </c>
    </row>
    <row r="98" spans="1:8" x14ac:dyDescent="0.25">
      <c r="A98" s="1346"/>
      <c r="B98" s="1355" t="s">
        <v>51</v>
      </c>
      <c r="C98" s="1348" t="e">
        <f>VLOOKUP(Fact7_Siret_Entreprise,Table_Entreprise,3,FALSE)</f>
        <v>#N/A</v>
      </c>
      <c r="D98" s="1354"/>
      <c r="E98" s="1349"/>
      <c r="F98" s="270"/>
      <c r="G98" s="62" t="s">
        <v>285</v>
      </c>
      <c r="H98" s="63">
        <f t="shared" ref="H98" si="36">G102+G105</f>
        <v>0</v>
      </c>
    </row>
    <row r="99" spans="1:8" x14ac:dyDescent="0.25">
      <c r="A99" s="1346"/>
      <c r="B99" s="1356"/>
      <c r="C99" s="1348" t="e">
        <f>VLOOKUP(Fact7_Siret_Entreprise,Table_Entreprise,4,FALSE)</f>
        <v>#N/A</v>
      </c>
      <c r="D99" s="1354"/>
      <c r="E99" s="1349"/>
      <c r="F99" s="270"/>
      <c r="G99" s="62" t="s">
        <v>286</v>
      </c>
      <c r="H99" s="63">
        <f t="shared" ref="H99" si="37">H102+H105</f>
        <v>0</v>
      </c>
    </row>
    <row r="100" spans="1:8" x14ac:dyDescent="0.25">
      <c r="A100" s="1346"/>
      <c r="B100" s="61" t="s">
        <v>69</v>
      </c>
      <c r="C100" s="276" t="e">
        <f>VLOOKUP(Fact7_Siret_Entreprise,Table_Entreprise,5,FALSE)</f>
        <v>#N/A</v>
      </c>
      <c r="D100" s="1348" t="e">
        <f>VLOOKUP(Fact7_Siret_Entreprise,Table_Entreprise,6,FALSE)</f>
        <v>#N/A</v>
      </c>
      <c r="E100" s="1349"/>
      <c r="F100" s="271"/>
      <c r="G100" s="240"/>
      <c r="H100" s="131"/>
    </row>
    <row r="101" spans="1:8" x14ac:dyDescent="0.25">
      <c r="A101" s="1346"/>
      <c r="B101" s="121"/>
      <c r="C101" s="54" t="s">
        <v>12</v>
      </c>
      <c r="D101" s="54" t="s">
        <v>58</v>
      </c>
      <c r="E101" s="54" t="s">
        <v>13</v>
      </c>
      <c r="F101" s="1350" t="s">
        <v>70</v>
      </c>
      <c r="G101" s="54" t="s">
        <v>62</v>
      </c>
      <c r="H101" s="55" t="s">
        <v>63</v>
      </c>
    </row>
    <row r="102" spans="1:8" x14ac:dyDescent="0.25">
      <c r="A102" s="1346"/>
      <c r="B102" s="1331" t="s">
        <v>61</v>
      </c>
      <c r="C102" s="32"/>
      <c r="D102" s="56">
        <f>TVA_1</f>
        <v>5.5E-2</v>
      </c>
      <c r="E102" s="57">
        <f t="shared" ref="E102:E107" si="38">C102*(1+D102)</f>
        <v>0</v>
      </c>
      <c r="F102" s="1350"/>
      <c r="G102" s="1329">
        <f t="shared" ref="G102" si="39">C102+C103+C104</f>
        <v>0</v>
      </c>
      <c r="H102" s="1330">
        <f t="shared" ref="H102" si="40">E102+E103+E104</f>
        <v>0</v>
      </c>
    </row>
    <row r="103" spans="1:8" x14ac:dyDescent="0.25">
      <c r="A103" s="1346"/>
      <c r="B103" s="1331"/>
      <c r="C103" s="32"/>
      <c r="D103" s="56">
        <f>TVA_2</f>
        <v>0.1</v>
      </c>
      <c r="E103" s="57">
        <f t="shared" si="38"/>
        <v>0</v>
      </c>
      <c r="F103" s="1350"/>
      <c r="G103" s="1329"/>
      <c r="H103" s="1330"/>
    </row>
    <row r="104" spans="1:8" x14ac:dyDescent="0.25">
      <c r="A104" s="1346"/>
      <c r="B104" s="1331"/>
      <c r="C104" s="32"/>
      <c r="D104" s="56">
        <f>TVA_3</f>
        <v>0.2</v>
      </c>
      <c r="E104" s="57">
        <f t="shared" si="38"/>
        <v>0</v>
      </c>
      <c r="F104" s="1350"/>
      <c r="G104" s="1329"/>
      <c r="H104" s="1330"/>
    </row>
    <row r="105" spans="1:8" x14ac:dyDescent="0.25">
      <c r="A105" s="1346"/>
      <c r="B105" s="1331" t="s">
        <v>59</v>
      </c>
      <c r="C105" s="32"/>
      <c r="D105" s="56">
        <f>TVA_1</f>
        <v>5.5E-2</v>
      </c>
      <c r="E105" s="57">
        <f t="shared" si="38"/>
        <v>0</v>
      </c>
      <c r="F105" s="1350"/>
      <c r="G105" s="1329">
        <f t="shared" ref="G105" si="41">C105+C106+C107</f>
        <v>0</v>
      </c>
      <c r="H105" s="1330">
        <f t="shared" ref="H105" si="42">E105+E106+E107</f>
        <v>0</v>
      </c>
    </row>
    <row r="106" spans="1:8" x14ac:dyDescent="0.25">
      <c r="A106" s="1346"/>
      <c r="B106" s="1331"/>
      <c r="C106" s="32"/>
      <c r="D106" s="56">
        <f>TVA_2</f>
        <v>0.1</v>
      </c>
      <c r="E106" s="57">
        <f t="shared" si="38"/>
        <v>0</v>
      </c>
      <c r="F106" s="1350"/>
      <c r="G106" s="1329"/>
      <c r="H106" s="1330"/>
    </row>
    <row r="107" spans="1:8" ht="15.75" thickBot="1" x14ac:dyDescent="0.3">
      <c r="A107" s="1347"/>
      <c r="B107" s="1332"/>
      <c r="C107" s="33"/>
      <c r="D107" s="58">
        <f>TVA_3</f>
        <v>0.2</v>
      </c>
      <c r="E107" s="59">
        <f t="shared" si="38"/>
        <v>0</v>
      </c>
      <c r="F107" s="1351"/>
      <c r="G107" s="1333"/>
      <c r="H107" s="1334"/>
    </row>
    <row r="108" spans="1:8" ht="15.75" thickBot="1" x14ac:dyDescent="0.3">
      <c r="A108"/>
      <c r="B108"/>
      <c r="C108"/>
      <c r="D108"/>
      <c r="E108"/>
      <c r="F108"/>
      <c r="G108"/>
      <c r="H108"/>
    </row>
    <row r="109" spans="1:8" x14ac:dyDescent="0.25">
      <c r="A109" s="1335" t="s">
        <v>284</v>
      </c>
      <c r="B109" s="122" t="str">
        <f>+A109</f>
        <v>FACTURE 8</v>
      </c>
      <c r="C109" s="1322"/>
      <c r="D109" s="1323"/>
      <c r="E109" s="1324"/>
      <c r="F109" s="275"/>
      <c r="G109" s="1338" t="s">
        <v>186</v>
      </c>
      <c r="H109" s="1340"/>
    </row>
    <row r="110" spans="1:8" x14ac:dyDescent="0.25">
      <c r="A110" s="1336"/>
      <c r="B110" s="52" t="s">
        <v>182</v>
      </c>
      <c r="C110" s="1379"/>
      <c r="D110" s="1380"/>
      <c r="E110" s="1381"/>
      <c r="F110" s="268"/>
      <c r="G110" s="1378"/>
      <c r="H110" s="1361"/>
    </row>
    <row r="111" spans="1:8" x14ac:dyDescent="0.25">
      <c r="A111" s="1336"/>
      <c r="B111" s="45" t="s">
        <v>7</v>
      </c>
      <c r="C111" s="1362" t="e">
        <f>VLOOKUP(Fact8_Siret_Entreprise,Table_Entreprise,2,FALSE)</f>
        <v>#N/A</v>
      </c>
      <c r="D111" s="1363"/>
      <c r="E111" s="1364"/>
      <c r="F111" s="1357" t="s">
        <v>117</v>
      </c>
      <c r="G111" s="1358" t="s">
        <v>117</v>
      </c>
      <c r="H111" s="1359" t="s">
        <v>117</v>
      </c>
    </row>
    <row r="112" spans="1:8" x14ac:dyDescent="0.25">
      <c r="A112" s="1336"/>
      <c r="B112" s="1375" t="s">
        <v>51</v>
      </c>
      <c r="C112" s="1362" t="e">
        <f>VLOOKUP(Fact8_Siret_Entreprise,Table_Entreprise,3,FALSE)</f>
        <v>#N/A</v>
      </c>
      <c r="D112" s="1363"/>
      <c r="E112" s="1364"/>
      <c r="F112" s="268"/>
      <c r="G112" s="52" t="s">
        <v>285</v>
      </c>
      <c r="H112" s="53">
        <f t="shared" ref="H112" si="43">G116+G119</f>
        <v>0</v>
      </c>
    </row>
    <row r="113" spans="1:8" x14ac:dyDescent="0.25">
      <c r="A113" s="1336"/>
      <c r="B113" s="1376"/>
      <c r="C113" s="1362" t="e">
        <f>VLOOKUP(Fact8_Siret_Entreprise,Table_Entreprise,4,FALSE)</f>
        <v>#N/A</v>
      </c>
      <c r="D113" s="1363"/>
      <c r="E113" s="1364"/>
      <c r="F113" s="268"/>
      <c r="G113" s="52" t="s">
        <v>286</v>
      </c>
      <c r="H113" s="53">
        <f t="shared" ref="H113" si="44">H116+H119</f>
        <v>0</v>
      </c>
    </row>
    <row r="114" spans="1:8" x14ac:dyDescent="0.25">
      <c r="A114" s="1336"/>
      <c r="B114" s="45" t="s">
        <v>69</v>
      </c>
      <c r="C114" s="267" t="e">
        <f>VLOOKUP(Fact8_Siret_Entreprise,Table_Entreprise,5,FALSE)</f>
        <v>#N/A</v>
      </c>
      <c r="D114" s="1362" t="e">
        <f>VLOOKUP(Fact8_Siret_Entreprise,Table_Entreprise,6,FALSE)</f>
        <v>#N/A</v>
      </c>
      <c r="E114" s="1364"/>
      <c r="F114" s="274"/>
      <c r="G114" s="269"/>
      <c r="H114" s="235"/>
    </row>
    <row r="115" spans="1:8" x14ac:dyDescent="0.25">
      <c r="A115" s="1336"/>
      <c r="B115" s="120"/>
      <c r="C115" s="46" t="s">
        <v>12</v>
      </c>
      <c r="D115" s="46" t="s">
        <v>58</v>
      </c>
      <c r="E115" s="46" t="s">
        <v>13</v>
      </c>
      <c r="F115" s="1367" t="s">
        <v>70</v>
      </c>
      <c r="G115" s="46" t="s">
        <v>62</v>
      </c>
      <c r="H115" s="47" t="s">
        <v>63</v>
      </c>
    </row>
    <row r="116" spans="1:8" x14ac:dyDescent="0.25">
      <c r="A116" s="1336"/>
      <c r="B116" s="1377" t="s">
        <v>61</v>
      </c>
      <c r="C116" s="32"/>
      <c r="D116" s="48">
        <f>TVA_1</f>
        <v>5.5E-2</v>
      </c>
      <c r="E116" s="49">
        <f t="shared" ref="E116:E121" si="45">C116*(1+D116)</f>
        <v>0</v>
      </c>
      <c r="F116" s="1367"/>
      <c r="G116" s="1370">
        <f t="shared" ref="G116" si="46">C116+C117+C118</f>
        <v>0</v>
      </c>
      <c r="H116" s="1371">
        <f t="shared" ref="H116" si="47">E116+E117+E118</f>
        <v>0</v>
      </c>
    </row>
    <row r="117" spans="1:8" x14ac:dyDescent="0.25">
      <c r="A117" s="1336"/>
      <c r="B117" s="1377"/>
      <c r="C117" s="32"/>
      <c r="D117" s="48">
        <f>TVA_2</f>
        <v>0.1</v>
      </c>
      <c r="E117" s="49">
        <f t="shared" si="45"/>
        <v>0</v>
      </c>
      <c r="F117" s="1367"/>
      <c r="G117" s="1370"/>
      <c r="H117" s="1371"/>
    </row>
    <row r="118" spans="1:8" x14ac:dyDescent="0.25">
      <c r="A118" s="1336"/>
      <c r="B118" s="1377"/>
      <c r="C118" s="32"/>
      <c r="D118" s="48">
        <f>TVA_3</f>
        <v>0.2</v>
      </c>
      <c r="E118" s="49">
        <f t="shared" si="45"/>
        <v>0</v>
      </c>
      <c r="F118" s="1367"/>
      <c r="G118" s="1370"/>
      <c r="H118" s="1371"/>
    </row>
    <row r="119" spans="1:8" x14ac:dyDescent="0.25">
      <c r="A119" s="1336"/>
      <c r="B119" s="1377" t="s">
        <v>59</v>
      </c>
      <c r="C119" s="32"/>
      <c r="D119" s="48">
        <f>TVA_1</f>
        <v>5.5E-2</v>
      </c>
      <c r="E119" s="49">
        <f t="shared" si="45"/>
        <v>0</v>
      </c>
      <c r="F119" s="1367"/>
      <c r="G119" s="1370">
        <f t="shared" ref="G119" si="48">C119+C120+C121</f>
        <v>0</v>
      </c>
      <c r="H119" s="1371">
        <f t="shared" ref="H119" si="49">E119+E120+E121</f>
        <v>0</v>
      </c>
    </row>
    <row r="120" spans="1:8" x14ac:dyDescent="0.25">
      <c r="A120" s="1336"/>
      <c r="B120" s="1377"/>
      <c r="C120" s="32"/>
      <c r="D120" s="48">
        <f>TVA_2</f>
        <v>0.1</v>
      </c>
      <c r="E120" s="49">
        <f t="shared" si="45"/>
        <v>0</v>
      </c>
      <c r="F120" s="1367"/>
      <c r="G120" s="1370"/>
      <c r="H120" s="1371"/>
    </row>
    <row r="121" spans="1:8" ht="15.75" thickBot="1" x14ac:dyDescent="0.3">
      <c r="A121" s="1337"/>
      <c r="B121" s="1382"/>
      <c r="C121" s="33"/>
      <c r="D121" s="50">
        <f>TVA_3</f>
        <v>0.2</v>
      </c>
      <c r="E121" s="51">
        <f t="shared" si="45"/>
        <v>0</v>
      </c>
      <c r="F121" s="1368"/>
      <c r="G121" s="1373"/>
      <c r="H121" s="1374"/>
    </row>
  </sheetData>
  <sheetProtection autoFilter="0"/>
  <customSheetViews>
    <customSheetView guid="{A63F3AF0-420C-4EB7-9C04-DE4CC40F156A}">
      <selection activeCell="C18" sqref="C18"/>
      <pageMargins left="0.7" right="0.7" top="0.75" bottom="0.75" header="0.3" footer="0.3"/>
      <pageSetup paperSize="9" orientation="portrait" verticalDpi="0" r:id="rId1"/>
    </customSheetView>
  </customSheetViews>
  <mergeCells count="157">
    <mergeCell ref="F41:H41"/>
    <mergeCell ref="F55:H55"/>
    <mergeCell ref="F69:H69"/>
    <mergeCell ref="F83:H83"/>
    <mergeCell ref="F97:H97"/>
    <mergeCell ref="F111:H111"/>
    <mergeCell ref="B119:B121"/>
    <mergeCell ref="G119:G121"/>
    <mergeCell ref="H119:H121"/>
    <mergeCell ref="D58:E58"/>
    <mergeCell ref="C111:E111"/>
    <mergeCell ref="B112:B113"/>
    <mergeCell ref="C112:E112"/>
    <mergeCell ref="C113:E113"/>
    <mergeCell ref="D114:E114"/>
    <mergeCell ref="F115:F121"/>
    <mergeCell ref="B116:B118"/>
    <mergeCell ref="G102:G104"/>
    <mergeCell ref="H102:H104"/>
    <mergeCell ref="B105:B107"/>
    <mergeCell ref="G105:G107"/>
    <mergeCell ref="H105:H107"/>
    <mergeCell ref="G88:G90"/>
    <mergeCell ref="H88:H90"/>
    <mergeCell ref="B91:B93"/>
    <mergeCell ref="G91:G93"/>
    <mergeCell ref="H91:H93"/>
    <mergeCell ref="C83:E83"/>
    <mergeCell ref="G74:G76"/>
    <mergeCell ref="H74:H76"/>
    <mergeCell ref="B77:B79"/>
    <mergeCell ref="G77:G79"/>
    <mergeCell ref="H77:H79"/>
    <mergeCell ref="A109:A121"/>
    <mergeCell ref="C109:E109"/>
    <mergeCell ref="G109:G110"/>
    <mergeCell ref="H109:H110"/>
    <mergeCell ref="C110:E110"/>
    <mergeCell ref="C97:E97"/>
    <mergeCell ref="B98:B99"/>
    <mergeCell ref="C98:E98"/>
    <mergeCell ref="C99:E99"/>
    <mergeCell ref="D100:E100"/>
    <mergeCell ref="F101:F107"/>
    <mergeCell ref="B102:B104"/>
    <mergeCell ref="A95:A107"/>
    <mergeCell ref="C95:E95"/>
    <mergeCell ref="G95:G96"/>
    <mergeCell ref="H95:H96"/>
    <mergeCell ref="C96:E96"/>
    <mergeCell ref="G116:G118"/>
    <mergeCell ref="H116:H118"/>
    <mergeCell ref="A67:A79"/>
    <mergeCell ref="C67:E67"/>
    <mergeCell ref="G67:G68"/>
    <mergeCell ref="H67:H68"/>
    <mergeCell ref="C68:E68"/>
    <mergeCell ref="A53:A65"/>
    <mergeCell ref="A81:A93"/>
    <mergeCell ref="C81:E81"/>
    <mergeCell ref="G81:G82"/>
    <mergeCell ref="H81:H82"/>
    <mergeCell ref="C82:E82"/>
    <mergeCell ref="C69:E69"/>
    <mergeCell ref="B70:B71"/>
    <mergeCell ref="C70:E70"/>
    <mergeCell ref="C71:E71"/>
    <mergeCell ref="D72:E72"/>
    <mergeCell ref="F73:F79"/>
    <mergeCell ref="B74:B76"/>
    <mergeCell ref="B84:B85"/>
    <mergeCell ref="C84:E84"/>
    <mergeCell ref="C85:E85"/>
    <mergeCell ref="D86:E86"/>
    <mergeCell ref="F87:F93"/>
    <mergeCell ref="B88:B90"/>
    <mergeCell ref="C55:E55"/>
    <mergeCell ref="B56:B57"/>
    <mergeCell ref="C56:E56"/>
    <mergeCell ref="C57:E57"/>
    <mergeCell ref="F59:F65"/>
    <mergeCell ref="B60:B62"/>
    <mergeCell ref="G46:G48"/>
    <mergeCell ref="H46:H48"/>
    <mergeCell ref="B49:B51"/>
    <mergeCell ref="G49:G51"/>
    <mergeCell ref="H49:H51"/>
    <mergeCell ref="C53:E53"/>
    <mergeCell ref="G53:G54"/>
    <mergeCell ref="H53:H54"/>
    <mergeCell ref="C54:E54"/>
    <mergeCell ref="G60:G62"/>
    <mergeCell ref="H60:H62"/>
    <mergeCell ref="B63:B65"/>
    <mergeCell ref="G63:G65"/>
    <mergeCell ref="H63:H65"/>
    <mergeCell ref="A39:A51"/>
    <mergeCell ref="C39:E39"/>
    <mergeCell ref="G39:G40"/>
    <mergeCell ref="H39:H40"/>
    <mergeCell ref="C40:E40"/>
    <mergeCell ref="C27:E27"/>
    <mergeCell ref="B28:B29"/>
    <mergeCell ref="C28:E28"/>
    <mergeCell ref="C29:E29"/>
    <mergeCell ref="D30:E30"/>
    <mergeCell ref="F31:F37"/>
    <mergeCell ref="B32:B34"/>
    <mergeCell ref="C41:E41"/>
    <mergeCell ref="B42:B43"/>
    <mergeCell ref="C42:E42"/>
    <mergeCell ref="C43:E43"/>
    <mergeCell ref="D44:E44"/>
    <mergeCell ref="F45:F51"/>
    <mergeCell ref="B46:B48"/>
    <mergeCell ref="G32:G34"/>
    <mergeCell ref="H32:H34"/>
    <mergeCell ref="B35:B37"/>
    <mergeCell ref="G35:G37"/>
    <mergeCell ref="H35:H37"/>
    <mergeCell ref="G18:G20"/>
    <mergeCell ref="H18:H20"/>
    <mergeCell ref="B21:B23"/>
    <mergeCell ref="G21:G23"/>
    <mergeCell ref="H21:H23"/>
    <mergeCell ref="A25:A37"/>
    <mergeCell ref="C25:E25"/>
    <mergeCell ref="G25:G26"/>
    <mergeCell ref="H25:H26"/>
    <mergeCell ref="C26:E26"/>
    <mergeCell ref="A11:A23"/>
    <mergeCell ref="D16:E16"/>
    <mergeCell ref="F17:F23"/>
    <mergeCell ref="B18:B20"/>
    <mergeCell ref="G11:G12"/>
    <mergeCell ref="H11:H12"/>
    <mergeCell ref="C12:E12"/>
    <mergeCell ref="C13:E13"/>
    <mergeCell ref="B14:B15"/>
    <mergeCell ref="C14:E14"/>
    <mergeCell ref="C15:E15"/>
    <mergeCell ref="F13:H13"/>
    <mergeCell ref="F27:H27"/>
    <mergeCell ref="B6:D6"/>
    <mergeCell ref="E6:F7"/>
    <mergeCell ref="B7:D7"/>
    <mergeCell ref="E8:F9"/>
    <mergeCell ref="C11:E11"/>
    <mergeCell ref="A1:D1"/>
    <mergeCell ref="E1:H1"/>
    <mergeCell ref="B2:D2"/>
    <mergeCell ref="E2:F3"/>
    <mergeCell ref="B3:D3"/>
    <mergeCell ref="A4:A5"/>
    <mergeCell ref="B4:D4"/>
    <mergeCell ref="E4:F5"/>
    <mergeCell ref="B5:D5"/>
  </mergeCells>
  <dataValidations count="10">
    <dataValidation allowBlank="1" showInputMessage="1" showErrorMessage="1" sqref="D104 D118 D34 D48 D62 D76 D90" xr:uid="{00000000-0002-0000-0600-000000000000}"/>
    <dataValidation type="list" allowBlank="1" showInputMessage="1" showErrorMessage="1" sqref="H11:H12 H25:H26 H39:H40 H53:H54 H67:H68 H81:H82 H95:H96 H109:H110" xr:uid="{00000000-0002-0000-0600-000001000000}">
      <formula1>Liste_Type_Travaux</formula1>
    </dataValidation>
    <dataValidation type="list" allowBlank="1" showInputMessage="1" showErrorMessage="1" sqref="C12:E12" xr:uid="{00000000-0002-0000-0600-000002000000}">
      <formula1>INDIRECT(Facture1_Type_Travaux)</formula1>
    </dataValidation>
    <dataValidation type="list" allowBlank="1" showInputMessage="1" showErrorMessage="1" sqref="C26:E26" xr:uid="{00000000-0002-0000-0600-000003000000}">
      <formula1>INDIRECT(Facture2_Type_Travaux)</formula1>
    </dataValidation>
    <dataValidation type="list" allowBlank="1" showInputMessage="1" showErrorMessage="1" sqref="C40:E40" xr:uid="{00000000-0002-0000-0600-000004000000}">
      <formula1>INDIRECT(Facture3_Type_Travaux)</formula1>
    </dataValidation>
    <dataValidation type="list" allowBlank="1" showInputMessage="1" showErrorMessage="1" sqref="C54:E54" xr:uid="{00000000-0002-0000-0600-000005000000}">
      <formula1>INDIRECT(Facture4_Type_Travaux)</formula1>
    </dataValidation>
    <dataValidation type="list" allowBlank="1" showInputMessage="1" showErrorMessage="1" sqref="C68:E68" xr:uid="{00000000-0002-0000-0600-000006000000}">
      <formula1>INDIRECT(Facture5_Type_Travaux)</formula1>
    </dataValidation>
    <dataValidation type="list" allowBlank="1" showInputMessage="1" showErrorMessage="1" sqref="C82:E82" xr:uid="{00000000-0002-0000-0600-000007000000}">
      <formula1>INDIRECT(Facture6_Type_Travaux)</formula1>
    </dataValidation>
    <dataValidation type="list" allowBlank="1" showInputMessage="1" showErrorMessage="1" sqref="C96:E96" xr:uid="{00000000-0002-0000-0600-000008000000}">
      <formula1>INDIRECT(Facture7_Type_Travaux)</formula1>
    </dataValidation>
    <dataValidation type="list" allowBlank="1" showInputMessage="1" showErrorMessage="1" sqref="C110:E110" xr:uid="{00000000-0002-0000-0600-000009000000}">
      <formula1>INDIRECT(Facture8_Type_Travaux)</formula1>
    </dataValidation>
  </dataValidations>
  <pageMargins left="0.7" right="0.7" top="0.75" bottom="0.75" header="0.3" footer="0.3"/>
  <pageSetup paperSize="9" orientation="portrait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5" name="Button 1">
              <controlPr defaultSize="0" print="0" autoFill="0" autoPict="0" macro="[0]!Importdevis">
                <anchor moveWithCells="1" sizeWithCells="1">
                  <from>
                    <xdr:col>0</xdr:col>
                    <xdr:colOff>219075</xdr:colOff>
                    <xdr:row>7</xdr:row>
                    <xdr:rowOff>38100</xdr:rowOff>
                  </from>
                  <to>
                    <xdr:col>3</xdr:col>
                    <xdr:colOff>76200</xdr:colOff>
                    <xdr:row>9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4"/>
  <dimension ref="A1:S56"/>
  <sheetViews>
    <sheetView zoomScaleNormal="100" workbookViewId="0">
      <selection activeCell="C28" sqref="C28"/>
    </sheetView>
  </sheetViews>
  <sheetFormatPr baseColWidth="10" defaultRowHeight="15" x14ac:dyDescent="0.25"/>
  <cols>
    <col min="1" max="1" width="15.7109375" style="618" customWidth="1"/>
    <col min="2" max="2" width="15.5703125" style="618" customWidth="1"/>
    <col min="3" max="3" width="14.28515625" style="618" customWidth="1"/>
    <col min="4" max="4" width="13.7109375" style="618" customWidth="1"/>
    <col min="5" max="5" width="15.7109375" style="618" customWidth="1"/>
    <col min="6" max="6" width="15.5703125" style="618" customWidth="1"/>
    <col min="7" max="7" width="14.28515625" style="618" customWidth="1"/>
    <col min="8" max="8" width="15.42578125" style="618" bestFit="1" customWidth="1"/>
    <col min="9" max="9" width="15.7109375" style="618" customWidth="1"/>
    <col min="10" max="10" width="15.5703125" style="618" customWidth="1"/>
    <col min="11" max="11" width="14.28515625" style="618" customWidth="1"/>
    <col min="12" max="12" width="13.7109375" style="618" customWidth="1"/>
    <col min="13" max="13" width="15.7109375" style="618" customWidth="1"/>
    <col min="14" max="14" width="15.5703125" style="618" customWidth="1"/>
    <col min="15" max="15" width="14.28515625" style="618" customWidth="1"/>
    <col min="16" max="16" width="13.7109375" style="618" customWidth="1"/>
    <col min="17" max="17" width="11.42578125" style="618"/>
    <col min="18" max="19" width="11.85546875" style="618" bestFit="1" customWidth="1"/>
    <col min="20" max="16384" width="11.42578125" style="618"/>
  </cols>
  <sheetData>
    <row r="1" spans="1:19" ht="21.75" thickBot="1" x14ac:dyDescent="0.4">
      <c r="A1" s="1393" t="s">
        <v>558</v>
      </c>
      <c r="B1" s="1394"/>
      <c r="C1" s="1394"/>
      <c r="D1" s="1394"/>
      <c r="E1" s="1394"/>
      <c r="F1" s="1394"/>
      <c r="G1" s="1394"/>
      <c r="H1" s="1394"/>
      <c r="I1" s="1394"/>
      <c r="J1" s="1394"/>
      <c r="K1" s="1394"/>
      <c r="L1" s="1394"/>
      <c r="M1" s="1394"/>
      <c r="N1" s="1394"/>
      <c r="O1" s="1394"/>
      <c r="P1" s="1394"/>
    </row>
    <row r="2" spans="1:19" ht="15.75" thickBot="1" x14ac:dyDescent="0.3">
      <c r="A2" s="1390" t="e">
        <f>Facture1_Nom_Entreprise</f>
        <v>#N/A</v>
      </c>
      <c r="B2" s="1391"/>
      <c r="C2" s="1391"/>
      <c r="D2" s="1392"/>
      <c r="E2" s="1390" t="e">
        <f>Facture2_Nom_Entreprise</f>
        <v>#N/A</v>
      </c>
      <c r="F2" s="1391"/>
      <c r="G2" s="1391"/>
      <c r="H2" s="1392"/>
      <c r="I2" s="1390" t="e">
        <f>Facture3_Nom_Entreprise</f>
        <v>#N/A</v>
      </c>
      <c r="J2" s="1391"/>
      <c r="K2" s="1391"/>
      <c r="L2" s="1392"/>
      <c r="M2" s="1390" t="e">
        <f>Facture4_Nom_Entreprise</f>
        <v>#N/A</v>
      </c>
      <c r="N2" s="1391"/>
      <c r="O2" s="1391"/>
      <c r="P2" s="1392"/>
    </row>
    <row r="3" spans="1:19" s="700" customFormat="1" x14ac:dyDescent="0.25">
      <c r="A3" s="698">
        <f>Facture1_Type_Travaux</f>
        <v>0</v>
      </c>
      <c r="B3" s="699">
        <f>Facture1_Cat_Travaux</f>
        <v>0</v>
      </c>
      <c r="C3" s="699" t="s">
        <v>559</v>
      </c>
      <c r="D3" s="619">
        <f>Facture1_TTC</f>
        <v>0</v>
      </c>
      <c r="E3" s="698">
        <f>Facture2_Type_Travaux</f>
        <v>0</v>
      </c>
      <c r="F3" s="699">
        <f>Facture2_Cat_Travaux</f>
        <v>0</v>
      </c>
      <c r="G3" s="699" t="str">
        <f>C3</f>
        <v>Travaux TTC =&gt;</v>
      </c>
      <c r="H3" s="619">
        <f>Facture2_TTC</f>
        <v>0</v>
      </c>
      <c r="I3" s="698">
        <f>Facture3_Type_Travaux</f>
        <v>0</v>
      </c>
      <c r="J3" s="699">
        <f>Facture3_Cat_Travaux</f>
        <v>0</v>
      </c>
      <c r="K3" s="699" t="str">
        <f>C3</f>
        <v>Travaux TTC =&gt;</v>
      </c>
      <c r="L3" s="619">
        <f>Facture3_TTC</f>
        <v>0</v>
      </c>
      <c r="M3" s="698">
        <f>Facture4_Type_Travaux</f>
        <v>0</v>
      </c>
      <c r="N3" s="699">
        <f>Facture4_Cat_Travaux</f>
        <v>0</v>
      </c>
      <c r="O3" s="699" t="str">
        <f>C3</f>
        <v>Travaux TTC =&gt;</v>
      </c>
      <c r="P3" s="619">
        <f>Facture4_TTC</f>
        <v>0</v>
      </c>
    </row>
    <row r="4" spans="1:19" ht="15.75" thickBot="1" x14ac:dyDescent="0.3">
      <c r="A4" s="620" t="s">
        <v>560</v>
      </c>
      <c r="B4" s="621" t="s">
        <v>561</v>
      </c>
      <c r="C4" s="696" t="s">
        <v>270</v>
      </c>
      <c r="D4" s="622" t="s">
        <v>587</v>
      </c>
      <c r="E4" s="620" t="s">
        <v>560</v>
      </c>
      <c r="F4" s="621" t="s">
        <v>561</v>
      </c>
      <c r="G4" s="696" t="s">
        <v>270</v>
      </c>
      <c r="H4" s="622" t="str">
        <f>D4</f>
        <v>Commentaires</v>
      </c>
      <c r="I4" s="620" t="s">
        <v>560</v>
      </c>
      <c r="J4" s="621" t="s">
        <v>561</v>
      </c>
      <c r="K4" s="696" t="s">
        <v>270</v>
      </c>
      <c r="L4" s="622" t="str">
        <f>D4</f>
        <v>Commentaires</v>
      </c>
      <c r="M4" s="620" t="s">
        <v>560</v>
      </c>
      <c r="N4" s="621" t="s">
        <v>561</v>
      </c>
      <c r="O4" s="696" t="s">
        <v>270</v>
      </c>
      <c r="P4" s="697" t="str">
        <f>D4</f>
        <v>Commentaires</v>
      </c>
    </row>
    <row r="5" spans="1:19" x14ac:dyDescent="0.25">
      <c r="A5" s="623"/>
      <c r="B5" s="624"/>
      <c r="C5" s="695"/>
      <c r="D5" s="688"/>
      <c r="E5" s="623"/>
      <c r="F5" s="624"/>
      <c r="G5" s="743"/>
      <c r="H5" s="688"/>
      <c r="I5" s="675"/>
      <c r="J5" s="676"/>
      <c r="K5" s="695"/>
      <c r="L5" s="688"/>
      <c r="M5" s="623"/>
      <c r="N5" s="624"/>
      <c r="O5" s="695"/>
      <c r="P5" s="625"/>
    </row>
    <row r="6" spans="1:19" x14ac:dyDescent="0.25">
      <c r="A6" s="675"/>
      <c r="B6" s="676"/>
      <c r="C6" s="689"/>
      <c r="D6" s="689"/>
      <c r="E6" s="675"/>
      <c r="F6" s="676"/>
      <c r="G6" s="744"/>
      <c r="H6" s="689"/>
      <c r="I6" s="675"/>
      <c r="J6" s="624"/>
      <c r="K6" s="689"/>
      <c r="L6" s="689"/>
      <c r="M6" s="675"/>
      <c r="N6" s="676"/>
      <c r="O6" s="689"/>
      <c r="P6" s="626"/>
    </row>
    <row r="7" spans="1:19" x14ac:dyDescent="0.25">
      <c r="A7" s="623"/>
      <c r="B7" s="624"/>
      <c r="C7" s="689"/>
      <c r="D7" s="689"/>
      <c r="E7" s="623"/>
      <c r="F7" s="624"/>
      <c r="G7" s="744"/>
      <c r="H7" s="689"/>
      <c r="I7" s="675"/>
      <c r="J7" s="676"/>
      <c r="K7" s="689"/>
      <c r="L7" s="689"/>
      <c r="M7" s="623"/>
      <c r="N7" s="624"/>
      <c r="O7" s="689"/>
      <c r="P7" s="626"/>
    </row>
    <row r="8" spans="1:19" x14ac:dyDescent="0.25">
      <c r="A8" s="623"/>
      <c r="B8" s="624"/>
      <c r="C8" s="689"/>
      <c r="D8" s="689"/>
      <c r="E8" s="623"/>
      <c r="F8" s="624"/>
      <c r="G8" s="744"/>
      <c r="H8" s="693"/>
      <c r="I8" s="623"/>
      <c r="J8" s="624"/>
      <c r="K8" s="689"/>
      <c r="L8" s="689"/>
      <c r="M8" s="675"/>
      <c r="N8" s="676"/>
      <c r="O8" s="689"/>
      <c r="P8" s="626"/>
      <c r="R8" s="678"/>
      <c r="S8" s="679"/>
    </row>
    <row r="9" spans="1:19" x14ac:dyDescent="0.25">
      <c r="A9" s="623"/>
      <c r="B9" s="624"/>
      <c r="C9" s="689"/>
      <c r="D9" s="689"/>
      <c r="E9" s="623"/>
      <c r="F9" s="624"/>
      <c r="G9" s="744"/>
      <c r="H9" s="693"/>
      <c r="I9" s="623"/>
      <c r="J9" s="624"/>
      <c r="K9" s="689"/>
      <c r="L9" s="689"/>
      <c r="M9" s="675"/>
      <c r="N9" s="676"/>
      <c r="O9" s="689"/>
      <c r="P9" s="626"/>
      <c r="R9" s="677"/>
      <c r="S9" s="677"/>
    </row>
    <row r="10" spans="1:19" x14ac:dyDescent="0.25">
      <c r="A10" s="623"/>
      <c r="B10" s="624"/>
      <c r="C10" s="689"/>
      <c r="D10" s="689"/>
      <c r="E10" s="623"/>
      <c r="F10" s="624"/>
      <c r="G10" s="744"/>
      <c r="H10" s="693"/>
      <c r="I10" s="623"/>
      <c r="J10" s="624"/>
      <c r="K10" s="689"/>
      <c r="L10" s="689"/>
      <c r="M10" s="623"/>
      <c r="N10" s="624"/>
      <c r="O10" s="689"/>
      <c r="P10" s="626"/>
    </row>
    <row r="11" spans="1:19" x14ac:dyDescent="0.25">
      <c r="A11" s="623"/>
      <c r="B11" s="624"/>
      <c r="C11" s="689"/>
      <c r="D11" s="689"/>
      <c r="E11" s="623"/>
      <c r="F11" s="624"/>
      <c r="G11" s="744"/>
      <c r="H11" s="693"/>
      <c r="I11" s="623"/>
      <c r="J11" s="624"/>
      <c r="K11" s="689"/>
      <c r="L11" s="689"/>
      <c r="M11" s="623"/>
      <c r="N11" s="624"/>
      <c r="O11" s="689"/>
      <c r="P11" s="626"/>
    </row>
    <row r="12" spans="1:19" x14ac:dyDescent="0.25">
      <c r="A12" s="623"/>
      <c r="B12" s="624"/>
      <c r="C12" s="689"/>
      <c r="D12" s="689"/>
      <c r="E12" s="623"/>
      <c r="F12" s="624"/>
      <c r="G12" s="744"/>
      <c r="H12" s="693"/>
      <c r="I12" s="623"/>
      <c r="J12" s="624"/>
      <c r="K12" s="689"/>
      <c r="L12" s="689"/>
      <c r="M12" s="623"/>
      <c r="N12" s="624"/>
      <c r="O12" s="689"/>
      <c r="P12" s="626"/>
    </row>
    <row r="13" spans="1:19" x14ac:dyDescent="0.25">
      <c r="A13" s="623"/>
      <c r="B13" s="624"/>
      <c r="C13" s="689"/>
      <c r="D13" s="689"/>
      <c r="E13" s="623"/>
      <c r="F13" s="624"/>
      <c r="G13" s="744"/>
      <c r="H13" s="693"/>
      <c r="I13" s="623"/>
      <c r="J13" s="624"/>
      <c r="K13" s="689"/>
      <c r="L13" s="689"/>
      <c r="M13" s="623"/>
      <c r="N13" s="624"/>
      <c r="O13" s="689"/>
      <c r="P13" s="626"/>
      <c r="R13" s="678"/>
    </row>
    <row r="14" spans="1:19" ht="15.75" thickBot="1" x14ac:dyDescent="0.3">
      <c r="A14" s="627"/>
      <c r="B14" s="628"/>
      <c r="C14" s="690"/>
      <c r="D14" s="690"/>
      <c r="E14" s="627"/>
      <c r="F14" s="628"/>
      <c r="G14" s="745"/>
      <c r="H14" s="694"/>
      <c r="I14" s="627"/>
      <c r="J14" s="628"/>
      <c r="K14" s="690"/>
      <c r="L14" s="690"/>
      <c r="M14" s="627"/>
      <c r="N14" s="628"/>
      <c r="O14" s="690"/>
      <c r="P14" s="629"/>
    </row>
    <row r="15" spans="1:19" x14ac:dyDescent="0.25">
      <c r="A15" s="1385" t="s">
        <v>14</v>
      </c>
      <c r="B15" s="630" t="s">
        <v>562</v>
      </c>
      <c r="C15" s="631">
        <f>IF(AND((D3-SUMIF(A5:A14,"REGLEMENT",C5:C14))=0,D3&gt;0),"Soldé",D3-SUMIF(A5:A14,"REGLEMENT",C5:C14))</f>
        <v>0</v>
      </c>
      <c r="D15" s="691"/>
      <c r="E15" s="1385" t="s">
        <v>14</v>
      </c>
      <c r="F15" s="630" t="s">
        <v>562</v>
      </c>
      <c r="G15" s="631">
        <f>IF(AND((H3-SUMIF(E5:E14,"REGLEMENT",G5:G14))=0,H3&gt;0),"Soldé",H3-SUMIF(E5:E14,"REGLEMENT",G5:G14))</f>
        <v>0</v>
      </c>
      <c r="H15" s="691"/>
      <c r="I15" s="1385" t="s">
        <v>14</v>
      </c>
      <c r="J15" s="630" t="s">
        <v>562</v>
      </c>
      <c r="K15" s="631">
        <f>IF(AND((L3-SUMIF(I5:I14,"REGLEMENT",K5:K14))=0,L3&gt;0),"Soldé",L3-SUMIF(I5:I14,"REGLEMENT",K5:K14))</f>
        <v>0</v>
      </c>
      <c r="L15" s="691"/>
      <c r="M15" s="1385" t="s">
        <v>14</v>
      </c>
      <c r="N15" s="630" t="s">
        <v>562</v>
      </c>
      <c r="O15" s="631">
        <f>IF(AND((P3-SUMIF(M5:M14,"REGLEMENT",O5:O14))=0,P3&gt;0),"Soldé",P3-SUMIF(M5:M14,"REGLEMENT",O5:O14))</f>
        <v>0</v>
      </c>
      <c r="P15" s="631">
        <f>IF(AND((Q3-SUMIF(N5:N14,"REGLEMENT",P5:P14))=0,Q3&gt;0),"Soldé",Q3-SUMIF(N5:N14,"REGLEMENT",P5:P14))</f>
        <v>0</v>
      </c>
    </row>
    <row r="16" spans="1:19" ht="15.75" thickBot="1" x14ac:dyDescent="0.3">
      <c r="A16" s="1386"/>
      <c r="B16" s="632" t="s">
        <v>563</v>
      </c>
      <c r="C16" s="633">
        <f>D3-SUMIF(A5:A14,"FACTURE",C5:C14)</f>
        <v>0</v>
      </c>
      <c r="D16" s="692"/>
      <c r="E16" s="1386"/>
      <c r="F16" s="632" t="s">
        <v>563</v>
      </c>
      <c r="G16" s="633">
        <f>H3-SUMIF(E5:E14,"FACTURE",G5:G14)</f>
        <v>0</v>
      </c>
      <c r="H16" s="692"/>
      <c r="I16" s="1386"/>
      <c r="J16" s="632" t="s">
        <v>563</v>
      </c>
      <c r="K16" s="633">
        <f>L3-SUMIF(I5:I14,"FACTURE",K5:K14)</f>
        <v>0</v>
      </c>
      <c r="L16" s="692"/>
      <c r="M16" s="1386"/>
      <c r="N16" s="632" t="s">
        <v>563</v>
      </c>
      <c r="O16" s="633">
        <f>P3-SUMIF(M5:M14,"FACTURE",O5:O14)</f>
        <v>0</v>
      </c>
      <c r="P16" s="633">
        <f>Q3-SUMIF(N5:N14,"FACTURE",P5:P14)</f>
        <v>0</v>
      </c>
    </row>
    <row r="17" spans="1:16" ht="15.75" thickBot="1" x14ac:dyDescent="0.3">
      <c r="A17" s="1395"/>
      <c r="B17" s="1395"/>
      <c r="C17" s="1395"/>
      <c r="D17" s="1395"/>
      <c r="E17" s="1395"/>
      <c r="F17" s="1395"/>
      <c r="G17" s="1395"/>
      <c r="H17" s="1395"/>
      <c r="I17" s="1395"/>
      <c r="J17" s="1395"/>
      <c r="K17" s="1395"/>
      <c r="L17" s="1395"/>
      <c r="M17" s="1396"/>
      <c r="N17" s="1396"/>
      <c r="O17" s="1396"/>
    </row>
    <row r="18" spans="1:16" ht="15.75" thickBot="1" x14ac:dyDescent="0.3">
      <c r="A18" s="1387" t="e">
        <f>Facture5_Nom_Entreprise</f>
        <v>#N/A</v>
      </c>
      <c r="B18" s="1388"/>
      <c r="C18" s="1388"/>
      <c r="D18" s="1389"/>
      <c r="E18" s="1387" t="e">
        <f>Facture6_Nom_Entreprise</f>
        <v>#N/A</v>
      </c>
      <c r="F18" s="1388"/>
      <c r="G18" s="1388"/>
      <c r="H18" s="1389"/>
      <c r="I18" s="1387" t="e">
        <f>Facture7_Nom_Entreprise</f>
        <v>#N/A</v>
      </c>
      <c r="J18" s="1388"/>
      <c r="K18" s="1388"/>
      <c r="L18" s="1389"/>
      <c r="M18" s="1390" t="e">
        <f>Facture8_Nom_Entreprise</f>
        <v>#N/A</v>
      </c>
      <c r="N18" s="1391"/>
      <c r="O18" s="1391"/>
      <c r="P18" s="1392"/>
    </row>
    <row r="19" spans="1:16" s="700" customFormat="1" x14ac:dyDescent="0.25">
      <c r="A19" s="698">
        <f>Facture5_Type_Travaux</f>
        <v>0</v>
      </c>
      <c r="B19" s="699">
        <f>Facture5_Cat_Travaux</f>
        <v>0</v>
      </c>
      <c r="C19" s="699" t="str">
        <f>C3</f>
        <v>Travaux TTC =&gt;</v>
      </c>
      <c r="D19" s="619">
        <f>Facture5_TTC</f>
        <v>0</v>
      </c>
      <c r="E19" s="698">
        <f>Facture6_Type_Travaux</f>
        <v>0</v>
      </c>
      <c r="F19" s="699">
        <f>Facture6_Cat_Travaux</f>
        <v>0</v>
      </c>
      <c r="G19" s="699" t="str">
        <f>C3</f>
        <v>Travaux TTC =&gt;</v>
      </c>
      <c r="H19" s="619">
        <f>Facture6_TTC</f>
        <v>0</v>
      </c>
      <c r="I19" s="698">
        <f>Facture7_Type_Travaux</f>
        <v>0</v>
      </c>
      <c r="J19" s="699">
        <f>Facture7_Cat_Travaux</f>
        <v>0</v>
      </c>
      <c r="K19" s="699" t="str">
        <f>C3</f>
        <v>Travaux TTC =&gt;</v>
      </c>
      <c r="L19" s="619">
        <f>Facture7_TTC</f>
        <v>0</v>
      </c>
      <c r="M19" s="698">
        <f>Facture8_Type_Travaux</f>
        <v>0</v>
      </c>
      <c r="N19" s="699">
        <f>Facture8_Cat_Travaux</f>
        <v>0</v>
      </c>
      <c r="O19" s="699" t="str">
        <f>C3</f>
        <v>Travaux TTC =&gt;</v>
      </c>
      <c r="P19" s="619">
        <f>Facture8_TTC</f>
        <v>0</v>
      </c>
    </row>
    <row r="20" spans="1:16" ht="15.75" thickBot="1" x14ac:dyDescent="0.3">
      <c r="A20" s="620" t="s">
        <v>560</v>
      </c>
      <c r="B20" s="621" t="s">
        <v>561</v>
      </c>
      <c r="C20" s="696" t="s">
        <v>270</v>
      </c>
      <c r="D20" s="622" t="str">
        <f>D4</f>
        <v>Commentaires</v>
      </c>
      <c r="E20" s="620" t="s">
        <v>560</v>
      </c>
      <c r="F20" s="621" t="s">
        <v>561</v>
      </c>
      <c r="G20" s="696" t="s">
        <v>270</v>
      </c>
      <c r="H20" s="622" t="str">
        <f>D4</f>
        <v>Commentaires</v>
      </c>
      <c r="I20" s="620" t="s">
        <v>560</v>
      </c>
      <c r="J20" s="621" t="s">
        <v>561</v>
      </c>
      <c r="K20" s="696" t="s">
        <v>270</v>
      </c>
      <c r="L20" s="622" t="str">
        <f>D4</f>
        <v>Commentaires</v>
      </c>
      <c r="M20" s="620" t="s">
        <v>560</v>
      </c>
      <c r="N20" s="621" t="s">
        <v>561</v>
      </c>
      <c r="O20" s="696" t="s">
        <v>270</v>
      </c>
      <c r="P20" s="622" t="str">
        <f>D4</f>
        <v>Commentaires</v>
      </c>
    </row>
    <row r="21" spans="1:16" x14ac:dyDescent="0.25">
      <c r="A21" s="623"/>
      <c r="B21" s="624"/>
      <c r="C21" s="688"/>
      <c r="D21" s="688"/>
      <c r="E21" s="623"/>
      <c r="F21" s="624"/>
      <c r="G21" s="688"/>
      <c r="H21" s="688"/>
      <c r="I21" s="623"/>
      <c r="J21" s="624"/>
      <c r="K21" s="688"/>
      <c r="L21" s="688"/>
      <c r="M21" s="623"/>
      <c r="N21" s="624"/>
      <c r="O21" s="688"/>
      <c r="P21" s="625"/>
    </row>
    <row r="22" spans="1:16" x14ac:dyDescent="0.25">
      <c r="A22" s="675"/>
      <c r="B22" s="676"/>
      <c r="C22" s="689"/>
      <c r="D22" s="689"/>
      <c r="E22" s="623"/>
      <c r="F22" s="624"/>
      <c r="G22" s="689"/>
      <c r="H22" s="689"/>
      <c r="I22" s="623"/>
      <c r="J22" s="624"/>
      <c r="K22" s="689"/>
      <c r="L22" s="689"/>
      <c r="M22" s="623"/>
      <c r="N22" s="624"/>
      <c r="O22" s="689"/>
      <c r="P22" s="626"/>
    </row>
    <row r="23" spans="1:16" x14ac:dyDescent="0.25">
      <c r="A23" s="623"/>
      <c r="B23" s="624"/>
      <c r="C23" s="689"/>
      <c r="D23" s="689"/>
      <c r="E23" s="623"/>
      <c r="F23" s="624"/>
      <c r="G23" s="689"/>
      <c r="H23" s="689"/>
      <c r="I23" s="623"/>
      <c r="J23" s="624"/>
      <c r="K23" s="689"/>
      <c r="L23" s="689"/>
      <c r="M23" s="623"/>
      <c r="N23" s="624"/>
      <c r="O23" s="689"/>
      <c r="P23" s="626"/>
    </row>
    <row r="24" spans="1:16" x14ac:dyDescent="0.25">
      <c r="A24" s="623"/>
      <c r="B24" s="624"/>
      <c r="C24" s="689"/>
      <c r="D24" s="689"/>
      <c r="E24" s="623"/>
      <c r="F24" s="624"/>
      <c r="G24" s="693"/>
      <c r="H24" s="693"/>
      <c r="I24" s="623"/>
      <c r="J24" s="624"/>
      <c r="K24" s="689"/>
      <c r="L24" s="689"/>
      <c r="M24" s="623"/>
      <c r="N24" s="624"/>
      <c r="O24" s="689"/>
      <c r="P24" s="626"/>
    </row>
    <row r="25" spans="1:16" x14ac:dyDescent="0.25">
      <c r="A25" s="623"/>
      <c r="B25" s="624"/>
      <c r="C25" s="689"/>
      <c r="D25" s="689"/>
      <c r="E25" s="623"/>
      <c r="F25" s="624"/>
      <c r="G25" s="693"/>
      <c r="H25" s="693"/>
      <c r="I25" s="623"/>
      <c r="J25" s="624"/>
      <c r="K25" s="689"/>
      <c r="L25" s="689"/>
      <c r="M25" s="623"/>
      <c r="N25" s="624"/>
      <c r="O25" s="689"/>
      <c r="P25" s="626"/>
    </row>
    <row r="26" spans="1:16" x14ac:dyDescent="0.25">
      <c r="A26" s="623"/>
      <c r="B26" s="624"/>
      <c r="C26" s="689"/>
      <c r="D26" s="689"/>
      <c r="E26" s="623"/>
      <c r="F26" s="624"/>
      <c r="G26" s="693"/>
      <c r="H26" s="693"/>
      <c r="I26" s="623"/>
      <c r="J26" s="624"/>
      <c r="K26" s="689"/>
      <c r="L26" s="689"/>
      <c r="M26" s="623"/>
      <c r="N26" s="624"/>
      <c r="O26" s="689"/>
      <c r="P26" s="626"/>
    </row>
    <row r="27" spans="1:16" x14ac:dyDescent="0.25">
      <c r="A27" s="623"/>
      <c r="B27" s="624"/>
      <c r="C27" s="689"/>
      <c r="D27" s="689"/>
      <c r="E27" s="623"/>
      <c r="F27" s="624"/>
      <c r="G27" s="693"/>
      <c r="H27" s="693"/>
      <c r="I27" s="623"/>
      <c r="J27" s="624"/>
      <c r="K27" s="689"/>
      <c r="L27" s="689"/>
      <c r="M27" s="623"/>
      <c r="N27" s="624"/>
      <c r="O27" s="689"/>
      <c r="P27" s="626"/>
    </row>
    <row r="28" spans="1:16" x14ac:dyDescent="0.25">
      <c r="A28" s="623"/>
      <c r="B28" s="624"/>
      <c r="C28" s="689"/>
      <c r="D28" s="689"/>
      <c r="E28" s="623"/>
      <c r="F28" s="624"/>
      <c r="G28" s="693"/>
      <c r="H28" s="693"/>
      <c r="I28" s="623"/>
      <c r="J28" s="624"/>
      <c r="K28" s="689"/>
      <c r="L28" s="689"/>
      <c r="M28" s="623"/>
      <c r="N28" s="624"/>
      <c r="O28" s="689"/>
      <c r="P28" s="626"/>
    </row>
    <row r="29" spans="1:16" x14ac:dyDescent="0.25">
      <c r="A29" s="623"/>
      <c r="B29" s="624"/>
      <c r="C29" s="689"/>
      <c r="D29" s="689"/>
      <c r="E29" s="623"/>
      <c r="F29" s="624"/>
      <c r="G29" s="693"/>
      <c r="H29" s="693"/>
      <c r="I29" s="623"/>
      <c r="J29" s="624"/>
      <c r="K29" s="689"/>
      <c r="L29" s="689"/>
      <c r="M29" s="623"/>
      <c r="N29" s="624"/>
      <c r="O29" s="689"/>
      <c r="P29" s="626"/>
    </row>
    <row r="30" spans="1:16" ht="15.75" thickBot="1" x14ac:dyDescent="0.3">
      <c r="A30" s="627"/>
      <c r="B30" s="628"/>
      <c r="C30" s="690"/>
      <c r="D30" s="690"/>
      <c r="E30" s="627"/>
      <c r="F30" s="628"/>
      <c r="G30" s="694"/>
      <c r="H30" s="694"/>
      <c r="I30" s="627"/>
      <c r="J30" s="628"/>
      <c r="K30" s="690"/>
      <c r="L30" s="690"/>
      <c r="M30" s="627"/>
      <c r="N30" s="628"/>
      <c r="O30" s="690"/>
      <c r="P30" s="629"/>
    </row>
    <row r="31" spans="1:16" x14ac:dyDescent="0.25">
      <c r="A31" s="1385" t="s">
        <v>14</v>
      </c>
      <c r="B31" s="630" t="s">
        <v>562</v>
      </c>
      <c r="C31" s="631">
        <f>IF(AND((D19-SUMIF(A21:A30,"REGLEMENT",C21:C30))=0,D19&gt;0),"Soldé",D19-SUMIF(A21:A30,"REGLEMENT",C21:C30))</f>
        <v>0</v>
      </c>
      <c r="D31" s="691"/>
      <c r="E31" s="1385" t="s">
        <v>14</v>
      </c>
      <c r="F31" s="630" t="s">
        <v>562</v>
      </c>
      <c r="G31" s="631">
        <f>IF(AND((H19-SUMIF(E21:E30,"REGLEMENT",G21:G30))=0,H19&gt;0),"Soldé",H19-SUMIF(E21:E30,"REGLEMENT",G21:G30))</f>
        <v>0</v>
      </c>
      <c r="H31" s="691"/>
      <c r="I31" s="1385" t="s">
        <v>14</v>
      </c>
      <c r="J31" s="630" t="s">
        <v>562</v>
      </c>
      <c r="K31" s="631">
        <f>IF(AND((L19-SUMIF(I21:I30,"REGLEMENT",K21:K30))=0,L19&gt;0),"Soldé",L19-SUMIF(I21:I30,"REGLEMENT",K21:K30))</f>
        <v>0</v>
      </c>
      <c r="L31" s="691"/>
      <c r="M31" s="1385" t="s">
        <v>14</v>
      </c>
      <c r="N31" s="630" t="s">
        <v>562</v>
      </c>
      <c r="O31" s="631">
        <f>IF(AND((P19-SUMIF(M21:M30,"REGLEMENT",O21:O30))=0,P19&gt;0),"Soldé",P19-SUMIF(M21:M30,"REGLEMENT",O21:O30))</f>
        <v>0</v>
      </c>
      <c r="P31" s="631"/>
    </row>
    <row r="32" spans="1:16" ht="15.75" thickBot="1" x14ac:dyDescent="0.3">
      <c r="A32" s="1386"/>
      <c r="B32" s="632" t="s">
        <v>563</v>
      </c>
      <c r="C32" s="633">
        <f>D19-SUMIF(A21:A30,"FACTURE",C21:C30)</f>
        <v>0</v>
      </c>
      <c r="D32" s="692"/>
      <c r="E32" s="1386"/>
      <c r="F32" s="632" t="s">
        <v>563</v>
      </c>
      <c r="G32" s="633">
        <f>H19-SUMIF(E21:E30,"FACTURE",G21:G30)</f>
        <v>0</v>
      </c>
      <c r="H32" s="692"/>
      <c r="I32" s="1386"/>
      <c r="J32" s="632" t="s">
        <v>563</v>
      </c>
      <c r="K32" s="633">
        <f>L19-SUMIF(I21:I30,"FACTURE",K21:K30)</f>
        <v>0</v>
      </c>
      <c r="L32" s="692"/>
      <c r="M32" s="1386"/>
      <c r="N32" s="632" t="s">
        <v>563</v>
      </c>
      <c r="O32" s="633">
        <f>P19-SUMIF(M21:M30,"FACTURE",O21:O30)</f>
        <v>0</v>
      </c>
      <c r="P32" s="633"/>
    </row>
    <row r="33" spans="1:8" ht="15.75" thickBot="1" x14ac:dyDescent="0.3"/>
    <row r="34" spans="1:8" ht="15.75" thickBot="1" x14ac:dyDescent="0.3">
      <c r="A34" s="634" t="s">
        <v>564</v>
      </c>
      <c r="B34" s="635" t="s">
        <v>14</v>
      </c>
      <c r="C34" s="636" t="s">
        <v>8</v>
      </c>
      <c r="D34" s="637" t="s">
        <v>88</v>
      </c>
      <c r="E34" s="637" t="s">
        <v>565</v>
      </c>
      <c r="F34" s="637" t="s">
        <v>566</v>
      </c>
      <c r="G34" s="637" t="s">
        <v>11</v>
      </c>
      <c r="H34" s="638" t="s">
        <v>567</v>
      </c>
    </row>
    <row r="35" spans="1:8" x14ac:dyDescent="0.25">
      <c r="A35" s="639" t="s">
        <v>568</v>
      </c>
      <c r="B35" s="640" t="e">
        <f>SUM(C35:H35)</f>
        <v>#VALUE!</v>
      </c>
      <c r="C35" s="641" t="e">
        <f>Solde_Prime_Anah_Sim_Solde+Solde_Prime_ASE_Sim_Solde</f>
        <v>#VALUE!</v>
      </c>
      <c r="D35" s="642">
        <f>Solde_Prime_Region_Sim_Solde</f>
        <v>0</v>
      </c>
      <c r="E35" s="642">
        <f>Solde_Prime_CR_Sim_Solde</f>
        <v>0</v>
      </c>
      <c r="F35" s="642" t="e">
        <f>Solde_Prime_CC_Sim_Solde</f>
        <v>#VALUE!</v>
      </c>
      <c r="G35" s="642">
        <f>Solde_Prime_ALS_Sim_Solde</f>
        <v>0</v>
      </c>
      <c r="H35" s="643" t="e">
        <f ca="1">Solde_Reste_a_charge_Sim_Solde</f>
        <v>#VALUE!</v>
      </c>
    </row>
    <row r="36" spans="1:8" ht="15.75" thickBot="1" x14ac:dyDescent="0.3">
      <c r="A36" s="644" t="s">
        <v>569</v>
      </c>
      <c r="B36" s="645" t="e">
        <f>SUM(C36:H36)</f>
        <v>#VALUE!</v>
      </c>
      <c r="C36" s="646" t="e">
        <f t="shared" ref="C36:H36" si="0">C35-SUMIF($B$5:$B$14,C34,$C$5:$C$14)-SUMIF($F$5:$F$14,C34,$G$5:$G$14)-SUMIF($J$5:$J$14,C34,$K$5:$K$14)-SUMIF($N$5:$N$14,C34,$O$5:$O$14)-SUMIF($B$21:$B$30,C34,$C$21:$C$30)-SUMIF($F$21:$F$30,C34,$G$21:$G$30)-SUMIF($J$21:$J$30,C34,$K$21:$K$30)-SUMIF($N$21:$N$30,C34,$O$21:$O$30)</f>
        <v>#VALUE!</v>
      </c>
      <c r="D36" s="647">
        <f t="shared" si="0"/>
        <v>0</v>
      </c>
      <c r="E36" s="647">
        <f t="shared" si="0"/>
        <v>0</v>
      </c>
      <c r="F36" s="647" t="e">
        <f t="shared" si="0"/>
        <v>#VALUE!</v>
      </c>
      <c r="G36" s="647">
        <f t="shared" si="0"/>
        <v>0</v>
      </c>
      <c r="H36" s="648" t="e">
        <f t="shared" ca="1" si="0"/>
        <v>#VALUE!</v>
      </c>
    </row>
    <row r="48" spans="1:8" ht="15.75" thickBot="1" x14ac:dyDescent="0.3"/>
    <row r="49" spans="1:2" ht="15.75" thickBot="1" x14ac:dyDescent="0.3">
      <c r="A49" s="1383" t="s">
        <v>570</v>
      </c>
      <c r="B49" s="1384"/>
    </row>
    <row r="50" spans="1:2" ht="15.75" thickBot="1" x14ac:dyDescent="0.3">
      <c r="A50" s="649" t="s">
        <v>571</v>
      </c>
      <c r="B50" s="650" t="s">
        <v>572</v>
      </c>
    </row>
    <row r="51" spans="1:2" x14ac:dyDescent="0.25">
      <c r="A51" s="651" t="s">
        <v>152</v>
      </c>
      <c r="B51" s="652" t="str">
        <f>C34</f>
        <v>ANAH</v>
      </c>
    </row>
    <row r="52" spans="1:2" x14ac:dyDescent="0.25">
      <c r="A52" s="653" t="s">
        <v>573</v>
      </c>
      <c r="B52" s="654" t="str">
        <f>D34</f>
        <v>ECO-CHEQUE</v>
      </c>
    </row>
    <row r="53" spans="1:2" x14ac:dyDescent="0.25">
      <c r="A53" s="653" t="s">
        <v>154</v>
      </c>
      <c r="B53" s="654" t="str">
        <f>E34</f>
        <v>Caiss. Retraite</v>
      </c>
    </row>
    <row r="54" spans="1:2" x14ac:dyDescent="0.25">
      <c r="A54" s="623"/>
      <c r="B54" s="654" t="str">
        <f>F34</f>
        <v>Prime CC</v>
      </c>
    </row>
    <row r="55" spans="1:2" x14ac:dyDescent="0.25">
      <c r="A55" s="623"/>
      <c r="B55" s="654" t="str">
        <f>G34</f>
        <v>ALS</v>
      </c>
    </row>
    <row r="56" spans="1:2" ht="15.75" thickBot="1" x14ac:dyDescent="0.3">
      <c r="A56" s="627"/>
      <c r="B56" s="655" t="str">
        <f>H34</f>
        <v>RESTE A CHARGE</v>
      </c>
    </row>
  </sheetData>
  <sheetProtection autoFilter="0"/>
  <mergeCells count="19">
    <mergeCell ref="A1:P1"/>
    <mergeCell ref="A17:O17"/>
    <mergeCell ref="A15:A16"/>
    <mergeCell ref="E15:E16"/>
    <mergeCell ref="I15:I16"/>
    <mergeCell ref="M15:M16"/>
    <mergeCell ref="A18:D18"/>
    <mergeCell ref="E18:H18"/>
    <mergeCell ref="M18:P18"/>
    <mergeCell ref="I18:L18"/>
    <mergeCell ref="A2:D2"/>
    <mergeCell ref="E2:H2"/>
    <mergeCell ref="I2:L2"/>
    <mergeCell ref="M2:P2"/>
    <mergeCell ref="A49:B49"/>
    <mergeCell ref="A31:A32"/>
    <mergeCell ref="E31:E32"/>
    <mergeCell ref="I31:I32"/>
    <mergeCell ref="M31:M32"/>
  </mergeCells>
  <conditionalFormatting sqref="A5:D14">
    <cfRule type="expression" dxfId="15" priority="15">
      <formula>$A5="REGLEMENT"</formula>
    </cfRule>
    <cfRule type="expression" dxfId="14" priority="16">
      <formula>$A5="FACTURE"</formula>
    </cfRule>
  </conditionalFormatting>
  <conditionalFormatting sqref="E5:H14">
    <cfRule type="expression" dxfId="13" priority="13">
      <formula>$E5="REGLEMENT"</formula>
    </cfRule>
    <cfRule type="expression" dxfId="12" priority="14">
      <formula>$E5="FACTURE"</formula>
    </cfRule>
  </conditionalFormatting>
  <conditionalFormatting sqref="I5:L14">
    <cfRule type="expression" dxfId="11" priority="11">
      <formula>$I5="REGLEMENT"</formula>
    </cfRule>
    <cfRule type="expression" dxfId="10" priority="12">
      <formula>$I5="FACTURE"</formula>
    </cfRule>
  </conditionalFormatting>
  <conditionalFormatting sqref="M5:P14">
    <cfRule type="expression" dxfId="9" priority="9">
      <formula>$M5="REGLEMENT"</formula>
    </cfRule>
    <cfRule type="expression" dxfId="8" priority="10">
      <formula>$M5="FACTURE"</formula>
    </cfRule>
  </conditionalFormatting>
  <conditionalFormatting sqref="A21:D30">
    <cfRule type="expression" dxfId="7" priority="7">
      <formula>$A21="REGLEMENT"</formula>
    </cfRule>
    <cfRule type="expression" dxfId="6" priority="8">
      <formula>$A21="FACTURE"</formula>
    </cfRule>
  </conditionalFormatting>
  <conditionalFormatting sqref="E21:H30">
    <cfRule type="expression" dxfId="5" priority="5">
      <formula>$E21="REGLEMENT"</formula>
    </cfRule>
    <cfRule type="expression" dxfId="4" priority="6">
      <formula>$E21="FACTURE"</formula>
    </cfRule>
  </conditionalFormatting>
  <conditionalFormatting sqref="I21:L30">
    <cfRule type="expression" dxfId="3" priority="3">
      <formula>$I21="REGLEMENT"</formula>
    </cfRule>
    <cfRule type="expression" dxfId="2" priority="4">
      <formula>$I21="FACTURE"</formula>
    </cfRule>
  </conditionalFormatting>
  <conditionalFormatting sqref="M21:P30">
    <cfRule type="expression" dxfId="1" priority="1">
      <formula>$M21="REGLEMENT"</formula>
    </cfRule>
    <cfRule type="expression" dxfId="0" priority="2">
      <formula>$M21="FACTURE"</formula>
    </cfRule>
  </conditionalFormatting>
  <dataValidations count="2">
    <dataValidation type="list" allowBlank="1" showInputMessage="1" showErrorMessage="1" sqref="N21:N30 F5:F14 J5:J14 N5:N14 F21:F30 J21:J30 B21:B30 B5:B14" xr:uid="{00000000-0002-0000-0700-000000000000}">
      <formula1>INDIRECT(A5)</formula1>
    </dataValidation>
    <dataValidation type="list" allowBlank="1" showInputMessage="1" showErrorMessage="1" sqref="A5:A14 A21:A30 I5:I14 E5:E14 M5:M14 E21:E30 I21:I30 M21:M30" xr:uid="{00000000-0002-0000-0700-000001000000}">
      <formula1>FACT_RGT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I223"/>
  <sheetViews>
    <sheetView topLeftCell="A10" zoomScaleNormal="100" workbookViewId="0">
      <selection activeCell="A48" sqref="A48:G49"/>
    </sheetView>
  </sheetViews>
  <sheetFormatPr baseColWidth="10" defaultRowHeight="15" x14ac:dyDescent="0.25"/>
  <cols>
    <col min="1" max="1" width="6.7109375" style="135" customWidth="1"/>
    <col min="2" max="2" width="14.5703125" style="135" customWidth="1"/>
    <col min="3" max="3" width="14.140625" style="135" customWidth="1"/>
    <col min="4" max="4" width="12.5703125" style="135" customWidth="1"/>
    <col min="5" max="5" width="12" style="135" customWidth="1"/>
    <col min="6" max="6" width="14.42578125" style="135" customWidth="1"/>
    <col min="7" max="7" width="6.7109375" style="135" customWidth="1"/>
    <col min="8" max="16384" width="11.42578125" style="135"/>
  </cols>
  <sheetData>
    <row r="1" spans="1:9" ht="135" customHeight="1" x14ac:dyDescent="0.25"/>
    <row r="2" spans="1:9" ht="18.75" x14ac:dyDescent="0.25">
      <c r="A2" s="1399" t="s">
        <v>250</v>
      </c>
      <c r="B2" s="1399"/>
      <c r="C2" s="1399"/>
      <c r="D2" s="1399"/>
      <c r="E2" s="1399"/>
      <c r="F2" s="1399"/>
      <c r="G2" s="1399"/>
      <c r="H2" s="136"/>
    </row>
    <row r="3" spans="1:9" ht="7.5" customHeight="1" x14ac:dyDescent="0.25"/>
    <row r="4" spans="1:9" ht="18.75" x14ac:dyDescent="0.25">
      <c r="A4" s="1400" t="str">
        <f>CONCATENATE("FICHE DE MISE EN PAIEMENT DE LA PARTICIPATION ",CC_Nom)</f>
        <v xml:space="preserve">FICHE DE MISE EN PAIEMENT DE LA PARTICIPATION </v>
      </c>
      <c r="B4" s="1400"/>
      <c r="C4" s="1400"/>
      <c r="D4" s="1400"/>
      <c r="E4" s="1400"/>
      <c r="F4" s="1400"/>
      <c r="G4" s="1400"/>
      <c r="H4" s="137"/>
    </row>
    <row r="5" spans="1:9" ht="7.5" customHeight="1" thickBot="1" x14ac:dyDescent="0.3">
      <c r="A5" s="138"/>
      <c r="B5" s="138"/>
      <c r="C5" s="138"/>
      <c r="D5" s="138"/>
      <c r="E5" s="138"/>
      <c r="F5" s="138"/>
      <c r="G5" s="138"/>
    </row>
    <row r="6" spans="1:9" ht="16.5" thickBot="1" x14ac:dyDescent="0.3">
      <c r="B6" s="1401" t="s">
        <v>251</v>
      </c>
      <c r="C6" s="1402"/>
      <c r="D6" s="1402"/>
      <c r="E6" s="1402"/>
      <c r="F6" s="1403"/>
    </row>
    <row r="7" spans="1:9" ht="15" customHeight="1" x14ac:dyDescent="0.25">
      <c r="A7" s="139"/>
      <c r="B7" s="140" t="s">
        <v>252</v>
      </c>
      <c r="C7" s="1404" t="str">
        <f>CONCATENATE(Prop_Nom," ",Prop_Prenom)</f>
        <v xml:space="preserve"> </v>
      </c>
      <c r="D7" s="1404"/>
      <c r="E7" s="1404"/>
      <c r="F7" s="1405"/>
      <c r="G7" s="141"/>
      <c r="H7" s="141"/>
      <c r="I7" s="141"/>
    </row>
    <row r="8" spans="1:9" ht="15" customHeight="1" x14ac:dyDescent="0.25">
      <c r="A8" s="139"/>
      <c r="B8" s="140" t="s">
        <v>253</v>
      </c>
      <c r="C8" s="1404" t="str">
        <f>CONCATENATE(Prop_Adresse1," - ", Prop_Adresse2)</f>
        <v xml:space="preserve"> - </v>
      </c>
      <c r="D8" s="1404"/>
      <c r="E8" s="1404"/>
      <c r="F8" s="1405"/>
      <c r="G8" s="141"/>
      <c r="H8" s="141"/>
      <c r="I8" s="141"/>
    </row>
    <row r="9" spans="1:9" ht="15" customHeight="1" thickBot="1" x14ac:dyDescent="0.3">
      <c r="A9" s="139"/>
      <c r="B9" s="142" t="s">
        <v>254</v>
      </c>
      <c r="C9" s="1397" t="str">
        <f>Prop_Ville</f>
        <v/>
      </c>
      <c r="D9" s="1397"/>
      <c r="E9" s="1397"/>
      <c r="F9" s="1398"/>
      <c r="G9" s="141"/>
      <c r="H9" s="141"/>
      <c r="I9" s="141"/>
    </row>
    <row r="10" spans="1:9" ht="7.5" customHeight="1" thickBot="1" x14ac:dyDescent="0.3">
      <c r="A10" s="143"/>
      <c r="B10" s="143"/>
      <c r="C10" s="144"/>
      <c r="D10" s="144"/>
      <c r="E10" s="145"/>
      <c r="F10" s="141"/>
      <c r="G10" s="141"/>
      <c r="H10" s="141"/>
      <c r="I10" s="141"/>
    </row>
    <row r="11" spans="1:9" ht="16.5" thickBot="1" x14ac:dyDescent="0.3">
      <c r="A11" s="143"/>
      <c r="B11" s="1401" t="s">
        <v>255</v>
      </c>
      <c r="C11" s="1402"/>
      <c r="D11" s="1402"/>
      <c r="E11" s="1402"/>
      <c r="F11" s="1403"/>
      <c r="G11" s="141"/>
      <c r="H11" s="141"/>
      <c r="I11" s="141"/>
    </row>
    <row r="12" spans="1:9" ht="15" customHeight="1" x14ac:dyDescent="0.25">
      <c r="A12" s="143"/>
      <c r="B12" s="215" t="s">
        <v>256</v>
      </c>
      <c r="C12" s="1413" t="str">
        <f>Anah_Num_Dossier</f>
        <v/>
      </c>
      <c r="D12" s="1413"/>
      <c r="E12" s="1413"/>
      <c r="F12" s="1414"/>
      <c r="G12" s="141"/>
      <c r="H12" s="141"/>
      <c r="I12" s="141"/>
    </row>
    <row r="13" spans="1:9" ht="15" customHeight="1" x14ac:dyDescent="0.25">
      <c r="A13" s="139"/>
      <c r="B13" s="1410" t="s">
        <v>257</v>
      </c>
      <c r="C13" s="1404"/>
      <c r="D13" s="1404" t="str">
        <f>Prop_Categorie</f>
        <v/>
      </c>
      <c r="E13" s="1404"/>
      <c r="F13" s="1405"/>
      <c r="G13" s="141"/>
      <c r="H13" s="141"/>
      <c r="I13" s="141"/>
    </row>
    <row r="14" spans="1:9" ht="15" customHeight="1" x14ac:dyDescent="0.25">
      <c r="A14" s="143"/>
      <c r="B14" s="1410" t="s">
        <v>258</v>
      </c>
      <c r="C14" s="1404"/>
      <c r="D14" s="1411">
        <f>Anah_Date_Depot</f>
        <v>0</v>
      </c>
      <c r="E14" s="1411"/>
      <c r="F14" s="1412"/>
      <c r="G14" s="141"/>
      <c r="H14" s="141"/>
      <c r="I14" s="141"/>
    </row>
    <row r="15" spans="1:9" ht="15" customHeight="1" x14ac:dyDescent="0.25">
      <c r="A15" s="143"/>
      <c r="B15" s="1410" t="s">
        <v>259</v>
      </c>
      <c r="C15" s="1404"/>
      <c r="D15" s="1411">
        <f>Anah_Date_Demande_Paiement</f>
        <v>0</v>
      </c>
      <c r="E15" s="1411"/>
      <c r="F15" s="1412"/>
      <c r="G15" s="141"/>
      <c r="H15" s="141"/>
      <c r="I15" s="141"/>
    </row>
    <row r="16" spans="1:9" ht="15" customHeight="1" thickBot="1" x14ac:dyDescent="0.3">
      <c r="A16" s="143"/>
      <c r="B16" s="1415"/>
      <c r="C16" s="1397"/>
      <c r="D16" s="1397"/>
      <c r="E16" s="1397"/>
      <c r="F16" s="1398"/>
      <c r="G16" s="141"/>
      <c r="H16" s="141"/>
      <c r="I16" s="141"/>
    </row>
    <row r="17" spans="1:9" ht="7.5" customHeight="1" thickBot="1" x14ac:dyDescent="0.3">
      <c r="A17" s="143"/>
      <c r="B17" s="143"/>
      <c r="C17" s="144"/>
      <c r="D17" s="144"/>
      <c r="E17" s="146"/>
      <c r="F17" s="141"/>
      <c r="G17" s="141"/>
      <c r="H17" s="141"/>
      <c r="I17" s="141"/>
    </row>
    <row r="18" spans="1:9" ht="16.5" thickBot="1" x14ac:dyDescent="0.3">
      <c r="A18" s="147"/>
      <c r="B18" s="1401" t="s">
        <v>260</v>
      </c>
      <c r="C18" s="1402"/>
      <c r="D18" s="1402"/>
      <c r="E18" s="1402"/>
      <c r="F18" s="1403"/>
      <c r="G18" s="141"/>
      <c r="H18" s="141"/>
      <c r="I18" s="141"/>
    </row>
    <row r="19" spans="1:9" ht="15" customHeight="1" x14ac:dyDescent="0.25">
      <c r="A19" s="139"/>
      <c r="B19" s="1406" t="s">
        <v>261</v>
      </c>
      <c r="C19" s="1407"/>
      <c r="D19" s="1407"/>
      <c r="E19" s="742" t="str">
        <f>IF(Sim_Retenue=1,TOTAL_HT_Projet_Sim1,IF(Sim_Retenue=2,TOTAL_HT_Projet_Sim2,"Erreur choix SIM"))</f>
        <v>Erreur choix SIM</v>
      </c>
      <c r="F19" s="148" t="s">
        <v>12</v>
      </c>
      <c r="G19" s="141"/>
      <c r="H19" s="141"/>
      <c r="I19" s="141"/>
    </row>
    <row r="20" spans="1:9" ht="15" customHeight="1" x14ac:dyDescent="0.25">
      <c r="A20" s="139"/>
      <c r="B20" s="1406" t="s">
        <v>262</v>
      </c>
      <c r="C20" s="1407"/>
      <c r="D20" s="1407"/>
      <c r="E20" s="149">
        <f>SUM(E21:E26)</f>
        <v>0</v>
      </c>
      <c r="F20" s="148"/>
      <c r="G20" s="141"/>
      <c r="H20" s="141"/>
      <c r="I20" s="141"/>
    </row>
    <row r="21" spans="1:9" ht="15" customHeight="1" x14ac:dyDescent="0.25">
      <c r="A21" s="139"/>
      <c r="B21" s="150"/>
      <c r="C21" s="151"/>
      <c r="D21" s="152" t="s">
        <v>263</v>
      </c>
      <c r="E21" s="727" t="str">
        <f>IF(Sim_Retenue=1,Prime_Anah_Sim1+Prime_ASE_Sim1,IF(Sim_Retenue=2,Prime_Anah_Sim2+Prime_ASE_Sim2,"Erreur choix SIM"))</f>
        <v>Erreur choix SIM</v>
      </c>
      <c r="F21" s="153"/>
      <c r="G21" s="141"/>
      <c r="H21" s="141"/>
      <c r="I21" s="141"/>
    </row>
    <row r="22" spans="1:9" ht="15" customHeight="1" x14ac:dyDescent="0.25">
      <c r="A22" s="139"/>
      <c r="B22" s="150"/>
      <c r="C22" s="151"/>
      <c r="D22" s="152" t="s">
        <v>264</v>
      </c>
      <c r="E22" s="727" t="str">
        <f>IF(Sim_Retenue=1,Prime_Region_Sim1,IF(Sim_Retenue=2,Prime_Region_Sim2,"Erreur choix SIM"))</f>
        <v>Erreur choix SIM</v>
      </c>
      <c r="F22" s="153"/>
      <c r="G22" s="141"/>
      <c r="H22" s="141"/>
      <c r="I22" s="141"/>
    </row>
    <row r="23" spans="1:9" ht="15" customHeight="1" x14ac:dyDescent="0.25">
      <c r="A23" s="139"/>
      <c r="B23" s="150"/>
      <c r="C23" s="151"/>
      <c r="D23" s="152" t="s">
        <v>327</v>
      </c>
      <c r="E23" s="727" t="str">
        <f>IF(Sim_Retenue=1,Prime_ALS_Sim1,IF(Sim_Retenue=2,Prime_ALS_Sim2,"Erreur choix SIM"))</f>
        <v>Erreur choix SIM</v>
      </c>
      <c r="F23" s="153"/>
      <c r="G23" s="141"/>
      <c r="H23" s="141"/>
      <c r="I23" s="141"/>
    </row>
    <row r="24" spans="1:9" ht="15" customHeight="1" x14ac:dyDescent="0.25">
      <c r="A24" s="139"/>
      <c r="B24" s="150"/>
      <c r="C24" s="151"/>
      <c r="D24" s="152" t="s">
        <v>140</v>
      </c>
      <c r="E24" s="727" t="str">
        <f>IF(Sim_Retenue=1,Prime_CR_Sim1,IF(Sim_Retenue=2,Prime_CR_Sim2,"Erreur choix SIM"))</f>
        <v>Erreur choix SIM</v>
      </c>
      <c r="F24" s="153"/>
      <c r="G24" s="141"/>
      <c r="H24" s="141"/>
      <c r="I24" s="141"/>
    </row>
    <row r="25" spans="1:9" ht="15" customHeight="1" x14ac:dyDescent="0.25">
      <c r="A25" s="139"/>
      <c r="B25" s="150"/>
      <c r="C25" s="151"/>
      <c r="D25" s="152" t="s">
        <v>598</v>
      </c>
      <c r="E25" s="727" t="str">
        <f>IF(Sim_Retenue=1,Prime_3CT_Sim1+Prime_Public_Autre_Sim1,IF(Sim_Retenue=2,Prime_3CT_Sim2+Prime_Public_Autre_Sim2,"Erreur choix SIM"))</f>
        <v>Erreur choix SIM</v>
      </c>
      <c r="F25" s="153"/>
      <c r="G25" s="141"/>
      <c r="H25" s="141"/>
      <c r="I25" s="141"/>
    </row>
    <row r="26" spans="1:9" ht="15" customHeight="1" thickBot="1" x14ac:dyDescent="0.3">
      <c r="A26" s="139"/>
      <c r="B26" s="154"/>
      <c r="C26" s="155"/>
      <c r="D26" s="156">
        <f>CC_Nom</f>
        <v>0</v>
      </c>
      <c r="E26" s="728" t="str">
        <f>IF(Sim_Retenue=1,Prime_CC_Sim1,IF(Sim_Retenue=2,Prime_CC_Sim2,"Erreur choix SIM"))</f>
        <v>Erreur choix SIM</v>
      </c>
      <c r="F26" s="157"/>
      <c r="G26" s="141"/>
      <c r="H26" s="141"/>
      <c r="I26" s="141"/>
    </row>
    <row r="27" spans="1:9" ht="7.5" customHeight="1" thickBot="1" x14ac:dyDescent="0.3">
      <c r="A27" s="158"/>
      <c r="B27" s="158"/>
      <c r="C27" s="159"/>
      <c r="D27" s="159"/>
      <c r="E27" s="160"/>
      <c r="F27" s="141"/>
      <c r="G27" s="141"/>
      <c r="H27" s="141"/>
      <c r="I27" s="141"/>
    </row>
    <row r="28" spans="1:9" ht="16.5" thickBot="1" x14ac:dyDescent="0.3">
      <c r="A28" s="147"/>
      <c r="B28" s="1401" t="s">
        <v>265</v>
      </c>
      <c r="C28" s="1402"/>
      <c r="D28" s="1402"/>
      <c r="E28" s="1402"/>
      <c r="F28" s="1403"/>
      <c r="G28" s="141"/>
      <c r="H28" s="141"/>
      <c r="I28" s="141"/>
    </row>
    <row r="29" spans="1:9" ht="15" customHeight="1" x14ac:dyDescent="0.25">
      <c r="A29" s="139"/>
      <c r="B29" s="734"/>
      <c r="C29" s="735"/>
      <c r="D29" s="736" t="s">
        <v>266</v>
      </c>
      <c r="E29" s="737">
        <f ca="1">Solde_TOTAL_HT_Projet_Sim_Solde</f>
        <v>0</v>
      </c>
      <c r="F29" s="730" t="s">
        <v>12</v>
      </c>
      <c r="G29" s="141"/>
      <c r="H29" s="141"/>
      <c r="I29" s="141"/>
    </row>
    <row r="30" spans="1:9" ht="15" customHeight="1" x14ac:dyDescent="0.25">
      <c r="A30" s="139"/>
      <c r="B30" s="150"/>
      <c r="C30" s="147"/>
      <c r="D30" s="152" t="s">
        <v>267</v>
      </c>
      <c r="E30" s="729" t="e">
        <f>Solde_Prime_Anah_Sim_Solde+Solde_Prime_ASE_Sim_Solde</f>
        <v>#VALUE!</v>
      </c>
      <c r="F30" s="731"/>
      <c r="G30" s="141"/>
      <c r="H30" s="141"/>
      <c r="I30" s="141"/>
    </row>
    <row r="31" spans="1:9" ht="15" customHeight="1" x14ac:dyDescent="0.25">
      <c r="A31" s="139"/>
      <c r="B31" s="150"/>
      <c r="C31" s="147"/>
      <c r="D31" s="152" t="s">
        <v>268</v>
      </c>
      <c r="E31" s="729">
        <f>Solde_Prime_Region_Sim_Solde</f>
        <v>0</v>
      </c>
      <c r="F31" s="731"/>
      <c r="G31" s="141"/>
      <c r="H31" s="141"/>
      <c r="I31" s="141"/>
    </row>
    <row r="32" spans="1:9" ht="15" customHeight="1" x14ac:dyDescent="0.25">
      <c r="A32" s="139"/>
      <c r="B32" s="150"/>
      <c r="C32" s="147"/>
      <c r="D32" s="152" t="s">
        <v>595</v>
      </c>
      <c r="E32" s="729">
        <f>Solde_Prime_ALS_Sim_Solde</f>
        <v>0</v>
      </c>
      <c r="F32" s="731"/>
      <c r="G32" s="141"/>
      <c r="H32" s="141"/>
      <c r="I32" s="141"/>
    </row>
    <row r="33" spans="1:9" ht="15" customHeight="1" x14ac:dyDescent="0.25">
      <c r="A33" s="139"/>
      <c r="B33" s="150"/>
      <c r="C33" s="147"/>
      <c r="D33" s="152" t="s">
        <v>594</v>
      </c>
      <c r="E33" s="729">
        <f>Solde_Prime_CR_Sim_Solde</f>
        <v>0</v>
      </c>
      <c r="F33" s="731"/>
      <c r="G33" s="141"/>
      <c r="H33" s="141"/>
      <c r="I33" s="141"/>
    </row>
    <row r="34" spans="1:9" ht="15" customHeight="1" x14ac:dyDescent="0.25">
      <c r="A34" s="139"/>
      <c r="B34" s="150"/>
      <c r="C34" s="147"/>
      <c r="D34" s="152" t="s">
        <v>599</v>
      </c>
      <c r="E34" s="729">
        <f>Solde_Prime_Public_Autre_Sim_Solde+Solde_Prime_3CT_Sim_Solde</f>
        <v>0</v>
      </c>
      <c r="F34" s="731"/>
      <c r="G34" s="141"/>
      <c r="H34" s="141"/>
      <c r="I34" s="141"/>
    </row>
    <row r="35" spans="1:9" ht="15" customHeight="1" thickBot="1" x14ac:dyDescent="0.3">
      <c r="A35" s="139"/>
      <c r="B35" s="161"/>
      <c r="C35" s="732"/>
      <c r="D35" s="162" t="str">
        <f>CONCATENATE("Part ",CC_Nom," à régler : ")</f>
        <v xml:space="preserve">Part  à régler : </v>
      </c>
      <c r="E35" s="163" t="e">
        <f>Solde_Prime_CC_Sim_Solde</f>
        <v>#VALUE!</v>
      </c>
      <c r="F35" s="733"/>
      <c r="G35" s="141"/>
      <c r="H35" s="141"/>
      <c r="I35" s="141"/>
    </row>
    <row r="36" spans="1:9" ht="15" customHeight="1" thickBot="1" x14ac:dyDescent="0.3">
      <c r="A36" s="141"/>
      <c r="B36" s="141"/>
      <c r="C36" s="141"/>
      <c r="D36" s="141"/>
      <c r="E36" s="141"/>
      <c r="F36" s="141"/>
      <c r="G36" s="141"/>
      <c r="H36" s="141"/>
      <c r="I36" s="141"/>
    </row>
    <row r="37" spans="1:9" ht="15" customHeight="1" x14ac:dyDescent="0.25">
      <c r="A37" s="141"/>
      <c r="B37" s="1417" t="str">
        <f>CONCATENATE("Référence délibération ",CC_Nom)</f>
        <v xml:space="preserve">Référence délibération </v>
      </c>
      <c r="C37" s="1418"/>
      <c r="D37" s="1408" t="str">
        <f>IF(CC_Nom="CCMAV","A Alban, Le",IF(CC_Nom="CCCT","A Réalmont, Le","Définir CC"))</f>
        <v>Définir CC</v>
      </c>
      <c r="E37" s="1409"/>
      <c r="F37" s="165">
        <f ca="1">TODAY()</f>
        <v>44295</v>
      </c>
      <c r="G37" s="141"/>
      <c r="H37" s="141"/>
      <c r="I37" s="141"/>
    </row>
    <row r="38" spans="1:9" ht="15" customHeight="1" thickBot="1" x14ac:dyDescent="0.3">
      <c r="A38" s="141"/>
      <c r="B38" s="1419"/>
      <c r="C38" s="1420"/>
      <c r="D38" s="141"/>
      <c r="E38" s="164"/>
      <c r="F38" s="164"/>
      <c r="G38" s="141"/>
      <c r="H38" s="141"/>
      <c r="I38" s="141"/>
    </row>
    <row r="39" spans="1:9" ht="15" customHeight="1" x14ac:dyDescent="0.25">
      <c r="A39" s="141"/>
      <c r="B39" s="141"/>
      <c r="C39" s="141"/>
      <c r="D39" s="141"/>
      <c r="E39" s="164"/>
      <c r="F39" s="164"/>
      <c r="G39" s="141"/>
      <c r="H39" s="141"/>
      <c r="I39" s="141"/>
    </row>
    <row r="40" spans="1:9" ht="15" customHeight="1" x14ac:dyDescent="0.25">
      <c r="A40" s="141"/>
      <c r="B40" s="141"/>
      <c r="C40" s="141"/>
      <c r="D40" s="141"/>
      <c r="E40" s="166" t="s">
        <v>269</v>
      </c>
      <c r="F40" s="164"/>
      <c r="G40" s="141"/>
      <c r="H40" s="141"/>
      <c r="I40" s="141"/>
    </row>
    <row r="41" spans="1:9" ht="15" customHeight="1" x14ac:dyDescent="0.25">
      <c r="A41" s="141"/>
      <c r="B41" s="141"/>
      <c r="C41" s="141"/>
      <c r="D41" s="141"/>
      <c r="E41" s="179" t="str">
        <f>IF(CC_Nom="CCMAV","Jean-Luc Espitalier",IF(CC_Nom="CCCT","Jean-Luc Cantaloube","Définir CC"))</f>
        <v>Définir CC</v>
      </c>
      <c r="F41" s="164"/>
      <c r="G41" s="141"/>
      <c r="H41" s="141"/>
      <c r="I41" s="141"/>
    </row>
    <row r="42" spans="1:9" ht="15" customHeight="1" x14ac:dyDescent="0.25">
      <c r="A42" s="141"/>
      <c r="B42" s="141"/>
      <c r="C42" s="141"/>
      <c r="D42" s="177"/>
      <c r="F42" s="178"/>
      <c r="G42" s="141"/>
      <c r="H42" s="141"/>
      <c r="I42" s="141"/>
    </row>
    <row r="43" spans="1:9" ht="15" customHeight="1" x14ac:dyDescent="0.25">
      <c r="A43" s="167"/>
      <c r="B43" s="167"/>
      <c r="C43" s="168"/>
      <c r="D43" s="168"/>
      <c r="E43" s="168"/>
      <c r="F43" s="168"/>
      <c r="G43" s="168"/>
    </row>
    <row r="44" spans="1:9" ht="15" customHeight="1" x14ac:dyDescent="0.25"/>
    <row r="45" spans="1:9" ht="15" customHeight="1" x14ac:dyDescent="0.25"/>
    <row r="46" spans="1:9" ht="15" customHeight="1" x14ac:dyDescent="0.25"/>
    <row r="47" spans="1:9" ht="15" customHeight="1" x14ac:dyDescent="0.25"/>
    <row r="48" spans="1:9" ht="15" customHeight="1" x14ac:dyDescent="0.25">
      <c r="A48" s="1416" t="str">
        <f>IF(CC_Nom="CCMAV","COMMUNAUTE DE COMMUNES DES MONTS D’ALBAN ET DU VILLEFRANCHOIS                                                                         1 rue du Sénateur Boularan 81250 Alban - Téléphone : 05 63 79 26 70  -  Email : accueil@ccmav.fr",IF(CC_Nom="CCCT","COMMUNAUTE DE COMMUNES CENTRE TARN - 2 bis boulevard Carnot, 81120 REALMONT                                                     Téléphone : 05 63 79 21 27 - Email : accueil@centretarn.fr","""DéfinirCC"))</f>
        <v>"DéfinirCC</v>
      </c>
      <c r="B48" s="1416"/>
      <c r="C48" s="1416"/>
      <c r="D48" s="1416"/>
      <c r="E48" s="1416"/>
      <c r="F48" s="1416"/>
      <c r="G48" s="1416"/>
    </row>
    <row r="49" spans="1:7" ht="15" customHeight="1" x14ac:dyDescent="0.25">
      <c r="A49" s="1416"/>
      <c r="B49" s="1416"/>
      <c r="C49" s="1416"/>
      <c r="D49" s="1416"/>
      <c r="E49" s="1416"/>
      <c r="F49" s="1416"/>
      <c r="G49" s="1416"/>
    </row>
    <row r="50" spans="1:7" ht="15" customHeight="1" x14ac:dyDescent="0.25"/>
    <row r="51" spans="1:7" ht="15" customHeight="1" x14ac:dyDescent="0.25">
      <c r="A51" s="746"/>
    </row>
    <row r="52" spans="1:7" ht="15" customHeight="1" x14ac:dyDescent="0.25"/>
    <row r="53" spans="1:7" ht="15" customHeight="1" x14ac:dyDescent="0.25"/>
    <row r="54" spans="1:7" ht="15" customHeight="1" x14ac:dyDescent="0.25"/>
    <row r="55" spans="1:7" ht="15" customHeight="1" x14ac:dyDescent="0.25"/>
    <row r="56" spans="1:7" ht="15" customHeight="1" x14ac:dyDescent="0.25"/>
    <row r="57" spans="1:7" ht="15" customHeight="1" x14ac:dyDescent="0.25"/>
    <row r="58" spans="1:7" ht="15" customHeight="1" x14ac:dyDescent="0.25"/>
    <row r="59" spans="1:7" ht="15" customHeight="1" x14ac:dyDescent="0.25"/>
    <row r="60" spans="1:7" ht="15" customHeight="1" x14ac:dyDescent="0.25"/>
    <row r="61" spans="1:7" ht="15" customHeight="1" x14ac:dyDescent="0.25"/>
    <row r="62" spans="1:7" ht="15" customHeight="1" x14ac:dyDescent="0.25"/>
    <row r="63" spans="1:7" ht="15" customHeight="1" x14ac:dyDescent="0.25"/>
    <row r="64" spans="1:7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</sheetData>
  <sheetProtection autoFilter="0"/>
  <customSheetViews>
    <customSheetView guid="{A63F3AF0-420C-4EB7-9C04-DE4CC40F156A}" scale="85" topLeftCell="A4">
      <selection activeCell="D34" sqref="D34"/>
      <pageMargins left="0.70866141732283472" right="0.70866141732283472" top="0.74803149606299213" bottom="0.74803149606299213" header="0.31496062992125984" footer="0.31496062992125984"/>
      <printOptions horizontalCentered="1"/>
      <pageSetup paperSize="9" orientation="portrait" r:id="rId1"/>
      <headerFooter>
        <oddFooter>&amp;C&amp;10COMMUNAUTE DE COMMUNES DES MONTS D’ALBAN ET DU &amp;9VILLEFRANCHOIS - 1, rue du Sénateur Boularan,  81250 Alban
Téléphone : 05 63 79 26 70  -  Fax : 05 63 79 26 79 -  e-mail : accueil@ccmav.fr</oddFooter>
      </headerFooter>
    </customSheetView>
  </customSheetViews>
  <mergeCells count="24">
    <mergeCell ref="A48:G49"/>
    <mergeCell ref="B20:D20"/>
    <mergeCell ref="B28:F28"/>
    <mergeCell ref="B37:C37"/>
    <mergeCell ref="B38:C38"/>
    <mergeCell ref="B19:D19"/>
    <mergeCell ref="D37:E37"/>
    <mergeCell ref="B11:F11"/>
    <mergeCell ref="B13:C13"/>
    <mergeCell ref="D13:F13"/>
    <mergeCell ref="B14:C14"/>
    <mergeCell ref="D14:F14"/>
    <mergeCell ref="C12:F12"/>
    <mergeCell ref="B15:C15"/>
    <mergeCell ref="D15:F15"/>
    <mergeCell ref="B16:C16"/>
    <mergeCell ref="D16:F16"/>
    <mergeCell ref="B18:F18"/>
    <mergeCell ref="C9:F9"/>
    <mergeCell ref="A2:G2"/>
    <mergeCell ref="A4:G4"/>
    <mergeCell ref="B6:F6"/>
    <mergeCell ref="C7:F7"/>
    <mergeCell ref="C8:F8"/>
  </mergeCells>
  <printOptions horizontalCentered="1"/>
  <pageMargins left="0.31496062992125984" right="0.31496062992125984" top="0.15748031496062992" bottom="0.15748031496062992" header="0.31496062992125984" footer="0.31496062992125984"/>
  <pageSetup paperSize="9" orientation="portrait"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4"/>
  <dimension ref="A3:E49"/>
  <sheetViews>
    <sheetView workbookViewId="0">
      <selection activeCell="E25" sqref="E25"/>
    </sheetView>
  </sheetViews>
  <sheetFormatPr baseColWidth="10" defaultRowHeight="15" x14ac:dyDescent="0.25"/>
  <cols>
    <col min="1" max="2" width="20.28515625" style="425" customWidth="1"/>
    <col min="3" max="3" width="11.42578125" style="425"/>
    <col min="4" max="5" width="20.28515625" style="425" customWidth="1"/>
    <col min="6" max="16384" width="11.42578125" style="288"/>
  </cols>
  <sheetData>
    <row r="3" spans="1:5" x14ac:dyDescent="0.25">
      <c r="A3" s="1422" t="s">
        <v>94</v>
      </c>
      <c r="B3" s="1422"/>
      <c r="C3" s="423" t="s">
        <v>95</v>
      </c>
      <c r="D3" s="424" t="str">
        <f>IF(Prop_Categorie=PO,"BENEFICIAIRE","PROPRIETAIRE")</f>
        <v>PROPRIETAIRE</v>
      </c>
      <c r="E3" s="423"/>
    </row>
    <row r="4" spans="1:5" x14ac:dyDescent="0.25">
      <c r="A4" s="1421" t="e">
        <f>Devis1_Nom_Entreprise</f>
        <v>#N/A</v>
      </c>
      <c r="B4" s="1421"/>
      <c r="C4" s="1423"/>
      <c r="D4" s="1421" t="str">
        <f>CONCATENATE(Prop_Nom," ",Prop_Prenom)</f>
        <v xml:space="preserve"> </v>
      </c>
      <c r="E4" s="1421"/>
    </row>
    <row r="5" spans="1:5" x14ac:dyDescent="0.25">
      <c r="A5" s="1421" t="e">
        <f>Devis1_Adresse1_Entreprise</f>
        <v>#N/A</v>
      </c>
      <c r="B5" s="1421"/>
      <c r="C5" s="1423"/>
      <c r="D5" s="1421" t="str">
        <f>Prop_Adresse1</f>
        <v/>
      </c>
      <c r="E5" s="1421"/>
    </row>
    <row r="6" spans="1:5" x14ac:dyDescent="0.25">
      <c r="A6" s="1421" t="e">
        <f>Devis1_Adresse2_Entreprise</f>
        <v>#N/A</v>
      </c>
      <c r="B6" s="1421"/>
      <c r="C6" s="423"/>
      <c r="D6" s="1421" t="str">
        <f>Prop_Adresse2</f>
        <v/>
      </c>
      <c r="E6" s="1421"/>
    </row>
    <row r="7" spans="1:5" x14ac:dyDescent="0.25">
      <c r="A7" s="423" t="e">
        <f>Devis1_CP_Entreprise</f>
        <v>#N/A</v>
      </c>
      <c r="B7" s="423" t="e">
        <f>Devis1_Ville_Entreprise</f>
        <v>#N/A</v>
      </c>
      <c r="C7" s="423"/>
      <c r="D7" s="423" t="str">
        <f>Prop_CP</f>
        <v/>
      </c>
      <c r="E7" s="423" t="str">
        <f>Prop_Ville</f>
        <v/>
      </c>
    </row>
    <row r="8" spans="1:5" x14ac:dyDescent="0.25">
      <c r="A8" s="426"/>
      <c r="B8" s="426"/>
      <c r="C8" s="426"/>
      <c r="D8" s="426"/>
      <c r="E8" s="426"/>
    </row>
    <row r="9" spans="1:5" x14ac:dyDescent="0.25">
      <c r="A9" s="1422" t="s">
        <v>96</v>
      </c>
      <c r="B9" s="1422"/>
      <c r="C9" s="423" t="s">
        <v>95</v>
      </c>
      <c r="D9" s="423" t="s">
        <v>104</v>
      </c>
      <c r="E9" s="423">
        <f>MIN(C3:C49)</f>
        <v>0</v>
      </c>
    </row>
    <row r="10" spans="1:5" x14ac:dyDescent="0.25">
      <c r="A10" s="1421" t="e">
        <f>Devis2_Nom_Entreprise</f>
        <v>#N/A</v>
      </c>
      <c r="B10" s="1421"/>
      <c r="C10" s="1423"/>
      <c r="D10" s="423" t="s">
        <v>105</v>
      </c>
      <c r="E10" s="423">
        <f>MAX(C3:C49)</f>
        <v>0</v>
      </c>
    </row>
    <row r="11" spans="1:5" x14ac:dyDescent="0.25">
      <c r="A11" s="1421" t="e">
        <f>Devis2_Adresse1_Entreprise</f>
        <v>#N/A</v>
      </c>
      <c r="B11" s="1421"/>
      <c r="C11" s="1423"/>
      <c r="D11" s="423" t="s">
        <v>106</v>
      </c>
      <c r="E11" s="423" t="e">
        <f>AVERAGE(C3:C49)</f>
        <v>#DIV/0!</v>
      </c>
    </row>
    <row r="12" spans="1:5" x14ac:dyDescent="0.25">
      <c r="A12" s="1421" t="e">
        <f>Devis2_Adresse2_Entreprise</f>
        <v>#N/A</v>
      </c>
      <c r="B12" s="1421"/>
      <c r="C12" s="423"/>
      <c r="D12" s="423" t="s">
        <v>103</v>
      </c>
      <c r="E12" s="423">
        <f>SUM(C3:C49)</f>
        <v>0</v>
      </c>
    </row>
    <row r="13" spans="1:5" x14ac:dyDescent="0.25">
      <c r="A13" s="423" t="e">
        <f>Devis2_CP_Entreprise</f>
        <v>#N/A</v>
      </c>
      <c r="B13" s="423" t="e">
        <f>Devis2_Ville_Entreprise</f>
        <v>#N/A</v>
      </c>
      <c r="C13" s="423"/>
      <c r="D13" s="426"/>
      <c r="E13" s="426"/>
    </row>
    <row r="14" spans="1:5" x14ac:dyDescent="0.25">
      <c r="A14" s="426"/>
      <c r="B14" s="426"/>
      <c r="C14" s="426"/>
      <c r="D14" s="426"/>
      <c r="E14" s="426"/>
    </row>
    <row r="15" spans="1:5" x14ac:dyDescent="0.25">
      <c r="A15" s="1422" t="s">
        <v>97</v>
      </c>
      <c r="B15" s="1422"/>
      <c r="C15" s="423" t="s">
        <v>95</v>
      </c>
      <c r="D15" s="426"/>
      <c r="E15" s="426"/>
    </row>
    <row r="16" spans="1:5" x14ac:dyDescent="0.25">
      <c r="A16" s="1421" t="e">
        <f>Devis3_Nom_Entreprise</f>
        <v>#N/A</v>
      </c>
      <c r="B16" s="1421"/>
      <c r="C16" s="1423"/>
      <c r="D16" s="426"/>
      <c r="E16" s="426"/>
    </row>
    <row r="17" spans="1:5" x14ac:dyDescent="0.25">
      <c r="A17" s="1421" t="e">
        <f>Devis3_Adresse1_Entreprise</f>
        <v>#N/A</v>
      </c>
      <c r="B17" s="1421"/>
      <c r="C17" s="1423"/>
      <c r="D17" s="426"/>
      <c r="E17" s="426"/>
    </row>
    <row r="18" spans="1:5" x14ac:dyDescent="0.25">
      <c r="A18" s="1421" t="e">
        <f>Devis3_Adresse2_Entreprise</f>
        <v>#N/A</v>
      </c>
      <c r="B18" s="1421"/>
      <c r="C18" s="423"/>
      <c r="D18" s="426"/>
      <c r="E18" s="426"/>
    </row>
    <row r="19" spans="1:5" x14ac:dyDescent="0.25">
      <c r="A19" s="423" t="e">
        <f>Devis3_CP_Entreprise</f>
        <v>#N/A</v>
      </c>
      <c r="B19" s="423" t="e">
        <f>Devis3_Ville_Entreprise</f>
        <v>#N/A</v>
      </c>
      <c r="C19" s="423"/>
      <c r="D19" s="426"/>
      <c r="E19" s="426"/>
    </row>
    <row r="20" spans="1:5" x14ac:dyDescent="0.25">
      <c r="A20" s="426"/>
      <c r="B20" s="426"/>
      <c r="C20" s="426"/>
      <c r="D20" s="426"/>
      <c r="E20" s="426"/>
    </row>
    <row r="21" spans="1:5" x14ac:dyDescent="0.25">
      <c r="A21" s="1422" t="s">
        <v>98</v>
      </c>
      <c r="B21" s="1422"/>
      <c r="C21" s="423" t="s">
        <v>95</v>
      </c>
      <c r="D21" s="426"/>
      <c r="E21" s="426"/>
    </row>
    <row r="22" spans="1:5" x14ac:dyDescent="0.25">
      <c r="A22" s="1421" t="e">
        <f>Devis4_Nom_Entreprise</f>
        <v>#N/A</v>
      </c>
      <c r="B22" s="1421"/>
      <c r="C22" s="1423"/>
      <c r="D22" s="426"/>
      <c r="E22" s="426"/>
    </row>
    <row r="23" spans="1:5" x14ac:dyDescent="0.25">
      <c r="A23" s="1421" t="e">
        <f>Devis4_Adresse1_Entreprise</f>
        <v>#N/A</v>
      </c>
      <c r="B23" s="1421"/>
      <c r="C23" s="1423"/>
      <c r="D23" s="426"/>
      <c r="E23" s="426"/>
    </row>
    <row r="24" spans="1:5" x14ac:dyDescent="0.25">
      <c r="A24" s="1421" t="e">
        <f>Devis4_Adresse2_Entreprise</f>
        <v>#N/A</v>
      </c>
      <c r="B24" s="1421"/>
      <c r="C24" s="423"/>
      <c r="D24" s="426"/>
      <c r="E24" s="426"/>
    </row>
    <row r="25" spans="1:5" x14ac:dyDescent="0.25">
      <c r="A25" s="423" t="e">
        <f>Devis4_CP_Entreprise</f>
        <v>#N/A</v>
      </c>
      <c r="B25" s="423" t="e">
        <f>Devis4_Ville_Entreprise</f>
        <v>#N/A</v>
      </c>
      <c r="C25" s="423"/>
      <c r="D25" s="426"/>
      <c r="E25" s="426"/>
    </row>
    <row r="26" spans="1:5" x14ac:dyDescent="0.25">
      <c r="A26" s="426"/>
      <c r="B26" s="426"/>
      <c r="C26" s="426"/>
      <c r="D26" s="426"/>
      <c r="E26" s="426"/>
    </row>
    <row r="27" spans="1:5" x14ac:dyDescent="0.25">
      <c r="A27" s="1422" t="s">
        <v>99</v>
      </c>
      <c r="B27" s="1422"/>
      <c r="C27" s="423" t="s">
        <v>95</v>
      </c>
      <c r="D27" s="426"/>
      <c r="E27" s="426"/>
    </row>
    <row r="28" spans="1:5" x14ac:dyDescent="0.25">
      <c r="A28" s="1421" t="e">
        <f>Devis5_Nom_Entreprise</f>
        <v>#N/A</v>
      </c>
      <c r="B28" s="1421"/>
      <c r="C28" s="1423"/>
      <c r="D28" s="426"/>
      <c r="E28" s="426"/>
    </row>
    <row r="29" spans="1:5" x14ac:dyDescent="0.25">
      <c r="A29" s="1421" t="e">
        <f>Devis5_Adresse1_Entreprise</f>
        <v>#N/A</v>
      </c>
      <c r="B29" s="1421"/>
      <c r="C29" s="1423"/>
      <c r="D29" s="426"/>
      <c r="E29" s="426"/>
    </row>
    <row r="30" spans="1:5" x14ac:dyDescent="0.25">
      <c r="A30" s="1421" t="e">
        <f>Devis5_Adresse2_Entreprise</f>
        <v>#N/A</v>
      </c>
      <c r="B30" s="1421"/>
      <c r="C30" s="423"/>
      <c r="D30" s="426"/>
      <c r="E30" s="426"/>
    </row>
    <row r="31" spans="1:5" x14ac:dyDescent="0.25">
      <c r="A31" s="423" t="e">
        <f>Devis5_CP_Entreprise</f>
        <v>#N/A</v>
      </c>
      <c r="B31" s="423" t="e">
        <f>Devis5_Ville_Entreprise</f>
        <v>#N/A</v>
      </c>
      <c r="C31" s="423"/>
      <c r="D31" s="426"/>
      <c r="E31" s="426"/>
    </row>
    <row r="32" spans="1:5" x14ac:dyDescent="0.25">
      <c r="A32" s="426"/>
      <c r="B32" s="426"/>
      <c r="C32" s="426"/>
      <c r="D32" s="426"/>
      <c r="E32" s="426"/>
    </row>
    <row r="33" spans="1:5" x14ac:dyDescent="0.25">
      <c r="A33" s="1422" t="s">
        <v>100</v>
      </c>
      <c r="B33" s="1422"/>
      <c r="C33" s="423" t="s">
        <v>95</v>
      </c>
      <c r="D33" s="426"/>
      <c r="E33" s="426"/>
    </row>
    <row r="34" spans="1:5" x14ac:dyDescent="0.25">
      <c r="A34" s="1421" t="e">
        <f>Devis6_Nom_Entreprise</f>
        <v>#N/A</v>
      </c>
      <c r="B34" s="1421"/>
      <c r="C34" s="1423"/>
      <c r="D34" s="426"/>
      <c r="E34" s="426"/>
    </row>
    <row r="35" spans="1:5" x14ac:dyDescent="0.25">
      <c r="A35" s="1421" t="e">
        <f>Devis6_Adresse1_Entreprise</f>
        <v>#N/A</v>
      </c>
      <c r="B35" s="1421"/>
      <c r="C35" s="1423"/>
      <c r="D35" s="426"/>
      <c r="E35" s="426"/>
    </row>
    <row r="36" spans="1:5" x14ac:dyDescent="0.25">
      <c r="A36" s="1421" t="e">
        <f>Devis6_Adresse2_Entreprise</f>
        <v>#N/A</v>
      </c>
      <c r="B36" s="1421"/>
      <c r="C36" s="423"/>
      <c r="D36" s="426"/>
      <c r="E36" s="426"/>
    </row>
    <row r="37" spans="1:5" x14ac:dyDescent="0.25">
      <c r="A37" s="423" t="e">
        <f>Devis6_CP_Entreprise</f>
        <v>#N/A</v>
      </c>
      <c r="B37" s="423" t="e">
        <f>Devis6_Ville_Entreprise</f>
        <v>#N/A</v>
      </c>
      <c r="C37" s="423"/>
      <c r="D37" s="426"/>
      <c r="E37" s="426"/>
    </row>
    <row r="38" spans="1:5" x14ac:dyDescent="0.25">
      <c r="A38" s="426"/>
      <c r="B38" s="426"/>
      <c r="C38" s="426"/>
      <c r="D38" s="426"/>
      <c r="E38" s="426"/>
    </row>
    <row r="39" spans="1:5" x14ac:dyDescent="0.25">
      <c r="A39" s="1422" t="s">
        <v>101</v>
      </c>
      <c r="B39" s="1422"/>
      <c r="C39" s="423" t="s">
        <v>95</v>
      </c>
      <c r="D39" s="426"/>
      <c r="E39" s="426"/>
    </row>
    <row r="40" spans="1:5" x14ac:dyDescent="0.25">
      <c r="A40" s="1421" t="e">
        <f>Devis7_Nom_Entreprise</f>
        <v>#N/A</v>
      </c>
      <c r="B40" s="1421"/>
      <c r="C40" s="1423"/>
      <c r="D40" s="426"/>
      <c r="E40" s="426"/>
    </row>
    <row r="41" spans="1:5" x14ac:dyDescent="0.25">
      <c r="A41" s="1421" t="e">
        <f>Devis7_Adresse1_Entreprise</f>
        <v>#N/A</v>
      </c>
      <c r="B41" s="1421"/>
      <c r="C41" s="1423"/>
      <c r="D41" s="426"/>
      <c r="E41" s="426"/>
    </row>
    <row r="42" spans="1:5" x14ac:dyDescent="0.25">
      <c r="A42" s="1421" t="e">
        <f>Devis7_Adresse2_Entreprise</f>
        <v>#N/A</v>
      </c>
      <c r="B42" s="1421"/>
      <c r="C42" s="423"/>
      <c r="D42" s="426"/>
      <c r="E42" s="426"/>
    </row>
    <row r="43" spans="1:5" x14ac:dyDescent="0.25">
      <c r="A43" s="423" t="e">
        <f>Devis7_CP_Entreprise</f>
        <v>#N/A</v>
      </c>
      <c r="B43" s="423" t="e">
        <f>Devis7_Ville_Entreprise</f>
        <v>#N/A</v>
      </c>
      <c r="C43" s="423"/>
      <c r="D43" s="426"/>
      <c r="E43" s="426"/>
    </row>
    <row r="44" spans="1:5" x14ac:dyDescent="0.25">
      <c r="A44" s="426"/>
      <c r="B44" s="426"/>
      <c r="C44" s="426"/>
      <c r="D44" s="426"/>
      <c r="E44" s="426"/>
    </row>
    <row r="45" spans="1:5" x14ac:dyDescent="0.25">
      <c r="A45" s="1422" t="s">
        <v>102</v>
      </c>
      <c r="B45" s="1422"/>
      <c r="C45" s="423" t="s">
        <v>95</v>
      </c>
      <c r="D45" s="426"/>
      <c r="E45" s="426"/>
    </row>
    <row r="46" spans="1:5" x14ac:dyDescent="0.25">
      <c r="A46" s="1421" t="e">
        <f>Devis8_Nom_Entreprise</f>
        <v>#N/A</v>
      </c>
      <c r="B46" s="1421"/>
      <c r="C46" s="1423"/>
      <c r="D46" s="426"/>
      <c r="E46" s="426"/>
    </row>
    <row r="47" spans="1:5" x14ac:dyDescent="0.25">
      <c r="A47" s="1421" t="e">
        <f>Devis8_Adresse1_Entreprise</f>
        <v>#N/A</v>
      </c>
      <c r="B47" s="1421"/>
      <c r="C47" s="1423"/>
      <c r="D47" s="426"/>
      <c r="E47" s="426"/>
    </row>
    <row r="48" spans="1:5" x14ac:dyDescent="0.25">
      <c r="A48" s="1421" t="e">
        <f>Devis8_Adresse2_Entreprise</f>
        <v>#N/A</v>
      </c>
      <c r="B48" s="1421"/>
      <c r="C48" s="423"/>
      <c r="D48" s="426"/>
      <c r="E48" s="426"/>
    </row>
    <row r="49" spans="1:5" x14ac:dyDescent="0.25">
      <c r="A49" s="423" t="e">
        <f>Devis8_CP_Entreprise</f>
        <v>#N/A</v>
      </c>
      <c r="B49" s="423" t="e">
        <f>Devis8_Ville_Entreprise</f>
        <v>#N/A</v>
      </c>
      <c r="C49" s="423"/>
      <c r="D49" s="426"/>
      <c r="E49" s="426"/>
    </row>
  </sheetData>
  <sheetProtection autoFilter="0"/>
  <customSheetViews>
    <customSheetView guid="{A63F3AF0-420C-4EB7-9C04-DE4CC40F156A}">
      <selection activeCell="F25" sqref="F25"/>
      <pageMargins left="0.7" right="0.7" top="0.75" bottom="0.75" header="0.3" footer="0.3"/>
    </customSheetView>
  </customSheetViews>
  <mergeCells count="43">
    <mergeCell ref="C46:C47"/>
    <mergeCell ref="C4:C5"/>
    <mergeCell ref="D4:E4"/>
    <mergeCell ref="D5:E5"/>
    <mergeCell ref="D6:E6"/>
    <mergeCell ref="C10:C11"/>
    <mergeCell ref="C16:C17"/>
    <mergeCell ref="C22:C23"/>
    <mergeCell ref="C28:C29"/>
    <mergeCell ref="C34:C35"/>
    <mergeCell ref="C40:C41"/>
    <mergeCell ref="A27:B27"/>
    <mergeCell ref="A4:B4"/>
    <mergeCell ref="A5:B5"/>
    <mergeCell ref="A6:B6"/>
    <mergeCell ref="A10:B10"/>
    <mergeCell ref="A11:B11"/>
    <mergeCell ref="A12:B12"/>
    <mergeCell ref="A24:B24"/>
    <mergeCell ref="A22:B22"/>
    <mergeCell ref="A23:B23"/>
    <mergeCell ref="A3:B3"/>
    <mergeCell ref="A9:B9"/>
    <mergeCell ref="A15:B15"/>
    <mergeCell ref="A21:B21"/>
    <mergeCell ref="A16:B16"/>
    <mergeCell ref="A17:B17"/>
    <mergeCell ref="A18:B18"/>
    <mergeCell ref="A46:B46"/>
    <mergeCell ref="A47:B47"/>
    <mergeCell ref="A48:B48"/>
    <mergeCell ref="A28:B28"/>
    <mergeCell ref="A29:B29"/>
    <mergeCell ref="A30:B30"/>
    <mergeCell ref="A34:B34"/>
    <mergeCell ref="A35:B35"/>
    <mergeCell ref="A36:B36"/>
    <mergeCell ref="A39:B39"/>
    <mergeCell ref="A45:B45"/>
    <mergeCell ref="A42:B42"/>
    <mergeCell ref="A33:B33"/>
    <mergeCell ref="A40:B40"/>
    <mergeCell ref="A41:B4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Feuil1.Cellules">
                <anchor moveWithCells="1" sizeWithCells="1">
                  <from>
                    <xdr:col>4</xdr:col>
                    <xdr:colOff>1038225</xdr:colOff>
                    <xdr:row>26</xdr:row>
                    <xdr:rowOff>152400</xdr:rowOff>
                  </from>
                  <to>
                    <xdr:col>5</xdr:col>
                    <xdr:colOff>609600</xdr:colOff>
                    <xdr:row>28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1:H400"/>
  <sheetViews>
    <sheetView workbookViewId="0">
      <selection activeCell="B96" sqref="B96"/>
    </sheetView>
  </sheetViews>
  <sheetFormatPr baseColWidth="10" defaultRowHeight="15" x14ac:dyDescent="0.25"/>
  <cols>
    <col min="1" max="1" width="15" bestFit="1" customWidth="1"/>
    <col min="2" max="2" width="28.140625" bestFit="1" customWidth="1"/>
    <col min="3" max="3" width="31.140625" bestFit="1" customWidth="1"/>
    <col min="4" max="4" width="20.5703125" bestFit="1" customWidth="1"/>
    <col min="5" max="5" width="6" bestFit="1" customWidth="1"/>
    <col min="6" max="6" width="24.140625" bestFit="1" customWidth="1"/>
    <col min="7" max="7" width="35.5703125" bestFit="1" customWidth="1"/>
    <col min="8" max="8" width="12.7109375" bestFit="1" customWidth="1"/>
  </cols>
  <sheetData>
    <row r="1" spans="1:8" x14ac:dyDescent="0.25">
      <c r="A1" s="612" t="s">
        <v>495</v>
      </c>
      <c r="B1" s="613" t="s">
        <v>56</v>
      </c>
      <c r="C1" s="613" t="s">
        <v>496</v>
      </c>
      <c r="D1" s="613" t="s">
        <v>497</v>
      </c>
      <c r="E1" s="613" t="s">
        <v>52</v>
      </c>
      <c r="F1" s="613" t="s">
        <v>53</v>
      </c>
      <c r="G1" s="613" t="s">
        <v>107</v>
      </c>
      <c r="H1" s="614" t="s">
        <v>108</v>
      </c>
    </row>
    <row r="2" spans="1:8" x14ac:dyDescent="0.25">
      <c r="A2" s="612" t="s">
        <v>27</v>
      </c>
      <c r="B2" s="613" t="s">
        <v>498</v>
      </c>
      <c r="C2" s="613"/>
      <c r="D2" s="613"/>
      <c r="E2" s="613"/>
      <c r="F2" s="613"/>
      <c r="G2" s="613"/>
      <c r="H2" s="614"/>
    </row>
    <row r="3" spans="1:8" x14ac:dyDescent="0.25">
      <c r="A3" s="612" t="s">
        <v>499</v>
      </c>
      <c r="B3" s="613" t="s">
        <v>500</v>
      </c>
      <c r="C3" s="613"/>
      <c r="D3" s="613"/>
      <c r="E3" s="613"/>
      <c r="F3" s="613"/>
      <c r="G3" s="613"/>
      <c r="H3" s="614"/>
    </row>
    <row r="4" spans="1:8" x14ac:dyDescent="0.25">
      <c r="A4" s="615" t="s">
        <v>501</v>
      </c>
      <c r="B4" t="s">
        <v>621</v>
      </c>
      <c r="C4" t="s">
        <v>703</v>
      </c>
      <c r="E4">
        <v>31370</v>
      </c>
      <c r="F4" t="s">
        <v>785</v>
      </c>
      <c r="G4" s="545" t="s">
        <v>867</v>
      </c>
      <c r="H4" s="608" t="s">
        <v>949</v>
      </c>
    </row>
    <row r="5" spans="1:8" x14ac:dyDescent="0.25">
      <c r="A5" s="615" t="s">
        <v>502</v>
      </c>
      <c r="B5" t="s">
        <v>622</v>
      </c>
      <c r="C5" t="s">
        <v>704</v>
      </c>
      <c r="E5">
        <v>81120</v>
      </c>
      <c r="F5" t="s">
        <v>786</v>
      </c>
      <c r="G5" s="545" t="s">
        <v>868</v>
      </c>
      <c r="H5" s="608" t="s">
        <v>950</v>
      </c>
    </row>
    <row r="6" spans="1:8" x14ac:dyDescent="0.25">
      <c r="A6" s="615" t="s">
        <v>503</v>
      </c>
      <c r="B6" t="s">
        <v>623</v>
      </c>
      <c r="C6" t="s">
        <v>705</v>
      </c>
      <c r="E6">
        <v>81160</v>
      </c>
      <c r="F6" t="s">
        <v>787</v>
      </c>
      <c r="G6" s="545" t="s">
        <v>869</v>
      </c>
      <c r="H6" s="608" t="s">
        <v>951</v>
      </c>
    </row>
    <row r="7" spans="1:8" x14ac:dyDescent="0.25">
      <c r="A7" s="615" t="s">
        <v>492</v>
      </c>
      <c r="B7" t="s">
        <v>624</v>
      </c>
      <c r="C7" t="s">
        <v>706</v>
      </c>
      <c r="E7">
        <v>81120</v>
      </c>
      <c r="F7" t="s">
        <v>788</v>
      </c>
      <c r="G7" s="545" t="s">
        <v>870</v>
      </c>
      <c r="H7" s="608" t="s">
        <v>952</v>
      </c>
    </row>
    <row r="8" spans="1:8" x14ac:dyDescent="0.25">
      <c r="A8" s="615" t="s">
        <v>493</v>
      </c>
      <c r="B8" t="s">
        <v>625</v>
      </c>
      <c r="C8" t="s">
        <v>707</v>
      </c>
      <c r="E8">
        <v>31340</v>
      </c>
      <c r="F8" t="s">
        <v>789</v>
      </c>
      <c r="G8" s="545" t="s">
        <v>871</v>
      </c>
      <c r="H8" s="608" t="s">
        <v>953</v>
      </c>
    </row>
    <row r="9" spans="1:8" x14ac:dyDescent="0.25">
      <c r="A9" s="615" t="s">
        <v>504</v>
      </c>
      <c r="B9" t="s">
        <v>626</v>
      </c>
      <c r="C9" t="s">
        <v>708</v>
      </c>
      <c r="E9">
        <v>81000</v>
      </c>
      <c r="F9" t="s">
        <v>790</v>
      </c>
      <c r="G9" s="545" t="s">
        <v>872</v>
      </c>
      <c r="H9" s="608" t="s">
        <v>954</v>
      </c>
    </row>
    <row r="10" spans="1:8" x14ac:dyDescent="0.25">
      <c r="A10" s="615" t="s">
        <v>505</v>
      </c>
      <c r="B10" t="s">
        <v>627</v>
      </c>
      <c r="C10" t="s">
        <v>709</v>
      </c>
      <c r="E10">
        <v>81430</v>
      </c>
      <c r="F10" t="s">
        <v>791</v>
      </c>
      <c r="G10" s="545" t="s">
        <v>873</v>
      </c>
      <c r="H10" s="608" t="s">
        <v>955</v>
      </c>
    </row>
    <row r="11" spans="1:8" x14ac:dyDescent="0.25">
      <c r="A11" s="615" t="s">
        <v>506</v>
      </c>
      <c r="B11" t="s">
        <v>628</v>
      </c>
      <c r="C11" t="s">
        <v>710</v>
      </c>
      <c r="E11">
        <v>81990</v>
      </c>
      <c r="F11" t="s">
        <v>792</v>
      </c>
      <c r="G11" s="545" t="s">
        <v>874</v>
      </c>
      <c r="H11" s="608" t="s">
        <v>956</v>
      </c>
    </row>
    <row r="12" spans="1:8" x14ac:dyDescent="0.25">
      <c r="A12" s="615" t="s">
        <v>507</v>
      </c>
      <c r="B12" t="s">
        <v>629</v>
      </c>
      <c r="C12" t="s">
        <v>711</v>
      </c>
      <c r="E12">
        <v>81120</v>
      </c>
      <c r="F12" t="s">
        <v>793</v>
      </c>
      <c r="G12" s="545" t="s">
        <v>875</v>
      </c>
      <c r="H12" s="608" t="s">
        <v>957</v>
      </c>
    </row>
    <row r="13" spans="1:8" x14ac:dyDescent="0.25">
      <c r="A13" s="615" t="s">
        <v>508</v>
      </c>
      <c r="B13" t="s">
        <v>630</v>
      </c>
      <c r="C13" t="s">
        <v>712</v>
      </c>
      <c r="E13">
        <v>81990</v>
      </c>
      <c r="F13" t="s">
        <v>794</v>
      </c>
      <c r="G13" s="545" t="s">
        <v>876</v>
      </c>
      <c r="H13" s="608" t="s">
        <v>958</v>
      </c>
    </row>
    <row r="14" spans="1:8" x14ac:dyDescent="0.25">
      <c r="A14" s="615" t="s">
        <v>509</v>
      </c>
      <c r="B14" t="s">
        <v>631</v>
      </c>
      <c r="C14" t="s">
        <v>713</v>
      </c>
      <c r="E14">
        <v>81250</v>
      </c>
      <c r="F14" t="s">
        <v>795</v>
      </c>
      <c r="G14" s="545" t="s">
        <v>877</v>
      </c>
      <c r="H14" s="608" t="s">
        <v>959</v>
      </c>
    </row>
    <row r="15" spans="1:8" x14ac:dyDescent="0.25">
      <c r="A15" s="615" t="s">
        <v>510</v>
      </c>
      <c r="B15" t="s">
        <v>632</v>
      </c>
      <c r="C15" t="s">
        <v>714</v>
      </c>
      <c r="E15">
        <v>81330</v>
      </c>
      <c r="F15" t="s">
        <v>796</v>
      </c>
      <c r="G15" s="545" t="s">
        <v>878</v>
      </c>
      <c r="H15" s="608" t="s">
        <v>960</v>
      </c>
    </row>
    <row r="16" spans="1:8" x14ac:dyDescent="0.25">
      <c r="A16" s="615" t="s">
        <v>511</v>
      </c>
      <c r="B16" t="s">
        <v>633</v>
      </c>
      <c r="C16" t="s">
        <v>715</v>
      </c>
      <c r="E16">
        <v>81150</v>
      </c>
      <c r="F16" t="s">
        <v>797</v>
      </c>
      <c r="G16" s="545" t="s">
        <v>879</v>
      </c>
      <c r="H16" s="608" t="s">
        <v>961</v>
      </c>
    </row>
    <row r="17" spans="1:8" x14ac:dyDescent="0.25">
      <c r="A17" s="615" t="s">
        <v>512</v>
      </c>
      <c r="B17" t="s">
        <v>634</v>
      </c>
      <c r="C17" t="s">
        <v>716</v>
      </c>
      <c r="E17">
        <v>81000</v>
      </c>
      <c r="F17" t="s">
        <v>798</v>
      </c>
      <c r="G17" s="545" t="s">
        <v>880</v>
      </c>
      <c r="H17" s="608" t="s">
        <v>962</v>
      </c>
    </row>
    <row r="18" spans="1:8" x14ac:dyDescent="0.25">
      <c r="A18" s="615" t="s">
        <v>513</v>
      </c>
      <c r="B18" t="s">
        <v>635</v>
      </c>
      <c r="C18" t="s">
        <v>717</v>
      </c>
      <c r="E18">
        <v>81430</v>
      </c>
      <c r="F18" t="s">
        <v>799</v>
      </c>
      <c r="G18" s="545" t="s">
        <v>881</v>
      </c>
      <c r="H18" s="608" t="s">
        <v>963</v>
      </c>
    </row>
    <row r="19" spans="1:8" x14ac:dyDescent="0.25">
      <c r="A19" s="615" t="s">
        <v>514</v>
      </c>
      <c r="B19" t="s">
        <v>636</v>
      </c>
      <c r="C19" t="s">
        <v>718</v>
      </c>
      <c r="E19">
        <v>81120</v>
      </c>
      <c r="F19" t="s">
        <v>800</v>
      </c>
      <c r="G19" s="545" t="s">
        <v>882</v>
      </c>
      <c r="H19" s="608" t="s">
        <v>964</v>
      </c>
    </row>
    <row r="20" spans="1:8" x14ac:dyDescent="0.25">
      <c r="A20" s="615" t="s">
        <v>515</v>
      </c>
      <c r="B20" t="s">
        <v>637</v>
      </c>
      <c r="C20" t="s">
        <v>719</v>
      </c>
      <c r="E20">
        <v>81120</v>
      </c>
      <c r="F20" t="s">
        <v>801</v>
      </c>
      <c r="G20" t="s">
        <v>883</v>
      </c>
      <c r="H20" s="608" t="s">
        <v>965</v>
      </c>
    </row>
    <row r="21" spans="1:8" x14ac:dyDescent="0.25">
      <c r="A21" s="615" t="s">
        <v>516</v>
      </c>
      <c r="B21" t="s">
        <v>638</v>
      </c>
      <c r="C21" t="s">
        <v>720</v>
      </c>
      <c r="E21">
        <v>81440</v>
      </c>
      <c r="F21" t="s">
        <v>802</v>
      </c>
      <c r="G21" s="545" t="s">
        <v>884</v>
      </c>
      <c r="H21" s="608" t="s">
        <v>966</v>
      </c>
    </row>
    <row r="22" spans="1:8" x14ac:dyDescent="0.25">
      <c r="A22" s="615" t="s">
        <v>517</v>
      </c>
      <c r="B22" t="s">
        <v>639</v>
      </c>
      <c r="C22" t="s">
        <v>721</v>
      </c>
      <c r="E22">
        <v>81120</v>
      </c>
      <c r="F22" t="s">
        <v>803</v>
      </c>
      <c r="G22" s="545" t="s">
        <v>885</v>
      </c>
      <c r="H22" s="608" t="s">
        <v>967</v>
      </c>
    </row>
    <row r="23" spans="1:8" x14ac:dyDescent="0.25">
      <c r="A23" s="615" t="s">
        <v>518</v>
      </c>
      <c r="B23" t="s">
        <v>640</v>
      </c>
      <c r="C23" t="s">
        <v>722</v>
      </c>
      <c r="E23">
        <v>81120</v>
      </c>
      <c r="F23" t="s">
        <v>804</v>
      </c>
      <c r="G23" s="545" t="s">
        <v>886</v>
      </c>
      <c r="H23" s="608" t="s">
        <v>968</v>
      </c>
    </row>
    <row r="24" spans="1:8" x14ac:dyDescent="0.25">
      <c r="A24" s="615" t="s">
        <v>519</v>
      </c>
      <c r="B24" t="s">
        <v>641</v>
      </c>
      <c r="C24" t="s">
        <v>723</v>
      </c>
      <c r="E24">
        <v>81120</v>
      </c>
      <c r="F24" t="s">
        <v>805</v>
      </c>
      <c r="G24" s="545" t="s">
        <v>887</v>
      </c>
      <c r="H24" s="608" t="s">
        <v>969</v>
      </c>
    </row>
    <row r="25" spans="1:8" x14ac:dyDescent="0.25">
      <c r="A25" s="615" t="s">
        <v>520</v>
      </c>
      <c r="B25" t="s">
        <v>642</v>
      </c>
      <c r="C25" t="s">
        <v>724</v>
      </c>
      <c r="E25">
        <v>31850</v>
      </c>
      <c r="F25" t="s">
        <v>806</v>
      </c>
      <c r="G25" s="545" t="s">
        <v>888</v>
      </c>
      <c r="H25" s="608" t="s">
        <v>970</v>
      </c>
    </row>
    <row r="26" spans="1:8" x14ac:dyDescent="0.25">
      <c r="A26" s="615" t="s">
        <v>521</v>
      </c>
      <c r="B26" t="s">
        <v>643</v>
      </c>
      <c r="C26" t="s">
        <v>725</v>
      </c>
      <c r="E26">
        <v>81430</v>
      </c>
      <c r="F26" t="s">
        <v>807</v>
      </c>
      <c r="G26" s="545" t="s">
        <v>889</v>
      </c>
      <c r="H26" s="608" t="s">
        <v>971</v>
      </c>
    </row>
    <row r="27" spans="1:8" x14ac:dyDescent="0.25">
      <c r="A27" s="615" t="s">
        <v>522</v>
      </c>
      <c r="B27" t="s">
        <v>644</v>
      </c>
      <c r="C27" t="s">
        <v>726</v>
      </c>
      <c r="E27">
        <v>81000</v>
      </c>
      <c r="F27" t="s">
        <v>808</v>
      </c>
      <c r="G27" s="545" t="s">
        <v>890</v>
      </c>
      <c r="H27" s="608" t="s">
        <v>972</v>
      </c>
    </row>
    <row r="28" spans="1:8" x14ac:dyDescent="0.25">
      <c r="A28" s="615" t="s">
        <v>523</v>
      </c>
      <c r="B28" t="s">
        <v>645</v>
      </c>
      <c r="C28" t="s">
        <v>727</v>
      </c>
      <c r="E28">
        <v>12170</v>
      </c>
      <c r="F28" t="s">
        <v>809</v>
      </c>
      <c r="G28" s="545" t="s">
        <v>891</v>
      </c>
      <c r="H28" s="608" t="s">
        <v>973</v>
      </c>
    </row>
    <row r="29" spans="1:8" x14ac:dyDescent="0.25">
      <c r="A29" s="615" t="s">
        <v>524</v>
      </c>
      <c r="B29" t="s">
        <v>646</v>
      </c>
      <c r="C29" t="s">
        <v>728</v>
      </c>
      <c r="E29">
        <v>81340</v>
      </c>
      <c r="F29" t="s">
        <v>810</v>
      </c>
      <c r="G29" s="545" t="s">
        <v>892</v>
      </c>
      <c r="H29" s="608" t="s">
        <v>974</v>
      </c>
    </row>
    <row r="30" spans="1:8" x14ac:dyDescent="0.25">
      <c r="A30" s="615" t="s">
        <v>525</v>
      </c>
      <c r="B30" t="s">
        <v>647</v>
      </c>
      <c r="C30" t="s">
        <v>729</v>
      </c>
      <c r="E30">
        <v>81340</v>
      </c>
      <c r="F30" t="s">
        <v>811</v>
      </c>
      <c r="G30" s="545" t="s">
        <v>893</v>
      </c>
      <c r="H30" s="608" t="s">
        <v>975</v>
      </c>
    </row>
    <row r="31" spans="1:8" x14ac:dyDescent="0.25">
      <c r="A31" s="615" t="s">
        <v>526</v>
      </c>
      <c r="B31" t="s">
        <v>648</v>
      </c>
      <c r="C31" t="s">
        <v>730</v>
      </c>
      <c r="E31">
        <v>81380</v>
      </c>
      <c r="F31" t="s">
        <v>812</v>
      </c>
      <c r="G31" s="545" t="s">
        <v>894</v>
      </c>
      <c r="H31" s="608" t="s">
        <v>976</v>
      </c>
    </row>
    <row r="32" spans="1:8" x14ac:dyDescent="0.25">
      <c r="A32" s="615" t="s">
        <v>527</v>
      </c>
      <c r="B32" t="s">
        <v>649</v>
      </c>
      <c r="C32" t="s">
        <v>731</v>
      </c>
      <c r="E32">
        <v>81120</v>
      </c>
      <c r="F32" t="s">
        <v>813</v>
      </c>
      <c r="G32" s="545" t="s">
        <v>895</v>
      </c>
      <c r="H32" s="608" t="s">
        <v>977</v>
      </c>
    </row>
    <row r="33" spans="1:8" x14ac:dyDescent="0.25">
      <c r="A33" s="615" t="s">
        <v>528</v>
      </c>
      <c r="B33" t="s">
        <v>650</v>
      </c>
      <c r="C33" t="s">
        <v>732</v>
      </c>
      <c r="E33">
        <v>81120</v>
      </c>
      <c r="F33" t="s">
        <v>814</v>
      </c>
      <c r="G33" s="545" t="s">
        <v>896</v>
      </c>
      <c r="H33" s="608" t="s">
        <v>978</v>
      </c>
    </row>
    <row r="34" spans="1:8" x14ac:dyDescent="0.25">
      <c r="A34" s="615" t="s">
        <v>529</v>
      </c>
      <c r="B34" t="s">
        <v>651</v>
      </c>
      <c r="C34" t="s">
        <v>733</v>
      </c>
      <c r="E34">
        <v>81990</v>
      </c>
      <c r="F34" t="s">
        <v>815</v>
      </c>
      <c r="G34" s="545" t="s">
        <v>897</v>
      </c>
      <c r="H34" s="608" t="s">
        <v>979</v>
      </c>
    </row>
    <row r="35" spans="1:8" x14ac:dyDescent="0.25">
      <c r="A35" s="615" t="s">
        <v>530</v>
      </c>
      <c r="B35" t="s">
        <v>652</v>
      </c>
      <c r="C35" t="s">
        <v>734</v>
      </c>
      <c r="E35">
        <v>81150</v>
      </c>
      <c r="F35" t="s">
        <v>816</v>
      </c>
      <c r="G35" s="545" t="s">
        <v>898</v>
      </c>
      <c r="H35" s="608" t="s">
        <v>980</v>
      </c>
    </row>
    <row r="36" spans="1:8" x14ac:dyDescent="0.25">
      <c r="A36" s="615" t="s">
        <v>531</v>
      </c>
      <c r="B36" t="s">
        <v>653</v>
      </c>
      <c r="C36" t="s">
        <v>735</v>
      </c>
      <c r="E36">
        <v>81430</v>
      </c>
      <c r="F36" t="s">
        <v>817</v>
      </c>
      <c r="G36" s="545" t="s">
        <v>899</v>
      </c>
      <c r="H36" s="608" t="s">
        <v>981</v>
      </c>
    </row>
    <row r="37" spans="1:8" x14ac:dyDescent="0.25">
      <c r="A37" s="615" t="s">
        <v>532</v>
      </c>
      <c r="B37" t="s">
        <v>654</v>
      </c>
      <c r="C37" t="s">
        <v>736</v>
      </c>
      <c r="E37">
        <v>81210</v>
      </c>
      <c r="F37" t="s">
        <v>818</v>
      </c>
      <c r="G37" s="545" t="s">
        <v>900</v>
      </c>
      <c r="H37" s="608" t="s">
        <v>982</v>
      </c>
    </row>
    <row r="38" spans="1:8" x14ac:dyDescent="0.25">
      <c r="A38" s="615" t="s">
        <v>533</v>
      </c>
      <c r="B38" t="s">
        <v>655</v>
      </c>
      <c r="C38" t="s">
        <v>737</v>
      </c>
      <c r="E38">
        <v>81430</v>
      </c>
      <c r="F38" t="s">
        <v>819</v>
      </c>
      <c r="G38" t="s">
        <v>901</v>
      </c>
      <c r="H38" s="608" t="s">
        <v>983</v>
      </c>
    </row>
    <row r="39" spans="1:8" x14ac:dyDescent="0.25">
      <c r="A39" s="615" t="s">
        <v>534</v>
      </c>
      <c r="B39" t="s">
        <v>656</v>
      </c>
      <c r="C39" t="s">
        <v>738</v>
      </c>
      <c r="E39">
        <v>81990</v>
      </c>
      <c r="F39" t="s">
        <v>820</v>
      </c>
      <c r="G39" s="545" t="s">
        <v>902</v>
      </c>
      <c r="H39" s="608" t="s">
        <v>984</v>
      </c>
    </row>
    <row r="40" spans="1:8" x14ac:dyDescent="0.25">
      <c r="A40" s="615" t="s">
        <v>535</v>
      </c>
      <c r="B40" t="s">
        <v>657</v>
      </c>
      <c r="C40" t="s">
        <v>739</v>
      </c>
      <c r="E40">
        <v>81380</v>
      </c>
      <c r="F40" t="s">
        <v>821</v>
      </c>
      <c r="G40" s="545" t="s">
        <v>903</v>
      </c>
      <c r="H40" s="608" t="s">
        <v>985</v>
      </c>
    </row>
    <row r="41" spans="1:8" x14ac:dyDescent="0.25">
      <c r="A41" s="615" t="s">
        <v>536</v>
      </c>
      <c r="B41" t="s">
        <v>658</v>
      </c>
      <c r="C41" t="s">
        <v>740</v>
      </c>
      <c r="E41">
        <v>81990</v>
      </c>
      <c r="F41" t="s">
        <v>822</v>
      </c>
      <c r="G41" s="545" t="s">
        <v>904</v>
      </c>
      <c r="H41" s="608" t="s">
        <v>986</v>
      </c>
    </row>
    <row r="42" spans="1:8" x14ac:dyDescent="0.25">
      <c r="A42" s="615" t="s">
        <v>537</v>
      </c>
      <c r="B42" t="s">
        <v>659</v>
      </c>
      <c r="C42" t="s">
        <v>741</v>
      </c>
      <c r="E42">
        <v>81990</v>
      </c>
      <c r="F42" t="s">
        <v>823</v>
      </c>
      <c r="G42" s="545" t="s">
        <v>905</v>
      </c>
      <c r="H42" s="608" t="s">
        <v>987</v>
      </c>
    </row>
    <row r="43" spans="1:8" x14ac:dyDescent="0.25">
      <c r="A43" s="615" t="s">
        <v>538</v>
      </c>
      <c r="B43" t="s">
        <v>660</v>
      </c>
      <c r="C43" t="s">
        <v>742</v>
      </c>
      <c r="E43">
        <v>81000</v>
      </c>
      <c r="F43" t="s">
        <v>824</v>
      </c>
      <c r="G43" s="545" t="s">
        <v>906</v>
      </c>
      <c r="H43" s="608" t="s">
        <v>988</v>
      </c>
    </row>
    <row r="44" spans="1:8" x14ac:dyDescent="0.25">
      <c r="A44" s="615" t="s">
        <v>539</v>
      </c>
      <c r="B44" t="s">
        <v>661</v>
      </c>
      <c r="C44" t="s">
        <v>743</v>
      </c>
      <c r="E44">
        <v>81300</v>
      </c>
      <c r="F44" t="s">
        <v>825</v>
      </c>
      <c r="G44" s="545" t="s">
        <v>907</v>
      </c>
      <c r="H44" s="608" t="s">
        <v>989</v>
      </c>
    </row>
    <row r="45" spans="1:8" x14ac:dyDescent="0.25">
      <c r="A45" s="615" t="s">
        <v>540</v>
      </c>
      <c r="B45" t="s">
        <v>662</v>
      </c>
      <c r="C45" t="s">
        <v>744</v>
      </c>
      <c r="E45">
        <v>81160</v>
      </c>
      <c r="F45" t="s">
        <v>826</v>
      </c>
      <c r="G45" s="545" t="s">
        <v>908</v>
      </c>
      <c r="H45" s="608" t="s">
        <v>990</v>
      </c>
    </row>
    <row r="46" spans="1:8" x14ac:dyDescent="0.25">
      <c r="A46" s="615" t="s">
        <v>541</v>
      </c>
      <c r="B46" t="s">
        <v>663</v>
      </c>
      <c r="C46" t="s">
        <v>745</v>
      </c>
      <c r="E46">
        <v>81000</v>
      </c>
      <c r="F46" t="s">
        <v>827</v>
      </c>
      <c r="G46" s="545" t="s">
        <v>909</v>
      </c>
      <c r="H46" s="608" t="s">
        <v>991</v>
      </c>
    </row>
    <row r="47" spans="1:8" x14ac:dyDescent="0.25">
      <c r="A47" s="615" t="s">
        <v>542</v>
      </c>
      <c r="B47" t="s">
        <v>664</v>
      </c>
      <c r="C47" t="s">
        <v>746</v>
      </c>
      <c r="E47">
        <v>31670</v>
      </c>
      <c r="F47" t="s">
        <v>828</v>
      </c>
      <c r="G47" s="545" t="s">
        <v>910</v>
      </c>
      <c r="H47" s="608" t="s">
        <v>992</v>
      </c>
    </row>
    <row r="48" spans="1:8" x14ac:dyDescent="0.25">
      <c r="A48" s="615" t="s">
        <v>543</v>
      </c>
      <c r="B48" t="s">
        <v>665</v>
      </c>
      <c r="C48" t="s">
        <v>747</v>
      </c>
      <c r="E48">
        <v>81120</v>
      </c>
      <c r="F48" t="s">
        <v>829</v>
      </c>
      <c r="G48" s="545" t="s">
        <v>911</v>
      </c>
      <c r="H48" s="608" t="s">
        <v>993</v>
      </c>
    </row>
    <row r="49" spans="1:8" x14ac:dyDescent="0.25">
      <c r="A49" s="615" t="s">
        <v>544</v>
      </c>
      <c r="B49" t="s">
        <v>666</v>
      </c>
      <c r="C49" t="s">
        <v>748</v>
      </c>
      <c r="E49">
        <v>81990</v>
      </c>
      <c r="F49" t="s">
        <v>830</v>
      </c>
      <c r="G49" s="545" t="s">
        <v>912</v>
      </c>
      <c r="H49" s="608" t="s">
        <v>994</v>
      </c>
    </row>
    <row r="50" spans="1:8" x14ac:dyDescent="0.25">
      <c r="A50" s="615" t="s">
        <v>545</v>
      </c>
      <c r="B50" t="s">
        <v>667</v>
      </c>
      <c r="C50" t="s">
        <v>749</v>
      </c>
      <c r="E50">
        <v>81990</v>
      </c>
      <c r="F50" t="s">
        <v>831</v>
      </c>
      <c r="G50" s="545" t="s">
        <v>913</v>
      </c>
      <c r="H50" s="608" t="s">
        <v>995</v>
      </c>
    </row>
    <row r="51" spans="1:8" x14ac:dyDescent="0.25">
      <c r="A51" s="615" t="s">
        <v>546</v>
      </c>
      <c r="B51" t="s">
        <v>668</v>
      </c>
      <c r="C51" t="s">
        <v>750</v>
      </c>
      <c r="E51">
        <v>81000</v>
      </c>
      <c r="F51" t="s">
        <v>832</v>
      </c>
      <c r="G51" s="545" t="s">
        <v>914</v>
      </c>
      <c r="H51" s="608" t="s">
        <v>996</v>
      </c>
    </row>
    <row r="52" spans="1:8" x14ac:dyDescent="0.25">
      <c r="A52" s="615" t="s">
        <v>547</v>
      </c>
      <c r="B52" t="s">
        <v>669</v>
      </c>
      <c r="C52" t="s">
        <v>751</v>
      </c>
      <c r="E52">
        <v>81120</v>
      </c>
      <c r="F52" t="s">
        <v>833</v>
      </c>
      <c r="G52" s="545" t="s">
        <v>915</v>
      </c>
      <c r="H52" s="608" t="s">
        <v>997</v>
      </c>
    </row>
    <row r="53" spans="1:8" x14ac:dyDescent="0.25">
      <c r="A53" s="615" t="s">
        <v>548</v>
      </c>
      <c r="B53" t="s">
        <v>670</v>
      </c>
      <c r="C53" t="s">
        <v>752</v>
      </c>
      <c r="E53">
        <v>81250</v>
      </c>
      <c r="F53" t="s">
        <v>834</v>
      </c>
      <c r="G53" t="s">
        <v>916</v>
      </c>
      <c r="H53" s="608" t="s">
        <v>998</v>
      </c>
    </row>
    <row r="54" spans="1:8" x14ac:dyDescent="0.25">
      <c r="A54" s="615" t="s">
        <v>549</v>
      </c>
      <c r="B54" t="s">
        <v>671</v>
      </c>
      <c r="C54" t="s">
        <v>753</v>
      </c>
      <c r="E54">
        <v>81170</v>
      </c>
      <c r="F54" t="s">
        <v>835</v>
      </c>
      <c r="G54" s="545" t="s">
        <v>917</v>
      </c>
      <c r="H54" s="608" t="s">
        <v>999</v>
      </c>
    </row>
    <row r="55" spans="1:8" x14ac:dyDescent="0.25">
      <c r="A55" s="615" t="s">
        <v>550</v>
      </c>
      <c r="B55" t="s">
        <v>672</v>
      </c>
      <c r="C55" t="s">
        <v>754</v>
      </c>
      <c r="E55">
        <v>81340</v>
      </c>
      <c r="F55" t="s">
        <v>836</v>
      </c>
      <c r="G55" t="s">
        <v>918</v>
      </c>
      <c r="H55" s="608" t="s">
        <v>1000</v>
      </c>
    </row>
    <row r="56" spans="1:8" x14ac:dyDescent="0.25">
      <c r="A56" s="615" t="s">
        <v>551</v>
      </c>
      <c r="B56" t="s">
        <v>673</v>
      </c>
      <c r="C56" t="s">
        <v>755</v>
      </c>
      <c r="E56">
        <v>81250</v>
      </c>
      <c r="F56" t="s">
        <v>837</v>
      </c>
      <c r="G56" t="s">
        <v>919</v>
      </c>
      <c r="H56" s="608" t="s">
        <v>1001</v>
      </c>
    </row>
    <row r="57" spans="1:8" x14ac:dyDescent="0.25">
      <c r="A57" s="615" t="s">
        <v>553</v>
      </c>
      <c r="B57" t="s">
        <v>674</v>
      </c>
      <c r="C57" t="s">
        <v>756</v>
      </c>
      <c r="E57">
        <v>81430</v>
      </c>
      <c r="F57" t="s">
        <v>838</v>
      </c>
      <c r="G57" s="545" t="s">
        <v>920</v>
      </c>
      <c r="H57" s="608" t="s">
        <v>1002</v>
      </c>
    </row>
    <row r="58" spans="1:8" x14ac:dyDescent="0.25">
      <c r="A58" s="615" t="s">
        <v>554</v>
      </c>
      <c r="B58" t="s">
        <v>675</v>
      </c>
      <c r="C58" t="s">
        <v>757</v>
      </c>
      <c r="E58">
        <v>81120</v>
      </c>
      <c r="F58" t="s">
        <v>839</v>
      </c>
      <c r="G58" s="545" t="s">
        <v>921</v>
      </c>
      <c r="H58" s="608" t="s">
        <v>1003</v>
      </c>
    </row>
    <row r="59" spans="1:8" x14ac:dyDescent="0.25">
      <c r="A59" s="615" t="s">
        <v>555</v>
      </c>
      <c r="B59" t="s">
        <v>676</v>
      </c>
      <c r="C59" t="s">
        <v>758</v>
      </c>
      <c r="E59">
        <v>81100</v>
      </c>
      <c r="F59" t="s">
        <v>840</v>
      </c>
      <c r="G59" s="545" t="s">
        <v>922</v>
      </c>
      <c r="H59" s="608" t="s">
        <v>1004</v>
      </c>
    </row>
    <row r="60" spans="1:8" x14ac:dyDescent="0.25">
      <c r="A60" s="615" t="s">
        <v>556</v>
      </c>
      <c r="B60" t="s">
        <v>677</v>
      </c>
      <c r="C60" t="s">
        <v>759</v>
      </c>
      <c r="E60">
        <v>81000</v>
      </c>
      <c r="F60" t="s">
        <v>841</v>
      </c>
      <c r="G60" s="545" t="s">
        <v>923</v>
      </c>
      <c r="H60" s="608" t="s">
        <v>1005</v>
      </c>
    </row>
    <row r="61" spans="1:8" x14ac:dyDescent="0.25">
      <c r="A61" s="615" t="s">
        <v>557</v>
      </c>
      <c r="B61" t="s">
        <v>678</v>
      </c>
      <c r="C61" t="s">
        <v>760</v>
      </c>
      <c r="E61">
        <v>81150</v>
      </c>
      <c r="F61" t="s">
        <v>842</v>
      </c>
      <c r="G61" s="545" t="s">
        <v>924</v>
      </c>
      <c r="H61" s="608" t="s">
        <v>1006</v>
      </c>
    </row>
    <row r="62" spans="1:8" x14ac:dyDescent="0.25">
      <c r="A62" s="615" t="s">
        <v>583</v>
      </c>
      <c r="B62" t="s">
        <v>679</v>
      </c>
      <c r="C62" t="s">
        <v>761</v>
      </c>
      <c r="E62">
        <v>81250</v>
      </c>
      <c r="F62" t="s">
        <v>843</v>
      </c>
      <c r="G62" s="545" t="s">
        <v>925</v>
      </c>
      <c r="H62" s="608" t="s">
        <v>1007</v>
      </c>
    </row>
    <row r="63" spans="1:8" x14ac:dyDescent="0.25">
      <c r="A63" s="615" t="s">
        <v>584</v>
      </c>
      <c r="B63" t="s">
        <v>680</v>
      </c>
      <c r="C63" t="s">
        <v>762</v>
      </c>
      <c r="E63">
        <v>81000</v>
      </c>
      <c r="F63" t="s">
        <v>844</v>
      </c>
      <c r="G63" s="545" t="s">
        <v>926</v>
      </c>
      <c r="H63" s="608" t="s">
        <v>1008</v>
      </c>
    </row>
    <row r="64" spans="1:8" x14ac:dyDescent="0.25">
      <c r="A64" s="615" t="s">
        <v>585</v>
      </c>
      <c r="B64" t="s">
        <v>681</v>
      </c>
      <c r="C64" t="s">
        <v>763</v>
      </c>
      <c r="E64">
        <v>81205</v>
      </c>
      <c r="F64" t="s">
        <v>845</v>
      </c>
      <c r="G64" s="545" t="s">
        <v>927</v>
      </c>
      <c r="H64" s="608" t="s">
        <v>1009</v>
      </c>
    </row>
    <row r="65" spans="1:8" x14ac:dyDescent="0.25">
      <c r="A65" s="615" t="s">
        <v>586</v>
      </c>
      <c r="B65" t="s">
        <v>682</v>
      </c>
      <c r="C65" t="s">
        <v>764</v>
      </c>
      <c r="E65">
        <v>81120</v>
      </c>
      <c r="F65" t="s">
        <v>846</v>
      </c>
      <c r="G65" s="545" t="s">
        <v>928</v>
      </c>
      <c r="H65" s="608" t="s">
        <v>1010</v>
      </c>
    </row>
    <row r="66" spans="1:8" x14ac:dyDescent="0.25">
      <c r="A66" s="615" t="s">
        <v>600</v>
      </c>
      <c r="B66" t="s">
        <v>683</v>
      </c>
      <c r="C66" t="s">
        <v>765</v>
      </c>
      <c r="E66">
        <v>81200</v>
      </c>
      <c r="F66" t="s">
        <v>847</v>
      </c>
      <c r="G66" s="545" t="s">
        <v>929</v>
      </c>
      <c r="H66" s="608" t="s">
        <v>1011</v>
      </c>
    </row>
    <row r="67" spans="1:8" x14ac:dyDescent="0.25">
      <c r="A67" s="615" t="s">
        <v>601</v>
      </c>
      <c r="B67" t="s">
        <v>684</v>
      </c>
      <c r="C67" t="s">
        <v>766</v>
      </c>
      <c r="E67">
        <v>81430</v>
      </c>
      <c r="F67" t="s">
        <v>848</v>
      </c>
      <c r="G67" s="545" t="s">
        <v>930</v>
      </c>
      <c r="H67" s="608" t="s">
        <v>1012</v>
      </c>
    </row>
    <row r="68" spans="1:8" x14ac:dyDescent="0.25">
      <c r="A68" s="615" t="s">
        <v>602</v>
      </c>
      <c r="B68" t="s">
        <v>685</v>
      </c>
      <c r="C68" t="s">
        <v>767</v>
      </c>
      <c r="E68">
        <v>81120</v>
      </c>
      <c r="F68" t="s">
        <v>849</v>
      </c>
      <c r="G68" s="545" t="s">
        <v>931</v>
      </c>
      <c r="H68" s="608" t="s">
        <v>1013</v>
      </c>
    </row>
    <row r="69" spans="1:8" x14ac:dyDescent="0.25">
      <c r="A69" s="615" t="s">
        <v>603</v>
      </c>
      <c r="B69" t="s">
        <v>686</v>
      </c>
      <c r="C69" t="s">
        <v>768</v>
      </c>
      <c r="E69">
        <v>81150</v>
      </c>
      <c r="F69" t="s">
        <v>850</v>
      </c>
      <c r="G69" s="545" t="s">
        <v>932</v>
      </c>
      <c r="H69" s="608" t="s">
        <v>1014</v>
      </c>
    </row>
    <row r="70" spans="1:8" x14ac:dyDescent="0.25">
      <c r="A70" s="615" t="s">
        <v>604</v>
      </c>
      <c r="B70" t="s">
        <v>687</v>
      </c>
      <c r="C70" t="s">
        <v>769</v>
      </c>
      <c r="E70">
        <v>81120</v>
      </c>
      <c r="F70" t="s">
        <v>851</v>
      </c>
      <c r="G70" s="545" t="s">
        <v>933</v>
      </c>
      <c r="H70" s="608" t="s">
        <v>1015</v>
      </c>
    </row>
    <row r="71" spans="1:8" x14ac:dyDescent="0.25">
      <c r="A71" s="615" t="s">
        <v>605</v>
      </c>
      <c r="B71" t="s">
        <v>688</v>
      </c>
      <c r="C71" t="s">
        <v>770</v>
      </c>
      <c r="E71">
        <v>81330</v>
      </c>
      <c r="F71" t="s">
        <v>852</v>
      </c>
      <c r="G71" t="s">
        <v>934</v>
      </c>
      <c r="H71" s="608" t="s">
        <v>1016</v>
      </c>
    </row>
    <row r="72" spans="1:8" x14ac:dyDescent="0.25">
      <c r="A72" s="615" t="s">
        <v>606</v>
      </c>
      <c r="B72" t="s">
        <v>689</v>
      </c>
      <c r="C72" t="s">
        <v>771</v>
      </c>
      <c r="E72">
        <v>81000</v>
      </c>
      <c r="F72" t="s">
        <v>853</v>
      </c>
      <c r="G72" s="545" t="s">
        <v>935</v>
      </c>
      <c r="H72" s="608" t="s">
        <v>1017</v>
      </c>
    </row>
    <row r="73" spans="1:8" x14ac:dyDescent="0.25">
      <c r="A73" s="615" t="s">
        <v>607</v>
      </c>
      <c r="B73" t="s">
        <v>690</v>
      </c>
      <c r="C73" t="s">
        <v>772</v>
      </c>
      <c r="E73">
        <v>81990</v>
      </c>
      <c r="F73" t="s">
        <v>854</v>
      </c>
      <c r="G73" s="545" t="s">
        <v>936</v>
      </c>
      <c r="H73" s="608" t="s">
        <v>1018</v>
      </c>
    </row>
    <row r="74" spans="1:8" x14ac:dyDescent="0.25">
      <c r="A74" s="615" t="s">
        <v>608</v>
      </c>
      <c r="B74" t="s">
        <v>691</v>
      </c>
      <c r="C74" t="s">
        <v>773</v>
      </c>
      <c r="E74">
        <v>81120</v>
      </c>
      <c r="F74" t="s">
        <v>855</v>
      </c>
      <c r="G74" s="545" t="s">
        <v>937</v>
      </c>
      <c r="H74" s="608" t="s">
        <v>1019</v>
      </c>
    </row>
    <row r="75" spans="1:8" x14ac:dyDescent="0.25">
      <c r="A75" s="615" t="s">
        <v>609</v>
      </c>
      <c r="B75" t="s">
        <v>692</v>
      </c>
      <c r="C75" t="s">
        <v>774</v>
      </c>
      <c r="E75">
        <v>81440</v>
      </c>
      <c r="F75" t="s">
        <v>856</v>
      </c>
      <c r="G75" s="545" t="s">
        <v>938</v>
      </c>
      <c r="H75" s="608" t="s">
        <v>1020</v>
      </c>
    </row>
    <row r="76" spans="1:8" x14ac:dyDescent="0.25">
      <c r="A76" s="615" t="s">
        <v>610</v>
      </c>
      <c r="B76" t="s">
        <v>693</v>
      </c>
      <c r="C76" t="s">
        <v>775</v>
      </c>
      <c r="E76">
        <v>81120</v>
      </c>
      <c r="F76" t="s">
        <v>857</v>
      </c>
      <c r="G76" s="545" t="s">
        <v>939</v>
      </c>
      <c r="H76" s="608" t="s">
        <v>1021</v>
      </c>
    </row>
    <row r="77" spans="1:8" x14ac:dyDescent="0.25">
      <c r="A77" s="615" t="s">
        <v>611</v>
      </c>
      <c r="B77" t="s">
        <v>694</v>
      </c>
      <c r="C77" t="s">
        <v>776</v>
      </c>
      <c r="E77">
        <v>81710</v>
      </c>
      <c r="F77" t="s">
        <v>858</v>
      </c>
      <c r="G77" s="545" t="s">
        <v>940</v>
      </c>
      <c r="H77" s="608" t="s">
        <v>1022</v>
      </c>
    </row>
    <row r="78" spans="1:8" x14ac:dyDescent="0.25">
      <c r="A78" s="615" t="s">
        <v>612</v>
      </c>
      <c r="B78" t="s">
        <v>695</v>
      </c>
      <c r="C78" t="s">
        <v>777</v>
      </c>
      <c r="E78">
        <v>81120</v>
      </c>
      <c r="F78" t="s">
        <v>859</v>
      </c>
      <c r="G78" s="545" t="s">
        <v>941</v>
      </c>
      <c r="H78" s="608" t="s">
        <v>1023</v>
      </c>
    </row>
    <row r="79" spans="1:8" x14ac:dyDescent="0.25">
      <c r="A79" s="615" t="s">
        <v>613</v>
      </c>
      <c r="B79" t="s">
        <v>696</v>
      </c>
      <c r="C79" t="s">
        <v>778</v>
      </c>
      <c r="E79">
        <v>81120</v>
      </c>
      <c r="F79" t="s">
        <v>860</v>
      </c>
      <c r="G79" t="s">
        <v>942</v>
      </c>
      <c r="H79" s="608" t="s">
        <v>1024</v>
      </c>
    </row>
    <row r="80" spans="1:8" x14ac:dyDescent="0.25">
      <c r="A80" s="615" t="s">
        <v>614</v>
      </c>
      <c r="B80" t="s">
        <v>697</v>
      </c>
      <c r="C80" t="s">
        <v>779</v>
      </c>
      <c r="E80">
        <v>81990</v>
      </c>
      <c r="F80" t="s">
        <v>861</v>
      </c>
      <c r="G80" s="545" t="s">
        <v>943</v>
      </c>
      <c r="H80" s="608" t="s">
        <v>1025</v>
      </c>
    </row>
    <row r="81" spans="1:8" x14ac:dyDescent="0.25">
      <c r="A81" s="615" t="s">
        <v>615</v>
      </c>
      <c r="B81" t="s">
        <v>698</v>
      </c>
      <c r="C81" t="s">
        <v>780</v>
      </c>
      <c r="E81">
        <v>81100</v>
      </c>
      <c r="F81" t="s">
        <v>862</v>
      </c>
      <c r="G81" s="545" t="s">
        <v>944</v>
      </c>
      <c r="H81" s="608" t="s">
        <v>1026</v>
      </c>
    </row>
    <row r="82" spans="1:8" x14ac:dyDescent="0.25">
      <c r="A82" s="615" t="s">
        <v>616</v>
      </c>
      <c r="B82" t="s">
        <v>699</v>
      </c>
      <c r="C82" t="s">
        <v>781</v>
      </c>
      <c r="E82">
        <v>81430</v>
      </c>
      <c r="F82" t="s">
        <v>863</v>
      </c>
      <c r="G82" t="s">
        <v>945</v>
      </c>
      <c r="H82" s="608" t="s">
        <v>1027</v>
      </c>
    </row>
    <row r="83" spans="1:8" x14ac:dyDescent="0.25">
      <c r="A83" s="615" t="s">
        <v>617</v>
      </c>
      <c r="B83" t="s">
        <v>700</v>
      </c>
      <c r="C83" t="s">
        <v>782</v>
      </c>
      <c r="E83">
        <v>81120</v>
      </c>
      <c r="F83" t="s">
        <v>864</v>
      </c>
      <c r="G83" t="s">
        <v>946</v>
      </c>
      <c r="H83" s="608" t="s">
        <v>1028</v>
      </c>
    </row>
    <row r="84" spans="1:8" x14ac:dyDescent="0.25">
      <c r="A84" s="615" t="s">
        <v>618</v>
      </c>
      <c r="B84" t="s">
        <v>701</v>
      </c>
      <c r="C84" t="s">
        <v>783</v>
      </c>
      <c r="E84">
        <v>81990</v>
      </c>
      <c r="F84" t="s">
        <v>865</v>
      </c>
      <c r="G84" s="545" t="s">
        <v>947</v>
      </c>
      <c r="H84" s="608" t="s">
        <v>1029</v>
      </c>
    </row>
    <row r="85" spans="1:8" x14ac:dyDescent="0.25">
      <c r="A85" s="615" t="s">
        <v>619</v>
      </c>
      <c r="B85" t="s">
        <v>702</v>
      </c>
      <c r="C85" t="s">
        <v>784</v>
      </c>
      <c r="E85">
        <v>81300</v>
      </c>
      <c r="F85" t="s">
        <v>866</v>
      </c>
      <c r="G85" s="545" t="s">
        <v>948</v>
      </c>
      <c r="H85" s="608" t="s">
        <v>1030</v>
      </c>
    </row>
    <row r="86" spans="1:8" x14ac:dyDescent="0.25">
      <c r="A86" s="615"/>
      <c r="H86" s="608"/>
    </row>
    <row r="87" spans="1:8" x14ac:dyDescent="0.25">
      <c r="A87" s="615"/>
      <c r="H87" s="608"/>
    </row>
    <row r="88" spans="1:8" x14ac:dyDescent="0.25">
      <c r="A88" s="615"/>
      <c r="H88" s="608"/>
    </row>
    <row r="89" spans="1:8" x14ac:dyDescent="0.25">
      <c r="A89" s="615"/>
      <c r="H89" s="608"/>
    </row>
    <row r="90" spans="1:8" x14ac:dyDescent="0.25">
      <c r="A90" s="615"/>
      <c r="H90" s="608"/>
    </row>
    <row r="91" spans="1:8" x14ac:dyDescent="0.25">
      <c r="A91" s="615"/>
      <c r="H91" s="608"/>
    </row>
    <row r="92" spans="1:8" x14ac:dyDescent="0.25">
      <c r="A92" s="615"/>
      <c r="H92" s="608"/>
    </row>
    <row r="93" spans="1:8" x14ac:dyDescent="0.25">
      <c r="A93" s="615"/>
      <c r="H93" s="608"/>
    </row>
    <row r="94" spans="1:8" x14ac:dyDescent="0.25">
      <c r="A94" s="615"/>
      <c r="H94" s="608"/>
    </row>
    <row r="95" spans="1:8" x14ac:dyDescent="0.25">
      <c r="A95" s="615"/>
      <c r="H95" s="608"/>
    </row>
    <row r="96" spans="1:8" x14ac:dyDescent="0.25">
      <c r="A96" s="615"/>
      <c r="H96" s="608"/>
    </row>
    <row r="97" spans="1:8" x14ac:dyDescent="0.25">
      <c r="A97" s="615"/>
      <c r="H97" s="608"/>
    </row>
    <row r="98" spans="1:8" x14ac:dyDescent="0.25">
      <c r="A98" s="615"/>
      <c r="H98" s="608"/>
    </row>
    <row r="99" spans="1:8" x14ac:dyDescent="0.25">
      <c r="A99" s="615"/>
      <c r="H99" s="608"/>
    </row>
    <row r="100" spans="1:8" x14ac:dyDescent="0.25">
      <c r="A100" s="615"/>
      <c r="H100" s="608"/>
    </row>
    <row r="101" spans="1:8" x14ac:dyDescent="0.25">
      <c r="A101" s="615"/>
      <c r="H101" s="608"/>
    </row>
    <row r="102" spans="1:8" x14ac:dyDescent="0.25">
      <c r="A102" s="615"/>
      <c r="H102" s="608"/>
    </row>
    <row r="103" spans="1:8" x14ac:dyDescent="0.25">
      <c r="A103" s="615"/>
      <c r="H103" s="608"/>
    </row>
    <row r="104" spans="1:8" x14ac:dyDescent="0.25">
      <c r="A104" s="615"/>
      <c r="H104" s="608"/>
    </row>
    <row r="105" spans="1:8" x14ac:dyDescent="0.25">
      <c r="A105" s="615"/>
      <c r="H105" s="608"/>
    </row>
    <row r="106" spans="1:8" x14ac:dyDescent="0.25">
      <c r="A106" s="615"/>
      <c r="H106" s="608"/>
    </row>
    <row r="107" spans="1:8" x14ac:dyDescent="0.25">
      <c r="A107" s="615"/>
      <c r="H107" s="608"/>
    </row>
    <row r="108" spans="1:8" x14ac:dyDescent="0.25">
      <c r="A108" s="615"/>
      <c r="H108" s="608"/>
    </row>
    <row r="109" spans="1:8" x14ac:dyDescent="0.25">
      <c r="A109" s="615"/>
      <c r="H109" s="608"/>
    </row>
    <row r="110" spans="1:8" x14ac:dyDescent="0.25">
      <c r="A110" s="615"/>
      <c r="H110" s="608"/>
    </row>
    <row r="111" spans="1:8" x14ac:dyDescent="0.25">
      <c r="A111" s="615"/>
      <c r="H111" s="608"/>
    </row>
    <row r="112" spans="1:8" x14ac:dyDescent="0.25">
      <c r="A112" s="615"/>
      <c r="H112" s="608"/>
    </row>
    <row r="113" spans="1:8" x14ac:dyDescent="0.25">
      <c r="A113" s="615"/>
      <c r="H113" s="608"/>
    </row>
    <row r="114" spans="1:8" x14ac:dyDescent="0.25">
      <c r="A114" s="615"/>
      <c r="H114" s="608"/>
    </row>
    <row r="115" spans="1:8" x14ac:dyDescent="0.25">
      <c r="A115" s="615"/>
      <c r="H115" s="608"/>
    </row>
    <row r="116" spans="1:8" x14ac:dyDescent="0.25">
      <c r="A116" s="615"/>
      <c r="H116" s="608"/>
    </row>
    <row r="117" spans="1:8" x14ac:dyDescent="0.25">
      <c r="A117" s="615"/>
      <c r="H117" s="608"/>
    </row>
    <row r="118" spans="1:8" x14ac:dyDescent="0.25">
      <c r="A118" s="615"/>
      <c r="H118" s="608"/>
    </row>
    <row r="119" spans="1:8" x14ac:dyDescent="0.25">
      <c r="A119" s="615"/>
      <c r="H119" s="608"/>
    </row>
    <row r="120" spans="1:8" x14ac:dyDescent="0.25">
      <c r="A120" s="615"/>
      <c r="H120" s="608"/>
    </row>
    <row r="121" spans="1:8" x14ac:dyDescent="0.25">
      <c r="A121" s="615"/>
      <c r="H121" s="608"/>
    </row>
    <row r="122" spans="1:8" x14ac:dyDescent="0.25">
      <c r="A122" s="615"/>
      <c r="H122" s="608"/>
    </row>
    <row r="123" spans="1:8" x14ac:dyDescent="0.25">
      <c r="A123" s="615"/>
      <c r="H123" s="608"/>
    </row>
    <row r="124" spans="1:8" x14ac:dyDescent="0.25">
      <c r="A124" s="615"/>
      <c r="H124" s="608"/>
    </row>
    <row r="125" spans="1:8" x14ac:dyDescent="0.25">
      <c r="A125" s="615"/>
      <c r="H125" s="608"/>
    </row>
    <row r="126" spans="1:8" x14ac:dyDescent="0.25">
      <c r="A126" s="615"/>
      <c r="H126" s="608"/>
    </row>
    <row r="127" spans="1:8" x14ac:dyDescent="0.25">
      <c r="A127" s="615"/>
      <c r="H127" s="608"/>
    </row>
    <row r="128" spans="1:8" x14ac:dyDescent="0.25">
      <c r="A128" s="615"/>
      <c r="H128" s="608"/>
    </row>
    <row r="129" spans="1:8" x14ac:dyDescent="0.25">
      <c r="A129" s="615"/>
      <c r="H129" s="608"/>
    </row>
    <row r="130" spans="1:8" x14ac:dyDescent="0.25">
      <c r="A130" s="615"/>
      <c r="H130" s="608"/>
    </row>
    <row r="131" spans="1:8" x14ac:dyDescent="0.25">
      <c r="A131" s="615"/>
      <c r="H131" s="608"/>
    </row>
    <row r="132" spans="1:8" x14ac:dyDescent="0.25">
      <c r="A132" s="615"/>
      <c r="H132" s="608"/>
    </row>
    <row r="133" spans="1:8" x14ac:dyDescent="0.25">
      <c r="A133" s="615"/>
      <c r="H133" s="608"/>
    </row>
    <row r="134" spans="1:8" x14ac:dyDescent="0.25">
      <c r="A134" s="615"/>
      <c r="H134" s="608"/>
    </row>
    <row r="135" spans="1:8" x14ac:dyDescent="0.25">
      <c r="A135" s="615"/>
      <c r="H135" s="608"/>
    </row>
    <row r="136" spans="1:8" x14ac:dyDescent="0.25">
      <c r="A136" s="615"/>
      <c r="H136" s="608"/>
    </row>
    <row r="137" spans="1:8" x14ac:dyDescent="0.25">
      <c r="A137" s="615"/>
      <c r="H137" s="608"/>
    </row>
    <row r="138" spans="1:8" x14ac:dyDescent="0.25">
      <c r="A138" s="615"/>
      <c r="H138" s="608"/>
    </row>
    <row r="139" spans="1:8" x14ac:dyDescent="0.25">
      <c r="A139" s="615"/>
      <c r="H139" s="608"/>
    </row>
    <row r="140" spans="1:8" x14ac:dyDescent="0.25">
      <c r="A140" s="615"/>
      <c r="H140" s="608"/>
    </row>
    <row r="141" spans="1:8" x14ac:dyDescent="0.25">
      <c r="A141" s="615"/>
      <c r="H141" s="608"/>
    </row>
    <row r="142" spans="1:8" x14ac:dyDescent="0.25">
      <c r="A142" s="615"/>
      <c r="H142" s="608"/>
    </row>
    <row r="143" spans="1:8" x14ac:dyDescent="0.25">
      <c r="A143" s="615"/>
      <c r="H143" s="608"/>
    </row>
    <row r="144" spans="1:8" x14ac:dyDescent="0.25">
      <c r="A144" s="615"/>
      <c r="H144" s="608"/>
    </row>
    <row r="145" spans="1:8" x14ac:dyDescent="0.25">
      <c r="A145" s="615"/>
      <c r="H145" s="608"/>
    </row>
    <row r="146" spans="1:8" x14ac:dyDescent="0.25">
      <c r="A146" s="615"/>
      <c r="H146" s="608"/>
    </row>
    <row r="147" spans="1:8" x14ac:dyDescent="0.25">
      <c r="A147" s="615"/>
      <c r="H147" s="608"/>
    </row>
    <row r="148" spans="1:8" x14ac:dyDescent="0.25">
      <c r="A148" s="615"/>
      <c r="H148" s="608"/>
    </row>
    <row r="149" spans="1:8" x14ac:dyDescent="0.25">
      <c r="A149" s="615"/>
      <c r="H149" s="608"/>
    </row>
    <row r="150" spans="1:8" x14ac:dyDescent="0.25">
      <c r="A150" s="615"/>
      <c r="H150" s="608"/>
    </row>
    <row r="151" spans="1:8" x14ac:dyDescent="0.25">
      <c r="A151" s="615"/>
      <c r="H151" s="608"/>
    </row>
    <row r="152" spans="1:8" x14ac:dyDescent="0.25">
      <c r="A152" s="615"/>
      <c r="H152" s="608"/>
    </row>
    <row r="153" spans="1:8" x14ac:dyDescent="0.25">
      <c r="A153" s="615"/>
      <c r="H153" s="608"/>
    </row>
    <row r="154" spans="1:8" x14ac:dyDescent="0.25">
      <c r="A154" s="615"/>
      <c r="H154" s="608"/>
    </row>
    <row r="155" spans="1:8" x14ac:dyDescent="0.25">
      <c r="A155" s="615"/>
      <c r="H155" s="608"/>
    </row>
    <row r="156" spans="1:8" x14ac:dyDescent="0.25">
      <c r="A156" s="615"/>
      <c r="H156" s="608"/>
    </row>
    <row r="157" spans="1:8" x14ac:dyDescent="0.25">
      <c r="A157" s="615"/>
      <c r="H157" s="608"/>
    </row>
    <row r="158" spans="1:8" x14ac:dyDescent="0.25">
      <c r="A158" s="615"/>
      <c r="H158" s="608"/>
    </row>
    <row r="159" spans="1:8" x14ac:dyDescent="0.25">
      <c r="A159" s="615"/>
      <c r="H159" s="608"/>
    </row>
    <row r="160" spans="1:8" x14ac:dyDescent="0.25">
      <c r="A160" s="615"/>
      <c r="H160" s="608"/>
    </row>
    <row r="161" spans="1:8" x14ac:dyDescent="0.25">
      <c r="A161" s="615"/>
      <c r="H161" s="608"/>
    </row>
    <row r="162" spans="1:8" x14ac:dyDescent="0.25">
      <c r="A162" s="615"/>
      <c r="H162" s="608"/>
    </row>
    <row r="163" spans="1:8" x14ac:dyDescent="0.25">
      <c r="A163" s="615"/>
      <c r="H163" s="608"/>
    </row>
    <row r="164" spans="1:8" x14ac:dyDescent="0.25">
      <c r="A164" s="615"/>
      <c r="H164" s="608"/>
    </row>
    <row r="165" spans="1:8" x14ac:dyDescent="0.25">
      <c r="A165" s="615"/>
      <c r="H165" s="608"/>
    </row>
    <row r="166" spans="1:8" x14ac:dyDescent="0.25">
      <c r="A166" s="615"/>
      <c r="H166" s="608"/>
    </row>
    <row r="167" spans="1:8" x14ac:dyDescent="0.25">
      <c r="A167" s="615"/>
      <c r="H167" s="608"/>
    </row>
    <row r="168" spans="1:8" x14ac:dyDescent="0.25">
      <c r="A168" s="615"/>
      <c r="H168" s="608"/>
    </row>
    <row r="169" spans="1:8" x14ac:dyDescent="0.25">
      <c r="A169" s="615"/>
      <c r="H169" s="608"/>
    </row>
    <row r="170" spans="1:8" x14ac:dyDescent="0.25">
      <c r="A170" s="615"/>
      <c r="H170" s="608"/>
    </row>
    <row r="171" spans="1:8" x14ac:dyDescent="0.25">
      <c r="A171" s="615"/>
      <c r="H171" s="608"/>
    </row>
    <row r="172" spans="1:8" x14ac:dyDescent="0.25">
      <c r="A172" s="615"/>
      <c r="H172" s="608"/>
    </row>
    <row r="173" spans="1:8" x14ac:dyDescent="0.25">
      <c r="A173" s="615"/>
      <c r="H173" s="608"/>
    </row>
    <row r="174" spans="1:8" x14ac:dyDescent="0.25">
      <c r="A174" s="615"/>
      <c r="H174" s="608"/>
    </row>
    <row r="175" spans="1:8" x14ac:dyDescent="0.25">
      <c r="A175" s="615"/>
      <c r="H175" s="608"/>
    </row>
    <row r="176" spans="1:8" x14ac:dyDescent="0.25">
      <c r="A176" s="615"/>
      <c r="H176" s="608"/>
    </row>
    <row r="177" spans="1:8" x14ac:dyDescent="0.25">
      <c r="A177" s="615"/>
      <c r="H177" s="608"/>
    </row>
    <row r="178" spans="1:8" x14ac:dyDescent="0.25">
      <c r="A178" s="615"/>
      <c r="H178" s="608"/>
    </row>
    <row r="179" spans="1:8" x14ac:dyDescent="0.25">
      <c r="A179" s="615"/>
      <c r="H179" s="608"/>
    </row>
    <row r="180" spans="1:8" x14ac:dyDescent="0.25">
      <c r="A180" s="615"/>
      <c r="H180" s="608"/>
    </row>
    <row r="181" spans="1:8" x14ac:dyDescent="0.25">
      <c r="A181" s="615"/>
      <c r="H181" s="608"/>
    </row>
    <row r="182" spans="1:8" x14ac:dyDescent="0.25">
      <c r="A182" s="615"/>
      <c r="H182" s="608"/>
    </row>
    <row r="183" spans="1:8" x14ac:dyDescent="0.25">
      <c r="A183" s="615"/>
      <c r="H183" s="608"/>
    </row>
    <row r="184" spans="1:8" x14ac:dyDescent="0.25">
      <c r="A184" s="615"/>
      <c r="H184" s="608"/>
    </row>
    <row r="185" spans="1:8" x14ac:dyDescent="0.25">
      <c r="A185" s="615"/>
      <c r="H185" s="608"/>
    </row>
    <row r="186" spans="1:8" x14ac:dyDescent="0.25">
      <c r="A186" s="615"/>
      <c r="H186" s="608"/>
    </row>
    <row r="187" spans="1:8" x14ac:dyDescent="0.25">
      <c r="A187" s="615"/>
      <c r="H187" s="608"/>
    </row>
    <row r="188" spans="1:8" x14ac:dyDescent="0.25">
      <c r="A188" s="615"/>
      <c r="H188" s="608"/>
    </row>
    <row r="189" spans="1:8" x14ac:dyDescent="0.25">
      <c r="A189" s="615"/>
      <c r="H189" s="608"/>
    </row>
    <row r="190" spans="1:8" x14ac:dyDescent="0.25">
      <c r="A190" s="615"/>
      <c r="H190" s="608"/>
    </row>
    <row r="191" spans="1:8" x14ac:dyDescent="0.25">
      <c r="A191" s="615"/>
      <c r="H191" s="608"/>
    </row>
    <row r="192" spans="1:8" x14ac:dyDescent="0.25">
      <c r="A192" s="615"/>
      <c r="H192" s="608"/>
    </row>
    <row r="193" spans="1:8" x14ac:dyDescent="0.25">
      <c r="A193" s="615"/>
      <c r="H193" s="608"/>
    </row>
    <row r="194" spans="1:8" x14ac:dyDescent="0.25">
      <c r="A194" s="615"/>
      <c r="H194" s="608"/>
    </row>
    <row r="195" spans="1:8" x14ac:dyDescent="0.25">
      <c r="A195" s="615"/>
      <c r="H195" s="608"/>
    </row>
    <row r="196" spans="1:8" x14ac:dyDescent="0.25">
      <c r="A196" s="615"/>
      <c r="H196" s="608"/>
    </row>
    <row r="197" spans="1:8" x14ac:dyDescent="0.25">
      <c r="A197" s="615"/>
      <c r="H197" s="608"/>
    </row>
    <row r="198" spans="1:8" x14ac:dyDescent="0.25">
      <c r="A198" s="615"/>
      <c r="H198" s="608"/>
    </row>
    <row r="199" spans="1:8" x14ac:dyDescent="0.25">
      <c r="A199" s="615"/>
      <c r="H199" s="608"/>
    </row>
    <row r="200" spans="1:8" x14ac:dyDescent="0.25">
      <c r="A200" s="615"/>
      <c r="H200" s="608"/>
    </row>
    <row r="201" spans="1:8" x14ac:dyDescent="0.25">
      <c r="A201" s="615"/>
      <c r="H201" s="608"/>
    </row>
    <row r="202" spans="1:8" x14ac:dyDescent="0.25">
      <c r="A202" s="615"/>
      <c r="H202" s="608"/>
    </row>
    <row r="203" spans="1:8" x14ac:dyDescent="0.25">
      <c r="A203" s="615"/>
      <c r="H203" s="608"/>
    </row>
    <row r="204" spans="1:8" x14ac:dyDescent="0.25">
      <c r="A204" s="615"/>
      <c r="H204" s="608"/>
    </row>
    <row r="205" spans="1:8" x14ac:dyDescent="0.25">
      <c r="A205" s="615"/>
      <c r="H205" s="608"/>
    </row>
    <row r="206" spans="1:8" x14ac:dyDescent="0.25">
      <c r="A206" s="615"/>
      <c r="H206" s="608"/>
    </row>
    <row r="207" spans="1:8" x14ac:dyDescent="0.25">
      <c r="A207" s="615"/>
      <c r="H207" s="608"/>
    </row>
    <row r="208" spans="1:8" x14ac:dyDescent="0.25">
      <c r="A208" s="615"/>
      <c r="H208" s="608"/>
    </row>
    <row r="209" spans="1:8" x14ac:dyDescent="0.25">
      <c r="A209" s="615"/>
      <c r="H209" s="608"/>
    </row>
    <row r="210" spans="1:8" x14ac:dyDescent="0.25">
      <c r="A210" s="615"/>
      <c r="H210" s="608"/>
    </row>
    <row r="211" spans="1:8" x14ac:dyDescent="0.25">
      <c r="A211" s="615"/>
      <c r="H211" s="608"/>
    </row>
    <row r="212" spans="1:8" x14ac:dyDescent="0.25">
      <c r="A212" s="615"/>
      <c r="H212" s="608"/>
    </row>
    <row r="213" spans="1:8" x14ac:dyDescent="0.25">
      <c r="A213" s="615"/>
      <c r="H213" s="608"/>
    </row>
    <row r="214" spans="1:8" x14ac:dyDescent="0.25">
      <c r="A214" s="615"/>
      <c r="H214" s="608"/>
    </row>
    <row r="215" spans="1:8" x14ac:dyDescent="0.25">
      <c r="A215" s="615"/>
      <c r="H215" s="608"/>
    </row>
    <row r="216" spans="1:8" x14ac:dyDescent="0.25">
      <c r="A216" s="615"/>
      <c r="H216" s="608"/>
    </row>
    <row r="217" spans="1:8" x14ac:dyDescent="0.25">
      <c r="A217" s="615"/>
      <c r="H217" s="608"/>
    </row>
    <row r="218" spans="1:8" x14ac:dyDescent="0.25">
      <c r="A218" s="615"/>
      <c r="H218" s="608"/>
    </row>
    <row r="219" spans="1:8" x14ac:dyDescent="0.25">
      <c r="A219" s="615"/>
      <c r="H219" s="608"/>
    </row>
    <row r="220" spans="1:8" x14ac:dyDescent="0.25">
      <c r="A220" s="615"/>
      <c r="H220" s="608"/>
    </row>
    <row r="221" spans="1:8" x14ac:dyDescent="0.25">
      <c r="A221" s="615"/>
      <c r="H221" s="608"/>
    </row>
    <row r="222" spans="1:8" x14ac:dyDescent="0.25">
      <c r="A222" s="615"/>
      <c r="H222" s="608"/>
    </row>
    <row r="223" spans="1:8" x14ac:dyDescent="0.25">
      <c r="A223" s="615"/>
      <c r="H223" s="608"/>
    </row>
    <row r="224" spans="1:8" x14ac:dyDescent="0.25">
      <c r="A224" s="615"/>
      <c r="H224" s="608"/>
    </row>
    <row r="225" spans="1:8" x14ac:dyDescent="0.25">
      <c r="A225" s="615"/>
      <c r="H225" s="608"/>
    </row>
    <row r="226" spans="1:8" x14ac:dyDescent="0.25">
      <c r="A226" s="615"/>
      <c r="H226" s="608"/>
    </row>
    <row r="227" spans="1:8" x14ac:dyDescent="0.25">
      <c r="A227" s="615"/>
      <c r="H227" s="608"/>
    </row>
    <row r="228" spans="1:8" x14ac:dyDescent="0.25">
      <c r="A228" s="615"/>
      <c r="H228" s="608"/>
    </row>
    <row r="229" spans="1:8" x14ac:dyDescent="0.25">
      <c r="A229" s="615"/>
      <c r="H229" s="608"/>
    </row>
    <row r="230" spans="1:8" x14ac:dyDescent="0.25">
      <c r="A230" s="615"/>
      <c r="H230" s="608"/>
    </row>
    <row r="231" spans="1:8" x14ac:dyDescent="0.25">
      <c r="A231" s="615"/>
      <c r="H231" s="608"/>
    </row>
    <row r="232" spans="1:8" x14ac:dyDescent="0.25">
      <c r="A232" s="615"/>
      <c r="H232" s="608"/>
    </row>
    <row r="233" spans="1:8" x14ac:dyDescent="0.25">
      <c r="A233" s="615"/>
      <c r="H233" s="608"/>
    </row>
    <row r="234" spans="1:8" x14ac:dyDescent="0.25">
      <c r="A234" s="615"/>
      <c r="H234" s="608"/>
    </row>
    <row r="235" spans="1:8" x14ac:dyDescent="0.25">
      <c r="A235" s="615"/>
      <c r="H235" s="608"/>
    </row>
    <row r="236" spans="1:8" x14ac:dyDescent="0.25">
      <c r="A236" s="615"/>
      <c r="H236" s="608"/>
    </row>
    <row r="237" spans="1:8" x14ac:dyDescent="0.25">
      <c r="A237" s="615"/>
      <c r="H237" s="608"/>
    </row>
    <row r="238" spans="1:8" x14ac:dyDescent="0.25">
      <c r="A238" s="615"/>
      <c r="H238" s="608"/>
    </row>
    <row r="239" spans="1:8" x14ac:dyDescent="0.25">
      <c r="A239" s="615"/>
      <c r="H239" s="608"/>
    </row>
    <row r="240" spans="1:8" x14ac:dyDescent="0.25">
      <c r="A240" s="615"/>
      <c r="H240" s="608"/>
    </row>
    <row r="241" spans="1:8" x14ac:dyDescent="0.25">
      <c r="A241" s="615"/>
      <c r="H241" s="608"/>
    </row>
    <row r="242" spans="1:8" x14ac:dyDescent="0.25">
      <c r="A242" s="615"/>
      <c r="H242" s="608"/>
    </row>
    <row r="243" spans="1:8" x14ac:dyDescent="0.25">
      <c r="A243" s="615"/>
      <c r="H243" s="608"/>
    </row>
    <row r="244" spans="1:8" x14ac:dyDescent="0.25">
      <c r="A244" s="615"/>
      <c r="H244" s="608"/>
    </row>
    <row r="245" spans="1:8" x14ac:dyDescent="0.25">
      <c r="A245" s="615"/>
      <c r="H245" s="608"/>
    </row>
    <row r="246" spans="1:8" x14ac:dyDescent="0.25">
      <c r="A246" s="615"/>
      <c r="H246" s="608"/>
    </row>
    <row r="247" spans="1:8" x14ac:dyDescent="0.25">
      <c r="A247" s="615"/>
      <c r="H247" s="608"/>
    </row>
    <row r="248" spans="1:8" x14ac:dyDescent="0.25">
      <c r="A248" s="615"/>
      <c r="H248" s="608"/>
    </row>
    <row r="249" spans="1:8" x14ac:dyDescent="0.25">
      <c r="A249" s="615"/>
      <c r="H249" s="608"/>
    </row>
    <row r="250" spans="1:8" x14ac:dyDescent="0.25">
      <c r="A250" s="615"/>
      <c r="H250" s="608"/>
    </row>
    <row r="251" spans="1:8" x14ac:dyDescent="0.25">
      <c r="A251" s="615"/>
      <c r="H251" s="608"/>
    </row>
    <row r="252" spans="1:8" x14ac:dyDescent="0.25">
      <c r="A252" s="615"/>
      <c r="H252" s="608"/>
    </row>
    <row r="253" spans="1:8" x14ac:dyDescent="0.25">
      <c r="A253" s="615"/>
      <c r="H253" s="608"/>
    </row>
    <row r="254" spans="1:8" x14ac:dyDescent="0.25">
      <c r="A254" s="615"/>
      <c r="H254" s="608"/>
    </row>
    <row r="255" spans="1:8" x14ac:dyDescent="0.25">
      <c r="A255" s="615"/>
      <c r="H255" s="608"/>
    </row>
    <row r="256" spans="1:8" x14ac:dyDescent="0.25">
      <c r="A256" s="615"/>
      <c r="H256" s="608"/>
    </row>
    <row r="257" spans="1:8" x14ac:dyDescent="0.25">
      <c r="A257" s="615"/>
      <c r="H257" s="608"/>
    </row>
    <row r="258" spans="1:8" x14ac:dyDescent="0.25">
      <c r="A258" s="615"/>
      <c r="H258" s="608"/>
    </row>
    <row r="259" spans="1:8" x14ac:dyDescent="0.25">
      <c r="A259" s="615"/>
      <c r="H259" s="608"/>
    </row>
    <row r="260" spans="1:8" x14ac:dyDescent="0.25">
      <c r="A260" s="615"/>
      <c r="H260" s="608"/>
    </row>
    <row r="261" spans="1:8" x14ac:dyDescent="0.25">
      <c r="A261" s="615"/>
      <c r="H261" s="608"/>
    </row>
    <row r="262" spans="1:8" x14ac:dyDescent="0.25">
      <c r="A262" s="615"/>
      <c r="H262" s="608"/>
    </row>
    <row r="263" spans="1:8" x14ac:dyDescent="0.25">
      <c r="A263" s="615"/>
      <c r="H263" s="608"/>
    </row>
    <row r="264" spans="1:8" x14ac:dyDescent="0.25">
      <c r="A264" s="615"/>
      <c r="H264" s="608"/>
    </row>
    <row r="265" spans="1:8" x14ac:dyDescent="0.25">
      <c r="A265" s="615"/>
      <c r="H265" s="608"/>
    </row>
    <row r="266" spans="1:8" x14ac:dyDescent="0.25">
      <c r="A266" s="615"/>
      <c r="H266" s="608"/>
    </row>
    <row r="267" spans="1:8" x14ac:dyDescent="0.25">
      <c r="A267" s="615"/>
      <c r="H267" s="608"/>
    </row>
    <row r="268" spans="1:8" x14ac:dyDescent="0.25">
      <c r="A268" s="615"/>
      <c r="H268" s="608"/>
    </row>
    <row r="269" spans="1:8" x14ac:dyDescent="0.25">
      <c r="A269" s="615"/>
      <c r="H269" s="608"/>
    </row>
    <row r="270" spans="1:8" x14ac:dyDescent="0.25">
      <c r="A270" s="615"/>
      <c r="H270" s="608"/>
    </row>
    <row r="271" spans="1:8" x14ac:dyDescent="0.25">
      <c r="A271" s="615"/>
      <c r="H271" s="608"/>
    </row>
    <row r="272" spans="1:8" x14ac:dyDescent="0.25">
      <c r="A272" s="615"/>
      <c r="H272" s="608"/>
    </row>
    <row r="273" spans="1:8" x14ac:dyDescent="0.25">
      <c r="A273" s="615"/>
      <c r="H273" s="608"/>
    </row>
    <row r="274" spans="1:8" x14ac:dyDescent="0.25">
      <c r="A274" s="615"/>
      <c r="H274" s="608"/>
    </row>
    <row r="275" spans="1:8" x14ac:dyDescent="0.25">
      <c r="A275" s="615"/>
      <c r="H275" s="608"/>
    </row>
    <row r="276" spans="1:8" x14ac:dyDescent="0.25">
      <c r="A276" s="615"/>
      <c r="H276" s="608"/>
    </row>
    <row r="277" spans="1:8" x14ac:dyDescent="0.25">
      <c r="A277" s="615"/>
      <c r="H277" s="608"/>
    </row>
    <row r="278" spans="1:8" x14ac:dyDescent="0.25">
      <c r="A278" s="615"/>
      <c r="H278" s="608"/>
    </row>
    <row r="279" spans="1:8" x14ac:dyDescent="0.25">
      <c r="A279" s="615"/>
      <c r="H279" s="608"/>
    </row>
    <row r="280" spans="1:8" x14ac:dyDescent="0.25">
      <c r="A280" s="615"/>
      <c r="H280" s="608"/>
    </row>
    <row r="281" spans="1:8" x14ac:dyDescent="0.25">
      <c r="A281" s="615"/>
      <c r="H281" s="608"/>
    </row>
    <row r="282" spans="1:8" x14ac:dyDescent="0.25">
      <c r="A282" s="615"/>
      <c r="H282" s="608"/>
    </row>
    <row r="283" spans="1:8" x14ac:dyDescent="0.25">
      <c r="A283" s="615"/>
      <c r="H283" s="608"/>
    </row>
    <row r="284" spans="1:8" x14ac:dyDescent="0.25">
      <c r="A284" s="615"/>
      <c r="H284" s="608"/>
    </row>
    <row r="285" spans="1:8" x14ac:dyDescent="0.25">
      <c r="A285" s="615"/>
      <c r="H285" s="608"/>
    </row>
    <row r="286" spans="1:8" x14ac:dyDescent="0.25">
      <c r="A286" s="615"/>
      <c r="H286" s="608"/>
    </row>
    <row r="287" spans="1:8" x14ac:dyDescent="0.25">
      <c r="A287" s="615"/>
      <c r="H287" s="608"/>
    </row>
    <row r="288" spans="1:8" x14ac:dyDescent="0.25">
      <c r="A288" s="615"/>
      <c r="H288" s="608"/>
    </row>
    <row r="289" spans="1:8" x14ac:dyDescent="0.25">
      <c r="A289" s="615"/>
      <c r="H289" s="608"/>
    </row>
    <row r="290" spans="1:8" x14ac:dyDescent="0.25">
      <c r="A290" s="615"/>
      <c r="H290" s="608"/>
    </row>
    <row r="291" spans="1:8" x14ac:dyDescent="0.25">
      <c r="A291" s="615"/>
      <c r="H291" s="608"/>
    </row>
    <row r="292" spans="1:8" x14ac:dyDescent="0.25">
      <c r="A292" s="615"/>
      <c r="H292" s="608"/>
    </row>
    <row r="293" spans="1:8" x14ac:dyDescent="0.25">
      <c r="A293" s="615"/>
      <c r="H293" s="608"/>
    </row>
    <row r="294" spans="1:8" x14ac:dyDescent="0.25">
      <c r="A294" s="615"/>
      <c r="H294" s="608"/>
    </row>
    <row r="295" spans="1:8" x14ac:dyDescent="0.25">
      <c r="A295" s="615"/>
      <c r="H295" s="608"/>
    </row>
    <row r="296" spans="1:8" x14ac:dyDescent="0.25">
      <c r="A296" s="615"/>
      <c r="H296" s="608"/>
    </row>
    <row r="297" spans="1:8" x14ac:dyDescent="0.25">
      <c r="A297" s="615"/>
      <c r="H297" s="608"/>
    </row>
    <row r="298" spans="1:8" x14ac:dyDescent="0.25">
      <c r="A298" s="615"/>
      <c r="H298" s="608"/>
    </row>
    <row r="299" spans="1:8" x14ac:dyDescent="0.25">
      <c r="A299" s="615"/>
      <c r="H299" s="608"/>
    </row>
    <row r="300" spans="1:8" x14ac:dyDescent="0.25">
      <c r="A300" s="615"/>
      <c r="H300" s="608"/>
    </row>
    <row r="301" spans="1:8" x14ac:dyDescent="0.25">
      <c r="A301" s="615"/>
      <c r="H301" s="608"/>
    </row>
    <row r="302" spans="1:8" x14ac:dyDescent="0.25">
      <c r="A302" s="615"/>
      <c r="H302" s="608"/>
    </row>
    <row r="303" spans="1:8" x14ac:dyDescent="0.25">
      <c r="A303" s="615"/>
      <c r="H303" s="608"/>
    </row>
    <row r="304" spans="1:8" x14ac:dyDescent="0.25">
      <c r="A304" s="615"/>
      <c r="H304" s="608"/>
    </row>
    <row r="305" spans="1:8" x14ac:dyDescent="0.25">
      <c r="A305" s="615"/>
      <c r="H305" s="608"/>
    </row>
    <row r="306" spans="1:8" x14ac:dyDescent="0.25">
      <c r="A306" s="615"/>
      <c r="H306" s="608"/>
    </row>
    <row r="307" spans="1:8" x14ac:dyDescent="0.25">
      <c r="A307" s="615"/>
      <c r="H307" s="608"/>
    </row>
    <row r="308" spans="1:8" x14ac:dyDescent="0.25">
      <c r="A308" s="615"/>
      <c r="H308" s="608"/>
    </row>
    <row r="309" spans="1:8" x14ac:dyDescent="0.25">
      <c r="A309" s="615"/>
      <c r="H309" s="608"/>
    </row>
    <row r="310" spans="1:8" x14ac:dyDescent="0.25">
      <c r="A310" s="615"/>
      <c r="H310" s="608"/>
    </row>
    <row r="311" spans="1:8" x14ac:dyDescent="0.25">
      <c r="A311" s="615"/>
      <c r="H311" s="608"/>
    </row>
    <row r="312" spans="1:8" x14ac:dyDescent="0.25">
      <c r="A312" s="615"/>
      <c r="H312" s="608"/>
    </row>
    <row r="313" spans="1:8" x14ac:dyDescent="0.25">
      <c r="A313" s="615"/>
      <c r="H313" s="608"/>
    </row>
    <row r="314" spans="1:8" x14ac:dyDescent="0.25">
      <c r="A314" s="615"/>
      <c r="H314" s="608"/>
    </row>
    <row r="315" spans="1:8" x14ac:dyDescent="0.25">
      <c r="A315" s="615"/>
      <c r="H315" s="608"/>
    </row>
    <row r="316" spans="1:8" x14ac:dyDescent="0.25">
      <c r="A316" s="615"/>
      <c r="H316" s="608"/>
    </row>
    <row r="317" spans="1:8" x14ac:dyDescent="0.25">
      <c r="A317" s="615"/>
      <c r="H317" s="608"/>
    </row>
    <row r="318" spans="1:8" x14ac:dyDescent="0.25">
      <c r="A318" s="615"/>
      <c r="H318" s="608"/>
    </row>
    <row r="319" spans="1:8" x14ac:dyDescent="0.25">
      <c r="A319" s="615"/>
      <c r="H319" s="608"/>
    </row>
    <row r="320" spans="1:8" x14ac:dyDescent="0.25">
      <c r="A320" s="615"/>
      <c r="H320" s="608"/>
    </row>
    <row r="321" spans="1:8" x14ac:dyDescent="0.25">
      <c r="A321" s="615"/>
      <c r="H321" s="608"/>
    </row>
    <row r="322" spans="1:8" x14ac:dyDescent="0.25">
      <c r="A322" s="615"/>
      <c r="H322" s="608"/>
    </row>
    <row r="323" spans="1:8" x14ac:dyDescent="0.25">
      <c r="A323" s="615"/>
      <c r="H323" s="608"/>
    </row>
    <row r="324" spans="1:8" x14ac:dyDescent="0.25">
      <c r="A324" s="615"/>
      <c r="H324" s="608"/>
    </row>
    <row r="325" spans="1:8" x14ac:dyDescent="0.25">
      <c r="A325" s="615"/>
      <c r="H325" s="608"/>
    </row>
    <row r="326" spans="1:8" x14ac:dyDescent="0.25">
      <c r="A326" s="615"/>
      <c r="H326" s="608"/>
    </row>
    <row r="327" spans="1:8" x14ac:dyDescent="0.25">
      <c r="A327" s="615"/>
      <c r="H327" s="608"/>
    </row>
    <row r="328" spans="1:8" x14ac:dyDescent="0.25">
      <c r="A328" s="615"/>
      <c r="H328" s="608"/>
    </row>
    <row r="329" spans="1:8" x14ac:dyDescent="0.25">
      <c r="A329" s="615"/>
      <c r="H329" s="608"/>
    </row>
    <row r="330" spans="1:8" x14ac:dyDescent="0.25">
      <c r="A330" s="615"/>
      <c r="H330" s="608"/>
    </row>
    <row r="331" spans="1:8" x14ac:dyDescent="0.25">
      <c r="A331" s="615"/>
      <c r="H331" s="608"/>
    </row>
    <row r="332" spans="1:8" x14ac:dyDescent="0.25">
      <c r="A332" s="615"/>
      <c r="H332" s="608"/>
    </row>
    <row r="333" spans="1:8" x14ac:dyDescent="0.25">
      <c r="A333" s="615"/>
      <c r="H333" s="608"/>
    </row>
    <row r="334" spans="1:8" x14ac:dyDescent="0.25">
      <c r="A334" s="615"/>
      <c r="H334" s="608"/>
    </row>
    <row r="335" spans="1:8" x14ac:dyDescent="0.25">
      <c r="A335" s="615"/>
      <c r="H335" s="608"/>
    </row>
    <row r="336" spans="1:8" x14ac:dyDescent="0.25">
      <c r="A336" s="615"/>
      <c r="H336" s="608"/>
    </row>
    <row r="337" spans="1:8" x14ac:dyDescent="0.25">
      <c r="A337" s="615"/>
      <c r="H337" s="608"/>
    </row>
    <row r="338" spans="1:8" x14ac:dyDescent="0.25">
      <c r="A338" s="615"/>
      <c r="H338" s="608"/>
    </row>
    <row r="339" spans="1:8" x14ac:dyDescent="0.25">
      <c r="A339" s="615"/>
      <c r="H339" s="608"/>
    </row>
    <row r="340" spans="1:8" x14ac:dyDescent="0.25">
      <c r="A340" s="615"/>
      <c r="H340" s="608"/>
    </row>
    <row r="341" spans="1:8" x14ac:dyDescent="0.25">
      <c r="A341" s="615"/>
      <c r="H341" s="608"/>
    </row>
    <row r="342" spans="1:8" x14ac:dyDescent="0.25">
      <c r="A342" s="615"/>
      <c r="H342" s="608"/>
    </row>
    <row r="343" spans="1:8" x14ac:dyDescent="0.25">
      <c r="A343" s="615"/>
      <c r="H343" s="608"/>
    </row>
    <row r="344" spans="1:8" x14ac:dyDescent="0.25">
      <c r="A344" s="615"/>
      <c r="H344" s="608"/>
    </row>
    <row r="345" spans="1:8" x14ac:dyDescent="0.25">
      <c r="A345" s="615"/>
      <c r="H345" s="608"/>
    </row>
    <row r="346" spans="1:8" x14ac:dyDescent="0.25">
      <c r="A346" s="615"/>
      <c r="H346" s="608"/>
    </row>
    <row r="347" spans="1:8" x14ac:dyDescent="0.25">
      <c r="A347" s="615"/>
      <c r="H347" s="608"/>
    </row>
    <row r="348" spans="1:8" x14ac:dyDescent="0.25">
      <c r="A348" s="615"/>
      <c r="H348" s="608"/>
    </row>
    <row r="349" spans="1:8" x14ac:dyDescent="0.25">
      <c r="A349" s="615"/>
      <c r="H349" s="608"/>
    </row>
    <row r="350" spans="1:8" x14ac:dyDescent="0.25">
      <c r="A350" s="615"/>
      <c r="H350" s="608"/>
    </row>
    <row r="351" spans="1:8" x14ac:dyDescent="0.25">
      <c r="A351" s="615"/>
      <c r="H351" s="608"/>
    </row>
    <row r="352" spans="1:8" x14ac:dyDescent="0.25">
      <c r="A352" s="615"/>
      <c r="H352" s="608"/>
    </row>
    <row r="353" spans="1:8" x14ac:dyDescent="0.25">
      <c r="A353" s="615"/>
      <c r="H353" s="608"/>
    </row>
    <row r="354" spans="1:8" x14ac:dyDescent="0.25">
      <c r="A354" s="615"/>
      <c r="H354" s="608"/>
    </row>
    <row r="355" spans="1:8" x14ac:dyDescent="0.25">
      <c r="A355" s="615"/>
      <c r="H355" s="608"/>
    </row>
    <row r="356" spans="1:8" x14ac:dyDescent="0.25">
      <c r="A356" s="615"/>
      <c r="H356" s="608"/>
    </row>
    <row r="357" spans="1:8" x14ac:dyDescent="0.25">
      <c r="A357" s="615"/>
      <c r="H357" s="608"/>
    </row>
    <row r="358" spans="1:8" x14ac:dyDescent="0.25">
      <c r="A358" s="615"/>
      <c r="H358" s="608"/>
    </row>
    <row r="359" spans="1:8" x14ac:dyDescent="0.25">
      <c r="A359" s="615"/>
      <c r="H359" s="608"/>
    </row>
    <row r="360" spans="1:8" x14ac:dyDescent="0.25">
      <c r="A360" s="615"/>
      <c r="H360" s="608"/>
    </row>
    <row r="361" spans="1:8" x14ac:dyDescent="0.25">
      <c r="A361" s="615"/>
      <c r="H361" s="608"/>
    </row>
    <row r="362" spans="1:8" x14ac:dyDescent="0.25">
      <c r="A362" s="615"/>
      <c r="H362" s="608"/>
    </row>
    <row r="363" spans="1:8" x14ac:dyDescent="0.25">
      <c r="A363" s="615"/>
      <c r="H363" s="608"/>
    </row>
    <row r="364" spans="1:8" x14ac:dyDescent="0.25">
      <c r="A364" s="615"/>
      <c r="H364" s="608"/>
    </row>
    <row r="365" spans="1:8" x14ac:dyDescent="0.25">
      <c r="A365" s="615"/>
      <c r="H365" s="608"/>
    </row>
    <row r="366" spans="1:8" x14ac:dyDescent="0.25">
      <c r="A366" s="615"/>
      <c r="H366" s="608"/>
    </row>
    <row r="367" spans="1:8" x14ac:dyDescent="0.25">
      <c r="A367" s="615"/>
      <c r="H367" s="608"/>
    </row>
    <row r="368" spans="1:8" x14ac:dyDescent="0.25">
      <c r="A368" s="615"/>
      <c r="H368" s="608"/>
    </row>
    <row r="369" spans="1:8" x14ac:dyDescent="0.25">
      <c r="A369" s="615"/>
      <c r="H369" s="608"/>
    </row>
    <row r="370" spans="1:8" x14ac:dyDescent="0.25">
      <c r="A370" s="615"/>
      <c r="H370" s="608"/>
    </row>
    <row r="371" spans="1:8" x14ac:dyDescent="0.25">
      <c r="A371" s="615"/>
      <c r="H371" s="608"/>
    </row>
    <row r="372" spans="1:8" x14ac:dyDescent="0.25">
      <c r="A372" s="615"/>
      <c r="H372" s="608"/>
    </row>
    <row r="373" spans="1:8" x14ac:dyDescent="0.25">
      <c r="A373" s="615"/>
      <c r="H373" s="608"/>
    </row>
    <row r="374" spans="1:8" x14ac:dyDescent="0.25">
      <c r="A374" s="615"/>
      <c r="H374" s="608"/>
    </row>
    <row r="375" spans="1:8" x14ac:dyDescent="0.25">
      <c r="A375" s="615"/>
      <c r="H375" s="608"/>
    </row>
    <row r="376" spans="1:8" x14ac:dyDescent="0.25">
      <c r="A376" s="615"/>
      <c r="H376" s="608"/>
    </row>
    <row r="377" spans="1:8" x14ac:dyDescent="0.25">
      <c r="A377" s="615"/>
      <c r="H377" s="608"/>
    </row>
    <row r="378" spans="1:8" x14ac:dyDescent="0.25">
      <c r="A378" s="615"/>
      <c r="H378" s="608"/>
    </row>
    <row r="379" spans="1:8" x14ac:dyDescent="0.25">
      <c r="A379" s="615"/>
      <c r="H379" s="608"/>
    </row>
    <row r="380" spans="1:8" x14ac:dyDescent="0.25">
      <c r="A380" s="615"/>
      <c r="H380" s="608"/>
    </row>
    <row r="381" spans="1:8" x14ac:dyDescent="0.25">
      <c r="A381" s="615"/>
      <c r="H381" s="608"/>
    </row>
    <row r="382" spans="1:8" x14ac:dyDescent="0.25">
      <c r="A382" s="615"/>
      <c r="H382" s="608"/>
    </row>
    <row r="383" spans="1:8" x14ac:dyDescent="0.25">
      <c r="A383" s="615"/>
      <c r="H383" s="608"/>
    </row>
    <row r="384" spans="1:8" x14ac:dyDescent="0.25">
      <c r="A384" s="615"/>
      <c r="H384" s="608"/>
    </row>
    <row r="385" spans="1:8" x14ac:dyDescent="0.25">
      <c r="A385" s="615"/>
      <c r="H385" s="608"/>
    </row>
    <row r="386" spans="1:8" x14ac:dyDescent="0.25">
      <c r="A386" s="615"/>
      <c r="H386" s="608"/>
    </row>
    <row r="387" spans="1:8" x14ac:dyDescent="0.25">
      <c r="A387" s="615"/>
      <c r="H387" s="608"/>
    </row>
    <row r="388" spans="1:8" x14ac:dyDescent="0.25">
      <c r="A388" s="615"/>
      <c r="H388" s="608"/>
    </row>
    <row r="389" spans="1:8" x14ac:dyDescent="0.25">
      <c r="A389" s="615"/>
      <c r="H389" s="608"/>
    </row>
    <row r="390" spans="1:8" x14ac:dyDescent="0.25">
      <c r="A390" s="615"/>
      <c r="H390" s="608"/>
    </row>
    <row r="391" spans="1:8" x14ac:dyDescent="0.25">
      <c r="A391" s="615"/>
      <c r="H391" s="608"/>
    </row>
    <row r="392" spans="1:8" x14ac:dyDescent="0.25">
      <c r="A392" s="615"/>
      <c r="H392" s="608"/>
    </row>
    <row r="393" spans="1:8" x14ac:dyDescent="0.25">
      <c r="A393" s="615"/>
      <c r="H393" s="608"/>
    </row>
    <row r="394" spans="1:8" x14ac:dyDescent="0.25">
      <c r="A394" s="615"/>
      <c r="H394" s="608"/>
    </row>
    <row r="395" spans="1:8" x14ac:dyDescent="0.25">
      <c r="A395" s="615"/>
      <c r="H395" s="608"/>
    </row>
    <row r="396" spans="1:8" x14ac:dyDescent="0.25">
      <c r="A396" s="615"/>
      <c r="H396" s="608"/>
    </row>
    <row r="397" spans="1:8" x14ac:dyDescent="0.25">
      <c r="A397" s="615"/>
      <c r="H397" s="608"/>
    </row>
    <row r="398" spans="1:8" x14ac:dyDescent="0.25">
      <c r="A398" s="615"/>
      <c r="H398" s="608"/>
    </row>
    <row r="399" spans="1:8" x14ac:dyDescent="0.25">
      <c r="A399" s="615"/>
      <c r="H399" s="608"/>
    </row>
    <row r="400" spans="1:8" x14ac:dyDescent="0.25">
      <c r="A400" s="615"/>
      <c r="H400" s="608"/>
    </row>
  </sheetData>
  <sheetProtection autoFilter="0"/>
  <dataValidations count="2">
    <dataValidation operator="equal" allowBlank="1" showInputMessage="1" showErrorMessage="1" sqref="A2:A3" xr:uid="{CD39B34B-0ECB-4369-94E3-9742E85C1B5C}"/>
    <dataValidation type="textLength" operator="equal" allowBlank="1" showInputMessage="1" showErrorMessage="1" sqref="A1 A4:A400" xr:uid="{B87834E2-1034-4E65-95BB-F1DEB22F6D3C}">
      <formula1>14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5"/>
  <dimension ref="A1:AS94"/>
  <sheetViews>
    <sheetView zoomScale="85" zoomScaleNormal="85" workbookViewId="0">
      <selection activeCell="R37" sqref="A33:R37"/>
    </sheetView>
  </sheetViews>
  <sheetFormatPr baseColWidth="10" defaultRowHeight="15" x14ac:dyDescent="0.25"/>
  <cols>
    <col min="1" max="1" width="14.85546875" bestFit="1" customWidth="1"/>
    <col min="2" max="2" width="14.85546875" customWidth="1"/>
    <col min="3" max="3" width="11.85546875" bestFit="1" customWidth="1"/>
    <col min="4" max="4" width="5" bestFit="1" customWidth="1"/>
    <col min="5" max="5" width="10.140625" bestFit="1" customWidth="1"/>
    <col min="6" max="6" width="10.85546875" bestFit="1" customWidth="1"/>
    <col min="7" max="7" width="17.7109375" bestFit="1" customWidth="1"/>
    <col min="8" max="8" width="10.5703125" bestFit="1" customWidth="1"/>
    <col min="9" max="9" width="20.5703125" bestFit="1" customWidth="1"/>
    <col min="10" max="10" width="12" bestFit="1" customWidth="1"/>
    <col min="11" max="11" width="10.85546875" bestFit="1" customWidth="1"/>
    <col min="12" max="12" width="16.7109375" bestFit="1" customWidth="1"/>
    <col min="13" max="13" width="12.85546875" bestFit="1" customWidth="1"/>
    <col min="18" max="18" width="28.85546875" bestFit="1" customWidth="1"/>
    <col min="21" max="21" width="11.85546875" bestFit="1" customWidth="1"/>
    <col min="22" max="22" width="9" style="186" bestFit="1" customWidth="1"/>
    <col min="23" max="24" width="15.5703125" style="186" bestFit="1" customWidth="1"/>
    <col min="25" max="25" width="16.42578125" bestFit="1" customWidth="1"/>
    <col min="26" max="26" width="8.85546875" style="186" bestFit="1" customWidth="1"/>
    <col min="27" max="27" width="17.42578125" bestFit="1" customWidth="1"/>
    <col min="28" max="28" width="7.42578125" style="186" bestFit="1" customWidth="1"/>
    <col min="30" max="30" width="5" style="209" bestFit="1" customWidth="1"/>
    <col min="31" max="31" width="16.42578125" bestFit="1" customWidth="1"/>
    <col min="32" max="33" width="15.28515625" bestFit="1" customWidth="1"/>
    <col min="34" max="37" width="12.140625" bestFit="1" customWidth="1"/>
    <col min="38" max="39" width="11" bestFit="1" customWidth="1"/>
  </cols>
  <sheetData>
    <row r="1" spans="1:45" ht="15.75" thickBot="1" x14ac:dyDescent="0.3">
      <c r="Q1" s="1430" t="s">
        <v>577</v>
      </c>
      <c r="R1" s="1433" t="s">
        <v>400</v>
      </c>
      <c r="S1" s="1433"/>
      <c r="T1" s="1433"/>
      <c r="U1" s="1433"/>
      <c r="AD1" s="496"/>
      <c r="AE1" s="497"/>
      <c r="AF1" s="1427" t="s">
        <v>452</v>
      </c>
      <c r="AG1" s="1428"/>
      <c r="AH1" s="1428" t="s">
        <v>448</v>
      </c>
      <c r="AI1" s="1428"/>
      <c r="AJ1" s="1424" t="s">
        <v>401</v>
      </c>
      <c r="AK1" s="1424"/>
      <c r="AL1" s="1424" t="s">
        <v>402</v>
      </c>
      <c r="AM1" s="1424"/>
      <c r="AN1" t="s">
        <v>447</v>
      </c>
      <c r="AP1" s="1424" t="s">
        <v>588</v>
      </c>
      <c r="AQ1" s="1424"/>
      <c r="AR1" s="1424" t="s">
        <v>589</v>
      </c>
      <c r="AS1" s="1424"/>
    </row>
    <row r="2" spans="1:45" ht="15.75" thickBot="1" x14ac:dyDescent="0.3">
      <c r="A2" s="1486" t="s">
        <v>84</v>
      </c>
      <c r="B2" s="1487"/>
      <c r="C2" s="1487"/>
      <c r="D2" s="1487"/>
      <c r="E2" s="1487"/>
      <c r="F2" s="1487"/>
      <c r="G2" s="1487"/>
      <c r="H2" s="1487"/>
      <c r="I2" s="1487"/>
      <c r="J2" s="1487"/>
      <c r="K2" s="1487"/>
      <c r="L2" s="1487"/>
      <c r="M2" s="1487"/>
      <c r="N2" s="1488"/>
      <c r="Q2" s="1431"/>
      <c r="R2" s="671" t="s">
        <v>396</v>
      </c>
      <c r="S2" s="272" t="s">
        <v>311</v>
      </c>
      <c r="T2" s="272" t="s">
        <v>48</v>
      </c>
      <c r="U2" s="272" t="s">
        <v>34</v>
      </c>
      <c r="V2" s="192" t="s">
        <v>310</v>
      </c>
      <c r="W2" s="192" t="s">
        <v>404</v>
      </c>
      <c r="X2" s="192" t="s">
        <v>405</v>
      </c>
      <c r="Y2" s="272" t="s">
        <v>312</v>
      </c>
      <c r="Z2" s="192" t="s">
        <v>22</v>
      </c>
      <c r="AA2" s="192" t="s">
        <v>313</v>
      </c>
      <c r="AB2" s="193" t="s">
        <v>151</v>
      </c>
      <c r="AC2" s="272" t="s">
        <v>295</v>
      </c>
      <c r="AD2" s="256" t="s">
        <v>27</v>
      </c>
      <c r="AE2" s="257" t="s">
        <v>395</v>
      </c>
      <c r="AF2" t="s">
        <v>399</v>
      </c>
      <c r="AG2" t="s">
        <v>398</v>
      </c>
      <c r="AH2" t="s">
        <v>399</v>
      </c>
      <c r="AI2" t="s">
        <v>398</v>
      </c>
      <c r="AJ2" t="s">
        <v>399</v>
      </c>
      <c r="AK2" t="s">
        <v>398</v>
      </c>
      <c r="AL2" t="s">
        <v>399</v>
      </c>
      <c r="AM2" t="s">
        <v>398</v>
      </c>
      <c r="AN2" t="s">
        <v>399</v>
      </c>
      <c r="AO2" t="s">
        <v>398</v>
      </c>
      <c r="AP2" t="s">
        <v>399</v>
      </c>
      <c r="AQ2" t="s">
        <v>398</v>
      </c>
      <c r="AR2" t="s">
        <v>399</v>
      </c>
      <c r="AS2" t="s">
        <v>398</v>
      </c>
    </row>
    <row r="3" spans="1:45" x14ac:dyDescent="0.25">
      <c r="A3" s="1468" t="s">
        <v>1</v>
      </c>
      <c r="B3" s="1465" t="s">
        <v>36</v>
      </c>
      <c r="C3" s="1465"/>
      <c r="D3" s="1465" t="s">
        <v>24</v>
      </c>
      <c r="E3" s="1465"/>
      <c r="F3" s="1465" t="s">
        <v>8</v>
      </c>
      <c r="G3" s="1465"/>
      <c r="H3" s="1465"/>
      <c r="I3" s="1465"/>
      <c r="J3" s="1465"/>
      <c r="K3" s="263" t="s">
        <v>10</v>
      </c>
      <c r="L3" s="263" t="s">
        <v>27</v>
      </c>
      <c r="M3" s="263"/>
      <c r="N3" s="264" t="s">
        <v>246</v>
      </c>
      <c r="Q3" s="1431"/>
      <c r="R3" s="672" t="str">
        <f>CONCATENATE(S3,T3,U3,AC3)</f>
        <v>POENERGIETMHMS</v>
      </c>
      <c r="S3" s="281" t="str">
        <f t="shared" ref="S3:S26" si="0">PO</f>
        <v>PO</v>
      </c>
      <c r="T3" s="281" t="str">
        <f>Dossier_Energie</f>
        <v>ENERGIE</v>
      </c>
      <c r="U3" s="281" t="str">
        <f>RFR_Tres_Modeste</f>
        <v>TM</v>
      </c>
      <c r="V3" s="258">
        <f t="shared" ref="V3:V8" si="1">GainCep35</f>
        <v>0.35</v>
      </c>
      <c r="W3" s="258">
        <f>IF(Gain_Sim1&gt;$V3,Taux_ANAH50,0)</f>
        <v>0</v>
      </c>
      <c r="X3" s="258">
        <f t="shared" ref="X3:X26" si="2">IF(Gain_Sim2&gt;$V3,Taux_ANAH50,0)</f>
        <v>0</v>
      </c>
      <c r="Y3" s="259">
        <f t="shared" ref="Y3:Y8" si="3">Plafond_ANAH_Tx_30k</f>
        <v>30000</v>
      </c>
      <c r="Z3" s="258">
        <f t="shared" ref="Z3:Z8" si="4">Taux_ASE10</f>
        <v>0.1</v>
      </c>
      <c r="AA3" s="259">
        <f>Plafond_ASE3000</f>
        <v>3000</v>
      </c>
      <c r="AB3" s="239">
        <v>0.7</v>
      </c>
      <c r="AC3" s="281" t="str">
        <f>$A$64</f>
        <v>HMS</v>
      </c>
      <c r="AD3" s="260"/>
      <c r="AE3" s="261"/>
      <c r="AF3" s="253">
        <f t="shared" ref="AF3:AF26" si="5">(BaseCalcul_HT_Sim1*Plafond_CC80)</f>
        <v>0</v>
      </c>
      <c r="AG3" s="208">
        <f t="shared" ref="AG3:AG26" si="6">(BaseCalcul_HT_Sim2*Plafond_CC80)</f>
        <v>0</v>
      </c>
      <c r="AH3" s="253" t="e">
        <f t="shared" ref="AH3:AH26" si="7">IF(Prime_AvantCC_Sim1&lt;Plafond_CC_Sim1,IF((Plafond_CC_Sim1-Prime_AvantCC_Sim1)&gt;AE3,AE3,Plafond_CC_Sim1-Prime_AvantCC_Sim1),0)</f>
        <v>#VALUE!</v>
      </c>
      <c r="AI3" s="253" t="e">
        <f t="shared" ref="AI3:AI26" si="8">IF(Prime_AvantCC_Sim2&lt;Plafond_CC_Sim2,IF((Plafond_CC_Sim2-Prime_AvantCC_Sim2)&gt;AE3,AE3,Plafond_CC_Sim2-Prime_AvantCC_Sim2),0)</f>
        <v>#VALUE!</v>
      </c>
      <c r="AJ3" s="591">
        <f t="shared" ref="AJ3:AJ26" si="9">ROUND(IF(BaseCalcul_HT_Sim1&gt;Y3,Y3*W3,BaseCalcul_HT_Sim1*W3),0)</f>
        <v>0</v>
      </c>
      <c r="AK3" s="591">
        <f t="shared" ref="AK3:AK26" si="10">ROUND(IF(BaseCalcul_HT_Sim2&gt;Y3,Y3*X3,BaseCalcul_HT_Sim2*X3),0)</f>
        <v>0</v>
      </c>
      <c r="AL3" s="591">
        <f t="shared" ref="AL3:AL26" si="11">ROUND(IF((BaseCalcul_HT_Sim1*Z3)&gt;AA3,AA3,BaseCalcul_HT_Sim1*Z3),0)</f>
        <v>0</v>
      </c>
      <c r="AM3" s="591">
        <f t="shared" ref="AM3:AM26" si="12">ROUND(IF((BaseCalcul_HT_Sim2*Z3)&gt;AA3,AA3,BaseCalcul_HT_Sim2*Z3),0)</f>
        <v>0</v>
      </c>
      <c r="AN3" s="253" t="e">
        <f t="shared" ref="AN3:AN26" si="13">IF((AH3/BaseCalcul_HT_Sim1)&gt;AD3,BaseCalcul_HT_Sim1*AD3,AH3)</f>
        <v>#VALUE!</v>
      </c>
      <c r="AO3" s="253" t="e">
        <f t="shared" ref="AO3:AO26" si="14">IF((AI3/BaseCalcul_HT_Sim2)&gt;AD3,BaseCalcul_HT_Sim2*AD3,AI3)</f>
        <v>#VALUE!</v>
      </c>
      <c r="AP3" s="701">
        <f t="shared" ref="AP3:AP26" si="15">IF(AND(Cep_Actuel&gt;330,Cep_Sim1&lt;330),Prime_ASE_Passoire,0)</f>
        <v>0</v>
      </c>
      <c r="AQ3" s="701">
        <f t="shared" ref="AQ3:AQ26" si="16">IF(AND(Cep_Actuel&gt;330,Cep_Sim2&lt;330),Prime_ASE_Passoire,0)</f>
        <v>0</v>
      </c>
      <c r="AR3" s="701">
        <f t="shared" ref="AR3:AR26" si="17">IF(Cep_Sim1&lt;=90,Prime_ASE_BBC,0)</f>
        <v>1500</v>
      </c>
      <c r="AS3" s="701">
        <f t="shared" ref="AS3:AS26" si="18">IF(Cep_Sim2&lt;=90,Prime_ASE_BBC,0)</f>
        <v>1500</v>
      </c>
    </row>
    <row r="4" spans="1:45" x14ac:dyDescent="0.25">
      <c r="A4" s="1468"/>
      <c r="B4" s="263" t="s">
        <v>34</v>
      </c>
      <c r="C4" s="263" t="s">
        <v>35</v>
      </c>
      <c r="D4" s="263" t="s">
        <v>25</v>
      </c>
      <c r="E4" s="263" t="s">
        <v>26</v>
      </c>
      <c r="F4" s="263" t="s">
        <v>21</v>
      </c>
      <c r="G4" s="263" t="s">
        <v>30</v>
      </c>
      <c r="H4" s="263" t="s">
        <v>22</v>
      </c>
      <c r="I4" s="263" t="s">
        <v>23</v>
      </c>
      <c r="J4" s="263" t="s">
        <v>382</v>
      </c>
      <c r="K4" s="263" t="s">
        <v>33</v>
      </c>
      <c r="L4" s="263" t="s">
        <v>31</v>
      </c>
      <c r="M4" s="263" t="s">
        <v>308</v>
      </c>
      <c r="N4" s="264"/>
      <c r="Q4" s="1431"/>
      <c r="R4" s="673" t="str">
        <f>CONCATENATE(S4,T4,U4,AC4)</f>
        <v>POENERGIEMHMS</v>
      </c>
      <c r="S4" s="181" t="str">
        <f t="shared" si="0"/>
        <v>PO</v>
      </c>
      <c r="T4" s="181" t="str">
        <f>Dossier_Energie</f>
        <v>ENERGIE</v>
      </c>
      <c r="U4" s="181" t="str">
        <f>RFR_Modeste</f>
        <v>M</v>
      </c>
      <c r="V4" s="191">
        <f t="shared" si="1"/>
        <v>0.35</v>
      </c>
      <c r="W4" s="277">
        <f>IF(Gain_Sim1&gt;$V4,Taux_ANAH35,0)</f>
        <v>0</v>
      </c>
      <c r="X4" s="277">
        <f>IF(Gain_Sim2&gt;$V4,Taux_ANAH35,0)</f>
        <v>0</v>
      </c>
      <c r="Y4" s="200">
        <f t="shared" si="3"/>
        <v>30000</v>
      </c>
      <c r="Z4" s="191">
        <f t="shared" si="4"/>
        <v>0.1</v>
      </c>
      <c r="AA4" s="200">
        <f>Plafond_ASE2000</f>
        <v>2000</v>
      </c>
      <c r="AB4" s="40"/>
      <c r="AC4" s="181" t="str">
        <f>$A$64</f>
        <v>HMS</v>
      </c>
      <c r="AD4" s="254"/>
      <c r="AE4" s="134"/>
      <c r="AF4" s="253">
        <f t="shared" si="5"/>
        <v>0</v>
      </c>
      <c r="AG4" s="208">
        <f t="shared" si="6"/>
        <v>0</v>
      </c>
      <c r="AH4" s="253" t="e">
        <f t="shared" si="7"/>
        <v>#VALUE!</v>
      </c>
      <c r="AI4" s="253" t="e">
        <f t="shared" si="8"/>
        <v>#VALUE!</v>
      </c>
      <c r="AJ4" s="591">
        <f t="shared" si="9"/>
        <v>0</v>
      </c>
      <c r="AK4" s="591">
        <f t="shared" si="10"/>
        <v>0</v>
      </c>
      <c r="AL4" s="591">
        <f t="shared" si="11"/>
        <v>0</v>
      </c>
      <c r="AM4" s="591">
        <f t="shared" si="12"/>
        <v>0</v>
      </c>
      <c r="AN4" s="253" t="e">
        <f t="shared" si="13"/>
        <v>#VALUE!</v>
      </c>
      <c r="AO4" s="253" t="e">
        <f t="shared" si="14"/>
        <v>#VALUE!</v>
      </c>
      <c r="AP4" s="701">
        <f t="shared" si="15"/>
        <v>0</v>
      </c>
      <c r="AQ4" s="701">
        <f t="shared" si="16"/>
        <v>0</v>
      </c>
      <c r="AR4" s="701">
        <f t="shared" si="17"/>
        <v>1500</v>
      </c>
      <c r="AS4" s="701">
        <f t="shared" si="18"/>
        <v>1500</v>
      </c>
    </row>
    <row r="5" spans="1:45" x14ac:dyDescent="0.25">
      <c r="A5" s="23" t="s">
        <v>298</v>
      </c>
      <c r="B5" s="23" t="s">
        <v>2</v>
      </c>
      <c r="C5" s="23" t="s">
        <v>28</v>
      </c>
      <c r="D5" s="5">
        <v>0.25</v>
      </c>
      <c r="E5" s="38">
        <v>330</v>
      </c>
      <c r="F5" s="5">
        <v>0.5</v>
      </c>
      <c r="G5" s="38">
        <v>20000</v>
      </c>
      <c r="H5" s="5">
        <v>0.1</v>
      </c>
      <c r="I5" s="38">
        <v>1600</v>
      </c>
      <c r="J5" s="40">
        <v>0.8</v>
      </c>
      <c r="K5" s="38">
        <v>1500</v>
      </c>
      <c r="L5" s="5">
        <v>0.1</v>
      </c>
      <c r="M5" s="5">
        <v>0.8</v>
      </c>
      <c r="N5" s="265">
        <v>15000</v>
      </c>
      <c r="Q5" s="1431"/>
      <c r="R5" s="673" t="str">
        <f t="shared" ref="R5:R6" si="19">CONCATENATE(S5,T5,U5,AC5)</f>
        <v>POENERGIE+TMHMS</v>
      </c>
      <c r="S5" s="181" t="str">
        <f t="shared" si="0"/>
        <v>PO</v>
      </c>
      <c r="T5" s="181" t="str">
        <f>Dossier_Energie_Plus</f>
        <v>ENERGIE+</v>
      </c>
      <c r="U5" s="181" t="str">
        <f>RFR_Tres_Modeste</f>
        <v>TM</v>
      </c>
      <c r="V5" s="191">
        <f t="shared" si="1"/>
        <v>0.35</v>
      </c>
      <c r="W5" s="191">
        <f>IF(Gain_Sim1&gt;$V5,Taux_ANAH50,0)</f>
        <v>0</v>
      </c>
      <c r="X5" s="191">
        <f t="shared" si="2"/>
        <v>0</v>
      </c>
      <c r="Y5" s="200">
        <f t="shared" si="3"/>
        <v>30000</v>
      </c>
      <c r="Z5" s="191">
        <f t="shared" si="4"/>
        <v>0.1</v>
      </c>
      <c r="AA5" s="255">
        <f>Plafond_ASE3000</f>
        <v>3000</v>
      </c>
      <c r="AB5" s="40">
        <v>0.7</v>
      </c>
      <c r="AC5" s="181" t="str">
        <f>$A$64</f>
        <v>HMS</v>
      </c>
      <c r="AD5" s="254"/>
      <c r="AE5" s="134"/>
      <c r="AF5" s="253">
        <f t="shared" si="5"/>
        <v>0</v>
      </c>
      <c r="AG5" s="208">
        <f t="shared" si="6"/>
        <v>0</v>
      </c>
      <c r="AH5" s="253" t="e">
        <f t="shared" si="7"/>
        <v>#VALUE!</v>
      </c>
      <c r="AI5" s="253" t="e">
        <f t="shared" si="8"/>
        <v>#VALUE!</v>
      </c>
      <c r="AJ5" s="591">
        <f t="shared" si="9"/>
        <v>0</v>
      </c>
      <c r="AK5" s="591">
        <f t="shared" si="10"/>
        <v>0</v>
      </c>
      <c r="AL5" s="591">
        <f t="shared" si="11"/>
        <v>0</v>
      </c>
      <c r="AM5" s="591">
        <f t="shared" si="12"/>
        <v>0</v>
      </c>
      <c r="AN5" s="253" t="e">
        <f t="shared" si="13"/>
        <v>#VALUE!</v>
      </c>
      <c r="AO5" s="253" t="e">
        <f t="shared" si="14"/>
        <v>#VALUE!</v>
      </c>
      <c r="AP5" s="701">
        <f t="shared" si="15"/>
        <v>0</v>
      </c>
      <c r="AQ5" s="701">
        <f t="shared" si="16"/>
        <v>0</v>
      </c>
      <c r="AR5" s="701">
        <f t="shared" si="17"/>
        <v>1500</v>
      </c>
      <c r="AS5" s="701">
        <f t="shared" si="18"/>
        <v>1500</v>
      </c>
    </row>
    <row r="6" spans="1:45" x14ac:dyDescent="0.25">
      <c r="A6" s="23" t="s">
        <v>299</v>
      </c>
      <c r="B6" s="23" t="s">
        <v>0</v>
      </c>
      <c r="C6" s="23" t="s">
        <v>29</v>
      </c>
      <c r="D6" s="5">
        <v>0.35</v>
      </c>
      <c r="E6" s="23"/>
      <c r="F6" s="5">
        <v>0.35</v>
      </c>
      <c r="G6" s="38">
        <v>30000</v>
      </c>
      <c r="H6" s="5">
        <v>0.2</v>
      </c>
      <c r="I6" s="38">
        <v>2000</v>
      </c>
      <c r="J6" s="23"/>
      <c r="K6" s="23"/>
      <c r="L6" s="5">
        <v>0.15</v>
      </c>
      <c r="M6" s="23"/>
      <c r="N6" s="255">
        <v>20000</v>
      </c>
      <c r="Q6" s="1431"/>
      <c r="R6" s="673" t="str">
        <f t="shared" si="19"/>
        <v>POENERGIE+MHMS</v>
      </c>
      <c r="S6" s="181" t="str">
        <f t="shared" si="0"/>
        <v>PO</v>
      </c>
      <c r="T6" s="181" t="str">
        <f>Dossier_Energie_Plus</f>
        <v>ENERGIE+</v>
      </c>
      <c r="U6" s="181" t="str">
        <f>RFR_Modeste</f>
        <v>M</v>
      </c>
      <c r="V6" s="191">
        <f t="shared" si="1"/>
        <v>0.35</v>
      </c>
      <c r="W6" s="191">
        <f>IF(Gain_Sim1&gt;$V6,Taux_ANAH35,0)</f>
        <v>0</v>
      </c>
      <c r="X6" s="191">
        <f>IF(Gain_Sim2&gt;$V6,Taux_ANAH35,0)</f>
        <v>0</v>
      </c>
      <c r="Y6" s="200">
        <f t="shared" si="3"/>
        <v>30000</v>
      </c>
      <c r="Z6" s="191">
        <f t="shared" si="4"/>
        <v>0.1</v>
      </c>
      <c r="AA6" s="200">
        <f>Plafond_ASE2000</f>
        <v>2000</v>
      </c>
      <c r="AB6" s="40"/>
      <c r="AC6" s="181" t="str">
        <f>$A$64</f>
        <v>HMS</v>
      </c>
      <c r="AD6" s="254"/>
      <c r="AE6" s="134"/>
      <c r="AF6" s="253">
        <f t="shared" si="5"/>
        <v>0</v>
      </c>
      <c r="AG6" s="208">
        <f t="shared" si="6"/>
        <v>0</v>
      </c>
      <c r="AH6" s="253" t="e">
        <f t="shared" si="7"/>
        <v>#VALUE!</v>
      </c>
      <c r="AI6" s="253" t="e">
        <f t="shared" si="8"/>
        <v>#VALUE!</v>
      </c>
      <c r="AJ6" s="591">
        <f t="shared" si="9"/>
        <v>0</v>
      </c>
      <c r="AK6" s="591">
        <f t="shared" si="10"/>
        <v>0</v>
      </c>
      <c r="AL6" s="591">
        <f t="shared" si="11"/>
        <v>0</v>
      </c>
      <c r="AM6" s="591">
        <f t="shared" si="12"/>
        <v>0</v>
      </c>
      <c r="AN6" s="253" t="e">
        <f t="shared" si="13"/>
        <v>#VALUE!</v>
      </c>
      <c r="AO6" s="253" t="e">
        <f t="shared" si="14"/>
        <v>#VALUE!</v>
      </c>
      <c r="AP6" s="701">
        <f t="shared" si="15"/>
        <v>0</v>
      </c>
      <c r="AQ6" s="701">
        <f t="shared" si="16"/>
        <v>0</v>
      </c>
      <c r="AR6" s="701">
        <f t="shared" si="17"/>
        <v>1500</v>
      </c>
      <c r="AS6" s="701">
        <f t="shared" si="18"/>
        <v>1500</v>
      </c>
    </row>
    <row r="7" spans="1:45" x14ac:dyDescent="0.25">
      <c r="A7" s="23" t="s">
        <v>4</v>
      </c>
      <c r="B7" s="23"/>
      <c r="C7" s="23"/>
      <c r="D7" s="23"/>
      <c r="E7" s="23"/>
      <c r="F7" s="23"/>
      <c r="G7" s="38">
        <v>50000</v>
      </c>
      <c r="H7" s="23"/>
      <c r="I7" s="38">
        <v>4000</v>
      </c>
      <c r="J7" s="23"/>
      <c r="K7" s="23"/>
      <c r="L7" s="5">
        <v>0.2</v>
      </c>
      <c r="M7" s="23"/>
      <c r="N7" s="255">
        <v>5000</v>
      </c>
      <c r="Q7" s="1431"/>
      <c r="R7" s="673" t="str">
        <f t="shared" ref="R7:R26" si="20">CONCATENATE(S7,T7,U7,AC7)</f>
        <v>POENERGIE+TMHMSB</v>
      </c>
      <c r="S7" s="181" t="str">
        <f t="shared" si="0"/>
        <v>PO</v>
      </c>
      <c r="T7" s="181" t="str">
        <f>Dossier_Energie_Plus</f>
        <v>ENERGIE+</v>
      </c>
      <c r="U7" s="181" t="str">
        <f>RFR_Tres_Modeste</f>
        <v>TM</v>
      </c>
      <c r="V7" s="191">
        <f t="shared" si="1"/>
        <v>0.35</v>
      </c>
      <c r="W7" s="277">
        <f>IF(Gain_Sim1&gt;$V7,Taux_ANAH50,0)</f>
        <v>0</v>
      </c>
      <c r="X7" s="277">
        <f t="shared" si="2"/>
        <v>0</v>
      </c>
      <c r="Y7" s="200">
        <f t="shared" si="3"/>
        <v>30000</v>
      </c>
      <c r="Z7" s="191">
        <f t="shared" si="4"/>
        <v>0.1</v>
      </c>
      <c r="AA7" s="255">
        <f>Plafond_ASE3000</f>
        <v>3000</v>
      </c>
      <c r="AB7" s="40">
        <v>0.7</v>
      </c>
      <c r="AC7" s="181" t="str">
        <f>$A$65</f>
        <v>HMSB</v>
      </c>
      <c r="AD7" s="254"/>
      <c r="AE7" s="134"/>
      <c r="AF7" s="253">
        <f t="shared" si="5"/>
        <v>0</v>
      </c>
      <c r="AG7" s="208">
        <f t="shared" si="6"/>
        <v>0</v>
      </c>
      <c r="AH7" s="253" t="e">
        <f t="shared" si="7"/>
        <v>#VALUE!</v>
      </c>
      <c r="AI7" s="253" t="e">
        <f t="shared" si="8"/>
        <v>#VALUE!</v>
      </c>
      <c r="AJ7" s="591">
        <f t="shared" si="9"/>
        <v>0</v>
      </c>
      <c r="AK7" s="591">
        <f t="shared" si="10"/>
        <v>0</v>
      </c>
      <c r="AL7" s="591">
        <f t="shared" si="11"/>
        <v>0</v>
      </c>
      <c r="AM7" s="591">
        <f t="shared" si="12"/>
        <v>0</v>
      </c>
      <c r="AN7" s="253" t="e">
        <f t="shared" si="13"/>
        <v>#VALUE!</v>
      </c>
      <c r="AO7" s="253" t="e">
        <f t="shared" si="14"/>
        <v>#VALUE!</v>
      </c>
      <c r="AP7" s="701">
        <f t="shared" si="15"/>
        <v>0</v>
      </c>
      <c r="AQ7" s="701">
        <f t="shared" si="16"/>
        <v>0</v>
      </c>
      <c r="AR7" s="701">
        <f t="shared" si="17"/>
        <v>1500</v>
      </c>
      <c r="AS7" s="701">
        <f t="shared" si="18"/>
        <v>1500</v>
      </c>
    </row>
    <row r="8" spans="1:45" x14ac:dyDescent="0.25">
      <c r="A8" s="23" t="s">
        <v>300</v>
      </c>
      <c r="B8" s="23"/>
      <c r="C8" s="23"/>
      <c r="D8" s="23"/>
      <c r="E8" s="23"/>
      <c r="F8" s="23"/>
      <c r="G8" s="23"/>
      <c r="H8" s="23"/>
      <c r="I8" s="38">
        <v>3000</v>
      </c>
      <c r="J8" s="23"/>
      <c r="K8" s="23"/>
      <c r="L8" s="23"/>
      <c r="M8" s="23"/>
      <c r="N8" s="23"/>
      <c r="Q8" s="1431"/>
      <c r="R8" s="673" t="str">
        <f t="shared" si="20"/>
        <v>POENERGIE+MHMSB</v>
      </c>
      <c r="S8" s="181" t="str">
        <f t="shared" si="0"/>
        <v>PO</v>
      </c>
      <c r="T8" s="181" t="str">
        <f>Dossier_Energie_Plus</f>
        <v>ENERGIE+</v>
      </c>
      <c r="U8" s="181" t="str">
        <f>RFR_Modeste</f>
        <v>M</v>
      </c>
      <c r="V8" s="191">
        <f t="shared" si="1"/>
        <v>0.35</v>
      </c>
      <c r="W8" s="277">
        <f>IF(Gain_Sim1&gt;$V8,Taux_ANAH35,0)</f>
        <v>0</v>
      </c>
      <c r="X8" s="277">
        <f>IF(Gain_Sim2&gt;$V8,Taux_ANAH35,0)</f>
        <v>0</v>
      </c>
      <c r="Y8" s="200">
        <f t="shared" si="3"/>
        <v>30000</v>
      </c>
      <c r="Z8" s="191">
        <f t="shared" si="4"/>
        <v>0.1</v>
      </c>
      <c r="AA8" s="200">
        <f>Plafond_ASE2000</f>
        <v>2000</v>
      </c>
      <c r="AB8" s="40"/>
      <c r="AC8" s="181" t="str">
        <f>$A$65</f>
        <v>HMSB</v>
      </c>
      <c r="AD8" s="254"/>
      <c r="AE8" s="134"/>
      <c r="AF8" s="253">
        <f t="shared" si="5"/>
        <v>0</v>
      </c>
      <c r="AG8" s="208">
        <f t="shared" si="6"/>
        <v>0</v>
      </c>
      <c r="AH8" s="253" t="e">
        <f t="shared" si="7"/>
        <v>#VALUE!</v>
      </c>
      <c r="AI8" s="253" t="e">
        <f t="shared" si="8"/>
        <v>#VALUE!</v>
      </c>
      <c r="AJ8" s="591">
        <f t="shared" si="9"/>
        <v>0</v>
      </c>
      <c r="AK8" s="591">
        <f t="shared" si="10"/>
        <v>0</v>
      </c>
      <c r="AL8" s="591">
        <f t="shared" si="11"/>
        <v>0</v>
      </c>
      <c r="AM8" s="591">
        <f t="shared" si="12"/>
        <v>0</v>
      </c>
      <c r="AN8" s="253" t="e">
        <f t="shared" si="13"/>
        <v>#VALUE!</v>
      </c>
      <c r="AO8" s="253" t="e">
        <f t="shared" si="14"/>
        <v>#VALUE!</v>
      </c>
      <c r="AP8" s="701">
        <f t="shared" si="15"/>
        <v>0</v>
      </c>
      <c r="AQ8" s="701">
        <f t="shared" si="16"/>
        <v>0</v>
      </c>
      <c r="AR8" s="701">
        <f t="shared" si="17"/>
        <v>1500</v>
      </c>
      <c r="AS8" s="701">
        <f t="shared" si="18"/>
        <v>1500</v>
      </c>
    </row>
    <row r="9" spans="1:45" x14ac:dyDescent="0.25">
      <c r="A9" s="266" t="s">
        <v>66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Q9" s="1431"/>
      <c r="R9" s="673" t="str">
        <f t="shared" si="20"/>
        <v>POAUTOTMHF</v>
      </c>
      <c r="S9" s="181" t="str">
        <f t="shared" si="0"/>
        <v>PO</v>
      </c>
      <c r="T9" s="181" t="str">
        <f>Dossier_Auto</f>
        <v>AUTO</v>
      </c>
      <c r="U9" s="181" t="str">
        <f>RFR_Tres_Modeste</f>
        <v>TM</v>
      </c>
      <c r="V9" s="191"/>
      <c r="W9" s="277">
        <f>Taux_ANAH50</f>
        <v>0.5</v>
      </c>
      <c r="X9" s="277">
        <f>Taux_ANAH50</f>
        <v>0.5</v>
      </c>
      <c r="Y9" s="200">
        <f>Plafond_ANAH_Tx_20k</f>
        <v>20000</v>
      </c>
      <c r="Z9" s="191"/>
      <c r="AA9" s="200"/>
      <c r="AB9" s="40">
        <v>0.7</v>
      </c>
      <c r="AC9" s="181" t="str">
        <f>$A$71</f>
        <v>HF</v>
      </c>
      <c r="AD9" s="254">
        <f t="shared" ref="AD9:AD14" si="21">Taux_CC10</f>
        <v>0.1</v>
      </c>
      <c r="AE9" s="134">
        <v>2000</v>
      </c>
      <c r="AF9" s="253">
        <f t="shared" si="5"/>
        <v>0</v>
      </c>
      <c r="AG9" s="208">
        <f t="shared" si="6"/>
        <v>0</v>
      </c>
      <c r="AH9" s="253" t="e">
        <f>IF(Prime_AvantCC_Sim1&lt;Plafond_CC_Sim1,IF((Plafond_CC_Sim1-Prime_AvantCC_Sim1)&gt;AE9,AE9,Plafond_CC_Sim1-Prime_AvantCC_Sim1),0)</f>
        <v>#VALUE!</v>
      </c>
      <c r="AI9" s="253" t="e">
        <f t="shared" si="8"/>
        <v>#VALUE!</v>
      </c>
      <c r="AJ9" s="591">
        <f t="shared" si="9"/>
        <v>0</v>
      </c>
      <c r="AK9" s="591">
        <f t="shared" si="10"/>
        <v>0</v>
      </c>
      <c r="AL9" s="591">
        <f t="shared" si="11"/>
        <v>0</v>
      </c>
      <c r="AM9" s="591">
        <f t="shared" si="12"/>
        <v>0</v>
      </c>
      <c r="AN9" s="253" t="e">
        <f t="shared" si="13"/>
        <v>#VALUE!</v>
      </c>
      <c r="AO9" s="253" t="e">
        <f t="shared" si="14"/>
        <v>#VALUE!</v>
      </c>
      <c r="AP9" s="701">
        <f t="shared" si="15"/>
        <v>0</v>
      </c>
      <c r="AQ9" s="701">
        <f t="shared" si="16"/>
        <v>0</v>
      </c>
      <c r="AR9" s="701">
        <f t="shared" si="17"/>
        <v>1500</v>
      </c>
      <c r="AS9" s="701">
        <f t="shared" si="18"/>
        <v>1500</v>
      </c>
    </row>
    <row r="10" spans="1:45" x14ac:dyDescent="0.25">
      <c r="A10" s="266" t="s">
        <v>188</v>
      </c>
      <c r="B10" s="23"/>
      <c r="C10" s="23"/>
      <c r="D10" s="23"/>
      <c r="E10" s="23"/>
      <c r="F10" s="23"/>
      <c r="G10" s="23"/>
      <c r="H10" s="23"/>
      <c r="I10" s="23">
        <v>1500</v>
      </c>
      <c r="J10" s="23"/>
      <c r="K10" s="23"/>
      <c r="L10" s="23"/>
      <c r="M10" s="23"/>
      <c r="N10" s="23"/>
      <c r="Q10" s="1431"/>
      <c r="R10" s="673" t="str">
        <f t="shared" si="20"/>
        <v>POAUTOMHF</v>
      </c>
      <c r="S10" s="181" t="str">
        <f t="shared" si="0"/>
        <v>PO</v>
      </c>
      <c r="T10" s="181" t="str">
        <f>Dossier_Auto</f>
        <v>AUTO</v>
      </c>
      <c r="U10" s="181" t="str">
        <f>RFR_Modeste</f>
        <v>M</v>
      </c>
      <c r="V10" s="191"/>
      <c r="W10" s="277">
        <f>Taux_ANAH35</f>
        <v>0.35</v>
      </c>
      <c r="X10" s="277">
        <f>Taux_ANAH35</f>
        <v>0.35</v>
      </c>
      <c r="Y10" s="200">
        <f>Plafond_ANAH_Tx_20k</f>
        <v>20000</v>
      </c>
      <c r="Z10" s="191"/>
      <c r="AA10" s="200"/>
      <c r="AB10" s="40"/>
      <c r="AC10" s="181" t="str">
        <f>$A$71</f>
        <v>HF</v>
      </c>
      <c r="AD10" s="254">
        <f t="shared" si="21"/>
        <v>0.1</v>
      </c>
      <c r="AE10" s="134">
        <v>2000</v>
      </c>
      <c r="AF10" s="253">
        <f t="shared" si="5"/>
        <v>0</v>
      </c>
      <c r="AG10" s="208">
        <f t="shared" si="6"/>
        <v>0</v>
      </c>
      <c r="AH10" s="253" t="e">
        <f t="shared" si="7"/>
        <v>#VALUE!</v>
      </c>
      <c r="AI10" s="253" t="e">
        <f t="shared" si="8"/>
        <v>#VALUE!</v>
      </c>
      <c r="AJ10" s="591">
        <f t="shared" si="9"/>
        <v>0</v>
      </c>
      <c r="AK10" s="591">
        <f t="shared" si="10"/>
        <v>0</v>
      </c>
      <c r="AL10" s="591">
        <f t="shared" si="11"/>
        <v>0</v>
      </c>
      <c r="AM10" s="591">
        <f t="shared" si="12"/>
        <v>0</v>
      </c>
      <c r="AN10" s="253" t="e">
        <f t="shared" si="13"/>
        <v>#VALUE!</v>
      </c>
      <c r="AO10" s="253" t="e">
        <f t="shared" si="14"/>
        <v>#VALUE!</v>
      </c>
      <c r="AP10" s="701">
        <f t="shared" si="15"/>
        <v>0</v>
      </c>
      <c r="AQ10" s="701">
        <f t="shared" si="16"/>
        <v>0</v>
      </c>
      <c r="AR10" s="701">
        <f t="shared" si="17"/>
        <v>1500</v>
      </c>
      <c r="AS10" s="701">
        <f t="shared" si="18"/>
        <v>1500</v>
      </c>
    </row>
    <row r="11" spans="1:45" x14ac:dyDescent="0.25">
      <c r="A11" s="266" t="s">
        <v>409</v>
      </c>
      <c r="B11" s="23"/>
      <c r="C11" s="23"/>
      <c r="D11" s="23"/>
      <c r="E11" s="23"/>
      <c r="F11" s="23"/>
      <c r="G11" s="23"/>
      <c r="H11" s="23"/>
      <c r="I11" s="23">
        <v>1500</v>
      </c>
      <c r="J11" s="23"/>
      <c r="K11" s="23"/>
      <c r="L11" s="23"/>
      <c r="M11" s="23"/>
      <c r="N11" s="23"/>
      <c r="Q11" s="1431"/>
      <c r="R11" s="673" t="str">
        <f t="shared" si="20"/>
        <v>POMIXTETMHMS-HF</v>
      </c>
      <c r="S11" s="181" t="str">
        <f t="shared" si="0"/>
        <v>PO</v>
      </c>
      <c r="T11" s="181" t="str">
        <f>Dossier_Mixte</f>
        <v>MIXTE</v>
      </c>
      <c r="U11" s="181" t="str">
        <f>RFR_Tres_Modeste</f>
        <v>TM</v>
      </c>
      <c r="V11" s="191">
        <f t="shared" ref="V11:V26" si="22">GainCep35</f>
        <v>0.35</v>
      </c>
      <c r="W11" s="277">
        <f>IF(Gain_Sim1&gt;$V11,Taux_ANAH50,0)</f>
        <v>0</v>
      </c>
      <c r="X11" s="277">
        <f t="shared" si="2"/>
        <v>0</v>
      </c>
      <c r="Y11" s="200">
        <f>Plafond_ANAH_Tx_30k</f>
        <v>30000</v>
      </c>
      <c r="Z11" s="191">
        <f t="shared" ref="Z11:Z26" si="23">Taux_ASE10</f>
        <v>0.1</v>
      </c>
      <c r="AA11" s="255">
        <f>Plafond_ASE3000</f>
        <v>3000</v>
      </c>
      <c r="AB11" s="40">
        <v>0.7</v>
      </c>
      <c r="AC11" s="181" t="str">
        <f>$A$66</f>
        <v>HMS-HF</v>
      </c>
      <c r="AD11" s="254">
        <f t="shared" si="21"/>
        <v>0.1</v>
      </c>
      <c r="AE11" s="134">
        <v>2000</v>
      </c>
      <c r="AF11" s="253">
        <f t="shared" si="5"/>
        <v>0</v>
      </c>
      <c r="AG11" s="208">
        <f t="shared" si="6"/>
        <v>0</v>
      </c>
      <c r="AH11" s="253" t="e">
        <f t="shared" si="7"/>
        <v>#VALUE!</v>
      </c>
      <c r="AI11" s="253" t="e">
        <f t="shared" si="8"/>
        <v>#VALUE!</v>
      </c>
      <c r="AJ11" s="591">
        <f t="shared" si="9"/>
        <v>0</v>
      </c>
      <c r="AK11" s="591">
        <f t="shared" si="10"/>
        <v>0</v>
      </c>
      <c r="AL11" s="591">
        <f t="shared" si="11"/>
        <v>0</v>
      </c>
      <c r="AM11" s="591">
        <f t="shared" si="12"/>
        <v>0</v>
      </c>
      <c r="AN11" s="253" t="e">
        <f t="shared" si="13"/>
        <v>#VALUE!</v>
      </c>
      <c r="AO11" s="253" t="e">
        <f t="shared" si="14"/>
        <v>#VALUE!</v>
      </c>
      <c r="AP11" s="701">
        <f t="shared" si="15"/>
        <v>0</v>
      </c>
      <c r="AQ11" s="701">
        <f t="shared" si="16"/>
        <v>0</v>
      </c>
      <c r="AR11" s="701">
        <f t="shared" si="17"/>
        <v>1500</v>
      </c>
      <c r="AS11" s="701">
        <f t="shared" si="18"/>
        <v>1500</v>
      </c>
    </row>
    <row r="12" spans="1:45" x14ac:dyDescent="0.25">
      <c r="A12" s="1466" t="s">
        <v>54</v>
      </c>
      <c r="B12" s="1467"/>
      <c r="C12" s="1435"/>
      <c r="Q12" s="1431"/>
      <c r="R12" s="673" t="str">
        <f t="shared" si="20"/>
        <v>POMIXTEMHMS-HF</v>
      </c>
      <c r="S12" s="181" t="str">
        <f t="shared" si="0"/>
        <v>PO</v>
      </c>
      <c r="T12" s="181" t="str">
        <f>Dossier_Mixte</f>
        <v>MIXTE</v>
      </c>
      <c r="U12" s="181" t="str">
        <f>RFR_Modeste</f>
        <v>M</v>
      </c>
      <c r="V12" s="191">
        <f t="shared" si="22"/>
        <v>0.35</v>
      </c>
      <c r="W12" s="277">
        <f>IF(Gain_Sim1&gt;$V12,Taux_ANAH35,0)</f>
        <v>0</v>
      </c>
      <c r="X12" s="277">
        <f>IF(Gain_Sim2&gt;$V12,Taux_ANAH35,0)</f>
        <v>0</v>
      </c>
      <c r="Y12" s="200">
        <f>Plafond_ANAH_Tx_30k</f>
        <v>30000</v>
      </c>
      <c r="Z12" s="191">
        <f t="shared" si="23"/>
        <v>0.1</v>
      </c>
      <c r="AA12" s="200">
        <f>Plafond_ASE2000</f>
        <v>2000</v>
      </c>
      <c r="AB12" s="40"/>
      <c r="AC12" s="181" t="str">
        <f>$A$66</f>
        <v>HMS-HF</v>
      </c>
      <c r="AD12" s="254">
        <f t="shared" si="21"/>
        <v>0.1</v>
      </c>
      <c r="AE12" s="134">
        <v>2000</v>
      </c>
      <c r="AF12" s="253">
        <f t="shared" si="5"/>
        <v>0</v>
      </c>
      <c r="AG12" s="208">
        <f t="shared" si="6"/>
        <v>0</v>
      </c>
      <c r="AH12" s="253" t="e">
        <f t="shared" si="7"/>
        <v>#VALUE!</v>
      </c>
      <c r="AI12" s="253" t="e">
        <f t="shared" si="8"/>
        <v>#VALUE!</v>
      </c>
      <c r="AJ12" s="591">
        <f t="shared" si="9"/>
        <v>0</v>
      </c>
      <c r="AK12" s="591">
        <f t="shared" si="10"/>
        <v>0</v>
      </c>
      <c r="AL12" s="591">
        <f t="shared" si="11"/>
        <v>0</v>
      </c>
      <c r="AM12" s="591">
        <f t="shared" si="12"/>
        <v>0</v>
      </c>
      <c r="AN12" s="253" t="e">
        <f t="shared" si="13"/>
        <v>#VALUE!</v>
      </c>
      <c r="AO12" s="253" t="e">
        <f t="shared" si="14"/>
        <v>#VALUE!</v>
      </c>
      <c r="AP12" s="701">
        <f t="shared" si="15"/>
        <v>0</v>
      </c>
      <c r="AQ12" s="701">
        <f t="shared" si="16"/>
        <v>0</v>
      </c>
      <c r="AR12" s="701">
        <f t="shared" si="17"/>
        <v>1500</v>
      </c>
      <c r="AS12" s="701">
        <f t="shared" si="18"/>
        <v>1500</v>
      </c>
    </row>
    <row r="13" spans="1:45" ht="15" customHeight="1" thickBot="1" x14ac:dyDescent="0.3">
      <c r="A13" s="20" t="s">
        <v>309</v>
      </c>
      <c r="B13" s="21" t="s">
        <v>2</v>
      </c>
      <c r="C13" s="22" t="s">
        <v>0</v>
      </c>
      <c r="Q13" s="1431"/>
      <c r="R13" s="673" t="str">
        <f t="shared" si="20"/>
        <v>POMIXTE +TMHMSB-HF</v>
      </c>
      <c r="S13" s="181" t="str">
        <f t="shared" si="0"/>
        <v>PO</v>
      </c>
      <c r="T13" s="181" t="str">
        <f>Dossier_Mixte_Plus</f>
        <v>MIXTE +</v>
      </c>
      <c r="U13" s="181" t="str">
        <f>RFR_Tres_Modeste</f>
        <v>TM</v>
      </c>
      <c r="V13" s="191">
        <f t="shared" si="22"/>
        <v>0.35</v>
      </c>
      <c r="W13" s="277">
        <f>IF(Gain_Sim1&gt;$V13,Taux_ANAH50,0)</f>
        <v>0</v>
      </c>
      <c r="X13" s="277">
        <f t="shared" si="2"/>
        <v>0</v>
      </c>
      <c r="Y13" s="200">
        <f>Plafond_ANAH_Tx_30k</f>
        <v>30000</v>
      </c>
      <c r="Z13" s="191">
        <f t="shared" si="23"/>
        <v>0.1</v>
      </c>
      <c r="AA13" s="255">
        <f>Plafond_ASE3000</f>
        <v>3000</v>
      </c>
      <c r="AB13" s="40">
        <v>0.7</v>
      </c>
      <c r="AC13" s="181" t="str">
        <f>$A$67</f>
        <v>HMSB-HF</v>
      </c>
      <c r="AD13" s="254">
        <f t="shared" si="21"/>
        <v>0.1</v>
      </c>
      <c r="AE13" s="134">
        <v>2000</v>
      </c>
      <c r="AF13" s="253">
        <f t="shared" si="5"/>
        <v>0</v>
      </c>
      <c r="AG13" s="208">
        <f t="shared" si="6"/>
        <v>0</v>
      </c>
      <c r="AH13" s="253" t="e">
        <f t="shared" si="7"/>
        <v>#VALUE!</v>
      </c>
      <c r="AI13" s="253" t="e">
        <f t="shared" si="8"/>
        <v>#VALUE!</v>
      </c>
      <c r="AJ13" s="591">
        <f t="shared" si="9"/>
        <v>0</v>
      </c>
      <c r="AK13" s="591">
        <f t="shared" si="10"/>
        <v>0</v>
      </c>
      <c r="AL13" s="591">
        <f t="shared" si="11"/>
        <v>0</v>
      </c>
      <c r="AM13" s="591">
        <f t="shared" si="12"/>
        <v>0</v>
      </c>
      <c r="AN13" s="253" t="e">
        <f t="shared" si="13"/>
        <v>#VALUE!</v>
      </c>
      <c r="AO13" s="253" t="e">
        <f t="shared" si="14"/>
        <v>#VALUE!</v>
      </c>
      <c r="AP13" s="701">
        <f t="shared" si="15"/>
        <v>0</v>
      </c>
      <c r="AQ13" s="701">
        <f t="shared" si="16"/>
        <v>0</v>
      </c>
      <c r="AR13" s="701">
        <f t="shared" si="17"/>
        <v>1500</v>
      </c>
      <c r="AS13" s="701">
        <f t="shared" si="18"/>
        <v>1500</v>
      </c>
    </row>
    <row r="14" spans="1:45" x14ac:dyDescent="0.25">
      <c r="A14" s="17">
        <v>1</v>
      </c>
      <c r="B14" s="18">
        <v>14879</v>
      </c>
      <c r="C14" s="19">
        <v>19074</v>
      </c>
      <c r="F14" s="1457" t="s">
        <v>9</v>
      </c>
      <c r="G14" s="1458"/>
      <c r="H14" s="1458"/>
      <c r="I14" s="1458"/>
      <c r="J14" s="1469"/>
      <c r="K14" s="169"/>
      <c r="L14" s="1457" t="s">
        <v>8</v>
      </c>
      <c r="M14" s="1458"/>
      <c r="N14" s="1458"/>
      <c r="O14" s="1458"/>
      <c r="P14" s="1458"/>
      <c r="Q14" s="1431"/>
      <c r="R14" s="673" t="str">
        <f t="shared" si="20"/>
        <v>POMIXTE +MHMSB-HF</v>
      </c>
      <c r="S14" s="181" t="str">
        <f t="shared" si="0"/>
        <v>PO</v>
      </c>
      <c r="T14" s="181" t="str">
        <f>Dossier_Mixte_Plus</f>
        <v>MIXTE +</v>
      </c>
      <c r="U14" s="181" t="str">
        <f>RFR_Modeste</f>
        <v>M</v>
      </c>
      <c r="V14" s="191">
        <f t="shared" si="22"/>
        <v>0.35</v>
      </c>
      <c r="W14" s="277">
        <f>IF(Gain_Sim1&gt;$V14,Taux_ANAH35,0)</f>
        <v>0</v>
      </c>
      <c r="X14" s="277">
        <f>IF(Gain_Sim2&gt;$V14,Taux_ANAH35,0)</f>
        <v>0</v>
      </c>
      <c r="Y14" s="200">
        <f>Plafond_ANAH_Tx_30k</f>
        <v>30000</v>
      </c>
      <c r="Z14" s="191">
        <f t="shared" si="23"/>
        <v>0.1</v>
      </c>
      <c r="AA14" s="200">
        <f>Plafond_ASE2000</f>
        <v>2000</v>
      </c>
      <c r="AB14" s="40"/>
      <c r="AC14" s="181" t="str">
        <f>$A$67</f>
        <v>HMSB-HF</v>
      </c>
      <c r="AD14" s="254">
        <f t="shared" si="21"/>
        <v>0.1</v>
      </c>
      <c r="AE14" s="134">
        <v>2000</v>
      </c>
      <c r="AF14" s="253">
        <f t="shared" si="5"/>
        <v>0</v>
      </c>
      <c r="AG14" s="208">
        <f t="shared" si="6"/>
        <v>0</v>
      </c>
      <c r="AH14" s="253" t="e">
        <f t="shared" si="7"/>
        <v>#VALUE!</v>
      </c>
      <c r="AI14" s="253" t="e">
        <f t="shared" si="8"/>
        <v>#VALUE!</v>
      </c>
      <c r="AJ14" s="591">
        <f t="shared" si="9"/>
        <v>0</v>
      </c>
      <c r="AK14" s="591">
        <f t="shared" si="10"/>
        <v>0</v>
      </c>
      <c r="AL14" s="591">
        <f t="shared" si="11"/>
        <v>0</v>
      </c>
      <c r="AM14" s="591">
        <f t="shared" si="12"/>
        <v>0</v>
      </c>
      <c r="AN14" s="253" t="e">
        <f t="shared" si="13"/>
        <v>#VALUE!</v>
      </c>
      <c r="AO14" s="253" t="e">
        <f t="shared" si="14"/>
        <v>#VALUE!</v>
      </c>
      <c r="AP14" s="701">
        <f t="shared" si="15"/>
        <v>0</v>
      </c>
      <c r="AQ14" s="701">
        <f t="shared" si="16"/>
        <v>0</v>
      </c>
      <c r="AR14" s="701">
        <f t="shared" si="17"/>
        <v>1500</v>
      </c>
      <c r="AS14" s="701">
        <f t="shared" si="18"/>
        <v>1500</v>
      </c>
    </row>
    <row r="15" spans="1:45" ht="15.75" thickBot="1" x14ac:dyDescent="0.3">
      <c r="A15" s="9">
        <v>2</v>
      </c>
      <c r="B15" s="13">
        <v>21760</v>
      </c>
      <c r="C15" s="14">
        <v>27896</v>
      </c>
      <c r="F15" s="1459"/>
      <c r="G15" s="1460"/>
      <c r="H15" s="1460"/>
      <c r="I15" s="1460"/>
      <c r="J15" s="1470"/>
      <c r="K15" s="169"/>
      <c r="L15" s="1459"/>
      <c r="M15" s="1460"/>
      <c r="N15" s="1460"/>
      <c r="O15" s="1460"/>
      <c r="P15" s="1460"/>
      <c r="Q15" s="1431"/>
      <c r="R15" s="673" t="str">
        <f t="shared" si="20"/>
        <v>POTRX_LOURDTMHSE-D</v>
      </c>
      <c r="S15" s="181" t="str">
        <f t="shared" si="0"/>
        <v>PO</v>
      </c>
      <c r="T15" s="181" t="str">
        <f t="shared" ref="T15:T24" si="24">Dossier_Trx_Lourd</f>
        <v>TRX_LOURD</v>
      </c>
      <c r="U15" s="181" t="str">
        <f>RFR_Tres_Modeste</f>
        <v>TM</v>
      </c>
      <c r="V15" s="191">
        <f t="shared" si="22"/>
        <v>0.35</v>
      </c>
      <c r="W15" s="277">
        <f>IF(Gain_Sim1&gt;$V15,Taux_ANAH50,0)</f>
        <v>0</v>
      </c>
      <c r="X15" s="277">
        <f t="shared" si="2"/>
        <v>0</v>
      </c>
      <c r="Y15" s="200">
        <f>+Plafond_ANAH_Tx_50k</f>
        <v>50000</v>
      </c>
      <c r="Z15" s="191">
        <f t="shared" si="23"/>
        <v>0.1</v>
      </c>
      <c r="AA15" s="255">
        <f>Plafond_ASE3000</f>
        <v>3000</v>
      </c>
      <c r="AB15" s="40">
        <v>0.7</v>
      </c>
      <c r="AC15" s="181" t="str">
        <f>$A$69</f>
        <v>HSE-D</v>
      </c>
      <c r="AD15" s="254">
        <f>Taux_CC20</f>
        <v>0.2</v>
      </c>
      <c r="AE15" s="134">
        <v>10000</v>
      </c>
      <c r="AF15" s="253">
        <f t="shared" si="5"/>
        <v>0</v>
      </c>
      <c r="AG15" s="208">
        <f t="shared" si="6"/>
        <v>0</v>
      </c>
      <c r="AH15" s="253" t="e">
        <f t="shared" si="7"/>
        <v>#VALUE!</v>
      </c>
      <c r="AI15" s="253" t="e">
        <f t="shared" si="8"/>
        <v>#VALUE!</v>
      </c>
      <c r="AJ15" s="591">
        <f t="shared" si="9"/>
        <v>0</v>
      </c>
      <c r="AK15" s="591">
        <f t="shared" si="10"/>
        <v>0</v>
      </c>
      <c r="AL15" s="591">
        <f t="shared" si="11"/>
        <v>0</v>
      </c>
      <c r="AM15" s="591">
        <f t="shared" si="12"/>
        <v>0</v>
      </c>
      <c r="AN15" s="253" t="e">
        <f t="shared" si="13"/>
        <v>#VALUE!</v>
      </c>
      <c r="AO15" s="253" t="e">
        <f t="shared" si="14"/>
        <v>#VALUE!</v>
      </c>
      <c r="AP15" s="701">
        <f t="shared" si="15"/>
        <v>0</v>
      </c>
      <c r="AQ15" s="701">
        <f t="shared" si="16"/>
        <v>0</v>
      </c>
      <c r="AR15" s="701">
        <f t="shared" si="17"/>
        <v>1500</v>
      </c>
      <c r="AS15" s="701">
        <f t="shared" si="18"/>
        <v>1500</v>
      </c>
    </row>
    <row r="16" spans="1:45" x14ac:dyDescent="0.25">
      <c r="A16" s="9">
        <v>3</v>
      </c>
      <c r="B16" s="13">
        <v>26170</v>
      </c>
      <c r="C16" s="14">
        <v>33547</v>
      </c>
      <c r="E16" s="1461" t="s">
        <v>46</v>
      </c>
      <c r="F16" s="41" t="s">
        <v>46</v>
      </c>
      <c r="G16" s="1455" t="s">
        <v>44</v>
      </c>
      <c r="H16" s="1455"/>
      <c r="I16" s="1455"/>
      <c r="J16" s="1455"/>
      <c r="K16" s="1461" t="s">
        <v>46</v>
      </c>
      <c r="L16" s="42" t="s">
        <v>46</v>
      </c>
      <c r="M16" s="1455" t="s">
        <v>50</v>
      </c>
      <c r="N16" s="1455"/>
      <c r="O16" s="1455"/>
      <c r="P16" s="1456"/>
      <c r="Q16" s="1431"/>
      <c r="R16" s="673" t="str">
        <f t="shared" si="20"/>
        <v>POTRX_LOURDMHSE-D</v>
      </c>
      <c r="S16" s="181" t="str">
        <f t="shared" si="0"/>
        <v>PO</v>
      </c>
      <c r="T16" s="181" t="str">
        <f t="shared" si="24"/>
        <v>TRX_LOURD</v>
      </c>
      <c r="U16" s="181" t="str">
        <f>RFR_Modeste</f>
        <v>M</v>
      </c>
      <c r="V16" s="191">
        <f t="shared" si="22"/>
        <v>0.35</v>
      </c>
      <c r="W16" s="277">
        <f>IF(Gain_Sim1&gt;$V16,Taux_ANAH35,0)</f>
        <v>0</v>
      </c>
      <c r="X16" s="277">
        <f>IF(Gain_Sim2&gt;$V16,Taux_ANAH35,0)</f>
        <v>0</v>
      </c>
      <c r="Y16" s="200">
        <f>Plafond_ANAH_Tx_50k</f>
        <v>50000</v>
      </c>
      <c r="Z16" s="191">
        <f t="shared" si="23"/>
        <v>0.1</v>
      </c>
      <c r="AA16" s="200">
        <f>Plafond_ASE2000</f>
        <v>2000</v>
      </c>
      <c r="AB16" s="40"/>
      <c r="AC16" s="181" t="str">
        <f>$A$69</f>
        <v>HSE-D</v>
      </c>
      <c r="AD16" s="254">
        <f>Taux_CC10</f>
        <v>0.1</v>
      </c>
      <c r="AE16" s="134">
        <v>5000</v>
      </c>
      <c r="AF16" s="253">
        <f t="shared" si="5"/>
        <v>0</v>
      </c>
      <c r="AG16" s="208">
        <f t="shared" si="6"/>
        <v>0</v>
      </c>
      <c r="AH16" s="253" t="e">
        <f t="shared" si="7"/>
        <v>#VALUE!</v>
      </c>
      <c r="AI16" s="253" t="e">
        <f t="shared" si="8"/>
        <v>#VALUE!</v>
      </c>
      <c r="AJ16" s="591">
        <f t="shared" si="9"/>
        <v>0</v>
      </c>
      <c r="AK16" s="591">
        <f t="shared" si="10"/>
        <v>0</v>
      </c>
      <c r="AL16" s="591">
        <f t="shared" si="11"/>
        <v>0</v>
      </c>
      <c r="AM16" s="591">
        <f t="shared" si="12"/>
        <v>0</v>
      </c>
      <c r="AN16" s="253" t="e">
        <f t="shared" si="13"/>
        <v>#VALUE!</v>
      </c>
      <c r="AO16" s="253" t="e">
        <f t="shared" si="14"/>
        <v>#VALUE!</v>
      </c>
      <c r="AP16" s="701">
        <f t="shared" si="15"/>
        <v>0</v>
      </c>
      <c r="AQ16" s="701">
        <f t="shared" si="16"/>
        <v>0</v>
      </c>
      <c r="AR16" s="701">
        <f t="shared" si="17"/>
        <v>1500</v>
      </c>
      <c r="AS16" s="701">
        <f t="shared" si="18"/>
        <v>1500</v>
      </c>
    </row>
    <row r="17" spans="1:45" x14ac:dyDescent="0.25">
      <c r="A17" s="9">
        <v>4</v>
      </c>
      <c r="B17" s="13">
        <v>30572</v>
      </c>
      <c r="C17" s="14">
        <v>39192</v>
      </c>
      <c r="E17" s="1462"/>
      <c r="F17" s="24" t="s">
        <v>48</v>
      </c>
      <c r="G17" s="23" t="s">
        <v>38</v>
      </c>
      <c r="H17" s="23" t="s">
        <v>39</v>
      </c>
      <c r="I17" s="36" t="s">
        <v>40</v>
      </c>
      <c r="J17" s="36" t="s">
        <v>41</v>
      </c>
      <c r="K17" s="1462"/>
      <c r="L17" s="23" t="s">
        <v>48</v>
      </c>
      <c r="M17" s="23" t="s">
        <v>38</v>
      </c>
      <c r="N17" s="23" t="s">
        <v>39</v>
      </c>
      <c r="O17" s="36" t="s">
        <v>40</v>
      </c>
      <c r="P17" s="667" t="s">
        <v>41</v>
      </c>
      <c r="Q17" s="1431"/>
      <c r="R17" s="673" t="str">
        <f t="shared" si="20"/>
        <v>POTRX_LOURD+TMHSE-D</v>
      </c>
      <c r="S17" s="181" t="str">
        <f t="shared" si="0"/>
        <v>PO</v>
      </c>
      <c r="T17" s="181" t="str">
        <f>Dossier_Trx_Lourd_Plus</f>
        <v>TRX_LOURD+</v>
      </c>
      <c r="U17" s="181" t="str">
        <f>RFR_Tres_Modeste</f>
        <v>TM</v>
      </c>
      <c r="V17" s="191">
        <f t="shared" si="22"/>
        <v>0.35</v>
      </c>
      <c r="W17" s="277">
        <f>IF(Gain_Sim1&gt;$V17,Taux_ANAH50,0)</f>
        <v>0</v>
      </c>
      <c r="X17" s="277">
        <f t="shared" si="2"/>
        <v>0</v>
      </c>
      <c r="Y17" s="200">
        <f>+Plafond_ANAH_Tx_50k</f>
        <v>50000</v>
      </c>
      <c r="Z17" s="191">
        <f t="shared" si="23"/>
        <v>0.1</v>
      </c>
      <c r="AA17" s="255">
        <f>Plafond_ASE3000</f>
        <v>3000</v>
      </c>
      <c r="AB17" s="40">
        <v>0.7</v>
      </c>
      <c r="AC17" s="181" t="str">
        <f>$A$69</f>
        <v>HSE-D</v>
      </c>
      <c r="AD17" s="254">
        <f>Taux_CC20</f>
        <v>0.2</v>
      </c>
      <c r="AE17" s="134">
        <v>10000</v>
      </c>
      <c r="AF17" s="253">
        <f t="shared" si="5"/>
        <v>0</v>
      </c>
      <c r="AG17" s="208">
        <f t="shared" si="6"/>
        <v>0</v>
      </c>
      <c r="AH17" s="253" t="e">
        <f t="shared" si="7"/>
        <v>#VALUE!</v>
      </c>
      <c r="AI17" s="253" t="e">
        <f t="shared" si="8"/>
        <v>#VALUE!</v>
      </c>
      <c r="AJ17" s="591">
        <f t="shared" si="9"/>
        <v>0</v>
      </c>
      <c r="AK17" s="591">
        <f t="shared" si="10"/>
        <v>0</v>
      </c>
      <c r="AL17" s="591">
        <f t="shared" si="11"/>
        <v>0</v>
      </c>
      <c r="AM17" s="591">
        <f t="shared" si="12"/>
        <v>0</v>
      </c>
      <c r="AN17" s="253" t="e">
        <f t="shared" si="13"/>
        <v>#VALUE!</v>
      </c>
      <c r="AO17" s="253" t="e">
        <f t="shared" si="14"/>
        <v>#VALUE!</v>
      </c>
      <c r="AP17" s="701">
        <f t="shared" si="15"/>
        <v>0</v>
      </c>
      <c r="AQ17" s="701">
        <f t="shared" si="16"/>
        <v>0</v>
      </c>
      <c r="AR17" s="701">
        <f t="shared" si="17"/>
        <v>1500</v>
      </c>
      <c r="AS17" s="701">
        <f t="shared" si="18"/>
        <v>1500</v>
      </c>
    </row>
    <row r="18" spans="1:45" x14ac:dyDescent="0.25">
      <c r="A18" s="9">
        <v>5</v>
      </c>
      <c r="B18" s="13">
        <v>34993</v>
      </c>
      <c r="C18" s="14">
        <v>44860</v>
      </c>
      <c r="E18" s="1462"/>
      <c r="F18" s="24" t="s">
        <v>42</v>
      </c>
      <c r="G18" s="5">
        <f>Taux_ASE10</f>
        <v>0.1</v>
      </c>
      <c r="H18" s="5">
        <f>Taux_ASE20</f>
        <v>0.2</v>
      </c>
      <c r="I18" s="37">
        <f>Taux_ASE10</f>
        <v>0.1</v>
      </c>
      <c r="J18" s="37">
        <f>Taux_ASE20</f>
        <v>0.2</v>
      </c>
      <c r="K18" s="1462"/>
      <c r="L18" s="23" t="s">
        <v>42</v>
      </c>
      <c r="M18" s="5">
        <f>Taux_ANAH50</f>
        <v>0.5</v>
      </c>
      <c r="N18" s="40">
        <f>Taux_ANAH50</f>
        <v>0.5</v>
      </c>
      <c r="O18" s="40">
        <f>Taux_ANAH35</f>
        <v>0.35</v>
      </c>
      <c r="P18" s="668">
        <f>Taux_ANAH35</f>
        <v>0.35</v>
      </c>
      <c r="Q18" s="1431"/>
      <c r="R18" s="673" t="str">
        <f t="shared" si="20"/>
        <v>POTRX_LOURD+MHSE-D</v>
      </c>
      <c r="S18" s="181" t="str">
        <f t="shared" si="0"/>
        <v>PO</v>
      </c>
      <c r="T18" s="181" t="str">
        <f>Dossier_Trx_Lourd_Plus</f>
        <v>TRX_LOURD+</v>
      </c>
      <c r="U18" s="181" t="str">
        <f>RFR_Modeste</f>
        <v>M</v>
      </c>
      <c r="V18" s="191">
        <f t="shared" si="22"/>
        <v>0.35</v>
      </c>
      <c r="W18" s="277">
        <f>IF(Gain_Sim1&gt;$V18,Taux_ANAH35,0)</f>
        <v>0</v>
      </c>
      <c r="X18" s="277">
        <f>IF(Gain_Sim2&gt;$V18,Taux_ANAH35,0)</f>
        <v>0</v>
      </c>
      <c r="Y18" s="200">
        <f>Plafond_ANAH_Tx_50k</f>
        <v>50000</v>
      </c>
      <c r="Z18" s="191">
        <f t="shared" si="23"/>
        <v>0.1</v>
      </c>
      <c r="AA18" s="200">
        <f>Plafond_ASE2000</f>
        <v>2000</v>
      </c>
      <c r="AB18" s="40"/>
      <c r="AC18" s="181" t="str">
        <f>$A$69</f>
        <v>HSE-D</v>
      </c>
      <c r="AD18" s="254">
        <f>Taux_CC10</f>
        <v>0.1</v>
      </c>
      <c r="AE18" s="134">
        <v>5000</v>
      </c>
      <c r="AF18" s="253">
        <f t="shared" si="5"/>
        <v>0</v>
      </c>
      <c r="AG18" s="208">
        <f t="shared" si="6"/>
        <v>0</v>
      </c>
      <c r="AH18" s="253" t="e">
        <f t="shared" si="7"/>
        <v>#VALUE!</v>
      </c>
      <c r="AI18" s="253" t="e">
        <f t="shared" si="8"/>
        <v>#VALUE!</v>
      </c>
      <c r="AJ18" s="591">
        <f t="shared" si="9"/>
        <v>0</v>
      </c>
      <c r="AK18" s="591">
        <f t="shared" si="10"/>
        <v>0</v>
      </c>
      <c r="AL18" s="591">
        <f t="shared" si="11"/>
        <v>0</v>
      </c>
      <c r="AM18" s="591">
        <f t="shared" si="12"/>
        <v>0</v>
      </c>
      <c r="AN18" s="253" t="e">
        <f t="shared" si="13"/>
        <v>#VALUE!</v>
      </c>
      <c r="AO18" s="253" t="e">
        <f t="shared" si="14"/>
        <v>#VALUE!</v>
      </c>
      <c r="AP18" s="701">
        <f t="shared" si="15"/>
        <v>0</v>
      </c>
      <c r="AQ18" s="701">
        <f t="shared" si="16"/>
        <v>0</v>
      </c>
      <c r="AR18" s="701">
        <f t="shared" si="17"/>
        <v>1500</v>
      </c>
      <c r="AS18" s="701">
        <f t="shared" si="18"/>
        <v>1500</v>
      </c>
    </row>
    <row r="19" spans="1:45" x14ac:dyDescent="0.25">
      <c r="A19" s="9">
        <v>6</v>
      </c>
      <c r="B19" s="13">
        <f>B18+4412</f>
        <v>39405</v>
      </c>
      <c r="C19" s="14">
        <f>C18+5651</f>
        <v>50511</v>
      </c>
      <c r="E19" s="1462"/>
      <c r="F19" s="24" t="s">
        <v>43</v>
      </c>
      <c r="G19" s="38">
        <f>Plafond_ASE2000</f>
        <v>2000</v>
      </c>
      <c r="H19" s="38">
        <f>Plafond_ASE4000</f>
        <v>4000</v>
      </c>
      <c r="I19" s="39">
        <f>Plafond_ASE1600</f>
        <v>1600</v>
      </c>
      <c r="J19" s="39">
        <f>Plafond_ASE2000</f>
        <v>2000</v>
      </c>
      <c r="K19" s="1462"/>
      <c r="L19" s="23" t="s">
        <v>49</v>
      </c>
      <c r="M19" s="38">
        <f>Plafond_ANAH_Tx_20k</f>
        <v>20000</v>
      </c>
      <c r="N19" s="38">
        <f>Plafond_ANAH_Tx_30k</f>
        <v>30000</v>
      </c>
      <c r="O19" s="38">
        <f>Plafond_ANAH_Tx_20k</f>
        <v>20000</v>
      </c>
      <c r="P19" s="669">
        <f>Plafond_ANAH_Tx_30k</f>
        <v>30000</v>
      </c>
      <c r="Q19" s="1431"/>
      <c r="R19" s="673" t="str">
        <f t="shared" si="20"/>
        <v>POTRX_LOURDTMHSE-I</v>
      </c>
      <c r="S19" s="181" t="str">
        <f t="shared" si="0"/>
        <v>PO</v>
      </c>
      <c r="T19" s="181" t="str">
        <f t="shared" si="24"/>
        <v>TRX_LOURD</v>
      </c>
      <c r="U19" s="181" t="str">
        <f>RFR_Tres_Modeste</f>
        <v>TM</v>
      </c>
      <c r="V19" s="191">
        <f t="shared" si="22"/>
        <v>0.35</v>
      </c>
      <c r="W19" s="277">
        <f t="shared" ref="W19:W26" si="25">IF(Gain_Sim1&gt;$V19,Taux_ANAH50,0)</f>
        <v>0</v>
      </c>
      <c r="X19" s="277">
        <f t="shared" si="2"/>
        <v>0</v>
      </c>
      <c r="Y19" s="200">
        <f>+Plafond_ANAH_Tx_50k</f>
        <v>50000</v>
      </c>
      <c r="Z19" s="191">
        <f t="shared" si="23"/>
        <v>0.1</v>
      </c>
      <c r="AA19" s="255">
        <f>Plafond_ASE3000</f>
        <v>3000</v>
      </c>
      <c r="AB19" s="40">
        <v>0.7</v>
      </c>
      <c r="AC19" s="181" t="str">
        <f>$A$70</f>
        <v>HSE-I</v>
      </c>
      <c r="AD19" s="254">
        <v>0.2</v>
      </c>
      <c r="AE19" s="134"/>
      <c r="AF19" s="253">
        <f t="shared" si="5"/>
        <v>0</v>
      </c>
      <c r="AG19" s="208">
        <f t="shared" si="6"/>
        <v>0</v>
      </c>
      <c r="AH19" s="253" t="e">
        <f t="shared" si="7"/>
        <v>#VALUE!</v>
      </c>
      <c r="AI19" s="253" t="e">
        <f t="shared" si="8"/>
        <v>#VALUE!</v>
      </c>
      <c r="AJ19" s="591">
        <f t="shared" si="9"/>
        <v>0</v>
      </c>
      <c r="AK19" s="591">
        <f t="shared" si="10"/>
        <v>0</v>
      </c>
      <c r="AL19" s="591">
        <f t="shared" si="11"/>
        <v>0</v>
      </c>
      <c r="AM19" s="591">
        <f t="shared" si="12"/>
        <v>0</v>
      </c>
      <c r="AN19" s="253" t="e">
        <f t="shared" si="13"/>
        <v>#VALUE!</v>
      </c>
      <c r="AO19" s="253" t="e">
        <f t="shared" si="14"/>
        <v>#VALUE!</v>
      </c>
      <c r="AP19" s="701">
        <f t="shared" si="15"/>
        <v>0</v>
      </c>
      <c r="AQ19" s="701">
        <f t="shared" si="16"/>
        <v>0</v>
      </c>
      <c r="AR19" s="701">
        <f t="shared" si="17"/>
        <v>1500</v>
      </c>
      <c r="AS19" s="701">
        <f t="shared" si="18"/>
        <v>1500</v>
      </c>
    </row>
    <row r="20" spans="1:45" ht="15.75" thickBot="1" x14ac:dyDescent="0.3">
      <c r="A20" s="11">
        <v>7</v>
      </c>
      <c r="B20" s="15">
        <f>B19+4412</f>
        <v>43817</v>
      </c>
      <c r="C20" s="16">
        <f>C19+56.51</f>
        <v>50567.51</v>
      </c>
      <c r="E20" s="1463"/>
      <c r="F20" s="26" t="s">
        <v>45</v>
      </c>
      <c r="G20" s="43" t="e">
        <f>IF(AND(Type_Dossier=Dossier_Energie,Cat_RFR=RFR_Tres_Modeste,(BaseCalcul_HT_Sim1*Taux_Calcul_ASE_Sim2)&lt;Plafond_ASE2000),BaseCalcul_HT_Sim1*Taux_Calcul_ASE_Sim2,Plafond_ASE2000)</f>
        <v>#VALUE!</v>
      </c>
      <c r="H20" s="43" t="e">
        <f>IF(AND(Type_Dossier=Dossier_Energie_Plus,Cat_RFR=RFR_Tres_Modeste,(BaseCalcul_HT_Sim1*Taux_Calcul_ASE_Sim2)&lt;Plafond_ASE4000),BaseCalcul_HT_Sim1*Taux_Calcul_ASE_Sim2,Plafond_ASE4000)</f>
        <v>#VALUE!</v>
      </c>
      <c r="I20" s="43" t="e">
        <f>IF(AND(Type_Dossier=Dossier_Energie,Cat_RFR=RFR_Modeste,(BaseCalcul_HT_Sim1*Taux_Calcul_ASE_Sim2)&lt;Plafond_ASE1600),BaseCalcul_HT_Sim1*Taux_Calcul_ASE_Sim2,Plafond_ASE1600)</f>
        <v>#VALUE!</v>
      </c>
      <c r="J20" s="43" t="e">
        <f>IF(AND(Type_Dossier=Dossier_Energie_Plus,Cat_RFR=RFR_Modeste,(BaseCalcul_HT_Sim1*Taux_Calcul_ASE_Sim2)&lt;Plafond_ASE2000),BaseCalcul_HT_Sim1*Taux_Calcul_ASE_Sim2,Plafond_ASE2000)</f>
        <v>#VALUE!</v>
      </c>
      <c r="K20" s="1463"/>
      <c r="L20" s="34" t="s">
        <v>45</v>
      </c>
      <c r="M20" s="43" t="e">
        <f>IF(AND(OR(Type_Dossier=Dossier_Energie,Type_Dossier=Dossier_Mixte),Cat_RFR=RFR_Tres_Modeste,BaseCalcul_HT_Sim1&lt;Plafond_ANAH_Tx_20k),BaseCalcul_HT_Sim1*Taux_ANAH50,Plafond_ANAH_Tx_20k*Taux_ANAH50)</f>
        <v>#VALUE!</v>
      </c>
      <c r="N20" s="43" t="e">
        <f>IF(AND(OR(Type_Dossier=Dossier_Energie_Plus,Type_Dossier=Dossier_Mixte_Plus),Cat_RFR=RFR_Tres_Modeste,BaseCalcul_HT_Sim1&lt;Plafond_ANAH_Tx_30k),BaseCalcul_HT_Sim1*Taux_ANAH50,Plafond_ANAH_Tx_30k*Taux_ANAH50)</f>
        <v>#VALUE!</v>
      </c>
      <c r="O20" s="43" t="e">
        <f>IF(AND(OR(Type_Dossier=Dossier_Energie,Type_Dossier=Dossier_Mixte),Cat_RFR=RFR_Modeste,BaseCalcul_HT_Sim1&lt;Plafond_ANAH_Tx_20k),BaseCalcul_HT_Sim1*Taux_ANAH35,Plafond_ANAH_Tx_20k*Taux_ANAH35)</f>
        <v>#VALUE!</v>
      </c>
      <c r="P20" s="670" t="e">
        <f>IF(AND(OR(Type_Dossier=Dossier_Energie_Plus,Type_Dossier=Dossier_Mixte_Plus),Cat_RFR=RFR_Modeste,BaseCalcul_HT_Sim1&lt;Plafond_ANAH_Tx_30k),BaseCalcul_HT_Sim1*Taux_ANAH35,Plafond_ANAH_Tx_30k*Taux_ANAH35)</f>
        <v>#VALUE!</v>
      </c>
      <c r="Q20" s="1431"/>
      <c r="R20" s="673" t="str">
        <f t="shared" si="20"/>
        <v>POTRX_LOURDMHSE-I</v>
      </c>
      <c r="S20" s="181" t="str">
        <f t="shared" si="0"/>
        <v>PO</v>
      </c>
      <c r="T20" s="181" t="str">
        <f t="shared" si="24"/>
        <v>TRX_LOURD</v>
      </c>
      <c r="U20" s="181" t="str">
        <f>RFR_Modeste</f>
        <v>M</v>
      </c>
      <c r="V20" s="191">
        <f t="shared" si="22"/>
        <v>0.35</v>
      </c>
      <c r="W20" s="277">
        <f t="shared" si="25"/>
        <v>0</v>
      </c>
      <c r="X20" s="277">
        <f t="shared" si="2"/>
        <v>0</v>
      </c>
      <c r="Y20" s="200">
        <f>Plafond_ANAH_Tx_50k</f>
        <v>50000</v>
      </c>
      <c r="Z20" s="191">
        <f t="shared" si="23"/>
        <v>0.1</v>
      </c>
      <c r="AA20" s="200">
        <f>Plafond_ASE2000</f>
        <v>2000</v>
      </c>
      <c r="AB20" s="40"/>
      <c r="AC20" s="181" t="str">
        <f>$A$70</f>
        <v>HSE-I</v>
      </c>
      <c r="AD20" s="254">
        <v>0.1</v>
      </c>
      <c r="AE20" s="134"/>
      <c r="AF20" s="253">
        <f t="shared" si="5"/>
        <v>0</v>
      </c>
      <c r="AG20" s="208">
        <f t="shared" si="6"/>
        <v>0</v>
      </c>
      <c r="AH20" s="253" t="e">
        <f t="shared" si="7"/>
        <v>#VALUE!</v>
      </c>
      <c r="AI20" s="253" t="e">
        <f t="shared" si="8"/>
        <v>#VALUE!</v>
      </c>
      <c r="AJ20" s="591">
        <f t="shared" si="9"/>
        <v>0</v>
      </c>
      <c r="AK20" s="591">
        <f t="shared" si="10"/>
        <v>0</v>
      </c>
      <c r="AL20" s="591">
        <f t="shared" si="11"/>
        <v>0</v>
      </c>
      <c r="AM20" s="591">
        <f t="shared" si="12"/>
        <v>0</v>
      </c>
      <c r="AN20" s="253" t="e">
        <f t="shared" si="13"/>
        <v>#VALUE!</v>
      </c>
      <c r="AO20" s="253" t="e">
        <f t="shared" si="14"/>
        <v>#VALUE!</v>
      </c>
      <c r="AP20" s="701">
        <f t="shared" si="15"/>
        <v>0</v>
      </c>
      <c r="AQ20" s="701">
        <f t="shared" si="16"/>
        <v>0</v>
      </c>
      <c r="AR20" s="701">
        <f t="shared" si="17"/>
        <v>1500</v>
      </c>
      <c r="AS20" s="701">
        <f t="shared" si="18"/>
        <v>1500</v>
      </c>
    </row>
    <row r="21" spans="1:45" ht="15.75" thickBot="1" x14ac:dyDescent="0.3">
      <c r="F21" s="1"/>
      <c r="G21" s="2"/>
      <c r="H21" s="2"/>
      <c r="I21" s="2"/>
      <c r="J21" s="2"/>
      <c r="K21" s="2"/>
      <c r="L21" s="2"/>
      <c r="M21" s="2"/>
      <c r="N21" s="2"/>
      <c r="O21" s="2"/>
      <c r="P21" s="2"/>
      <c r="Q21" s="1431"/>
      <c r="R21" s="673" t="str">
        <f t="shared" si="20"/>
        <v>POTRX_LOURD+TMHSE-I</v>
      </c>
      <c r="S21" s="181" t="str">
        <f t="shared" si="0"/>
        <v>PO</v>
      </c>
      <c r="T21" s="181" t="str">
        <f>Dossier_Trx_Lourd_Plus</f>
        <v>TRX_LOURD+</v>
      </c>
      <c r="U21" s="181" t="str">
        <f>RFR_Tres_Modeste</f>
        <v>TM</v>
      </c>
      <c r="V21" s="191">
        <f t="shared" si="22"/>
        <v>0.35</v>
      </c>
      <c r="W21" s="277">
        <f t="shared" si="25"/>
        <v>0</v>
      </c>
      <c r="X21" s="277">
        <f t="shared" si="2"/>
        <v>0</v>
      </c>
      <c r="Y21" s="200">
        <f>+Plafond_ANAH_Tx_50k</f>
        <v>50000</v>
      </c>
      <c r="Z21" s="191">
        <f t="shared" si="23"/>
        <v>0.1</v>
      </c>
      <c r="AA21" s="255">
        <f>Plafond_ASE3000</f>
        <v>3000</v>
      </c>
      <c r="AB21" s="40">
        <v>0.7</v>
      </c>
      <c r="AC21" s="181" t="str">
        <f>$A$70</f>
        <v>HSE-I</v>
      </c>
      <c r="AD21" s="254">
        <v>0.2</v>
      </c>
      <c r="AE21" s="134"/>
      <c r="AF21" s="253">
        <f t="shared" si="5"/>
        <v>0</v>
      </c>
      <c r="AG21" s="208">
        <f t="shared" si="6"/>
        <v>0</v>
      </c>
      <c r="AH21" s="253" t="e">
        <f t="shared" si="7"/>
        <v>#VALUE!</v>
      </c>
      <c r="AI21" s="253" t="e">
        <f t="shared" si="8"/>
        <v>#VALUE!</v>
      </c>
      <c r="AJ21" s="591">
        <f t="shared" si="9"/>
        <v>0</v>
      </c>
      <c r="AK21" s="591">
        <f t="shared" si="10"/>
        <v>0</v>
      </c>
      <c r="AL21" s="591">
        <f t="shared" si="11"/>
        <v>0</v>
      </c>
      <c r="AM21" s="591">
        <f t="shared" si="12"/>
        <v>0</v>
      </c>
      <c r="AN21" s="253" t="e">
        <f t="shared" si="13"/>
        <v>#VALUE!</v>
      </c>
      <c r="AO21" s="253" t="e">
        <f t="shared" si="14"/>
        <v>#VALUE!</v>
      </c>
      <c r="AP21" s="701">
        <f t="shared" si="15"/>
        <v>0</v>
      </c>
      <c r="AQ21" s="701">
        <f t="shared" si="16"/>
        <v>0</v>
      </c>
      <c r="AR21" s="701">
        <f t="shared" si="17"/>
        <v>1500</v>
      </c>
      <c r="AS21" s="701">
        <f t="shared" si="18"/>
        <v>1500</v>
      </c>
    </row>
    <row r="22" spans="1:45" ht="15.75" thickBot="1" x14ac:dyDescent="0.3">
      <c r="E22" s="1461" t="s">
        <v>47</v>
      </c>
      <c r="F22" s="41" t="s">
        <v>47</v>
      </c>
      <c r="G22" s="1455" t="s">
        <v>44</v>
      </c>
      <c r="H22" s="1455"/>
      <c r="I22" s="1455"/>
      <c r="J22" s="1455"/>
      <c r="K22" s="1461" t="s">
        <v>47</v>
      </c>
      <c r="L22" s="42" t="s">
        <v>47</v>
      </c>
      <c r="M22" s="1455" t="s">
        <v>50</v>
      </c>
      <c r="N22" s="1455"/>
      <c r="O22" s="1455"/>
      <c r="P22" s="1456"/>
      <c r="Q22" s="1431"/>
      <c r="R22" s="673" t="str">
        <f t="shared" si="20"/>
        <v>POTRX_LOURD+MHSE-I</v>
      </c>
      <c r="S22" s="181" t="str">
        <f t="shared" si="0"/>
        <v>PO</v>
      </c>
      <c r="T22" s="181" t="str">
        <f>Dossier_Trx_Lourd_Plus</f>
        <v>TRX_LOURD+</v>
      </c>
      <c r="U22" s="181" t="str">
        <f>RFR_Modeste</f>
        <v>M</v>
      </c>
      <c r="V22" s="191">
        <f t="shared" si="22"/>
        <v>0.35</v>
      </c>
      <c r="W22" s="277">
        <f t="shared" si="25"/>
        <v>0</v>
      </c>
      <c r="X22" s="277">
        <f t="shared" si="2"/>
        <v>0</v>
      </c>
      <c r="Y22" s="200">
        <f>Plafond_ANAH_Tx_50k</f>
        <v>50000</v>
      </c>
      <c r="Z22" s="191">
        <f t="shared" si="23"/>
        <v>0.1</v>
      </c>
      <c r="AA22" s="200">
        <f>Plafond_ASE2000</f>
        <v>2000</v>
      </c>
      <c r="AB22" s="40"/>
      <c r="AC22" s="181" t="str">
        <f>$A$70</f>
        <v>HSE-I</v>
      </c>
      <c r="AD22" s="254">
        <v>0.1</v>
      </c>
      <c r="AE22" s="134"/>
      <c r="AF22" s="253">
        <f t="shared" si="5"/>
        <v>0</v>
      </c>
      <c r="AG22" s="208">
        <f t="shared" si="6"/>
        <v>0</v>
      </c>
      <c r="AH22" s="253" t="e">
        <f t="shared" si="7"/>
        <v>#VALUE!</v>
      </c>
      <c r="AI22" s="253" t="e">
        <f t="shared" si="8"/>
        <v>#VALUE!</v>
      </c>
      <c r="AJ22" s="591">
        <f t="shared" si="9"/>
        <v>0</v>
      </c>
      <c r="AK22" s="591">
        <f t="shared" si="10"/>
        <v>0</v>
      </c>
      <c r="AL22" s="591">
        <f t="shared" si="11"/>
        <v>0</v>
      </c>
      <c r="AM22" s="591">
        <f t="shared" si="12"/>
        <v>0</v>
      </c>
      <c r="AN22" s="253" t="e">
        <f t="shared" si="13"/>
        <v>#VALUE!</v>
      </c>
      <c r="AO22" s="253" t="e">
        <f t="shared" si="14"/>
        <v>#VALUE!</v>
      </c>
      <c r="AP22" s="701">
        <f t="shared" si="15"/>
        <v>0</v>
      </c>
      <c r="AQ22" s="701">
        <f t="shared" si="16"/>
        <v>0</v>
      </c>
      <c r="AR22" s="701">
        <f t="shared" si="17"/>
        <v>1500</v>
      </c>
      <c r="AS22" s="701">
        <f t="shared" si="18"/>
        <v>1500</v>
      </c>
    </row>
    <row r="23" spans="1:45" x14ac:dyDescent="0.25">
      <c r="A23" s="1454" t="s">
        <v>60</v>
      </c>
      <c r="B23" s="1449"/>
      <c r="E23" s="1462"/>
      <c r="F23" s="24" t="s">
        <v>48</v>
      </c>
      <c r="G23" s="23" t="s">
        <v>38</v>
      </c>
      <c r="H23" s="23" t="s">
        <v>39</v>
      </c>
      <c r="I23" s="36" t="s">
        <v>40</v>
      </c>
      <c r="J23" s="36" t="s">
        <v>41</v>
      </c>
      <c r="K23" s="1462"/>
      <c r="L23" s="23" t="s">
        <v>48</v>
      </c>
      <c r="M23" s="23" t="s">
        <v>38</v>
      </c>
      <c r="N23" s="23" t="s">
        <v>39</v>
      </c>
      <c r="O23" s="36" t="s">
        <v>40</v>
      </c>
      <c r="P23" s="667" t="s">
        <v>41</v>
      </c>
      <c r="Q23" s="1431"/>
      <c r="R23" s="673" t="str">
        <f t="shared" si="20"/>
        <v>POTRX_LOURDTMHSA</v>
      </c>
      <c r="S23" s="181" t="str">
        <f t="shared" si="0"/>
        <v>PO</v>
      </c>
      <c r="T23" s="181" t="str">
        <f t="shared" si="24"/>
        <v>TRX_LOURD</v>
      </c>
      <c r="U23" s="181" t="str">
        <f>RFR_Tres_Modeste</f>
        <v>TM</v>
      </c>
      <c r="V23" s="191">
        <f t="shared" si="22"/>
        <v>0.35</v>
      </c>
      <c r="W23" s="277">
        <f t="shared" si="25"/>
        <v>0</v>
      </c>
      <c r="X23" s="277">
        <f t="shared" si="2"/>
        <v>0</v>
      </c>
      <c r="Y23" s="200">
        <f>Plafond_ANAH_Tx_20k</f>
        <v>20000</v>
      </c>
      <c r="Z23" s="191">
        <f t="shared" si="23"/>
        <v>0.1</v>
      </c>
      <c r="AA23" s="255">
        <f>Plafond_ASE3000</f>
        <v>3000</v>
      </c>
      <c r="AB23" s="40">
        <v>0.7</v>
      </c>
      <c r="AC23" s="181" t="str">
        <f>$A$68</f>
        <v>HSA</v>
      </c>
      <c r="AD23" s="254">
        <f>Taux_CC10</f>
        <v>0.1</v>
      </c>
      <c r="AE23" s="134">
        <v>2000</v>
      </c>
      <c r="AF23" s="253">
        <f t="shared" si="5"/>
        <v>0</v>
      </c>
      <c r="AG23" s="208">
        <f t="shared" si="6"/>
        <v>0</v>
      </c>
      <c r="AH23" s="253" t="e">
        <f t="shared" si="7"/>
        <v>#VALUE!</v>
      </c>
      <c r="AI23" s="253" t="e">
        <f t="shared" si="8"/>
        <v>#VALUE!</v>
      </c>
      <c r="AJ23" s="591">
        <f t="shared" si="9"/>
        <v>0</v>
      </c>
      <c r="AK23" s="591">
        <f t="shared" si="10"/>
        <v>0</v>
      </c>
      <c r="AL23" s="591">
        <f t="shared" si="11"/>
        <v>0</v>
      </c>
      <c r="AM23" s="591">
        <f t="shared" si="12"/>
        <v>0</v>
      </c>
      <c r="AN23" s="253" t="e">
        <f t="shared" si="13"/>
        <v>#VALUE!</v>
      </c>
      <c r="AO23" s="253" t="e">
        <f t="shared" si="14"/>
        <v>#VALUE!</v>
      </c>
      <c r="AP23" s="701">
        <f t="shared" si="15"/>
        <v>0</v>
      </c>
      <c r="AQ23" s="701">
        <f t="shared" si="16"/>
        <v>0</v>
      </c>
      <c r="AR23" s="701">
        <f t="shared" si="17"/>
        <v>1500</v>
      </c>
      <c r="AS23" s="701">
        <f t="shared" si="18"/>
        <v>1500</v>
      </c>
    </row>
    <row r="24" spans="1:45" ht="15" customHeight="1" x14ac:dyDescent="0.25">
      <c r="A24" s="7">
        <v>1</v>
      </c>
      <c r="B24" s="8">
        <v>5.5E-2</v>
      </c>
      <c r="E24" s="1462"/>
      <c r="F24" s="24" t="s">
        <v>42</v>
      </c>
      <c r="G24" s="5">
        <f>Taux_ASE10</f>
        <v>0.1</v>
      </c>
      <c r="H24" s="5">
        <f>Taux_ASE20</f>
        <v>0.2</v>
      </c>
      <c r="I24" s="37">
        <f>Taux_ASE10</f>
        <v>0.1</v>
      </c>
      <c r="J24" s="37">
        <f>Taux_ASE20</f>
        <v>0.2</v>
      </c>
      <c r="K24" s="1462"/>
      <c r="L24" s="23" t="s">
        <v>42</v>
      </c>
      <c r="M24" s="5">
        <f>Taux_ANAH50</f>
        <v>0.5</v>
      </c>
      <c r="N24" s="40">
        <f>Taux_ANAH50</f>
        <v>0.5</v>
      </c>
      <c r="O24" s="40">
        <f>Taux_ANAH35</f>
        <v>0.35</v>
      </c>
      <c r="P24" s="668">
        <f>Taux_ANAH35</f>
        <v>0.35</v>
      </c>
      <c r="Q24" s="1431"/>
      <c r="R24" s="673" t="str">
        <f t="shared" si="20"/>
        <v>POTRX_LOURDMHSA</v>
      </c>
      <c r="S24" s="181" t="str">
        <f t="shared" si="0"/>
        <v>PO</v>
      </c>
      <c r="T24" s="181" t="str">
        <f t="shared" si="24"/>
        <v>TRX_LOURD</v>
      </c>
      <c r="U24" s="181" t="str">
        <f>RFR_Modeste</f>
        <v>M</v>
      </c>
      <c r="V24" s="191">
        <f t="shared" si="22"/>
        <v>0.35</v>
      </c>
      <c r="W24" s="277">
        <f t="shared" si="25"/>
        <v>0</v>
      </c>
      <c r="X24" s="277">
        <f t="shared" si="2"/>
        <v>0</v>
      </c>
      <c r="Y24" s="200">
        <f>Plafond_ANAH_Tx_20k</f>
        <v>20000</v>
      </c>
      <c r="Z24" s="191">
        <f t="shared" si="23"/>
        <v>0.1</v>
      </c>
      <c r="AA24" s="200">
        <f>Plafond_ASE2000</f>
        <v>2000</v>
      </c>
      <c r="AB24" s="40"/>
      <c r="AC24" s="181" t="str">
        <f>$A$68</f>
        <v>HSA</v>
      </c>
      <c r="AD24" s="254">
        <f>Taux_CC10</f>
        <v>0.1</v>
      </c>
      <c r="AE24" s="134">
        <v>2000</v>
      </c>
      <c r="AF24" s="253">
        <f t="shared" si="5"/>
        <v>0</v>
      </c>
      <c r="AG24" s="208">
        <f t="shared" si="6"/>
        <v>0</v>
      </c>
      <c r="AH24" s="253" t="e">
        <f t="shared" si="7"/>
        <v>#VALUE!</v>
      </c>
      <c r="AI24" s="253" t="e">
        <f t="shared" si="8"/>
        <v>#VALUE!</v>
      </c>
      <c r="AJ24" s="591">
        <f t="shared" si="9"/>
        <v>0</v>
      </c>
      <c r="AK24" s="591">
        <f t="shared" si="10"/>
        <v>0</v>
      </c>
      <c r="AL24" s="591">
        <f t="shared" si="11"/>
        <v>0</v>
      </c>
      <c r="AM24" s="591">
        <f t="shared" si="12"/>
        <v>0</v>
      </c>
      <c r="AN24" s="253" t="e">
        <f t="shared" si="13"/>
        <v>#VALUE!</v>
      </c>
      <c r="AO24" s="253" t="e">
        <f t="shared" si="14"/>
        <v>#VALUE!</v>
      </c>
      <c r="AP24" s="701">
        <f t="shared" si="15"/>
        <v>0</v>
      </c>
      <c r="AQ24" s="701">
        <f t="shared" si="16"/>
        <v>0</v>
      </c>
      <c r="AR24" s="701">
        <f t="shared" si="17"/>
        <v>1500</v>
      </c>
      <c r="AS24" s="701">
        <f t="shared" si="18"/>
        <v>1500</v>
      </c>
    </row>
    <row r="25" spans="1:45" ht="15" customHeight="1" x14ac:dyDescent="0.25">
      <c r="A25" s="9">
        <v>2</v>
      </c>
      <c r="B25" s="10">
        <v>0.1</v>
      </c>
      <c r="E25" s="1462"/>
      <c r="F25" s="24" t="s">
        <v>43</v>
      </c>
      <c r="G25" s="38">
        <f>Plafond_ASE2000</f>
        <v>2000</v>
      </c>
      <c r="H25" s="38">
        <f>Plafond_ASE4000</f>
        <v>4000</v>
      </c>
      <c r="I25" s="39">
        <f>Plafond_ASE1600</f>
        <v>1600</v>
      </c>
      <c r="J25" s="39">
        <f>Plafond_ASE2000</f>
        <v>2000</v>
      </c>
      <c r="K25" s="1462"/>
      <c r="L25" s="23" t="s">
        <v>49</v>
      </c>
      <c r="M25" s="38">
        <f>Plafond_ANAH_Tx_20k</f>
        <v>20000</v>
      </c>
      <c r="N25" s="38">
        <f>Plafond_ANAH_Tx_30k</f>
        <v>30000</v>
      </c>
      <c r="O25" s="38">
        <f>Plafond_ANAH_Tx_20k</f>
        <v>20000</v>
      </c>
      <c r="P25" s="669">
        <f>Plafond_ANAH_Tx_30k</f>
        <v>30000</v>
      </c>
      <c r="Q25" s="1431"/>
      <c r="R25" s="673" t="str">
        <f t="shared" si="20"/>
        <v>POTRX_LOURD+TMHSA</v>
      </c>
      <c r="S25" s="181" t="str">
        <f t="shared" si="0"/>
        <v>PO</v>
      </c>
      <c r="T25" s="181" t="str">
        <f>Dossier_Trx_Lourd_Plus</f>
        <v>TRX_LOURD+</v>
      </c>
      <c r="U25" s="181" t="str">
        <f>RFR_Tres_Modeste</f>
        <v>TM</v>
      </c>
      <c r="V25" s="191">
        <f t="shared" si="22"/>
        <v>0.35</v>
      </c>
      <c r="W25" s="277">
        <f t="shared" si="25"/>
        <v>0</v>
      </c>
      <c r="X25" s="277">
        <f t="shared" si="2"/>
        <v>0</v>
      </c>
      <c r="Y25" s="200">
        <f>Plafond_ANAH_Tx_20k</f>
        <v>20000</v>
      </c>
      <c r="Z25" s="191">
        <f t="shared" si="23"/>
        <v>0.1</v>
      </c>
      <c r="AA25" s="255">
        <f>Plafond_ASE3000</f>
        <v>3000</v>
      </c>
      <c r="AB25" s="40">
        <v>0.7</v>
      </c>
      <c r="AC25" s="181" t="str">
        <f>$A$68</f>
        <v>HSA</v>
      </c>
      <c r="AD25" s="254">
        <f>Taux_CC10</f>
        <v>0.1</v>
      </c>
      <c r="AE25" s="134">
        <v>2000</v>
      </c>
      <c r="AF25" s="253">
        <f t="shared" si="5"/>
        <v>0</v>
      </c>
      <c r="AG25" s="208">
        <f t="shared" si="6"/>
        <v>0</v>
      </c>
      <c r="AH25" s="253" t="e">
        <f t="shared" si="7"/>
        <v>#VALUE!</v>
      </c>
      <c r="AI25" s="253" t="e">
        <f t="shared" si="8"/>
        <v>#VALUE!</v>
      </c>
      <c r="AJ25" s="591">
        <f t="shared" si="9"/>
        <v>0</v>
      </c>
      <c r="AK25" s="591">
        <f t="shared" si="10"/>
        <v>0</v>
      </c>
      <c r="AL25" s="591">
        <f t="shared" si="11"/>
        <v>0</v>
      </c>
      <c r="AM25" s="591">
        <f t="shared" si="12"/>
        <v>0</v>
      </c>
      <c r="AN25" s="253" t="e">
        <f t="shared" si="13"/>
        <v>#VALUE!</v>
      </c>
      <c r="AO25" s="253" t="e">
        <f t="shared" si="14"/>
        <v>#VALUE!</v>
      </c>
      <c r="AP25" s="701">
        <f t="shared" si="15"/>
        <v>0</v>
      </c>
      <c r="AQ25" s="701">
        <f t="shared" si="16"/>
        <v>0</v>
      </c>
      <c r="AR25" s="701">
        <f t="shared" si="17"/>
        <v>1500</v>
      </c>
      <c r="AS25" s="701">
        <f t="shared" si="18"/>
        <v>1500</v>
      </c>
    </row>
    <row r="26" spans="1:45" ht="15.75" customHeight="1" thickBot="1" x14ac:dyDescent="0.3">
      <c r="A26" s="11">
        <v>3</v>
      </c>
      <c r="B26" s="12">
        <v>0.2</v>
      </c>
      <c r="E26" s="1463"/>
      <c r="F26" s="26" t="s">
        <v>45</v>
      </c>
      <c r="G26" s="43" t="e">
        <f>IF(AND(Type_Dossier=Dossier_Energie,Cat_RFR=RFR_Tres_Modeste,(BaseCalcul_HT_Sim2*Taux_Calcul_ASE_Sim2)&lt;2000),BaseCalcul_HT_Sim2*Taux_Calcul_ASE_Sim2,2000)</f>
        <v>#VALUE!</v>
      </c>
      <c r="H26" s="43" t="e">
        <f>IF(AND(Type_Dossier=Dossier_Energie_Plus,Cat_RFR=RFR_Tres_Modeste,(BaseCalcul_HT_Sim2*Taux_Calcul_ASE_Sim2)&lt;4000),BaseCalcul_HT_Sim2*Taux_Calcul_ASE_Sim2,4000)</f>
        <v>#VALUE!</v>
      </c>
      <c r="I26" s="43" t="e">
        <f>IF(AND(Type_Dossier=Dossier_Energie,Cat_RFR=RFR_Modeste,(BaseCalcul_HT_Sim2*Taux_Calcul_ASE_Sim2)&lt;1600),BaseCalcul_HT_Sim2*Taux_Calcul_ASE_Sim2,1600)</f>
        <v>#VALUE!</v>
      </c>
      <c r="J26" s="43" t="e">
        <f>IF(AND(Type_Dossier=Dossier_Energie_Plus,Cat_RFR=RFR_Modeste,(BaseCalcul_HT_Sim2*Taux_Calcul_ASE_Sim2)&lt;2000),BaseCalcul_HT_Sim2*Taux_Calcul_ASE_Sim2,2000)</f>
        <v>#VALUE!</v>
      </c>
      <c r="K26" s="1463"/>
      <c r="L26" s="34" t="s">
        <v>45</v>
      </c>
      <c r="M26" s="43" t="e">
        <f>IF(AND(OR(Type_Dossier=Dossier_Energie,Type_Dossier=Dossier_Mixte),Cat_RFR=RFR_Tres_Modeste,BaseCalcul_HT_Sim2&lt;Plafond_ANAH_Tx_20k),BaseCalcul_HT_Sim2*Taux_ANAH50,Plafond_ANAH_Tx_20k*Taux_ANAH50)</f>
        <v>#VALUE!</v>
      </c>
      <c r="N26" s="43" t="e">
        <f>IF(AND(OR(Type_Dossier=Dossier_Energie_Plus,Type_Dossier=Dossier_Mixte_Plus),Cat_RFR=RFR_Tres_Modeste,BaseCalcul_HT_Sim2&lt;Plafond_ANAH_Tx_30k),BaseCalcul_HT_Sim2*Taux_ANAH50,Plafond_ANAH_Tx_30k*Taux_ANAH50)</f>
        <v>#VALUE!</v>
      </c>
      <c r="O26" s="43" t="e">
        <f>IF(AND(OR(Type_Dossier=Dossier_Energie,Type_Dossier=Dossier_Mixte),Cat_RFR=RFR_Modeste,BaseCalcul_HT_Sim2&lt;Plafond_ANAH_Tx_20k),BaseCalcul_HT_Sim2*Taux_ANAH35,Plafond_ANAH_Tx_20k*Taux_ANAH35)</f>
        <v>#VALUE!</v>
      </c>
      <c r="P26" s="670" t="e">
        <f>IF(AND(OR(Type_Dossier=Dossier_Energie_Plus,Type_Dossier=Dossier_Mixte_Plus),Cat_RFR=RFR_Modeste,BaseCalcul_HT_Sim2&lt;Plafond_ANAH_Tx_30k),BaseCalcul_HT_Sim2*Taux_ANAH35,Plafond_ANAH_Tx_30k*Taux_ANAH35)</f>
        <v>#VALUE!</v>
      </c>
      <c r="Q26" s="1432"/>
      <c r="R26" s="674" t="str">
        <f t="shared" si="20"/>
        <v>POTRX_LOURD+MHSA</v>
      </c>
      <c r="S26" s="280" t="str">
        <f t="shared" si="0"/>
        <v>PO</v>
      </c>
      <c r="T26" s="280" t="str">
        <f>Dossier_Trx_Lourd_Plus</f>
        <v>TRX_LOURD+</v>
      </c>
      <c r="U26" s="280" t="str">
        <f>RFR_Modeste</f>
        <v>M</v>
      </c>
      <c r="V26" s="194">
        <f t="shared" si="22"/>
        <v>0.35</v>
      </c>
      <c r="W26" s="278">
        <f t="shared" si="25"/>
        <v>0</v>
      </c>
      <c r="X26" s="278">
        <f t="shared" si="2"/>
        <v>0</v>
      </c>
      <c r="Y26" s="201">
        <f>Plafond_ANAH_Tx_20k</f>
        <v>20000</v>
      </c>
      <c r="Z26" s="194">
        <f t="shared" si="23"/>
        <v>0.1</v>
      </c>
      <c r="AA26" s="201">
        <f>Plafond_ASE2000</f>
        <v>2000</v>
      </c>
      <c r="AB26" s="195"/>
      <c r="AC26" s="280" t="str">
        <f>$A$68</f>
        <v>HSA</v>
      </c>
      <c r="AD26" s="220">
        <f>Taux_CC10</f>
        <v>0.1</v>
      </c>
      <c r="AE26" s="262">
        <v>2000</v>
      </c>
      <c r="AF26" s="253">
        <f t="shared" si="5"/>
        <v>0</v>
      </c>
      <c r="AG26" s="208">
        <f t="shared" si="6"/>
        <v>0</v>
      </c>
      <c r="AH26" s="253" t="e">
        <f t="shared" si="7"/>
        <v>#VALUE!</v>
      </c>
      <c r="AI26" s="253" t="e">
        <f t="shared" si="8"/>
        <v>#VALUE!</v>
      </c>
      <c r="AJ26" s="591">
        <f t="shared" si="9"/>
        <v>0</v>
      </c>
      <c r="AK26" s="591">
        <f t="shared" si="10"/>
        <v>0</v>
      </c>
      <c r="AL26" s="591">
        <f t="shared" si="11"/>
        <v>0</v>
      </c>
      <c r="AM26" s="591">
        <f t="shared" si="12"/>
        <v>0</v>
      </c>
      <c r="AN26" s="253" t="e">
        <f t="shared" si="13"/>
        <v>#VALUE!</v>
      </c>
      <c r="AO26" s="253" t="e">
        <f t="shared" si="14"/>
        <v>#VALUE!</v>
      </c>
      <c r="AP26" s="701">
        <f t="shared" si="15"/>
        <v>0</v>
      </c>
      <c r="AQ26" s="701">
        <f t="shared" si="16"/>
        <v>0</v>
      </c>
      <c r="AR26" s="701">
        <f t="shared" si="17"/>
        <v>1500</v>
      </c>
      <c r="AS26" s="701">
        <f t="shared" si="18"/>
        <v>1500</v>
      </c>
    </row>
    <row r="27" spans="1:45" ht="15.75" customHeight="1" thickBot="1" x14ac:dyDescent="0.3">
      <c r="R27" s="279">
        <v>1</v>
      </c>
      <c r="S27" s="279">
        <v>2</v>
      </c>
      <c r="T27" s="279">
        <v>3</v>
      </c>
      <c r="U27" s="279">
        <v>4</v>
      </c>
      <c r="V27" s="279">
        <v>5</v>
      </c>
      <c r="W27" s="279">
        <v>6</v>
      </c>
      <c r="X27" s="279">
        <v>7</v>
      </c>
      <c r="Y27" s="279">
        <v>8</v>
      </c>
      <c r="Z27" s="279">
        <v>9</v>
      </c>
      <c r="AA27" s="279">
        <v>10</v>
      </c>
      <c r="AB27" s="279">
        <v>11</v>
      </c>
      <c r="AC27" s="279">
        <v>12</v>
      </c>
      <c r="AD27" s="279">
        <v>13</v>
      </c>
      <c r="AE27" s="279">
        <v>14</v>
      </c>
      <c r="AF27" s="279">
        <v>15</v>
      </c>
      <c r="AG27" s="279">
        <v>16</v>
      </c>
      <c r="AH27" s="279">
        <v>17</v>
      </c>
      <c r="AI27" s="279">
        <v>18</v>
      </c>
      <c r="AJ27" s="279">
        <v>19</v>
      </c>
      <c r="AK27" s="279">
        <v>20</v>
      </c>
      <c r="AL27" s="279">
        <v>21</v>
      </c>
      <c r="AM27" s="279">
        <v>22</v>
      </c>
      <c r="AN27" s="279">
        <v>23</v>
      </c>
      <c r="AO27" s="279">
        <v>24</v>
      </c>
      <c r="AP27" s="279">
        <v>25</v>
      </c>
      <c r="AQ27" s="279">
        <v>26</v>
      </c>
      <c r="AR27" s="279">
        <v>27</v>
      </c>
      <c r="AS27" s="279">
        <v>28</v>
      </c>
    </row>
    <row r="28" spans="1:45" ht="15.75" customHeight="1" thickBot="1" x14ac:dyDescent="0.3">
      <c r="A28" s="1443" t="s">
        <v>408</v>
      </c>
      <c r="B28" s="1444"/>
      <c r="S28" s="196"/>
      <c r="T28" s="197"/>
      <c r="U28" s="197"/>
      <c r="V28" s="197"/>
      <c r="W28" s="198"/>
      <c r="X28" s="198"/>
      <c r="Y28" s="196"/>
      <c r="Z28" s="198"/>
      <c r="AA28" s="196"/>
      <c r="AB28" s="198"/>
      <c r="AC28" s="196"/>
    </row>
    <row r="29" spans="1:45" ht="15.75" thickBot="1" x14ac:dyDescent="0.3">
      <c r="A29" s="28" t="s">
        <v>66</v>
      </c>
      <c r="B29" s="29" t="s">
        <v>67</v>
      </c>
      <c r="E29" s="1447" t="s">
        <v>88</v>
      </c>
      <c r="F29" s="1448"/>
      <c r="G29" s="175" t="s">
        <v>302</v>
      </c>
      <c r="S29" s="196"/>
      <c r="W29" s="198"/>
      <c r="X29" s="198"/>
      <c r="Y29" s="196"/>
      <c r="Z29" s="198"/>
      <c r="AA29" s="196"/>
      <c r="AB29" s="198"/>
      <c r="AC29" s="196"/>
    </row>
    <row r="30" spans="1:45" ht="15.75" thickBot="1" x14ac:dyDescent="0.3">
      <c r="A30" s="26" t="s">
        <v>3</v>
      </c>
      <c r="B30" s="27" t="s">
        <v>68</v>
      </c>
      <c r="E30" s="6" t="s">
        <v>172</v>
      </c>
      <c r="F30" s="1449"/>
      <c r="G30" s="105" t="s">
        <v>172</v>
      </c>
      <c r="S30" s="661" t="s">
        <v>397</v>
      </c>
      <c r="T30" s="662"/>
      <c r="U30" s="663"/>
      <c r="V30" s="1425" t="e">
        <f>CONCATENATE(Prop_Categorie,Type_Dossier,Cat_RFR,Anah_Dossier_Depose)</f>
        <v>#VALUE!</v>
      </c>
      <c r="W30" s="1426"/>
      <c r="X30" s="199"/>
      <c r="Y30" s="199"/>
      <c r="Z30" s="196"/>
      <c r="AA30" s="196"/>
      <c r="AB30" s="198"/>
      <c r="AC30" s="196"/>
    </row>
    <row r="31" spans="1:45" ht="15.75" thickBot="1" x14ac:dyDescent="0.3">
      <c r="E31" s="103" t="s">
        <v>133</v>
      </c>
      <c r="F31" s="1437"/>
      <c r="G31" s="176" t="s">
        <v>133</v>
      </c>
      <c r="S31" s="203" t="s">
        <v>318</v>
      </c>
      <c r="T31" s="204"/>
      <c r="U31" s="205" t="e">
        <f>VLOOKUP((CONCATENATE(Prop_Categorie,Type_Dossier,Cat_RFR,Anah_Dossier_Depose)),Table_Cond_Projet,8,FALSE)</f>
        <v>#VALUE!</v>
      </c>
      <c r="V31" s="196"/>
      <c r="W31" s="198"/>
      <c r="X31" s="198"/>
      <c r="Y31" s="219"/>
      <c r="Z31" s="224"/>
      <c r="AA31" s="196"/>
      <c r="AB31" s="198"/>
      <c r="AC31" s="196"/>
      <c r="AH31" s="480"/>
    </row>
    <row r="32" spans="1:45" ht="15.75" thickBot="1" x14ac:dyDescent="0.3">
      <c r="A32" s="1445" t="s">
        <v>185</v>
      </c>
      <c r="B32" s="1446"/>
      <c r="H32" s="1445" t="s">
        <v>90</v>
      </c>
      <c r="I32" s="1464"/>
      <c r="J32" s="1464"/>
      <c r="K32" s="1464"/>
      <c r="L32" s="1464"/>
      <c r="M32" s="1446"/>
      <c r="S32" s="206" t="s">
        <v>319</v>
      </c>
      <c r="T32" s="30"/>
      <c r="U32" s="207" t="e">
        <f>VLOOKUP((CONCATENATE(Prop_Categorie,Type_Dossier,Cat_RFR,Anah_Dossier_Depose)),Table_Cond_Projet,10,FALSE)</f>
        <v>#VALUE!</v>
      </c>
      <c r="V32" s="196"/>
      <c r="W32" s="198"/>
      <c r="X32" s="198"/>
      <c r="Y32" s="198"/>
      <c r="Z32" s="198"/>
      <c r="AA32" s="196"/>
      <c r="AB32" s="198"/>
      <c r="AC32" s="196"/>
    </row>
    <row r="33" spans="1:44" ht="15.75" thickBot="1" x14ac:dyDescent="0.3">
      <c r="A33" s="6" t="s">
        <v>127</v>
      </c>
      <c r="B33" s="1440"/>
      <c r="E33" s="1447" t="s">
        <v>181</v>
      </c>
      <c r="F33" s="1448"/>
      <c r="H33" s="91" t="s">
        <v>6</v>
      </c>
      <c r="I33" s="92" t="s">
        <v>93</v>
      </c>
      <c r="J33" s="93" t="s">
        <v>92</v>
      </c>
      <c r="K33" s="94" t="s">
        <v>89</v>
      </c>
      <c r="L33" s="92" t="s">
        <v>93</v>
      </c>
      <c r="M33" s="95" t="s">
        <v>92</v>
      </c>
      <c r="S33" s="196" t="s">
        <v>320</v>
      </c>
      <c r="T33" s="196"/>
      <c r="U33" s="208">
        <f>(BaseCalcul_HT_Sim1*Plafond_CC80)</f>
        <v>0</v>
      </c>
      <c r="V33" s="198"/>
      <c r="W33"/>
      <c r="X33"/>
      <c r="Z33" s="202"/>
      <c r="AA33" s="196"/>
      <c r="AB33" s="198"/>
      <c r="AC33" s="196"/>
      <c r="AE33" s="498"/>
    </row>
    <row r="34" spans="1:44" ht="15" customHeight="1" x14ac:dyDescent="0.25">
      <c r="A34" s="102" t="s">
        <v>128</v>
      </c>
      <c r="B34" s="1441"/>
      <c r="E34" s="6" t="s">
        <v>172</v>
      </c>
      <c r="F34" s="1449"/>
      <c r="H34" s="1453">
        <f>PROJET!$G$5</f>
        <v>0</v>
      </c>
      <c r="I34" s="84" t="str">
        <f>IF(H34="X",Devis1_Mat_HT,"")</f>
        <v/>
      </c>
      <c r="J34" s="1476" t="str">
        <f>IF(H34="X",Devis1_TTC,"")</f>
        <v/>
      </c>
      <c r="K34" s="1472">
        <f>PROJET!$H$5</f>
        <v>0</v>
      </c>
      <c r="L34" s="84" t="str">
        <f>IF(K34="X",Devis1_Mat_HT,"")</f>
        <v/>
      </c>
      <c r="M34" s="1474" t="str">
        <f>IF(K34="X",Devis1_TTC,"")</f>
        <v/>
      </c>
      <c r="S34" s="282" t="s">
        <v>321</v>
      </c>
      <c r="T34" s="282"/>
      <c r="U34" s="208">
        <f>(BaseCalcul_HT_Sim2*Plafond_CC80)</f>
        <v>0</v>
      </c>
      <c r="V34" s="198"/>
      <c r="W34"/>
      <c r="X34"/>
      <c r="AA34" s="196"/>
      <c r="AB34" s="198"/>
      <c r="AC34" s="196"/>
      <c r="AE34" s="498"/>
    </row>
    <row r="35" spans="1:44" ht="15.75" thickBot="1" x14ac:dyDescent="0.3">
      <c r="A35" s="102"/>
      <c r="B35" s="1441"/>
      <c r="E35" s="103" t="s">
        <v>133</v>
      </c>
      <c r="F35" s="1437"/>
      <c r="H35" s="1453"/>
      <c r="I35" s="84" t="str">
        <f>IF(H34="X",Devis1_MO_HT,"")</f>
        <v/>
      </c>
      <c r="J35" s="1476"/>
      <c r="K35" s="1472"/>
      <c r="L35" s="84" t="str">
        <f>IF(K34="X",Devis1_MO_HT,"")</f>
        <v/>
      </c>
      <c r="M35" s="1474"/>
      <c r="S35" s="222" t="s">
        <v>334</v>
      </c>
      <c r="T35" s="222"/>
      <c r="U35" s="253" t="e">
        <f>VLOOKUP((CONCATENATE(Prop_Categorie,Type_Dossier,Cat_RFR,Anah_Dossier_Depose)),Table_Cond_Projet,15,FALSE)</f>
        <v>#VALUE!</v>
      </c>
      <c r="V35" s="198"/>
      <c r="Y35" s="223"/>
      <c r="Z35" s="216"/>
      <c r="AA35" s="196"/>
      <c r="AB35" s="198"/>
      <c r="AC35" s="196"/>
    </row>
    <row r="36" spans="1:44" ht="15.75" thickBot="1" x14ac:dyDescent="0.3">
      <c r="A36" s="102" t="s">
        <v>125</v>
      </c>
      <c r="B36" s="1441"/>
      <c r="H36" s="1452">
        <f>PROJET!$G$7</f>
        <v>0</v>
      </c>
      <c r="I36" s="90" t="str">
        <f>IF(H36="X",Devis2_Mat_HT,"")</f>
        <v/>
      </c>
      <c r="J36" s="1475" t="str">
        <f>IF(H36="X",Devis2_TTC,"")</f>
        <v/>
      </c>
      <c r="K36" s="1471">
        <f>PROJET!$H$7</f>
        <v>0</v>
      </c>
      <c r="L36" s="90" t="str">
        <f>IF(K36="X",Devis2_Mat_HT,"")</f>
        <v/>
      </c>
      <c r="M36" s="1473" t="str">
        <f>IF(K36="X",Devis2_TTC,"")</f>
        <v/>
      </c>
      <c r="S36" s="282" t="s">
        <v>335</v>
      </c>
      <c r="T36" s="282"/>
      <c r="U36" s="253" t="e">
        <f>VLOOKUP((CONCATENATE(Prop_Categorie,Type_Dossier,Cat_RFR,Anah_Dossier_Depose)),Table_Cond_Projet,16,FALSE)</f>
        <v>#VALUE!</v>
      </c>
      <c r="V36" s="198"/>
      <c r="AA36" s="196"/>
      <c r="AB36" s="198"/>
      <c r="AC36" s="196"/>
    </row>
    <row r="37" spans="1:44" ht="15.75" thickBot="1" x14ac:dyDescent="0.3">
      <c r="A37" s="103" t="s">
        <v>126</v>
      </c>
      <c r="B37" s="1442"/>
      <c r="E37" s="1447" t="s">
        <v>11</v>
      </c>
      <c r="F37" s="1448"/>
      <c r="H37" s="1453"/>
      <c r="I37" s="84" t="str">
        <f>IF(H36="X",Devis2_MO_HT,"")</f>
        <v/>
      </c>
      <c r="J37" s="1476"/>
      <c r="K37" s="1472"/>
      <c r="L37" s="84" t="str">
        <f>IF(K36="X",Devis2_MO_HT,"")</f>
        <v/>
      </c>
      <c r="M37" s="1474"/>
      <c r="S37" s="1429" t="s">
        <v>381</v>
      </c>
      <c r="T37" s="1429"/>
      <c r="U37" s="208">
        <f>BaseCalcul_TTC_Sim1*Taux_Anah_Ecretement</f>
        <v>0</v>
      </c>
      <c r="V37" s="198"/>
      <c r="Y37" s="223"/>
      <c r="Z37" s="202"/>
      <c r="AA37" s="196"/>
      <c r="AB37" s="198"/>
      <c r="AC37" s="196"/>
    </row>
    <row r="38" spans="1:44" ht="15.75" thickBot="1" x14ac:dyDescent="0.3">
      <c r="E38" s="6" t="s">
        <v>172</v>
      </c>
      <c r="F38" s="35" t="s">
        <v>298</v>
      </c>
      <c r="H38" s="1452">
        <f>PROJET!$G$9</f>
        <v>0</v>
      </c>
      <c r="I38" s="90" t="str">
        <f>IF(H38="X",Devis3_Mat_HT,"")</f>
        <v/>
      </c>
      <c r="J38" s="1475" t="str">
        <f>IF(H38="X",Devis3_TTC,"")</f>
        <v/>
      </c>
      <c r="K38" s="1471">
        <f>PROJET!$H$9</f>
        <v>0</v>
      </c>
      <c r="L38" s="90" t="str">
        <f>IF(K38="X",Devis3_Mat_HT,"")</f>
        <v/>
      </c>
      <c r="M38" s="1473" t="str">
        <f>IF(K38="X",Devis3_TTC,"")</f>
        <v/>
      </c>
      <c r="S38" s="1429" t="s">
        <v>381</v>
      </c>
      <c r="T38" s="1429"/>
      <c r="U38" s="225">
        <f>BaseCalcul_TTC_Sim2*Taux_Anah_Ecretement</f>
        <v>0</v>
      </c>
      <c r="V38" s="198"/>
      <c r="W38" s="198"/>
      <c r="X38" s="198"/>
      <c r="Z38" s="198"/>
      <c r="AA38" s="196"/>
      <c r="AB38" s="198"/>
      <c r="AC38" s="196"/>
    </row>
    <row r="39" spans="1:44" ht="15.75" thickBot="1" x14ac:dyDescent="0.3">
      <c r="A39" s="1445" t="s">
        <v>130</v>
      </c>
      <c r="B39" s="1446"/>
      <c r="E39" s="103" t="s">
        <v>133</v>
      </c>
      <c r="F39" s="31" t="s">
        <v>66</v>
      </c>
      <c r="H39" s="1453"/>
      <c r="I39" s="84" t="str">
        <f>IF(H38="X",Devis3_MO_HT,"")</f>
        <v/>
      </c>
      <c r="J39" s="1476"/>
      <c r="K39" s="1472"/>
      <c r="L39" s="84" t="str">
        <f>IF(K38="X",Devis3_MO_HT,"")</f>
        <v/>
      </c>
      <c r="M39" s="1474"/>
      <c r="T39" s="219"/>
      <c r="U39" s="226"/>
      <c r="Y39" s="219"/>
      <c r="Z39" s="224"/>
    </row>
    <row r="40" spans="1:44" ht="15.75" thickBot="1" x14ac:dyDescent="0.3">
      <c r="A40" s="6" t="s">
        <v>131</v>
      </c>
      <c r="B40" s="1440"/>
      <c r="H40" s="1452">
        <f>PROJET!$G$11</f>
        <v>0</v>
      </c>
      <c r="I40" s="90" t="str">
        <f>IF(H40="X",Devis4_Mat_HT,"")</f>
        <v/>
      </c>
      <c r="J40" s="1475" t="str">
        <f>IF(H40="X",Devis4_TTC,"")</f>
        <v/>
      </c>
      <c r="K40" s="1471">
        <f>PROJET!$H$11</f>
        <v>0</v>
      </c>
      <c r="L40" s="90" t="str">
        <f>IF(K40="X",Devis4_Mat_HT,"")</f>
        <v/>
      </c>
      <c r="M40" s="1473" t="str">
        <f>IF(K40="X",Devis4_TTC,"")</f>
        <v/>
      </c>
    </row>
    <row r="41" spans="1:44" ht="15.75" thickBot="1" x14ac:dyDescent="0.3">
      <c r="A41" s="102" t="s">
        <v>132</v>
      </c>
      <c r="B41" s="1441"/>
      <c r="E41" s="1450" t="s">
        <v>175</v>
      </c>
      <c r="F41" s="1451"/>
      <c r="H41" s="1453"/>
      <c r="I41" s="84" t="str">
        <f>IF(H40="X",Devis4_MO_HT,"")</f>
        <v/>
      </c>
      <c r="J41" s="1476"/>
      <c r="K41" s="1472"/>
      <c r="L41" s="84" t="str">
        <f>IF(K40="X",Devis4_MO_HT,"")</f>
        <v/>
      </c>
      <c r="M41" s="1474"/>
      <c r="Q41" s="1430" t="s">
        <v>576</v>
      </c>
      <c r="R41" s="1433" t="s">
        <v>400</v>
      </c>
      <c r="S41" s="1433"/>
      <c r="T41" s="1433"/>
      <c r="U41" s="1433"/>
      <c r="AD41" s="496"/>
      <c r="AE41" s="497"/>
      <c r="AF41" s="1427" t="s">
        <v>452</v>
      </c>
      <c r="AG41" s="1428"/>
      <c r="AH41" s="1428" t="s">
        <v>448</v>
      </c>
      <c r="AI41" s="1428"/>
      <c r="AJ41" s="1424" t="s">
        <v>401</v>
      </c>
      <c r="AK41" s="1424"/>
      <c r="AL41" s="1424" t="s">
        <v>402</v>
      </c>
      <c r="AM41" s="1424"/>
      <c r="AN41" t="s">
        <v>447</v>
      </c>
      <c r="AO41" s="1424" t="s">
        <v>588</v>
      </c>
      <c r="AP41" s="1424"/>
      <c r="AQ41" s="1424" t="s">
        <v>589</v>
      </c>
      <c r="AR41" s="1424"/>
    </row>
    <row r="42" spans="1:44" ht="15.75" thickBot="1" x14ac:dyDescent="0.3">
      <c r="A42" s="103" t="s">
        <v>133</v>
      </c>
      <c r="B42" s="1442"/>
      <c r="E42" s="41" t="s">
        <v>176</v>
      </c>
      <c r="F42" s="117"/>
      <c r="H42" s="1452">
        <f>PROJET!$G$13</f>
        <v>0</v>
      </c>
      <c r="I42" s="90" t="str">
        <f>IF(H42="X",Devis5_Mat_HT,"")</f>
        <v/>
      </c>
      <c r="J42" s="1475" t="str">
        <f>IF(H42="X",Devis5_TTC,"")</f>
        <v/>
      </c>
      <c r="K42" s="1471">
        <f>PROJET!$H$13</f>
        <v>0</v>
      </c>
      <c r="L42" s="90" t="str">
        <f>IF(K42="X",Devis5_Mat_HT,"")</f>
        <v/>
      </c>
      <c r="M42" s="1473" t="str">
        <f>IF(K42="X",Devis5_TTC,"")</f>
        <v/>
      </c>
      <c r="Q42" s="1431"/>
      <c r="R42" s="671" t="s">
        <v>396</v>
      </c>
      <c r="S42" s="658" t="s">
        <v>311</v>
      </c>
      <c r="T42" s="658" t="s">
        <v>48</v>
      </c>
      <c r="U42" s="658" t="s">
        <v>34</v>
      </c>
      <c r="V42" s="192" t="s">
        <v>310</v>
      </c>
      <c r="W42" s="192" t="s">
        <v>578</v>
      </c>
      <c r="X42"/>
      <c r="Y42" s="658" t="s">
        <v>312</v>
      </c>
      <c r="Z42" s="192" t="s">
        <v>22</v>
      </c>
      <c r="AA42" s="192" t="s">
        <v>313</v>
      </c>
      <c r="AB42" s="193" t="s">
        <v>151</v>
      </c>
      <c r="AC42" s="658" t="s">
        <v>295</v>
      </c>
      <c r="AD42" s="256" t="s">
        <v>27</v>
      </c>
      <c r="AE42" s="257" t="s">
        <v>395</v>
      </c>
      <c r="AF42" t="s">
        <v>575</v>
      </c>
      <c r="AH42" t="s">
        <v>575</v>
      </c>
      <c r="AJ42" t="s">
        <v>575</v>
      </c>
      <c r="AL42" t="s">
        <v>575</v>
      </c>
      <c r="AN42" t="s">
        <v>575</v>
      </c>
      <c r="AO42" t="s">
        <v>575</v>
      </c>
      <c r="AQ42" t="s">
        <v>575</v>
      </c>
    </row>
    <row r="43" spans="1:44" ht="15.75" thickBot="1" x14ac:dyDescent="0.3">
      <c r="E43" s="24" t="s">
        <v>177</v>
      </c>
      <c r="F43" s="25"/>
      <c r="H43" s="1453"/>
      <c r="I43" s="84" t="str">
        <f>IF(H42="X",Devis5_MO_HT,"")</f>
        <v/>
      </c>
      <c r="J43" s="1476"/>
      <c r="K43" s="1472"/>
      <c r="L43" s="84" t="str">
        <f>IF(K42="X",Devis5_MO_HT,"")</f>
        <v/>
      </c>
      <c r="M43" s="1474"/>
      <c r="Q43" s="1431"/>
      <c r="R43" s="672" t="str">
        <f>CONCATENATE(S43,T43,U43,AC43)</f>
        <v>POENERGIETMHMS</v>
      </c>
      <c r="S43" s="656" t="str">
        <f t="shared" ref="S43:S66" si="26">PO</f>
        <v>PO</v>
      </c>
      <c r="T43" s="656" t="str">
        <f>Dossier_Energie</f>
        <v>ENERGIE</v>
      </c>
      <c r="U43" s="656" t="str">
        <f>RFR_Tres_Modeste</f>
        <v>TM</v>
      </c>
      <c r="V43" s="258">
        <f t="shared" ref="V43:V48" si="27">GainCep35</f>
        <v>0.35</v>
      </c>
      <c r="W43" s="258">
        <f>IF(Solde_Gain_Sim_Solde&gt;$V43,Taux_ANAH50,0)</f>
        <v>0</v>
      </c>
      <c r="X43"/>
      <c r="Y43" s="259">
        <f t="shared" ref="Y43:Y48" si="28">Plafond_ANAH_Tx_30k</f>
        <v>30000</v>
      </c>
      <c r="Z43" s="258">
        <f t="shared" ref="Z43:Z48" si="29">Taux_ASE10</f>
        <v>0.1</v>
      </c>
      <c r="AA43" s="259">
        <f>Plafond_ASE3000</f>
        <v>3000</v>
      </c>
      <c r="AB43" s="239">
        <v>0.7</v>
      </c>
      <c r="AC43" s="656" t="str">
        <f>$A$64</f>
        <v>HMS</v>
      </c>
      <c r="AD43" s="260"/>
      <c r="AE43" s="261">
        <f t="shared" ref="AE43:AE52" si="30">AD43*Y43</f>
        <v>0</v>
      </c>
      <c r="AF43" s="253">
        <f t="shared" ref="AF43:AF66" si="31">(Solde_BaseCalcul_HT_Sim_Solde*Plafond_CC80)</f>
        <v>0</v>
      </c>
      <c r="AH43" s="253" t="e">
        <f t="shared" ref="AH43:AH48" si="32">IF(Prime_AvantCC_Sim1&lt;Plafond_CC_Sim1,IF((Plafond_CC_Sim1-Prime_AvantCC_Sim1)&gt;AE43,AE43,Plafond_CC_Sim1-Prime_AvantCC_Sim1),0)</f>
        <v>#VALUE!</v>
      </c>
      <c r="AJ43" s="591">
        <f t="shared" ref="AJ43:AJ66" si="33">ROUND(IF(Solde_BaseCalcul_HT_Sim_Solde&gt;Y43,Y43*W43,Solde_BaseCalcul_HT_Sim_Solde*W43),0)</f>
        <v>0</v>
      </c>
      <c r="AL43" s="591">
        <f t="shared" ref="AL43:AL66" si="34">ROUND(IF((Solde_BaseCalcul_HT_Sim_Solde*Z43)&gt;AA43,AA43,Solde_BaseCalcul_HT_Sim_Solde*Z43),0)</f>
        <v>0</v>
      </c>
      <c r="AN43" s="253" t="e">
        <f t="shared" ref="AN43:AN66" si="35">IF((AH43/Solde_BaseCalcul_HT_Sim_Solde)&gt;AD43,Solde_BaseCalcul_HT_Sim_Solde*AD43,AH43)</f>
        <v>#VALUE!</v>
      </c>
      <c r="AO43" s="701">
        <f t="shared" ref="AO43:AO66" si="36">IF(AND(Solde_Cep_Actuel&gt;330,Cep_Sim_Solde&lt;330),Prime_ASE_Passoire,0)</f>
        <v>0</v>
      </c>
      <c r="AP43" s="701"/>
      <c r="AQ43" s="701">
        <f t="shared" ref="AQ43:AQ66" si="37">IF(Cep_Sim_Solde&lt;=90,Prime_ASE_BBC,0)</f>
        <v>1500</v>
      </c>
      <c r="AR43" s="701"/>
    </row>
    <row r="44" spans="1:44" ht="15.75" thickBot="1" x14ac:dyDescent="0.3">
      <c r="A44" s="104" t="s">
        <v>110</v>
      </c>
      <c r="E44" s="24" t="s">
        <v>178</v>
      </c>
      <c r="F44" s="25"/>
      <c r="H44" s="1452">
        <f>PROJET!$G$15</f>
        <v>0</v>
      </c>
      <c r="I44" s="90" t="str">
        <f>IF(H44="X",Devis6_Mat_HT,"")</f>
        <v/>
      </c>
      <c r="J44" s="1475" t="str">
        <f>IF(H44="X",Devis6_TTC,"")</f>
        <v/>
      </c>
      <c r="K44" s="1471">
        <f>PROJET!$H$15</f>
        <v>0</v>
      </c>
      <c r="L44" s="90" t="str">
        <f>IF(K44="X",Devis6_Mat_HT,"")</f>
        <v/>
      </c>
      <c r="M44" s="1473" t="str">
        <f>IF(K44="X",Devis6_TTC,"")</f>
        <v/>
      </c>
      <c r="Q44" s="1431"/>
      <c r="R44" s="673" t="str">
        <f>CONCATENATE(S44,T44,U44,AC44)</f>
        <v>POENERGIEMHMS</v>
      </c>
      <c r="S44" s="181" t="str">
        <f t="shared" si="26"/>
        <v>PO</v>
      </c>
      <c r="T44" s="181" t="str">
        <f>Dossier_Energie</f>
        <v>ENERGIE</v>
      </c>
      <c r="U44" s="181" t="str">
        <f>RFR_Modeste</f>
        <v>M</v>
      </c>
      <c r="V44" s="191">
        <f t="shared" si="27"/>
        <v>0.35</v>
      </c>
      <c r="W44" s="277">
        <f>IF(Solde_Gain_Sim_Solde&gt;$V44,Taux_ANAH35,0)</f>
        <v>0</v>
      </c>
      <c r="X44"/>
      <c r="Y44" s="200">
        <f t="shared" si="28"/>
        <v>30000</v>
      </c>
      <c r="Z44" s="191">
        <f t="shared" si="29"/>
        <v>0.1</v>
      </c>
      <c r="AA44" s="200">
        <f>Plafond_ASE2000</f>
        <v>2000</v>
      </c>
      <c r="AB44" s="40"/>
      <c r="AC44" s="181" t="str">
        <f>$A$64</f>
        <v>HMS</v>
      </c>
      <c r="AD44" s="254"/>
      <c r="AE44" s="134">
        <f t="shared" si="30"/>
        <v>0</v>
      </c>
      <c r="AF44" s="253">
        <f t="shared" si="31"/>
        <v>0</v>
      </c>
      <c r="AH44" s="253" t="e">
        <f t="shared" si="32"/>
        <v>#VALUE!</v>
      </c>
      <c r="AJ44" s="591">
        <f t="shared" si="33"/>
        <v>0</v>
      </c>
      <c r="AL44" s="591">
        <f t="shared" si="34"/>
        <v>0</v>
      </c>
      <c r="AN44" s="253" t="e">
        <f t="shared" si="35"/>
        <v>#VALUE!</v>
      </c>
      <c r="AO44" s="701">
        <f t="shared" si="36"/>
        <v>0</v>
      </c>
      <c r="AP44" s="701"/>
      <c r="AQ44" s="701">
        <f t="shared" si="37"/>
        <v>1500</v>
      </c>
      <c r="AR44" s="701"/>
    </row>
    <row r="45" spans="1:44" ht="15.75" thickBot="1" x14ac:dyDescent="0.3">
      <c r="A45" s="104" t="s">
        <v>136</v>
      </c>
      <c r="E45" s="118" t="s">
        <v>179</v>
      </c>
      <c r="F45" s="3"/>
      <c r="H45" s="1453"/>
      <c r="I45" s="84" t="str">
        <f>IF(H44="X",Devis6_MO_HT,"")</f>
        <v/>
      </c>
      <c r="J45" s="1476"/>
      <c r="K45" s="1472"/>
      <c r="L45" s="84" t="str">
        <f>IF(K44="X",Devis6_MO_HT,"")</f>
        <v/>
      </c>
      <c r="M45" s="1474"/>
      <c r="Q45" s="1431"/>
      <c r="R45" s="673" t="str">
        <f t="shared" ref="R45:R66" si="38">CONCATENATE(S45,T45,U45,AC45)</f>
        <v>POENERGIE+TMHMS</v>
      </c>
      <c r="S45" s="181" t="str">
        <f t="shared" si="26"/>
        <v>PO</v>
      </c>
      <c r="T45" s="181" t="str">
        <f>Dossier_Energie_Plus</f>
        <v>ENERGIE+</v>
      </c>
      <c r="U45" s="181" t="str">
        <f>RFR_Tres_Modeste</f>
        <v>TM</v>
      </c>
      <c r="V45" s="191">
        <f t="shared" si="27"/>
        <v>0.35</v>
      </c>
      <c r="W45" s="191">
        <f>IF(Solde_Gain_Sim_Solde&gt;$V45,Taux_ANAH50,0)</f>
        <v>0</v>
      </c>
      <c r="X45"/>
      <c r="Y45" s="200">
        <f t="shared" si="28"/>
        <v>30000</v>
      </c>
      <c r="Z45" s="191">
        <f t="shared" si="29"/>
        <v>0.1</v>
      </c>
      <c r="AA45" s="255">
        <f>Plafond_ASE3000</f>
        <v>3000</v>
      </c>
      <c r="AB45" s="40">
        <v>0.7</v>
      </c>
      <c r="AC45" s="181" t="str">
        <f>$A$64</f>
        <v>HMS</v>
      </c>
      <c r="AD45" s="254"/>
      <c r="AE45" s="134">
        <f t="shared" si="30"/>
        <v>0</v>
      </c>
      <c r="AF45" s="253">
        <f t="shared" si="31"/>
        <v>0</v>
      </c>
      <c r="AH45" s="253" t="e">
        <f t="shared" si="32"/>
        <v>#VALUE!</v>
      </c>
      <c r="AJ45" s="591">
        <f t="shared" si="33"/>
        <v>0</v>
      </c>
      <c r="AL45" s="591">
        <f t="shared" si="34"/>
        <v>0</v>
      </c>
      <c r="AN45" s="253" t="e">
        <f t="shared" si="35"/>
        <v>#VALUE!</v>
      </c>
      <c r="AO45" s="701">
        <f t="shared" si="36"/>
        <v>0</v>
      </c>
      <c r="AP45" s="701"/>
      <c r="AQ45" s="701">
        <f t="shared" si="37"/>
        <v>1500</v>
      </c>
      <c r="AR45" s="701"/>
    </row>
    <row r="46" spans="1:44" ht="15.75" thickBot="1" x14ac:dyDescent="0.3">
      <c r="A46" s="105">
        <v>1</v>
      </c>
      <c r="E46" s="26" t="s">
        <v>145</v>
      </c>
      <c r="F46" s="27"/>
      <c r="H46" s="1452">
        <f>PROJET!$G$17</f>
        <v>0</v>
      </c>
      <c r="I46" s="90" t="str">
        <f>IF(H46="X",Devis7_Mat_HT,"")</f>
        <v/>
      </c>
      <c r="J46" s="1475" t="str">
        <f>IF(H46="X",Devis7_TTC,"")</f>
        <v/>
      </c>
      <c r="K46" s="1471">
        <f>PROJET!$H$17</f>
        <v>0</v>
      </c>
      <c r="L46" s="90" t="str">
        <f>IF(K46="X",Devis7_Mat_HT,"")</f>
        <v/>
      </c>
      <c r="M46" s="1473" t="str">
        <f>IF(K46="X",Devis7_TTC,"")</f>
        <v/>
      </c>
      <c r="Q46" s="1431"/>
      <c r="R46" s="673" t="str">
        <f t="shared" si="38"/>
        <v>POENERGIE+MHMS</v>
      </c>
      <c r="S46" s="181" t="str">
        <f t="shared" si="26"/>
        <v>PO</v>
      </c>
      <c r="T46" s="181" t="str">
        <f>Dossier_Energie_Plus</f>
        <v>ENERGIE+</v>
      </c>
      <c r="U46" s="181" t="str">
        <f>RFR_Modeste</f>
        <v>M</v>
      </c>
      <c r="V46" s="191">
        <f t="shared" si="27"/>
        <v>0.35</v>
      </c>
      <c r="W46" s="191">
        <f>IF(Solde_Gain_Sim_Solde&gt;$V46,Taux_ANAH35,0)</f>
        <v>0</v>
      </c>
      <c r="X46"/>
      <c r="Y46" s="200">
        <f t="shared" si="28"/>
        <v>30000</v>
      </c>
      <c r="Z46" s="191">
        <f t="shared" si="29"/>
        <v>0.1</v>
      </c>
      <c r="AA46" s="200">
        <f>Plafond_ASE2000</f>
        <v>2000</v>
      </c>
      <c r="AB46" s="40"/>
      <c r="AC46" s="181" t="str">
        <f>$A$64</f>
        <v>HMS</v>
      </c>
      <c r="AD46" s="254"/>
      <c r="AE46" s="134">
        <f t="shared" si="30"/>
        <v>0</v>
      </c>
      <c r="AF46" s="253">
        <f t="shared" si="31"/>
        <v>0</v>
      </c>
      <c r="AH46" s="253" t="e">
        <f t="shared" si="32"/>
        <v>#VALUE!</v>
      </c>
      <c r="AJ46" s="591">
        <f t="shared" si="33"/>
        <v>0</v>
      </c>
      <c r="AL46" s="591">
        <f t="shared" si="34"/>
        <v>0</v>
      </c>
      <c r="AN46" s="253" t="e">
        <f t="shared" si="35"/>
        <v>#VALUE!</v>
      </c>
      <c r="AO46" s="701">
        <f t="shared" si="36"/>
        <v>0</v>
      </c>
      <c r="AP46" s="701"/>
      <c r="AQ46" s="701">
        <f t="shared" si="37"/>
        <v>1500</v>
      </c>
      <c r="AR46" s="701"/>
    </row>
    <row r="47" spans="1:44" ht="15.75" thickBot="1" x14ac:dyDescent="0.3">
      <c r="A47" s="106">
        <v>2</v>
      </c>
      <c r="H47" s="1453"/>
      <c r="I47" s="84" t="str">
        <f>IF(H46="X",Devis7_MO_HT,"")</f>
        <v/>
      </c>
      <c r="J47" s="1476"/>
      <c r="K47" s="1472"/>
      <c r="L47" s="84" t="str">
        <f>IF(K46="X",Devis7_MO_HT,"")</f>
        <v/>
      </c>
      <c r="M47" s="1474"/>
      <c r="Q47" s="1431"/>
      <c r="R47" s="673" t="str">
        <f t="shared" si="38"/>
        <v>POENERGIE+TMHMSB</v>
      </c>
      <c r="S47" s="181" t="str">
        <f t="shared" si="26"/>
        <v>PO</v>
      </c>
      <c r="T47" s="181" t="str">
        <f>Dossier_Energie_Plus</f>
        <v>ENERGIE+</v>
      </c>
      <c r="U47" s="181" t="str">
        <f>RFR_Tres_Modeste</f>
        <v>TM</v>
      </c>
      <c r="V47" s="191">
        <f t="shared" si="27"/>
        <v>0.35</v>
      </c>
      <c r="W47" s="277">
        <f>IF(Solde_Gain_Sim_Solde&gt;$V47,Taux_ANAH50,0)</f>
        <v>0</v>
      </c>
      <c r="X47"/>
      <c r="Y47" s="200">
        <f t="shared" si="28"/>
        <v>30000</v>
      </c>
      <c r="Z47" s="191">
        <f t="shared" si="29"/>
        <v>0.1</v>
      </c>
      <c r="AA47" s="255">
        <f>Plafond_ASE3000</f>
        <v>3000</v>
      </c>
      <c r="AB47" s="40">
        <v>0.7</v>
      </c>
      <c r="AC47" s="181" t="str">
        <f>$A$65</f>
        <v>HMSB</v>
      </c>
      <c r="AD47" s="254"/>
      <c r="AE47" s="134">
        <f t="shared" si="30"/>
        <v>0</v>
      </c>
      <c r="AF47" s="253">
        <f t="shared" si="31"/>
        <v>0</v>
      </c>
      <c r="AH47" s="253" t="e">
        <f t="shared" si="32"/>
        <v>#VALUE!</v>
      </c>
      <c r="AJ47" s="591">
        <f t="shared" si="33"/>
        <v>0</v>
      </c>
      <c r="AL47" s="591">
        <f t="shared" si="34"/>
        <v>0</v>
      </c>
      <c r="AN47" s="253" t="e">
        <f t="shared" si="35"/>
        <v>#VALUE!</v>
      </c>
      <c r="AO47" s="701">
        <f t="shared" si="36"/>
        <v>0</v>
      </c>
      <c r="AP47" s="701"/>
      <c r="AQ47" s="701">
        <f t="shared" si="37"/>
        <v>1500</v>
      </c>
      <c r="AR47" s="701"/>
    </row>
    <row r="48" spans="1:44" ht="15.75" thickBot="1" x14ac:dyDescent="0.3">
      <c r="A48" s="106">
        <v>3</v>
      </c>
      <c r="E48" s="1450" t="s">
        <v>287</v>
      </c>
      <c r="F48" s="1451"/>
      <c r="H48" s="1452">
        <f>PROJET!$G$19</f>
        <v>0</v>
      </c>
      <c r="I48" s="90" t="str">
        <f>IF(H48="X",Devis8_Mat_HT,"")</f>
        <v/>
      </c>
      <c r="J48" s="1475" t="str">
        <f>IF(H48="X",Devis8_TTC,"")</f>
        <v/>
      </c>
      <c r="K48" s="1471">
        <f>PROJET!$H$19</f>
        <v>0</v>
      </c>
      <c r="L48" s="90" t="str">
        <f>IF(K48="X",Devis8_Mat_HT,"")</f>
        <v/>
      </c>
      <c r="M48" s="1473" t="str">
        <f>IF(K48="X",Devis8_TTC,"")</f>
        <v/>
      </c>
      <c r="Q48" s="1431"/>
      <c r="R48" s="673" t="str">
        <f t="shared" si="38"/>
        <v>POENERGIE+MHMSB</v>
      </c>
      <c r="S48" s="181" t="str">
        <f t="shared" si="26"/>
        <v>PO</v>
      </c>
      <c r="T48" s="181" t="str">
        <f>Dossier_Energie_Plus</f>
        <v>ENERGIE+</v>
      </c>
      <c r="U48" s="181" t="str">
        <f>RFR_Modeste</f>
        <v>M</v>
      </c>
      <c r="V48" s="191">
        <f t="shared" si="27"/>
        <v>0.35</v>
      </c>
      <c r="W48" s="277">
        <f>IF(Solde_Gain_Sim_Solde&gt;$V48,Taux_ANAH35,0)</f>
        <v>0</v>
      </c>
      <c r="X48"/>
      <c r="Y48" s="200">
        <f t="shared" si="28"/>
        <v>30000</v>
      </c>
      <c r="Z48" s="191">
        <f t="shared" si="29"/>
        <v>0.1</v>
      </c>
      <c r="AA48" s="200">
        <f>Plafond_ASE2000</f>
        <v>2000</v>
      </c>
      <c r="AB48" s="40"/>
      <c r="AC48" s="181" t="str">
        <f>$A$65</f>
        <v>HMSB</v>
      </c>
      <c r="AD48" s="254"/>
      <c r="AE48" s="134">
        <f t="shared" si="30"/>
        <v>0</v>
      </c>
      <c r="AF48" s="253">
        <f t="shared" si="31"/>
        <v>0</v>
      </c>
      <c r="AH48" s="253" t="e">
        <f t="shared" si="32"/>
        <v>#VALUE!</v>
      </c>
      <c r="AJ48" s="591">
        <f t="shared" si="33"/>
        <v>0</v>
      </c>
      <c r="AL48" s="591">
        <f t="shared" si="34"/>
        <v>0</v>
      </c>
      <c r="AN48" s="253" t="e">
        <f t="shared" si="35"/>
        <v>#VALUE!</v>
      </c>
      <c r="AO48" s="701">
        <f t="shared" si="36"/>
        <v>0</v>
      </c>
      <c r="AP48" s="701"/>
      <c r="AQ48" s="701">
        <f t="shared" si="37"/>
        <v>1500</v>
      </c>
      <c r="AR48" s="701"/>
    </row>
    <row r="49" spans="1:44" ht="15.75" thickBot="1" x14ac:dyDescent="0.3">
      <c r="A49" s="106">
        <v>4</v>
      </c>
      <c r="E49" s="231" t="s">
        <v>172</v>
      </c>
      <c r="F49" s="232"/>
      <c r="H49" s="1493"/>
      <c r="I49" s="85" t="str">
        <f>IF(H48="X",Devis8_MO_HT,"")</f>
        <v/>
      </c>
      <c r="J49" s="1483"/>
      <c r="K49" s="1482"/>
      <c r="L49" s="85" t="str">
        <f>IF(K48="X",Devis8_MO_HT,"")</f>
        <v/>
      </c>
      <c r="M49" s="1481"/>
      <c r="Q49" s="1431"/>
      <c r="R49" s="673" t="str">
        <f t="shared" si="38"/>
        <v>POAUTOTMHF</v>
      </c>
      <c r="S49" s="181" t="str">
        <f t="shared" si="26"/>
        <v>PO</v>
      </c>
      <c r="T49" s="181" t="str">
        <f>Dossier_Auto</f>
        <v>AUTO</v>
      </c>
      <c r="U49" s="181" t="str">
        <f>RFR_Tres_Modeste</f>
        <v>TM</v>
      </c>
      <c r="V49" s="191"/>
      <c r="W49" s="277">
        <f>Taux_ANAH50</f>
        <v>0.5</v>
      </c>
      <c r="X49"/>
      <c r="Y49" s="200">
        <f>Plafond_ANAH_Tx_20k</f>
        <v>20000</v>
      </c>
      <c r="Z49" s="191"/>
      <c r="AA49" s="200"/>
      <c r="AB49" s="40">
        <v>0.7</v>
      </c>
      <c r="AC49" s="181" t="str">
        <f>$A$71</f>
        <v>HF</v>
      </c>
      <c r="AD49" s="254">
        <f t="shared" ref="AD49:AD54" si="39">Taux_CC10</f>
        <v>0.1</v>
      </c>
      <c r="AE49" s="134">
        <f t="shared" si="30"/>
        <v>2000</v>
      </c>
      <c r="AF49" s="253">
        <f t="shared" si="31"/>
        <v>0</v>
      </c>
      <c r="AH49" s="253" t="e">
        <f>IF(Prime_AvantCC_Sim1&lt;Plafond_CC_Sim1,IF((Plafond_CC_Sim1-Prime_AvantCC_Sim1)&gt;AE49,AE49,Plafond_CC_Sim1-Prime_AvantCC_Sim1),0)</f>
        <v>#VALUE!</v>
      </c>
      <c r="AJ49" s="591">
        <f t="shared" si="33"/>
        <v>0</v>
      </c>
      <c r="AL49" s="591">
        <f t="shared" si="34"/>
        <v>0</v>
      </c>
      <c r="AN49" s="253" t="e">
        <f t="shared" si="35"/>
        <v>#VALUE!</v>
      </c>
      <c r="AO49" s="701">
        <f t="shared" si="36"/>
        <v>0</v>
      </c>
      <c r="AP49" s="701"/>
      <c r="AQ49" s="701">
        <f t="shared" si="37"/>
        <v>1500</v>
      </c>
      <c r="AR49" s="701"/>
    </row>
    <row r="50" spans="1:44" ht="15.75" thickBot="1" x14ac:dyDescent="0.3">
      <c r="A50" s="106">
        <v>5</v>
      </c>
      <c r="E50" s="233" t="s">
        <v>133</v>
      </c>
      <c r="F50" s="234"/>
      <c r="Q50" s="1431"/>
      <c r="R50" s="673" t="str">
        <f t="shared" si="38"/>
        <v>POAUTOMHF</v>
      </c>
      <c r="S50" s="181" t="str">
        <f t="shared" si="26"/>
        <v>PO</v>
      </c>
      <c r="T50" s="181" t="str">
        <f>Dossier_Auto</f>
        <v>AUTO</v>
      </c>
      <c r="U50" s="181" t="str">
        <f>RFR_Modeste</f>
        <v>M</v>
      </c>
      <c r="V50" s="191"/>
      <c r="W50" s="277">
        <f>Taux_ANAH35</f>
        <v>0.35</v>
      </c>
      <c r="X50"/>
      <c r="Y50" s="200">
        <f>Plafond_ANAH_Tx_20k</f>
        <v>20000</v>
      </c>
      <c r="Z50" s="191"/>
      <c r="AA50" s="200"/>
      <c r="AB50" s="40"/>
      <c r="AC50" s="181" t="str">
        <f>$A$71</f>
        <v>HF</v>
      </c>
      <c r="AD50" s="254">
        <f t="shared" si="39"/>
        <v>0.1</v>
      </c>
      <c r="AE50" s="134">
        <f t="shared" si="30"/>
        <v>2000</v>
      </c>
      <c r="AF50" s="253">
        <f t="shared" si="31"/>
        <v>0</v>
      </c>
      <c r="AH50" s="253" t="e">
        <f t="shared" ref="AH50:AH66" si="40">IF(Prime_AvantCC_Sim1&lt;Plafond_CC_Sim1,IF((Plafond_CC_Sim1-Prime_AvantCC_Sim1)&gt;AE50,AE50,Plafond_CC_Sim1-Prime_AvantCC_Sim1),0)</f>
        <v>#VALUE!</v>
      </c>
      <c r="AJ50" s="591">
        <f t="shared" si="33"/>
        <v>0</v>
      </c>
      <c r="AL50" s="591">
        <f t="shared" si="34"/>
        <v>0</v>
      </c>
      <c r="AN50" s="253" t="e">
        <f t="shared" si="35"/>
        <v>#VALUE!</v>
      </c>
      <c r="AO50" s="701">
        <f t="shared" si="36"/>
        <v>0</v>
      </c>
      <c r="AP50" s="701"/>
      <c r="AQ50" s="701">
        <f t="shared" si="37"/>
        <v>1500</v>
      </c>
      <c r="AR50" s="701"/>
    </row>
    <row r="51" spans="1:44" ht="15.75" thickBot="1" x14ac:dyDescent="0.3">
      <c r="A51" s="106">
        <v>6</v>
      </c>
      <c r="Q51" s="1431"/>
      <c r="R51" s="673" t="str">
        <f t="shared" si="38"/>
        <v>POMIXTETMHMS-HF</v>
      </c>
      <c r="S51" s="181" t="str">
        <f t="shared" si="26"/>
        <v>PO</v>
      </c>
      <c r="T51" s="181" t="str">
        <f>Dossier_Mixte</f>
        <v>MIXTE</v>
      </c>
      <c r="U51" s="181" t="str">
        <f>RFR_Tres_Modeste</f>
        <v>TM</v>
      </c>
      <c r="V51" s="191">
        <f t="shared" ref="V51:V66" si="41">GainCep35</f>
        <v>0.35</v>
      </c>
      <c r="W51" s="277">
        <f>IF(Solde_Gain_Sim_Solde&gt;$V51,Taux_ANAH50,0)</f>
        <v>0</v>
      </c>
      <c r="X51"/>
      <c r="Y51" s="200">
        <f>Plafond_ANAH_Tx_30k</f>
        <v>30000</v>
      </c>
      <c r="Z51" s="191">
        <f t="shared" ref="Z51:Z66" si="42">Taux_ASE10</f>
        <v>0.1</v>
      </c>
      <c r="AA51" s="255">
        <f>Plafond_ASE3000</f>
        <v>3000</v>
      </c>
      <c r="AB51" s="40">
        <v>0.7</v>
      </c>
      <c r="AC51" s="181" t="str">
        <f>$A$66</f>
        <v>HMS-HF</v>
      </c>
      <c r="AD51" s="254">
        <f t="shared" si="39"/>
        <v>0.1</v>
      </c>
      <c r="AE51" s="134">
        <f t="shared" si="30"/>
        <v>3000</v>
      </c>
      <c r="AF51" s="253">
        <f t="shared" si="31"/>
        <v>0</v>
      </c>
      <c r="AH51" s="253" t="e">
        <f t="shared" si="40"/>
        <v>#VALUE!</v>
      </c>
      <c r="AJ51" s="591">
        <f t="shared" si="33"/>
        <v>0</v>
      </c>
      <c r="AL51" s="591">
        <f t="shared" si="34"/>
        <v>0</v>
      </c>
      <c r="AN51" s="253" t="e">
        <f t="shared" si="35"/>
        <v>#VALUE!</v>
      </c>
      <c r="AO51" s="701">
        <f t="shared" si="36"/>
        <v>0</v>
      </c>
      <c r="AP51" s="701"/>
      <c r="AQ51" s="701">
        <f t="shared" si="37"/>
        <v>1500</v>
      </c>
      <c r="AR51" s="701"/>
    </row>
    <row r="52" spans="1:44" ht="15.75" thickBot="1" x14ac:dyDescent="0.3">
      <c r="A52" s="512" t="s">
        <v>471</v>
      </c>
      <c r="F52" s="1454" t="s">
        <v>245</v>
      </c>
      <c r="G52" s="1449"/>
      <c r="Q52" s="1431"/>
      <c r="R52" s="673" t="str">
        <f t="shared" si="38"/>
        <v>POMIXTEMHMS-HF</v>
      </c>
      <c r="S52" s="181" t="str">
        <f t="shared" si="26"/>
        <v>PO</v>
      </c>
      <c r="T52" s="181" t="str">
        <f>Dossier_Mixte</f>
        <v>MIXTE</v>
      </c>
      <c r="U52" s="181" t="str">
        <f>RFR_Modeste</f>
        <v>M</v>
      </c>
      <c r="V52" s="191">
        <f t="shared" si="41"/>
        <v>0.35</v>
      </c>
      <c r="W52" s="277">
        <f>IF(Solde_Gain_Sim_Solde&gt;$V52,Taux_ANAH35,0)</f>
        <v>0</v>
      </c>
      <c r="X52"/>
      <c r="Y52" s="200">
        <f>Plafond_ANAH_Tx_30k</f>
        <v>30000</v>
      </c>
      <c r="Z52" s="191">
        <f t="shared" si="42"/>
        <v>0.1</v>
      </c>
      <c r="AA52" s="200">
        <f>Plafond_ASE2000</f>
        <v>2000</v>
      </c>
      <c r="AB52" s="40"/>
      <c r="AC52" s="181" t="str">
        <f>$A$66</f>
        <v>HMS-HF</v>
      </c>
      <c r="AD52" s="254">
        <f t="shared" si="39"/>
        <v>0.1</v>
      </c>
      <c r="AE52" s="134">
        <f t="shared" si="30"/>
        <v>3000</v>
      </c>
      <c r="AF52" s="253">
        <f t="shared" si="31"/>
        <v>0</v>
      </c>
      <c r="AH52" s="253" t="e">
        <f t="shared" si="40"/>
        <v>#VALUE!</v>
      </c>
      <c r="AJ52" s="591">
        <f t="shared" si="33"/>
        <v>0</v>
      </c>
      <c r="AL52" s="591">
        <f t="shared" si="34"/>
        <v>0</v>
      </c>
      <c r="AN52" s="253" t="e">
        <f t="shared" si="35"/>
        <v>#VALUE!</v>
      </c>
      <c r="AO52" s="701">
        <f t="shared" si="36"/>
        <v>0</v>
      </c>
      <c r="AP52" s="701"/>
      <c r="AQ52" s="701">
        <f t="shared" si="37"/>
        <v>1500</v>
      </c>
      <c r="AR52" s="701"/>
    </row>
    <row r="53" spans="1:44" ht="15.75" thickBot="1" x14ac:dyDescent="0.3">
      <c r="A53" s="107" t="s">
        <v>135</v>
      </c>
      <c r="F53" s="103" t="s">
        <v>219</v>
      </c>
      <c r="G53" s="119" t="s">
        <v>221</v>
      </c>
      <c r="I53" s="1450" t="s">
        <v>272</v>
      </c>
      <c r="J53" s="1480"/>
      <c r="K53" s="1480"/>
      <c r="L53" s="1480"/>
      <c r="M53" s="1451"/>
      <c r="Q53" s="1431"/>
      <c r="R53" s="673" t="str">
        <f t="shared" si="38"/>
        <v>POMIXTE +TMHMSB-HF</v>
      </c>
      <c r="S53" s="181" t="str">
        <f t="shared" si="26"/>
        <v>PO</v>
      </c>
      <c r="T53" s="181" t="str">
        <f>Dossier_Mixte_Plus</f>
        <v>MIXTE +</v>
      </c>
      <c r="U53" s="181" t="str">
        <f>RFR_Tres_Modeste</f>
        <v>TM</v>
      </c>
      <c r="V53" s="191">
        <f t="shared" si="41"/>
        <v>0.35</v>
      </c>
      <c r="W53" s="277">
        <f>IF(Solde_Gain_Sim_Solde&gt;$V53,Taux_ANAH50,0)</f>
        <v>0</v>
      </c>
      <c r="X53"/>
      <c r="Y53" s="200">
        <f>Plafond_ANAH_Tx_30k</f>
        <v>30000</v>
      </c>
      <c r="Z53" s="191">
        <f t="shared" si="42"/>
        <v>0.1</v>
      </c>
      <c r="AA53" s="255">
        <f>Plafond_ASE3000</f>
        <v>3000</v>
      </c>
      <c r="AB53" s="40">
        <v>0.7</v>
      </c>
      <c r="AC53" s="181" t="str">
        <f>$A$67</f>
        <v>HMSB-HF</v>
      </c>
      <c r="AD53" s="254">
        <f t="shared" si="39"/>
        <v>0.1</v>
      </c>
      <c r="AE53" s="134">
        <v>2000</v>
      </c>
      <c r="AF53" s="253">
        <f t="shared" si="31"/>
        <v>0</v>
      </c>
      <c r="AH53" s="253" t="e">
        <f t="shared" si="40"/>
        <v>#VALUE!</v>
      </c>
      <c r="AJ53" s="591">
        <f t="shared" si="33"/>
        <v>0</v>
      </c>
      <c r="AL53" s="591">
        <f t="shared" si="34"/>
        <v>0</v>
      </c>
      <c r="AN53" s="253" t="e">
        <f t="shared" si="35"/>
        <v>#VALUE!</v>
      </c>
      <c r="AO53" s="701">
        <f t="shared" si="36"/>
        <v>0</v>
      </c>
      <c r="AP53" s="701"/>
      <c r="AQ53" s="701">
        <f t="shared" si="37"/>
        <v>1500</v>
      </c>
      <c r="AR53" s="701"/>
    </row>
    <row r="54" spans="1:44" ht="15.75" thickBot="1" x14ac:dyDescent="0.3">
      <c r="A54" s="1443" t="s">
        <v>140</v>
      </c>
      <c r="B54" s="1444"/>
      <c r="F54" s="41" t="s">
        <v>220</v>
      </c>
      <c r="G54" s="117" t="s">
        <v>235</v>
      </c>
      <c r="I54" s="170" t="s">
        <v>275</v>
      </c>
      <c r="J54" s="185" t="s">
        <v>273</v>
      </c>
      <c r="K54" s="185" t="s">
        <v>48</v>
      </c>
      <c r="L54" s="212" t="s">
        <v>274</v>
      </c>
      <c r="M54" s="171" t="s">
        <v>270</v>
      </c>
      <c r="Q54" s="1431"/>
      <c r="R54" s="673" t="str">
        <f t="shared" si="38"/>
        <v>POMIXTE +MHMSB-HF</v>
      </c>
      <c r="S54" s="181" t="str">
        <f t="shared" si="26"/>
        <v>PO</v>
      </c>
      <c r="T54" s="181" t="str">
        <f>Dossier_Mixte_Plus</f>
        <v>MIXTE +</v>
      </c>
      <c r="U54" s="181" t="str">
        <f>RFR_Modeste</f>
        <v>M</v>
      </c>
      <c r="V54" s="191">
        <f t="shared" si="41"/>
        <v>0.35</v>
      </c>
      <c r="W54" s="277">
        <f>IF(Solde_Gain_Sim_Solde&gt;$V54,Taux_ANAH35,0)</f>
        <v>0</v>
      </c>
      <c r="X54"/>
      <c r="Y54" s="200">
        <f>Plafond_ANAH_Tx_30k</f>
        <v>30000</v>
      </c>
      <c r="Z54" s="191">
        <f t="shared" si="42"/>
        <v>0.1</v>
      </c>
      <c r="AA54" s="200">
        <f>Plafond_ASE2000</f>
        <v>2000</v>
      </c>
      <c r="AB54" s="40"/>
      <c r="AC54" s="181" t="str">
        <f>$A$67</f>
        <v>HMSB-HF</v>
      </c>
      <c r="AD54" s="254">
        <f t="shared" si="39"/>
        <v>0.1</v>
      </c>
      <c r="AE54" s="134">
        <v>2000</v>
      </c>
      <c r="AF54" s="253">
        <f t="shared" si="31"/>
        <v>0</v>
      </c>
      <c r="AH54" s="253" t="e">
        <f t="shared" si="40"/>
        <v>#VALUE!</v>
      </c>
      <c r="AJ54" s="591">
        <f t="shared" si="33"/>
        <v>0</v>
      </c>
      <c r="AL54" s="591">
        <f t="shared" si="34"/>
        <v>0</v>
      </c>
      <c r="AN54" s="253" t="e">
        <f t="shared" si="35"/>
        <v>#VALUE!</v>
      </c>
      <c r="AO54" s="701">
        <f t="shared" si="36"/>
        <v>0</v>
      </c>
      <c r="AP54" s="701"/>
      <c r="AQ54" s="701">
        <f t="shared" si="37"/>
        <v>1500</v>
      </c>
      <c r="AR54" s="701"/>
    </row>
    <row r="55" spans="1:44" x14ac:dyDescent="0.25">
      <c r="A55" s="6" t="s">
        <v>136</v>
      </c>
      <c r="B55" s="108"/>
      <c r="F55" s="24" t="s">
        <v>222</v>
      </c>
      <c r="G55" s="25" t="s">
        <v>236</v>
      </c>
      <c r="I55" s="213" t="str">
        <f>CONCATENATE(J55,K55,L55)</f>
        <v>POENERGIEALS</v>
      </c>
      <c r="J55" s="182" t="s">
        <v>28</v>
      </c>
      <c r="K55" s="182" t="s">
        <v>298</v>
      </c>
      <c r="L55" s="182" t="s">
        <v>11</v>
      </c>
      <c r="M55" s="14">
        <v>1000</v>
      </c>
      <c r="Q55" s="1431"/>
      <c r="R55" s="673" t="str">
        <f t="shared" si="38"/>
        <v>POTRX_LOURDTMHSE-D</v>
      </c>
      <c r="S55" s="181" t="str">
        <f t="shared" si="26"/>
        <v>PO</v>
      </c>
      <c r="T55" s="181" t="str">
        <f t="shared" ref="T55:T64" si="43">Dossier_Trx_Lourd</f>
        <v>TRX_LOURD</v>
      </c>
      <c r="U55" s="181" t="str">
        <f>RFR_Tres_Modeste</f>
        <v>TM</v>
      </c>
      <c r="V55" s="191">
        <f t="shared" si="41"/>
        <v>0.35</v>
      </c>
      <c r="W55" s="277">
        <f>IF(Solde_Gain_Sim_Solde&gt;$V55,Taux_ANAH50,0)</f>
        <v>0</v>
      </c>
      <c r="X55"/>
      <c r="Y55" s="200">
        <f>+Plafond_ANAH_Tx_50k</f>
        <v>50000</v>
      </c>
      <c r="Z55" s="191">
        <f t="shared" si="42"/>
        <v>0.1</v>
      </c>
      <c r="AA55" s="255">
        <f>Plafond_ASE3000</f>
        <v>3000</v>
      </c>
      <c r="AB55" s="40">
        <v>0.7</v>
      </c>
      <c r="AC55" s="181" t="str">
        <f>$A$69</f>
        <v>HSE-D</v>
      </c>
      <c r="AD55" s="254">
        <f>Taux_CC20</f>
        <v>0.2</v>
      </c>
      <c r="AE55" s="134">
        <f t="shared" ref="AE55:AE58" si="44">AD55*Y55</f>
        <v>10000</v>
      </c>
      <c r="AF55" s="253">
        <f t="shared" si="31"/>
        <v>0</v>
      </c>
      <c r="AH55" s="253" t="e">
        <f t="shared" si="40"/>
        <v>#VALUE!</v>
      </c>
      <c r="AJ55" s="591">
        <f t="shared" si="33"/>
        <v>0</v>
      </c>
      <c r="AL55" s="591">
        <f t="shared" si="34"/>
        <v>0</v>
      </c>
      <c r="AN55" s="253" t="e">
        <f t="shared" si="35"/>
        <v>#VALUE!</v>
      </c>
      <c r="AO55" s="701">
        <f t="shared" si="36"/>
        <v>0</v>
      </c>
      <c r="AP55" s="701"/>
      <c r="AQ55" s="701">
        <f t="shared" si="37"/>
        <v>1500</v>
      </c>
      <c r="AR55" s="701"/>
    </row>
    <row r="56" spans="1:44" x14ac:dyDescent="0.25">
      <c r="A56" s="109" t="s">
        <v>141</v>
      </c>
      <c r="B56" s="1435"/>
      <c r="F56" s="24" t="s">
        <v>223</v>
      </c>
      <c r="G56" s="25" t="s">
        <v>237</v>
      </c>
      <c r="I56" s="213" t="str">
        <f t="shared" ref="I56:I60" si="45">CONCATENATE(J56,K56,L56)</f>
        <v>PBENERGIEALS</v>
      </c>
      <c r="J56" s="182" t="s">
        <v>29</v>
      </c>
      <c r="K56" s="182" t="s">
        <v>298</v>
      </c>
      <c r="L56" s="182" t="s">
        <v>11</v>
      </c>
      <c r="M56" s="14">
        <v>1225</v>
      </c>
      <c r="Q56" s="1431"/>
      <c r="R56" s="673" t="str">
        <f t="shared" si="38"/>
        <v>POTRX_LOURDMHSE-D</v>
      </c>
      <c r="S56" s="181" t="str">
        <f t="shared" si="26"/>
        <v>PO</v>
      </c>
      <c r="T56" s="181" t="str">
        <f t="shared" si="43"/>
        <v>TRX_LOURD</v>
      </c>
      <c r="U56" s="181" t="str">
        <f>RFR_Modeste</f>
        <v>M</v>
      </c>
      <c r="V56" s="191">
        <f t="shared" si="41"/>
        <v>0.35</v>
      </c>
      <c r="W56" s="277">
        <f>IF(Solde_Gain_Sim_Solde&gt;$V56,Taux_ANAH35,0)</f>
        <v>0</v>
      </c>
      <c r="X56"/>
      <c r="Y56" s="200">
        <f>Plafond_ANAH_Tx_50k</f>
        <v>50000</v>
      </c>
      <c r="Z56" s="191">
        <f t="shared" si="42"/>
        <v>0.1</v>
      </c>
      <c r="AA56" s="200">
        <f>Plafond_ASE2000</f>
        <v>2000</v>
      </c>
      <c r="AB56" s="40"/>
      <c r="AC56" s="181" t="str">
        <f>$A$69</f>
        <v>HSE-D</v>
      </c>
      <c r="AD56" s="254">
        <f>Taux_CC10</f>
        <v>0.1</v>
      </c>
      <c r="AE56" s="134">
        <f t="shared" si="44"/>
        <v>5000</v>
      </c>
      <c r="AF56" s="253">
        <f t="shared" si="31"/>
        <v>0</v>
      </c>
      <c r="AH56" s="253" t="e">
        <f t="shared" si="40"/>
        <v>#VALUE!</v>
      </c>
      <c r="AJ56" s="591">
        <f t="shared" si="33"/>
        <v>0</v>
      </c>
      <c r="AL56" s="591">
        <f t="shared" si="34"/>
        <v>0</v>
      </c>
      <c r="AN56" s="253" t="e">
        <f t="shared" si="35"/>
        <v>#VALUE!</v>
      </c>
      <c r="AO56" s="701">
        <f t="shared" si="36"/>
        <v>0</v>
      </c>
      <c r="AP56" s="701"/>
      <c r="AQ56" s="701">
        <f t="shared" si="37"/>
        <v>1500</v>
      </c>
      <c r="AR56" s="701"/>
    </row>
    <row r="57" spans="1:44" x14ac:dyDescent="0.25">
      <c r="A57" s="102" t="s">
        <v>132</v>
      </c>
      <c r="B57" s="1436"/>
      <c r="F57" s="24" t="s">
        <v>224</v>
      </c>
      <c r="G57" s="25" t="s">
        <v>238</v>
      </c>
      <c r="I57" s="213" t="str">
        <f t="shared" si="45"/>
        <v>POAUTOALS</v>
      </c>
      <c r="J57" s="182" t="s">
        <v>28</v>
      </c>
      <c r="K57" s="182" t="s">
        <v>66</v>
      </c>
      <c r="L57" s="182" t="s">
        <v>11</v>
      </c>
      <c r="M57" s="14">
        <v>550</v>
      </c>
      <c r="Q57" s="1431"/>
      <c r="R57" s="673" t="str">
        <f t="shared" si="38"/>
        <v>POTRX_LOURD+TMHSE-D</v>
      </c>
      <c r="S57" s="181" t="str">
        <f t="shared" si="26"/>
        <v>PO</v>
      </c>
      <c r="T57" s="181" t="str">
        <f>Dossier_Trx_Lourd_Plus</f>
        <v>TRX_LOURD+</v>
      </c>
      <c r="U57" s="181" t="str">
        <f>RFR_Tres_Modeste</f>
        <v>TM</v>
      </c>
      <c r="V57" s="191">
        <f t="shared" si="41"/>
        <v>0.35</v>
      </c>
      <c r="W57" s="277">
        <f>IF(Solde_Gain_Sim_Solde&gt;$V57,Taux_ANAH50,0)</f>
        <v>0</v>
      </c>
      <c r="X57"/>
      <c r="Y57" s="200">
        <f>+Plafond_ANAH_Tx_50k</f>
        <v>50000</v>
      </c>
      <c r="Z57" s="191">
        <f t="shared" si="42"/>
        <v>0.1</v>
      </c>
      <c r="AA57" s="255">
        <f>Plafond_ASE3000</f>
        <v>3000</v>
      </c>
      <c r="AB57" s="40">
        <v>0.7</v>
      </c>
      <c r="AC57" s="181" t="str">
        <f>$A$69</f>
        <v>HSE-D</v>
      </c>
      <c r="AD57" s="254">
        <f>Taux_CC20</f>
        <v>0.2</v>
      </c>
      <c r="AE57" s="134">
        <f t="shared" si="44"/>
        <v>10000</v>
      </c>
      <c r="AF57" s="253">
        <f t="shared" si="31"/>
        <v>0</v>
      </c>
      <c r="AH57" s="253" t="e">
        <f t="shared" si="40"/>
        <v>#VALUE!</v>
      </c>
      <c r="AJ57" s="591">
        <f t="shared" si="33"/>
        <v>0</v>
      </c>
      <c r="AL57" s="591">
        <f t="shared" si="34"/>
        <v>0</v>
      </c>
      <c r="AN57" s="253" t="e">
        <f t="shared" si="35"/>
        <v>#VALUE!</v>
      </c>
      <c r="AO57" s="701">
        <f t="shared" si="36"/>
        <v>0</v>
      </c>
      <c r="AP57" s="701"/>
      <c r="AQ57" s="701">
        <f t="shared" si="37"/>
        <v>1500</v>
      </c>
      <c r="AR57" s="701"/>
    </row>
    <row r="58" spans="1:44" x14ac:dyDescent="0.25">
      <c r="A58" s="102" t="s">
        <v>142</v>
      </c>
      <c r="B58" s="1436"/>
      <c r="F58" s="24" t="s">
        <v>225</v>
      </c>
      <c r="G58" s="25" t="s">
        <v>239</v>
      </c>
      <c r="I58" s="213" t="str">
        <f t="shared" si="45"/>
        <v>POENERGIEALSANAH</v>
      </c>
      <c r="J58" s="182" t="s">
        <v>28</v>
      </c>
      <c r="K58" s="182" t="s">
        <v>298</v>
      </c>
      <c r="L58" s="182" t="s">
        <v>332</v>
      </c>
      <c r="M58" s="14">
        <v>575</v>
      </c>
      <c r="Q58" s="1431"/>
      <c r="R58" s="673" t="str">
        <f t="shared" si="38"/>
        <v>POTRX_LOURD+MHSE-D</v>
      </c>
      <c r="S58" s="181" t="str">
        <f t="shared" si="26"/>
        <v>PO</v>
      </c>
      <c r="T58" s="181" t="str">
        <f>Dossier_Trx_Lourd_Plus</f>
        <v>TRX_LOURD+</v>
      </c>
      <c r="U58" s="181" t="str">
        <f>RFR_Modeste</f>
        <v>M</v>
      </c>
      <c r="V58" s="191">
        <f t="shared" si="41"/>
        <v>0.35</v>
      </c>
      <c r="W58" s="277">
        <f>IF(Solde_Gain_Sim_Solde&gt;$V58,Taux_ANAH35,0)</f>
        <v>0</v>
      </c>
      <c r="X58"/>
      <c r="Y58" s="200">
        <f>Plafond_ANAH_Tx_50k</f>
        <v>50000</v>
      </c>
      <c r="Z58" s="191">
        <f t="shared" si="42"/>
        <v>0.1</v>
      </c>
      <c r="AA58" s="200">
        <f>Plafond_ASE2000</f>
        <v>2000</v>
      </c>
      <c r="AB58" s="40"/>
      <c r="AC58" s="181" t="str">
        <f>$A$69</f>
        <v>HSE-D</v>
      </c>
      <c r="AD58" s="254">
        <f>Taux_CC10</f>
        <v>0.1</v>
      </c>
      <c r="AE58" s="134">
        <f t="shared" si="44"/>
        <v>5000</v>
      </c>
      <c r="AF58" s="253">
        <f t="shared" si="31"/>
        <v>0</v>
      </c>
      <c r="AH58" s="253" t="e">
        <f t="shared" si="40"/>
        <v>#VALUE!</v>
      </c>
      <c r="AJ58" s="591">
        <f t="shared" si="33"/>
        <v>0</v>
      </c>
      <c r="AL58" s="591">
        <f t="shared" si="34"/>
        <v>0</v>
      </c>
      <c r="AN58" s="253" t="e">
        <f t="shared" si="35"/>
        <v>#VALUE!</v>
      </c>
      <c r="AO58" s="701">
        <f t="shared" si="36"/>
        <v>0</v>
      </c>
      <c r="AP58" s="701"/>
      <c r="AQ58" s="701">
        <f t="shared" si="37"/>
        <v>1500</v>
      </c>
      <c r="AR58" s="701"/>
    </row>
    <row r="59" spans="1:44" x14ac:dyDescent="0.25">
      <c r="A59" s="102" t="s">
        <v>144</v>
      </c>
      <c r="B59" s="1436"/>
      <c r="F59" s="24" t="s">
        <v>226</v>
      </c>
      <c r="G59" s="25" t="s">
        <v>240</v>
      </c>
      <c r="I59" s="213" t="str">
        <f t="shared" si="45"/>
        <v>PBENERGIEALSANAH</v>
      </c>
      <c r="J59" s="182" t="s">
        <v>29</v>
      </c>
      <c r="K59" s="182" t="s">
        <v>298</v>
      </c>
      <c r="L59" s="182" t="s">
        <v>332</v>
      </c>
      <c r="M59" s="14">
        <v>900</v>
      </c>
      <c r="Q59" s="1431"/>
      <c r="R59" s="673" t="str">
        <f t="shared" si="38"/>
        <v>POTRX_LOURDTMHSE-I</v>
      </c>
      <c r="S59" s="181" t="str">
        <f t="shared" si="26"/>
        <v>PO</v>
      </c>
      <c r="T59" s="181" t="str">
        <f t="shared" si="43"/>
        <v>TRX_LOURD</v>
      </c>
      <c r="U59" s="181" t="str">
        <f>RFR_Tres_Modeste</f>
        <v>TM</v>
      </c>
      <c r="V59" s="191">
        <f t="shared" si="41"/>
        <v>0.35</v>
      </c>
      <c r="W59" s="277">
        <f t="shared" ref="W59:W66" si="46">IF(Solde_Gain_Sim_Solde&gt;$V59,Taux_ANAH50,0)</f>
        <v>0</v>
      </c>
      <c r="X59"/>
      <c r="Y59" s="200">
        <f>+Plafond_ANAH_Tx_50k</f>
        <v>50000</v>
      </c>
      <c r="Z59" s="191">
        <f t="shared" si="42"/>
        <v>0.1</v>
      </c>
      <c r="AA59" s="255">
        <f>Plafond_ASE3000</f>
        <v>3000</v>
      </c>
      <c r="AB59" s="40">
        <v>0.7</v>
      </c>
      <c r="AC59" s="181" t="str">
        <f>$A$70</f>
        <v>HSE-I</v>
      </c>
      <c r="AD59" s="254">
        <v>0.2</v>
      </c>
      <c r="AE59" s="134">
        <f>AD59*Y59</f>
        <v>10000</v>
      </c>
      <c r="AF59" s="253">
        <f t="shared" si="31"/>
        <v>0</v>
      </c>
      <c r="AH59" s="253" t="e">
        <f t="shared" si="40"/>
        <v>#VALUE!</v>
      </c>
      <c r="AJ59" s="591">
        <f t="shared" si="33"/>
        <v>0</v>
      </c>
      <c r="AL59" s="591">
        <f t="shared" si="34"/>
        <v>0</v>
      </c>
      <c r="AN59" s="253" t="e">
        <f t="shared" si="35"/>
        <v>#VALUE!</v>
      </c>
      <c r="AO59" s="701">
        <f t="shared" si="36"/>
        <v>0</v>
      </c>
      <c r="AP59" s="701"/>
      <c r="AQ59" s="701">
        <f t="shared" si="37"/>
        <v>1500</v>
      </c>
      <c r="AR59" s="701"/>
    </row>
    <row r="60" spans="1:44" ht="15.75" thickBot="1" x14ac:dyDescent="0.3">
      <c r="A60" s="102" t="s">
        <v>143</v>
      </c>
      <c r="B60" s="1436"/>
      <c r="F60" s="24" t="s">
        <v>227</v>
      </c>
      <c r="G60" s="25" t="s">
        <v>241</v>
      </c>
      <c r="I60" s="213" t="str">
        <f t="shared" si="45"/>
        <v>POAUTOALSANAH</v>
      </c>
      <c r="J60" s="183" t="s">
        <v>28</v>
      </c>
      <c r="K60" s="183" t="s">
        <v>66</v>
      </c>
      <c r="L60" s="183" t="s">
        <v>332</v>
      </c>
      <c r="M60" s="214">
        <v>550</v>
      </c>
      <c r="Q60" s="1431"/>
      <c r="R60" s="673" t="str">
        <f t="shared" si="38"/>
        <v>POTRX_LOURDMHSE-I</v>
      </c>
      <c r="S60" s="181" t="str">
        <f t="shared" si="26"/>
        <v>PO</v>
      </c>
      <c r="T60" s="181" t="str">
        <f t="shared" si="43"/>
        <v>TRX_LOURD</v>
      </c>
      <c r="U60" s="181" t="str">
        <f>RFR_Modeste</f>
        <v>M</v>
      </c>
      <c r="V60" s="191">
        <f t="shared" si="41"/>
        <v>0.35</v>
      </c>
      <c r="W60" s="277">
        <f t="shared" si="46"/>
        <v>0</v>
      </c>
      <c r="X60"/>
      <c r="Y60" s="200">
        <f>Plafond_ANAH_Tx_50k</f>
        <v>50000</v>
      </c>
      <c r="Z60" s="191">
        <f t="shared" si="42"/>
        <v>0.1</v>
      </c>
      <c r="AA60" s="200">
        <f>Plafond_ASE2000</f>
        <v>2000</v>
      </c>
      <c r="AB60" s="40"/>
      <c r="AC60" s="181" t="str">
        <f>$A$70</f>
        <v>HSE-I</v>
      </c>
      <c r="AD60" s="254">
        <v>0.1</v>
      </c>
      <c r="AE60" s="134">
        <f t="shared" ref="AE60:AE66" si="47">AD60*Y60</f>
        <v>5000</v>
      </c>
      <c r="AF60" s="253">
        <f t="shared" si="31"/>
        <v>0</v>
      </c>
      <c r="AH60" s="253" t="e">
        <f t="shared" si="40"/>
        <v>#VALUE!</v>
      </c>
      <c r="AJ60" s="591">
        <f t="shared" si="33"/>
        <v>0</v>
      </c>
      <c r="AL60" s="591">
        <f t="shared" si="34"/>
        <v>0</v>
      </c>
      <c r="AN60" s="253" t="e">
        <f t="shared" si="35"/>
        <v>#VALUE!</v>
      </c>
      <c r="AO60" s="701">
        <f t="shared" si="36"/>
        <v>0</v>
      </c>
      <c r="AP60" s="701"/>
      <c r="AQ60" s="701">
        <f t="shared" si="37"/>
        <v>1500</v>
      </c>
      <c r="AR60" s="701"/>
    </row>
    <row r="61" spans="1:44" ht="15.75" thickBot="1" x14ac:dyDescent="0.3">
      <c r="A61" s="103" t="s">
        <v>145</v>
      </c>
      <c r="B61" s="1437"/>
      <c r="F61" s="24" t="s">
        <v>228</v>
      </c>
      <c r="G61" s="25" t="s">
        <v>242</v>
      </c>
      <c r="Q61" s="1431"/>
      <c r="R61" s="673" t="str">
        <f t="shared" si="38"/>
        <v>POTRX_LOURD+TMHSE-I</v>
      </c>
      <c r="S61" s="181" t="str">
        <f t="shared" si="26"/>
        <v>PO</v>
      </c>
      <c r="T61" s="181" t="str">
        <f>Dossier_Trx_Lourd_Plus</f>
        <v>TRX_LOURD+</v>
      </c>
      <c r="U61" s="181" t="str">
        <f>RFR_Tres_Modeste</f>
        <v>TM</v>
      </c>
      <c r="V61" s="191">
        <f t="shared" si="41"/>
        <v>0.35</v>
      </c>
      <c r="W61" s="277">
        <f t="shared" si="46"/>
        <v>0</v>
      </c>
      <c r="X61"/>
      <c r="Y61" s="200">
        <f>+Plafond_ANAH_Tx_50k</f>
        <v>50000</v>
      </c>
      <c r="Z61" s="191">
        <f t="shared" si="42"/>
        <v>0.1</v>
      </c>
      <c r="AA61" s="255">
        <f>Plafond_ASE3000</f>
        <v>3000</v>
      </c>
      <c r="AB61" s="40">
        <v>0.7</v>
      </c>
      <c r="AC61" s="181" t="str">
        <f>$A$70</f>
        <v>HSE-I</v>
      </c>
      <c r="AD61" s="254">
        <v>0.2</v>
      </c>
      <c r="AE61" s="134">
        <f t="shared" si="47"/>
        <v>10000</v>
      </c>
      <c r="AF61" s="253">
        <f t="shared" si="31"/>
        <v>0</v>
      </c>
      <c r="AH61" s="253" t="e">
        <f t="shared" si="40"/>
        <v>#VALUE!</v>
      </c>
      <c r="AJ61" s="591">
        <f t="shared" si="33"/>
        <v>0</v>
      </c>
      <c r="AL61" s="591">
        <f t="shared" si="34"/>
        <v>0</v>
      </c>
      <c r="AN61" s="253" t="e">
        <f t="shared" si="35"/>
        <v>#VALUE!</v>
      </c>
      <c r="AO61" s="701">
        <f t="shared" si="36"/>
        <v>0</v>
      </c>
      <c r="AP61" s="701"/>
      <c r="AQ61" s="701">
        <f t="shared" si="37"/>
        <v>1500</v>
      </c>
      <c r="AR61" s="701"/>
    </row>
    <row r="62" spans="1:44" ht="15.75" thickBot="1" x14ac:dyDescent="0.3">
      <c r="F62" s="24" t="s">
        <v>229</v>
      </c>
      <c r="G62" s="25" t="s">
        <v>72</v>
      </c>
      <c r="I62" s="1489" t="s">
        <v>331</v>
      </c>
      <c r="J62" s="1490"/>
      <c r="K62" s="1490"/>
      <c r="L62" s="1490"/>
      <c r="M62" s="1491"/>
      <c r="Q62" s="1431"/>
      <c r="R62" s="673" t="str">
        <f t="shared" si="38"/>
        <v>POTRX_LOURD+MHSE-I</v>
      </c>
      <c r="S62" s="181" t="str">
        <f t="shared" si="26"/>
        <v>PO</v>
      </c>
      <c r="T62" s="181" t="str">
        <f>Dossier_Trx_Lourd_Plus</f>
        <v>TRX_LOURD+</v>
      </c>
      <c r="U62" s="181" t="str">
        <f>RFR_Modeste</f>
        <v>M</v>
      </c>
      <c r="V62" s="191">
        <f t="shared" si="41"/>
        <v>0.35</v>
      </c>
      <c r="W62" s="277">
        <f t="shared" si="46"/>
        <v>0</v>
      </c>
      <c r="X62"/>
      <c r="Y62" s="200">
        <f>Plafond_ANAH_Tx_50k</f>
        <v>50000</v>
      </c>
      <c r="Z62" s="191">
        <f t="shared" si="42"/>
        <v>0.1</v>
      </c>
      <c r="AA62" s="200">
        <f>Plafond_ASE2000</f>
        <v>2000</v>
      </c>
      <c r="AB62" s="40"/>
      <c r="AC62" s="181" t="str">
        <f>$A$70</f>
        <v>HSE-I</v>
      </c>
      <c r="AD62" s="254">
        <v>0.1</v>
      </c>
      <c r="AE62" s="134">
        <f t="shared" si="47"/>
        <v>5000</v>
      </c>
      <c r="AF62" s="253">
        <f t="shared" si="31"/>
        <v>0</v>
      </c>
      <c r="AH62" s="253" t="e">
        <f t="shared" si="40"/>
        <v>#VALUE!</v>
      </c>
      <c r="AJ62" s="591">
        <f t="shared" si="33"/>
        <v>0</v>
      </c>
      <c r="AL62" s="591">
        <f t="shared" si="34"/>
        <v>0</v>
      </c>
      <c r="AN62" s="253" t="e">
        <f t="shared" si="35"/>
        <v>#VALUE!</v>
      </c>
      <c r="AO62" s="701">
        <f t="shared" si="36"/>
        <v>0</v>
      </c>
      <c r="AP62" s="701"/>
      <c r="AQ62" s="701">
        <f t="shared" si="37"/>
        <v>1500</v>
      </c>
      <c r="AR62" s="701"/>
    </row>
    <row r="63" spans="1:44" ht="15.75" thickBot="1" x14ac:dyDescent="0.3">
      <c r="A63" s="1438" t="s">
        <v>157</v>
      </c>
      <c r="B63" s="1439"/>
      <c r="C63" s="110"/>
      <c r="F63" s="24" t="s">
        <v>230</v>
      </c>
      <c r="G63" s="25" t="s">
        <v>243</v>
      </c>
      <c r="I63" s="11" t="str">
        <f>IF(ALS_OuiNon="oui","ALS","")</f>
        <v/>
      </c>
      <c r="J63" s="210" t="str">
        <f>IF(ISBLANK(Anah_Dossier_Depose),"","ANAH")</f>
        <v/>
      </c>
      <c r="K63" s="210" t="str">
        <f>IF(Prime_Region_ouinon="OUI","REGION","")</f>
        <v/>
      </c>
      <c r="L63" s="220" t="str">
        <f>IF(Retraite_OuiNon="OUI",Prop_Caisse_Retraite,"")</f>
        <v/>
      </c>
      <c r="M63" s="221" t="str">
        <f>IF(ISBLANK(PROJET!G46:H48)&gt;0,"","CC")</f>
        <v/>
      </c>
      <c r="Q63" s="1431"/>
      <c r="R63" s="673" t="str">
        <f t="shared" si="38"/>
        <v>POTRX_LOURDTMHSA</v>
      </c>
      <c r="S63" s="181" t="str">
        <f t="shared" si="26"/>
        <v>PO</v>
      </c>
      <c r="T63" s="181" t="str">
        <f t="shared" si="43"/>
        <v>TRX_LOURD</v>
      </c>
      <c r="U63" s="181" t="str">
        <f>RFR_Tres_Modeste</f>
        <v>TM</v>
      </c>
      <c r="V63" s="191">
        <f t="shared" si="41"/>
        <v>0.35</v>
      </c>
      <c r="W63" s="277">
        <f t="shared" si="46"/>
        <v>0</v>
      </c>
      <c r="X63"/>
      <c r="Y63" s="200">
        <f>Plafond_ANAH_Tx_20k</f>
        <v>20000</v>
      </c>
      <c r="Z63" s="191">
        <f t="shared" si="42"/>
        <v>0.1</v>
      </c>
      <c r="AA63" s="255">
        <f>Plafond_ASE3000</f>
        <v>3000</v>
      </c>
      <c r="AB63" s="40">
        <v>0.7</v>
      </c>
      <c r="AC63" s="181" t="str">
        <f>$A$68</f>
        <v>HSA</v>
      </c>
      <c r="AD63" s="254">
        <f>Taux_CC10</f>
        <v>0.1</v>
      </c>
      <c r="AE63" s="134">
        <f t="shared" si="47"/>
        <v>2000</v>
      </c>
      <c r="AF63" s="253">
        <f t="shared" si="31"/>
        <v>0</v>
      </c>
      <c r="AH63" s="253" t="e">
        <f t="shared" si="40"/>
        <v>#VALUE!</v>
      </c>
      <c r="AJ63" s="591">
        <f t="shared" si="33"/>
        <v>0</v>
      </c>
      <c r="AL63" s="591">
        <f t="shared" si="34"/>
        <v>0</v>
      </c>
      <c r="AN63" s="253" t="e">
        <f t="shared" si="35"/>
        <v>#VALUE!</v>
      </c>
      <c r="AO63" s="701">
        <f t="shared" si="36"/>
        <v>0</v>
      </c>
      <c r="AP63" s="701"/>
      <c r="AQ63" s="701">
        <f t="shared" si="37"/>
        <v>1500</v>
      </c>
      <c r="AR63" s="701"/>
    </row>
    <row r="64" spans="1:44" x14ac:dyDescent="0.25">
      <c r="A64" s="111" t="s">
        <v>158</v>
      </c>
      <c r="B64" s="112" t="s">
        <v>164</v>
      </c>
      <c r="F64" s="24" t="s">
        <v>231</v>
      </c>
      <c r="G64" s="25" t="s">
        <v>244</v>
      </c>
      <c r="Q64" s="1431"/>
      <c r="R64" s="673" t="str">
        <f t="shared" si="38"/>
        <v>POTRX_LOURDMHSA</v>
      </c>
      <c r="S64" s="181" t="str">
        <f t="shared" si="26"/>
        <v>PO</v>
      </c>
      <c r="T64" s="181" t="str">
        <f t="shared" si="43"/>
        <v>TRX_LOURD</v>
      </c>
      <c r="U64" s="181" t="str">
        <f>RFR_Modeste</f>
        <v>M</v>
      </c>
      <c r="V64" s="191">
        <f t="shared" si="41"/>
        <v>0.35</v>
      </c>
      <c r="W64" s="277">
        <f t="shared" si="46"/>
        <v>0</v>
      </c>
      <c r="X64"/>
      <c r="Y64" s="200">
        <f>Plafond_ANAH_Tx_20k</f>
        <v>20000</v>
      </c>
      <c r="Z64" s="191">
        <f t="shared" si="42"/>
        <v>0.1</v>
      </c>
      <c r="AA64" s="200">
        <f>Plafond_ASE2000</f>
        <v>2000</v>
      </c>
      <c r="AB64" s="40"/>
      <c r="AC64" s="181" t="str">
        <f>$A$68</f>
        <v>HSA</v>
      </c>
      <c r="AD64" s="254">
        <f>Taux_CC10</f>
        <v>0.1</v>
      </c>
      <c r="AE64" s="134">
        <f t="shared" si="47"/>
        <v>2000</v>
      </c>
      <c r="AF64" s="253">
        <f t="shared" si="31"/>
        <v>0</v>
      </c>
      <c r="AH64" s="253" t="e">
        <f t="shared" si="40"/>
        <v>#VALUE!</v>
      </c>
      <c r="AJ64" s="591">
        <f t="shared" si="33"/>
        <v>0</v>
      </c>
      <c r="AL64" s="591">
        <f t="shared" si="34"/>
        <v>0</v>
      </c>
      <c r="AN64" s="253" t="e">
        <f t="shared" si="35"/>
        <v>#VALUE!</v>
      </c>
      <c r="AO64" s="701">
        <f t="shared" si="36"/>
        <v>0</v>
      </c>
      <c r="AP64" s="701"/>
      <c r="AQ64" s="701">
        <f t="shared" si="37"/>
        <v>1500</v>
      </c>
      <c r="AR64" s="701"/>
    </row>
    <row r="65" spans="1:44" ht="15.75" thickBot="1" x14ac:dyDescent="0.3">
      <c r="A65" s="113" t="s">
        <v>171</v>
      </c>
      <c r="B65" s="114" t="s">
        <v>303</v>
      </c>
      <c r="F65" s="24" t="s">
        <v>232</v>
      </c>
      <c r="G65" s="25"/>
      <c r="Q65" s="1431"/>
      <c r="R65" s="673" t="str">
        <f t="shared" si="38"/>
        <v>POTRX_LOURD+TMHSA</v>
      </c>
      <c r="S65" s="181" t="str">
        <f t="shared" si="26"/>
        <v>PO</v>
      </c>
      <c r="T65" s="181" t="str">
        <f>Dossier_Trx_Lourd_Plus</f>
        <v>TRX_LOURD+</v>
      </c>
      <c r="U65" s="181" t="str">
        <f>RFR_Tres_Modeste</f>
        <v>TM</v>
      </c>
      <c r="V65" s="191">
        <f t="shared" si="41"/>
        <v>0.35</v>
      </c>
      <c r="W65" s="277">
        <f t="shared" si="46"/>
        <v>0</v>
      </c>
      <c r="X65"/>
      <c r="Y65" s="200">
        <f>Plafond_ANAH_Tx_20k</f>
        <v>20000</v>
      </c>
      <c r="Z65" s="191">
        <f t="shared" si="42"/>
        <v>0.1</v>
      </c>
      <c r="AA65" s="255">
        <f>Plafond_ASE3000</f>
        <v>3000</v>
      </c>
      <c r="AB65" s="40">
        <v>0.7</v>
      </c>
      <c r="AC65" s="181" t="str">
        <f>$A$68</f>
        <v>HSA</v>
      </c>
      <c r="AD65" s="254">
        <f>Taux_CC10</f>
        <v>0.1</v>
      </c>
      <c r="AE65" s="134">
        <f t="shared" si="47"/>
        <v>2000</v>
      </c>
      <c r="AF65" s="253">
        <f t="shared" si="31"/>
        <v>0</v>
      </c>
      <c r="AH65" s="253" t="e">
        <f t="shared" si="40"/>
        <v>#VALUE!</v>
      </c>
      <c r="AJ65" s="591">
        <f t="shared" si="33"/>
        <v>0</v>
      </c>
      <c r="AL65" s="591">
        <f t="shared" si="34"/>
        <v>0</v>
      </c>
      <c r="AN65" s="253" t="e">
        <f t="shared" si="35"/>
        <v>#VALUE!</v>
      </c>
      <c r="AO65" s="701">
        <f t="shared" si="36"/>
        <v>0</v>
      </c>
      <c r="AP65" s="701"/>
      <c r="AQ65" s="701">
        <f t="shared" si="37"/>
        <v>1500</v>
      </c>
      <c r="AR65" s="701"/>
    </row>
    <row r="66" spans="1:44" ht="15.75" thickBot="1" x14ac:dyDescent="0.3">
      <c r="A66" s="113" t="s">
        <v>169</v>
      </c>
      <c r="B66" s="114" t="s">
        <v>315</v>
      </c>
      <c r="F66" s="24" t="s">
        <v>233</v>
      </c>
      <c r="G66" s="25"/>
      <c r="K66" s="1443" t="s">
        <v>187</v>
      </c>
      <c r="L66" s="1492"/>
      <c r="M66" s="1444"/>
      <c r="Q66" s="1432"/>
      <c r="R66" s="674" t="str">
        <f t="shared" si="38"/>
        <v>POTRX_LOURD+MHSA</v>
      </c>
      <c r="S66" s="280" t="str">
        <f t="shared" si="26"/>
        <v>PO</v>
      </c>
      <c r="T66" s="280" t="str">
        <f>Dossier_Trx_Lourd_Plus</f>
        <v>TRX_LOURD+</v>
      </c>
      <c r="U66" s="280" t="str">
        <f>RFR_Modeste</f>
        <v>M</v>
      </c>
      <c r="V66" s="194">
        <f t="shared" si="41"/>
        <v>0.35</v>
      </c>
      <c r="W66" s="278">
        <f t="shared" si="46"/>
        <v>0</v>
      </c>
      <c r="X66"/>
      <c r="Y66" s="201">
        <f>Plafond_ANAH_Tx_20k</f>
        <v>20000</v>
      </c>
      <c r="Z66" s="194">
        <f t="shared" si="42"/>
        <v>0.1</v>
      </c>
      <c r="AA66" s="201">
        <f>Plafond_ASE2000</f>
        <v>2000</v>
      </c>
      <c r="AB66" s="195"/>
      <c r="AC66" s="280" t="str">
        <f>$A$68</f>
        <v>HSA</v>
      </c>
      <c r="AD66" s="220">
        <f>Taux_CC10</f>
        <v>0.1</v>
      </c>
      <c r="AE66" s="262">
        <f t="shared" si="47"/>
        <v>2000</v>
      </c>
      <c r="AF66" s="253">
        <f t="shared" si="31"/>
        <v>0</v>
      </c>
      <c r="AH66" s="253" t="e">
        <f t="shared" si="40"/>
        <v>#VALUE!</v>
      </c>
      <c r="AJ66" s="591">
        <f t="shared" si="33"/>
        <v>0</v>
      </c>
      <c r="AL66" s="591">
        <f t="shared" si="34"/>
        <v>0</v>
      </c>
      <c r="AN66" s="253" t="e">
        <f t="shared" si="35"/>
        <v>#VALUE!</v>
      </c>
      <c r="AO66" s="701">
        <f t="shared" si="36"/>
        <v>0</v>
      </c>
      <c r="AP66" s="701"/>
      <c r="AQ66" s="701">
        <f t="shared" si="37"/>
        <v>1500</v>
      </c>
      <c r="AR66" s="701"/>
    </row>
    <row r="67" spans="1:44" ht="15.75" thickBot="1" x14ac:dyDescent="0.3">
      <c r="A67" s="113" t="s">
        <v>170</v>
      </c>
      <c r="B67" s="114" t="s">
        <v>314</v>
      </c>
      <c r="F67" s="26" t="s">
        <v>234</v>
      </c>
      <c r="G67" s="27"/>
      <c r="K67" s="217" t="s">
        <v>298</v>
      </c>
      <c r="L67" s="218" t="s">
        <v>66</v>
      </c>
      <c r="M67" s="184" t="s">
        <v>188</v>
      </c>
      <c r="R67" s="279">
        <v>1</v>
      </c>
      <c r="S67" s="279">
        <v>2</v>
      </c>
      <c r="T67" s="279">
        <v>3</v>
      </c>
      <c r="U67" s="279">
        <v>4</v>
      </c>
      <c r="V67" s="279">
        <v>5</v>
      </c>
      <c r="W67" s="279">
        <v>6</v>
      </c>
      <c r="X67" s="279">
        <v>7</v>
      </c>
      <c r="Y67" s="279">
        <v>8</v>
      </c>
      <c r="Z67" s="279">
        <v>9</v>
      </c>
      <c r="AA67" s="279">
        <v>10</v>
      </c>
      <c r="AB67" s="279">
        <v>11</v>
      </c>
      <c r="AC67" s="279">
        <v>12</v>
      </c>
      <c r="AD67" s="279">
        <v>13</v>
      </c>
      <c r="AE67" s="279">
        <v>14</v>
      </c>
      <c r="AF67" s="279">
        <v>15</v>
      </c>
      <c r="AG67" s="279">
        <v>16</v>
      </c>
      <c r="AH67" s="279">
        <v>17</v>
      </c>
      <c r="AI67" s="279">
        <v>18</v>
      </c>
      <c r="AJ67" s="279">
        <v>19</v>
      </c>
      <c r="AK67" s="279">
        <v>20</v>
      </c>
      <c r="AL67" s="279">
        <v>21</v>
      </c>
      <c r="AM67" s="279">
        <v>22</v>
      </c>
      <c r="AN67" s="279">
        <v>23</v>
      </c>
      <c r="AO67" s="279">
        <v>24</v>
      </c>
      <c r="AP67" s="279">
        <v>25</v>
      </c>
      <c r="AQ67" s="279">
        <v>26</v>
      </c>
      <c r="AR67" s="279">
        <v>27</v>
      </c>
    </row>
    <row r="68" spans="1:44" x14ac:dyDescent="0.25">
      <c r="A68" s="113" t="s">
        <v>159</v>
      </c>
      <c r="B68" s="114" t="s">
        <v>168</v>
      </c>
      <c r="J68" s="211"/>
      <c r="K68" s="28" t="s">
        <v>189</v>
      </c>
      <c r="L68" s="44" t="s">
        <v>184</v>
      </c>
      <c r="M68" s="29" t="s">
        <v>198</v>
      </c>
    </row>
    <row r="69" spans="1:44" ht="15.75" thickBot="1" x14ac:dyDescent="0.3">
      <c r="A69" s="113" t="s">
        <v>160</v>
      </c>
      <c r="B69" s="114" t="s">
        <v>167</v>
      </c>
      <c r="K69" s="24" t="s">
        <v>190</v>
      </c>
      <c r="L69" s="23" t="s">
        <v>196</v>
      </c>
      <c r="M69" s="25" t="s">
        <v>199</v>
      </c>
    </row>
    <row r="70" spans="1:44" ht="15.75" thickBot="1" x14ac:dyDescent="0.3">
      <c r="A70" s="113" t="s">
        <v>161</v>
      </c>
      <c r="B70" s="114" t="s">
        <v>167</v>
      </c>
      <c r="H70" s="1434" t="s">
        <v>431</v>
      </c>
      <c r="I70" s="1434"/>
      <c r="K70" s="24" t="s">
        <v>191</v>
      </c>
      <c r="L70" s="23" t="s">
        <v>197</v>
      </c>
      <c r="M70" s="25" t="s">
        <v>200</v>
      </c>
      <c r="S70" s="661" t="s">
        <v>397</v>
      </c>
      <c r="T70" s="662"/>
      <c r="U70" s="663"/>
      <c r="V70" s="1425" t="e">
        <f>CONCATENATE(Prop_Categorie,Solde_Type_Dossier,Cat_RFR,Solde_Anah_Dossier_Depose)</f>
        <v>#VALUE!</v>
      </c>
      <c r="W70" s="1426"/>
    </row>
    <row r="71" spans="1:44" x14ac:dyDescent="0.25">
      <c r="A71" s="113" t="s">
        <v>162</v>
      </c>
      <c r="B71" s="114" t="s">
        <v>166</v>
      </c>
      <c r="H71" s="458" t="s">
        <v>432</v>
      </c>
      <c r="I71" s="458" t="s">
        <v>433</v>
      </c>
      <c r="K71" s="24" t="s">
        <v>192</v>
      </c>
      <c r="L71" s="23" t="s">
        <v>183</v>
      </c>
      <c r="M71" s="25" t="s">
        <v>201</v>
      </c>
      <c r="S71" s="203" t="s">
        <v>318</v>
      </c>
      <c r="T71" s="204"/>
      <c r="U71" s="205" t="e">
        <f>VLOOKUP((CONCATENATE(Prop_Categorie,Type_Dossier,Cat_RFR,Solde_Anah_Dossier_Depose)),Table_Cond_Projet,8,FALSE)</f>
        <v>#VALUE!</v>
      </c>
      <c r="V71" s="657"/>
      <c r="W71" s="198"/>
    </row>
    <row r="72" spans="1:44" ht="15.75" thickBot="1" x14ac:dyDescent="0.3">
      <c r="A72" s="115" t="s">
        <v>163</v>
      </c>
      <c r="B72" s="116" t="s">
        <v>165</v>
      </c>
      <c r="H72" s="459" t="s">
        <v>434</v>
      </c>
      <c r="I72" s="459" t="s">
        <v>435</v>
      </c>
      <c r="K72" s="24" t="s">
        <v>183</v>
      </c>
      <c r="L72" s="23" t="s">
        <v>195</v>
      </c>
      <c r="M72" s="25" t="s">
        <v>202</v>
      </c>
      <c r="S72" s="206" t="s">
        <v>319</v>
      </c>
      <c r="T72" s="30"/>
      <c r="U72" s="207" t="e">
        <f>VLOOKUP((CONCATENATE(Prop_Categorie,Type_Dossier,Cat_RFR,Solde_Anah_Dossier_Depose)),Table_Cond_Projet,10,FALSE)</f>
        <v>#VALUE!</v>
      </c>
      <c r="V72" s="657"/>
      <c r="W72" s="198"/>
    </row>
    <row r="73" spans="1:44" ht="15.75" thickBot="1" x14ac:dyDescent="0.3">
      <c r="H73" s="459" t="s">
        <v>436</v>
      </c>
      <c r="I73" s="459" t="s">
        <v>437</v>
      </c>
      <c r="K73" s="24" t="s">
        <v>193</v>
      </c>
      <c r="L73" s="2"/>
      <c r="M73" s="25" t="s">
        <v>203</v>
      </c>
      <c r="S73" s="657" t="s">
        <v>579</v>
      </c>
      <c r="T73" s="657"/>
      <c r="U73" s="208">
        <f>(Solde_BaseCalcul_HT_Sim_Solde*Plafond_CC80)</f>
        <v>0</v>
      </c>
      <c r="V73" s="198"/>
      <c r="W73"/>
    </row>
    <row r="74" spans="1:44" ht="15.75" thickBot="1" x14ac:dyDescent="0.3">
      <c r="A74" s="227" t="s">
        <v>347</v>
      </c>
      <c r="H74" s="459" t="s">
        <v>438</v>
      </c>
      <c r="I74" s="459" t="s">
        <v>439</v>
      </c>
      <c r="K74" s="24" t="s">
        <v>194</v>
      </c>
      <c r="L74" s="2"/>
      <c r="M74" s="25" t="s">
        <v>204</v>
      </c>
      <c r="S74" s="657"/>
      <c r="T74" s="657"/>
      <c r="U74" s="208"/>
      <c r="V74" s="198"/>
      <c r="W74"/>
    </row>
    <row r="75" spans="1:44" ht="15.75" thickBot="1" x14ac:dyDescent="0.3">
      <c r="A75" s="228" t="s">
        <v>323</v>
      </c>
      <c r="H75" s="460" t="s">
        <v>145</v>
      </c>
      <c r="I75" s="460" t="s">
        <v>145</v>
      </c>
      <c r="K75" s="26" t="s">
        <v>195</v>
      </c>
      <c r="L75" s="4"/>
      <c r="M75" s="27" t="s">
        <v>195</v>
      </c>
      <c r="S75" s="222" t="s">
        <v>581</v>
      </c>
      <c r="T75" s="222"/>
      <c r="U75" s="253" t="e">
        <f>VLOOKUP((CONCATENATE(Prop_Categorie,Type_Dossier,Cat_RFR,Solde_Anah_Dossier_Depose)),Table_Cond_Projet,15,FALSE)</f>
        <v>#VALUE!</v>
      </c>
      <c r="V75" s="198"/>
    </row>
    <row r="76" spans="1:44" x14ac:dyDescent="0.25">
      <c r="A76" s="230" t="s">
        <v>349</v>
      </c>
      <c r="S76" s="657"/>
      <c r="T76" s="657"/>
      <c r="U76" s="253"/>
      <c r="V76" s="198"/>
    </row>
    <row r="77" spans="1:44" ht="15.75" thickBot="1" x14ac:dyDescent="0.3">
      <c r="A77" s="229" t="s">
        <v>348</v>
      </c>
      <c r="S77" s="1429" t="s">
        <v>580</v>
      </c>
      <c r="T77" s="1429"/>
      <c r="U77" s="208">
        <f>Solde_BaseCalcul_TTC_Sim_Solde*Taux_Anah_Ecretement</f>
        <v>0</v>
      </c>
      <c r="V77" s="198"/>
    </row>
    <row r="78" spans="1:44" ht="15.75" thickBot="1" x14ac:dyDescent="0.3">
      <c r="K78" s="1477" t="s">
        <v>212</v>
      </c>
      <c r="L78" s="1478"/>
      <c r="M78" s="1479"/>
      <c r="S78" s="1429"/>
      <c r="T78" s="1429"/>
      <c r="U78" s="225"/>
      <c r="V78" s="198"/>
      <c r="W78" s="198"/>
    </row>
    <row r="79" spans="1:44" x14ac:dyDescent="0.25">
      <c r="A79" s="1484" t="s">
        <v>418</v>
      </c>
      <c r="B79" s="1485"/>
      <c r="K79" s="17">
        <v>0</v>
      </c>
      <c r="L79" s="125">
        <v>50</v>
      </c>
      <c r="M79" s="126" t="s">
        <v>205</v>
      </c>
    </row>
    <row r="80" spans="1:44" ht="15.75" thickBot="1" x14ac:dyDescent="0.3">
      <c r="A80" s="440" t="s">
        <v>419</v>
      </c>
      <c r="B80" s="130" t="s">
        <v>417</v>
      </c>
      <c r="K80" s="9">
        <v>51</v>
      </c>
      <c r="L80" s="99">
        <v>90</v>
      </c>
      <c r="M80" s="98" t="s">
        <v>206</v>
      </c>
    </row>
    <row r="81" spans="1:30" ht="15.75" thickBot="1" x14ac:dyDescent="0.3">
      <c r="K81" s="9">
        <v>91</v>
      </c>
      <c r="L81" s="99">
        <v>150</v>
      </c>
      <c r="M81" s="98" t="s">
        <v>207</v>
      </c>
    </row>
    <row r="82" spans="1:30" x14ac:dyDescent="0.25">
      <c r="A82" s="453" t="s">
        <v>429</v>
      </c>
      <c r="K82" s="9">
        <v>151</v>
      </c>
      <c r="L82" s="99">
        <v>230</v>
      </c>
      <c r="M82" s="98" t="s">
        <v>208</v>
      </c>
    </row>
    <row r="83" spans="1:30" x14ac:dyDescent="0.25">
      <c r="A83" s="454" t="s">
        <v>423</v>
      </c>
      <c r="K83" s="9">
        <v>231</v>
      </c>
      <c r="L83" s="99">
        <v>330</v>
      </c>
      <c r="M83" s="98" t="s">
        <v>209</v>
      </c>
    </row>
    <row r="84" spans="1:30" x14ac:dyDescent="0.25">
      <c r="A84" s="454" t="s">
        <v>442</v>
      </c>
      <c r="K84" s="9">
        <v>331</v>
      </c>
      <c r="L84" s="99">
        <v>450</v>
      </c>
      <c r="M84" s="98" t="s">
        <v>210</v>
      </c>
      <c r="AD84" s="449"/>
    </row>
    <row r="85" spans="1:30" ht="15.75" thickBot="1" x14ac:dyDescent="0.3">
      <c r="A85" s="454" t="s">
        <v>424</v>
      </c>
      <c r="K85" s="11">
        <v>450</v>
      </c>
      <c r="L85" s="100">
        <v>1000</v>
      </c>
      <c r="M85" s="101" t="s">
        <v>211</v>
      </c>
    </row>
    <row r="86" spans="1:30" ht="15.75" thickBot="1" x14ac:dyDescent="0.3">
      <c r="A86" s="454" t="s">
        <v>425</v>
      </c>
    </row>
    <row r="87" spans="1:30" ht="15.75" thickBot="1" x14ac:dyDescent="0.3">
      <c r="A87" s="455" t="s">
        <v>195</v>
      </c>
      <c r="K87" s="1477" t="s">
        <v>296</v>
      </c>
      <c r="L87" s="1478"/>
      <c r="M87" s="1479"/>
    </row>
    <row r="88" spans="1:30" x14ac:dyDescent="0.25">
      <c r="K88" s="17">
        <v>0</v>
      </c>
      <c r="L88" s="125">
        <v>5</v>
      </c>
      <c r="M88" s="126" t="s">
        <v>205</v>
      </c>
    </row>
    <row r="89" spans="1:30" x14ac:dyDescent="0.25">
      <c r="K89" s="9">
        <v>6</v>
      </c>
      <c r="L89" s="128">
        <v>10</v>
      </c>
      <c r="M89" s="127" t="s">
        <v>206</v>
      </c>
    </row>
    <row r="90" spans="1:30" x14ac:dyDescent="0.25">
      <c r="K90" s="9">
        <v>11</v>
      </c>
      <c r="L90" s="128">
        <v>20</v>
      </c>
      <c r="M90" s="127" t="s">
        <v>207</v>
      </c>
    </row>
    <row r="91" spans="1:30" x14ac:dyDescent="0.25">
      <c r="K91" s="9">
        <v>21</v>
      </c>
      <c r="L91" s="128">
        <v>35</v>
      </c>
      <c r="M91" s="127" t="s">
        <v>208</v>
      </c>
    </row>
    <row r="92" spans="1:30" x14ac:dyDescent="0.25">
      <c r="K92" s="9">
        <v>36</v>
      </c>
      <c r="L92" s="128">
        <v>55</v>
      </c>
      <c r="M92" s="127" t="s">
        <v>209</v>
      </c>
    </row>
    <row r="93" spans="1:30" x14ac:dyDescent="0.25">
      <c r="K93" s="9">
        <v>56</v>
      </c>
      <c r="L93" s="128">
        <v>80</v>
      </c>
      <c r="M93" s="127" t="s">
        <v>210</v>
      </c>
    </row>
    <row r="94" spans="1:30" ht="15.75" thickBot="1" x14ac:dyDescent="0.3">
      <c r="K94" s="11">
        <v>81</v>
      </c>
      <c r="L94" s="129">
        <v>1000</v>
      </c>
      <c r="M94" s="130" t="s">
        <v>211</v>
      </c>
    </row>
  </sheetData>
  <sheetProtection autoFilter="0"/>
  <customSheetViews>
    <customSheetView guid="{A63F3AF0-420C-4EB7-9C04-DE4CC40F156A}" scale="85" topLeftCell="A58">
      <selection activeCell="E81" sqref="E81"/>
      <pageMargins left="0.7" right="0.7" top="0.75" bottom="0.75" header="0.3" footer="0.3"/>
      <pageSetup paperSize="9" orientation="portrait" verticalDpi="0" r:id="rId1"/>
    </customSheetView>
  </customSheetViews>
  <mergeCells count="95">
    <mergeCell ref="K44:K45"/>
    <mergeCell ref="A79:B79"/>
    <mergeCell ref="V30:W30"/>
    <mergeCell ref="AL1:AM1"/>
    <mergeCell ref="A2:N2"/>
    <mergeCell ref="R1:U1"/>
    <mergeCell ref="AJ1:AK1"/>
    <mergeCell ref="E16:E20"/>
    <mergeCell ref="E22:E26"/>
    <mergeCell ref="F3:J3"/>
    <mergeCell ref="I62:M62"/>
    <mergeCell ref="E48:F48"/>
    <mergeCell ref="K66:M66"/>
    <mergeCell ref="K78:M78"/>
    <mergeCell ref="H48:H49"/>
    <mergeCell ref="K34:K35"/>
    <mergeCell ref="M34:M35"/>
    <mergeCell ref="M36:M37"/>
    <mergeCell ref="M38:M39"/>
    <mergeCell ref="K87:M87"/>
    <mergeCell ref="I53:M53"/>
    <mergeCell ref="K42:K43"/>
    <mergeCell ref="J42:J43"/>
    <mergeCell ref="J44:J45"/>
    <mergeCell ref="J46:J47"/>
    <mergeCell ref="M42:M43"/>
    <mergeCell ref="M46:M47"/>
    <mergeCell ref="M48:M49"/>
    <mergeCell ref="K46:K47"/>
    <mergeCell ref="K48:K49"/>
    <mergeCell ref="J48:J49"/>
    <mergeCell ref="M44:M45"/>
    <mergeCell ref="J34:J35"/>
    <mergeCell ref="H36:H37"/>
    <mergeCell ref="H38:H39"/>
    <mergeCell ref="J38:J39"/>
    <mergeCell ref="H34:H35"/>
    <mergeCell ref="J36:J37"/>
    <mergeCell ref="K36:K37"/>
    <mergeCell ref="K38:K39"/>
    <mergeCell ref="K40:K41"/>
    <mergeCell ref="M40:M41"/>
    <mergeCell ref="J40:J41"/>
    <mergeCell ref="D3:E3"/>
    <mergeCell ref="B3:C3"/>
    <mergeCell ref="A12:C12"/>
    <mergeCell ref="G16:J16"/>
    <mergeCell ref="A3:A4"/>
    <mergeCell ref="F14:J15"/>
    <mergeCell ref="A32:B32"/>
    <mergeCell ref="F52:G52"/>
    <mergeCell ref="M16:P16"/>
    <mergeCell ref="L14:P15"/>
    <mergeCell ref="K16:K20"/>
    <mergeCell ref="K22:K26"/>
    <mergeCell ref="M22:P22"/>
    <mergeCell ref="G22:J22"/>
    <mergeCell ref="H46:H47"/>
    <mergeCell ref="A23:B23"/>
    <mergeCell ref="A28:B28"/>
    <mergeCell ref="H40:H41"/>
    <mergeCell ref="E29:F29"/>
    <mergeCell ref="F30:F31"/>
    <mergeCell ref="H32:M32"/>
    <mergeCell ref="H44:H45"/>
    <mergeCell ref="H70:I70"/>
    <mergeCell ref="B56:B61"/>
    <mergeCell ref="A63:B63"/>
    <mergeCell ref="B33:B37"/>
    <mergeCell ref="B40:B42"/>
    <mergeCell ref="A54:B54"/>
    <mergeCell ref="A39:B39"/>
    <mergeCell ref="E33:F33"/>
    <mergeCell ref="F34:F35"/>
    <mergeCell ref="E37:F37"/>
    <mergeCell ref="E41:F41"/>
    <mergeCell ref="H42:H43"/>
    <mergeCell ref="S77:T77"/>
    <mergeCell ref="S78:T78"/>
    <mergeCell ref="Q1:Q26"/>
    <mergeCell ref="Q41:Q66"/>
    <mergeCell ref="R41:U41"/>
    <mergeCell ref="S38:T38"/>
    <mergeCell ref="S37:T37"/>
    <mergeCell ref="AO41:AP41"/>
    <mergeCell ref="AQ41:AR41"/>
    <mergeCell ref="AR1:AS1"/>
    <mergeCell ref="AP1:AQ1"/>
    <mergeCell ref="V70:W70"/>
    <mergeCell ref="AF41:AG41"/>
    <mergeCell ref="AH41:AI41"/>
    <mergeCell ref="AJ41:AK41"/>
    <mergeCell ref="AL41:AM41"/>
    <mergeCell ref="AF1:AG1"/>
    <mergeCell ref="AH1:AI1"/>
  </mergeCells>
  <pageMargins left="0.7" right="0.7" top="0.75" bottom="0.75" header="0.3" footer="0.3"/>
  <pageSetup paperSize="9" orientation="portrait" verticalDpi="4294967293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2">
    <pageSetUpPr fitToPage="1"/>
  </sheetPr>
  <dimension ref="A1:P34"/>
  <sheetViews>
    <sheetView zoomScale="85" zoomScaleNormal="85" workbookViewId="0">
      <selection activeCell="F38" sqref="F38"/>
    </sheetView>
  </sheetViews>
  <sheetFormatPr baseColWidth="10" defaultRowHeight="15" x14ac:dyDescent="0.25"/>
  <cols>
    <col min="2" max="2" width="34.5703125" customWidth="1"/>
    <col min="3" max="4" width="18.5703125" customWidth="1"/>
    <col min="5" max="5" width="13.85546875" customWidth="1"/>
    <col min="6" max="6" width="21" customWidth="1"/>
    <col min="7" max="7" width="24" customWidth="1"/>
    <col min="8" max="8" width="15.28515625" customWidth="1"/>
    <col min="9" max="9" width="24" customWidth="1"/>
    <col min="10" max="10" width="16.7109375" customWidth="1"/>
    <col min="11" max="11" width="23.140625" customWidth="1"/>
    <col min="12" max="12" width="17.85546875" hidden="1" customWidth="1"/>
    <col min="13" max="14" width="11.42578125" hidden="1" customWidth="1"/>
    <col min="15" max="16" width="11.85546875" hidden="1" customWidth="1"/>
    <col min="17" max="17" width="0" hidden="1" customWidth="1"/>
  </cols>
  <sheetData>
    <row r="1" spans="1:16" ht="18.75" customHeight="1" x14ac:dyDescent="0.25">
      <c r="A1" s="1542" t="s">
        <v>485</v>
      </c>
      <c r="B1" s="1542"/>
      <c r="C1" s="1543" t="s">
        <v>486</v>
      </c>
      <c r="D1" s="1543"/>
      <c r="E1" s="1543"/>
      <c r="F1" s="1543"/>
      <c r="G1" s="1543"/>
      <c r="H1" s="1543"/>
      <c r="I1" s="1543"/>
      <c r="J1" s="1543"/>
    </row>
    <row r="2" spans="1:16" ht="18.75" customHeight="1" x14ac:dyDescent="0.25">
      <c r="A2" s="1542"/>
      <c r="B2" s="1542"/>
      <c r="C2" s="1543"/>
      <c r="D2" s="1543"/>
      <c r="E2" s="1543"/>
      <c r="F2" s="1543"/>
      <c r="G2" s="1543"/>
      <c r="H2" s="1543"/>
      <c r="I2" s="1543"/>
      <c r="J2" s="1543"/>
    </row>
    <row r="3" spans="1:16" ht="19.5" thickBot="1" x14ac:dyDescent="0.35">
      <c r="A3" s="546"/>
      <c r="B3" s="546"/>
      <c r="C3" s="546"/>
      <c r="D3" s="546"/>
      <c r="E3" s="546"/>
      <c r="F3" s="546"/>
      <c r="G3" s="546"/>
      <c r="H3" s="546"/>
      <c r="I3" s="546"/>
      <c r="J3" s="546"/>
    </row>
    <row r="4" spans="1:16" ht="18.75" x14ac:dyDescent="0.3">
      <c r="A4" s="1532" t="s">
        <v>11</v>
      </c>
      <c r="B4" s="1535" t="s">
        <v>489</v>
      </c>
      <c r="C4" s="1537" t="s">
        <v>474</v>
      </c>
      <c r="D4" s="1538"/>
      <c r="E4" s="1526" t="s">
        <v>483</v>
      </c>
      <c r="F4" s="1549" t="s">
        <v>475</v>
      </c>
      <c r="G4" s="1526" t="s">
        <v>476</v>
      </c>
      <c r="H4" s="1497" t="s">
        <v>477</v>
      </c>
      <c r="I4" s="1498"/>
      <c r="J4" s="1499"/>
      <c r="L4" s="1546" t="str">
        <f>"SIM RETENUE = "&amp;Sim_Retenue</f>
        <v>SIM RETENUE = ERREUR SIM</v>
      </c>
      <c r="M4" s="1547"/>
      <c r="N4" s="1547"/>
      <c r="O4" s="1547"/>
      <c r="P4" s="1548"/>
    </row>
    <row r="5" spans="1:16" ht="19.5" thickBot="1" x14ac:dyDescent="0.3">
      <c r="A5" s="1533"/>
      <c r="B5" s="1536"/>
      <c r="C5" s="555" t="s">
        <v>12</v>
      </c>
      <c r="D5" s="556" t="s">
        <v>13</v>
      </c>
      <c r="E5" s="1527"/>
      <c r="F5" s="1550"/>
      <c r="G5" s="1527"/>
      <c r="H5" s="1500"/>
      <c r="I5" s="1501"/>
      <c r="J5" s="1502"/>
      <c r="L5" s="26" t="s">
        <v>480</v>
      </c>
      <c r="M5" s="34" t="s">
        <v>481</v>
      </c>
      <c r="N5" s="34" t="s">
        <v>295</v>
      </c>
      <c r="O5" s="34" t="s">
        <v>12</v>
      </c>
      <c r="P5" s="27" t="s">
        <v>13</v>
      </c>
    </row>
    <row r="6" spans="1:16" ht="18.75" x14ac:dyDescent="0.3">
      <c r="A6" s="1533"/>
      <c r="B6" s="557" t="str">
        <f>IF(L6="x",N6,"")</f>
        <v/>
      </c>
      <c r="C6" s="559" t="str">
        <f>IF(L6="x",O6,"")</f>
        <v/>
      </c>
      <c r="D6" s="547" t="str">
        <f t="shared" ref="D6:D13" si="0">IF(L6="x",P6,"")</f>
        <v/>
      </c>
      <c r="E6" s="561" t="str">
        <f t="shared" ref="E6:E13" si="1">IF(M6="x","OUI",IF(B6="","","NON"))</f>
        <v/>
      </c>
      <c r="F6" s="563" t="str">
        <f>IF(E6="OUI",D6,"")</f>
        <v/>
      </c>
      <c r="G6" s="563" t="str">
        <f>IFERROR(IF(Sim_Retenue=1,PROJET!P5,IF(Sim_Retenue=2,PROJET!P26,"")),"")</f>
        <v/>
      </c>
      <c r="H6" s="1503" t="str">
        <f>IFERROR(IF(Sim_Retenue=1,PROJET!Q5,IF(Sim_Retenue=2,PROJET!Q26,"")),"")</f>
        <v/>
      </c>
      <c r="I6" s="1504"/>
      <c r="J6" s="1505"/>
      <c r="L6" s="41" t="str">
        <f>IF(Sim_Retenue=1,PROJET!G5,IF(Sim_Retenue=2,PROJET!H5,""))</f>
        <v/>
      </c>
      <c r="M6" s="538">
        <f>IF(Sim_Retenue=1,PROJET!N5,PROJET!N26)</f>
        <v>0</v>
      </c>
      <c r="N6" s="538">
        <f>PROJET!L5</f>
        <v>0</v>
      </c>
      <c r="O6" s="539" t="str">
        <f>IF(L6="x",Devis1_HT,"")</f>
        <v/>
      </c>
      <c r="P6" s="540" t="str">
        <f>IF(L6="x",Devis1_TTC,"")</f>
        <v/>
      </c>
    </row>
    <row r="7" spans="1:16" ht="18.75" x14ac:dyDescent="0.3">
      <c r="A7" s="1533"/>
      <c r="B7" s="574" t="str">
        <f t="shared" ref="B7:B13" si="2">IF(L7="x",N7,"")</f>
        <v/>
      </c>
      <c r="C7" s="575" t="str">
        <f t="shared" ref="C7:C13" si="3">IF(L7="x",O7,"")</f>
        <v/>
      </c>
      <c r="D7" s="576" t="str">
        <f t="shared" si="0"/>
        <v/>
      </c>
      <c r="E7" s="577" t="str">
        <f t="shared" si="1"/>
        <v/>
      </c>
      <c r="F7" s="578" t="str">
        <f t="shared" ref="F7:F13" si="4">IF(E7="OUI",D7,"")</f>
        <v/>
      </c>
      <c r="G7" s="578" t="str">
        <f>IFERROR(IF(Sim_Retenue=1,PROJET!P7,IF(Sim_Retenue=2,PROJET!P28,"")),"")</f>
        <v/>
      </c>
      <c r="H7" s="1506" t="str">
        <f>IFERROR(IF(Sim_Retenue=1,PROJET!Q7,IF(Sim_Retenue=2,PROJET!Q28,"")),"")</f>
        <v/>
      </c>
      <c r="I7" s="1507"/>
      <c r="J7" s="1508"/>
      <c r="L7" s="24" t="str">
        <f>IF(Sim_Retenue=1,PROJET!G7,IF(Sim_Retenue=2,PROJET!H7,""))</f>
        <v/>
      </c>
      <c r="M7" s="536">
        <f>IF(Sim_Retenue=1,PROJET!N7,PROJET!N28)</f>
        <v>0</v>
      </c>
      <c r="N7" s="536">
        <f>PROJET!L7</f>
        <v>0</v>
      </c>
      <c r="O7" s="32" t="str">
        <f>IF(L7="x",Devis2_HT,"")</f>
        <v/>
      </c>
      <c r="P7" s="541" t="str">
        <f>IF(L7="x",Devis2_TTC,"")</f>
        <v/>
      </c>
    </row>
    <row r="8" spans="1:16" ht="18.75" x14ac:dyDescent="0.3">
      <c r="A8" s="1533"/>
      <c r="B8" s="558" t="str">
        <f t="shared" si="2"/>
        <v/>
      </c>
      <c r="C8" s="560" t="str">
        <f t="shared" si="3"/>
        <v/>
      </c>
      <c r="D8" s="550" t="str">
        <f t="shared" si="0"/>
        <v/>
      </c>
      <c r="E8" s="562" t="str">
        <f t="shared" si="1"/>
        <v/>
      </c>
      <c r="F8" s="564" t="str">
        <f t="shared" si="4"/>
        <v/>
      </c>
      <c r="G8" s="564" t="str">
        <f>IFERROR(IF(Sim_Retenue=1,PROJET!P9,IF(Sim_Retenue=2,PROJET!P30,"")),"")</f>
        <v/>
      </c>
      <c r="H8" s="1509" t="str">
        <f>IFERROR(IF(Sim_Retenue=1,PROJET!Q9,IF(Sim_Retenue=2,PROJET!Q30,"")),"")</f>
        <v/>
      </c>
      <c r="I8" s="1510"/>
      <c r="J8" s="1511"/>
      <c r="L8" s="24" t="str">
        <f>IF(Sim_Retenue=1,PROJET!G9,IF(Sim_Retenue=2,PROJET!H9,""))</f>
        <v/>
      </c>
      <c r="M8" s="536">
        <f>IF(Sim_Retenue=1,PROJET!N9,PROJET!N30)</f>
        <v>0</v>
      </c>
      <c r="N8" s="536">
        <f>PROJET!L9</f>
        <v>0</v>
      </c>
      <c r="O8" s="32" t="str">
        <f>IF(L8="x",Devis3_HT,"")</f>
        <v/>
      </c>
      <c r="P8" s="541" t="str">
        <f>IF(L8="x",Devis3_TTC,"")</f>
        <v/>
      </c>
    </row>
    <row r="9" spans="1:16" ht="18.75" x14ac:dyDescent="0.3">
      <c r="A9" s="1533"/>
      <c r="B9" s="574" t="str">
        <f t="shared" si="2"/>
        <v/>
      </c>
      <c r="C9" s="575" t="str">
        <f t="shared" si="3"/>
        <v/>
      </c>
      <c r="D9" s="576" t="str">
        <f t="shared" si="0"/>
        <v/>
      </c>
      <c r="E9" s="577" t="str">
        <f t="shared" si="1"/>
        <v/>
      </c>
      <c r="F9" s="578" t="str">
        <f t="shared" si="4"/>
        <v/>
      </c>
      <c r="G9" s="578" t="str">
        <f>IFERROR(IF(Sim_Retenue=1,PROJET!P11,IF(Sim_Retenue=2,PROJET!P32,"")),"")</f>
        <v/>
      </c>
      <c r="H9" s="1506" t="str">
        <f>IFERROR(IF(Sim_Retenue=1,PROJET!Q11,IF(Sim_Retenue=2,PROJET!Q32,"")),"")</f>
        <v/>
      </c>
      <c r="I9" s="1507"/>
      <c r="J9" s="1508"/>
      <c r="L9" s="24" t="str">
        <f>IF(Sim_Retenue=1,PROJET!G11,IF(Sim_Retenue=2,PROJET!H11,""))</f>
        <v/>
      </c>
      <c r="M9" s="536">
        <f>IF(Sim_Retenue=1,PROJET!N11,PROJET!N32)</f>
        <v>0</v>
      </c>
      <c r="N9" s="536">
        <f>PROJET!L11</f>
        <v>0</v>
      </c>
      <c r="O9" s="32" t="str">
        <f>IF(L9="x",Devis4_HT,"")</f>
        <v/>
      </c>
      <c r="P9" s="541" t="str">
        <f>IF(L9="x",Devis4_TTC,"")</f>
        <v/>
      </c>
    </row>
    <row r="10" spans="1:16" ht="18.75" x14ac:dyDescent="0.3">
      <c r="A10" s="1533"/>
      <c r="B10" s="558" t="str">
        <f t="shared" si="2"/>
        <v/>
      </c>
      <c r="C10" s="560" t="str">
        <f t="shared" si="3"/>
        <v/>
      </c>
      <c r="D10" s="550" t="str">
        <f t="shared" si="0"/>
        <v/>
      </c>
      <c r="E10" s="562" t="str">
        <f t="shared" si="1"/>
        <v/>
      </c>
      <c r="F10" s="564" t="str">
        <f t="shared" si="4"/>
        <v/>
      </c>
      <c r="G10" s="564" t="str">
        <f>IFERROR(IF(Sim_Retenue=1,PROJET!P13,IF(Sim_Retenue=2,PROJET!P34,"")),"")</f>
        <v/>
      </c>
      <c r="H10" s="1509" t="str">
        <f>IFERROR(IF(Sim_Retenue=1,PROJET!Q13,IF(Sim_Retenue=2,PROJET!Q34,"")),"")</f>
        <v/>
      </c>
      <c r="I10" s="1510"/>
      <c r="J10" s="1511"/>
      <c r="L10" s="24" t="str">
        <f>IF(Sim_Retenue=1,PROJET!G13,IF(Sim_Retenue=2,PROJET!H13,""))</f>
        <v/>
      </c>
      <c r="M10" s="536">
        <f>IF(Sim_Retenue=1,PROJET!N13,PROJET!N34)</f>
        <v>0</v>
      </c>
      <c r="N10" s="536">
        <f>PROJET!L13</f>
        <v>0</v>
      </c>
      <c r="O10" s="32" t="str">
        <f>IF(L10="x",Devis5_HT,"")</f>
        <v/>
      </c>
      <c r="P10" s="541" t="str">
        <f>IF(L10="x",Devis5_TTC,"")</f>
        <v/>
      </c>
    </row>
    <row r="11" spans="1:16" ht="18.75" x14ac:dyDescent="0.3">
      <c r="A11" s="1533"/>
      <c r="B11" s="574" t="str">
        <f t="shared" si="2"/>
        <v/>
      </c>
      <c r="C11" s="575" t="str">
        <f t="shared" si="3"/>
        <v/>
      </c>
      <c r="D11" s="576" t="str">
        <f t="shared" si="0"/>
        <v/>
      </c>
      <c r="E11" s="577" t="str">
        <f t="shared" si="1"/>
        <v/>
      </c>
      <c r="F11" s="578" t="str">
        <f t="shared" si="4"/>
        <v/>
      </c>
      <c r="G11" s="578" t="str">
        <f>IFERROR(IF(Sim_Retenue=1,PROJET!P15,IF(Sim_Retenue=2,PROJET!P36,"")),"")</f>
        <v/>
      </c>
      <c r="H11" s="1506" t="str">
        <f>IFERROR(IF(Sim_Retenue=1,PROJET!Q15,IF(Sim_Retenue=2,PROJET!Q36,"")),"")</f>
        <v/>
      </c>
      <c r="I11" s="1507"/>
      <c r="J11" s="1508"/>
      <c r="L11" s="24" t="str">
        <f>IF(Sim_Retenue=1,PROJET!G15,IF(Sim_Retenue=2,PROJET!H15,""))</f>
        <v/>
      </c>
      <c r="M11" s="536">
        <f>IF(Sim_Retenue=1,PROJET!N15,PROJET!N36)</f>
        <v>0</v>
      </c>
      <c r="N11" s="536">
        <f>PROJET!L15</f>
        <v>0</v>
      </c>
      <c r="O11" s="32" t="str">
        <f>IF(L11="x",Devis6_HT,"")</f>
        <v/>
      </c>
      <c r="P11" s="541" t="str">
        <f>IF(L11="x",Devis6_TTC,"")</f>
        <v/>
      </c>
    </row>
    <row r="12" spans="1:16" ht="18.75" x14ac:dyDescent="0.3">
      <c r="A12" s="1533"/>
      <c r="B12" s="558" t="str">
        <f t="shared" si="2"/>
        <v/>
      </c>
      <c r="C12" s="560" t="str">
        <f t="shared" si="3"/>
        <v/>
      </c>
      <c r="D12" s="550" t="str">
        <f t="shared" si="0"/>
        <v/>
      </c>
      <c r="E12" s="562" t="str">
        <f t="shared" si="1"/>
        <v/>
      </c>
      <c r="F12" s="564" t="str">
        <f t="shared" si="4"/>
        <v/>
      </c>
      <c r="G12" s="564" t="str">
        <f>IFERROR(IF(Sim_Retenue=1,PROJET!P17,IF(Sim_Retenue=2,PROJET!P38,"")),"")</f>
        <v/>
      </c>
      <c r="H12" s="1509" t="str">
        <f>IFERROR(IF(Sim_Retenue=1,PROJET!Q17,IF(Sim_Retenue=2,PROJET!Q38,"")),"")</f>
        <v/>
      </c>
      <c r="I12" s="1510"/>
      <c r="J12" s="1511"/>
      <c r="L12" s="24" t="str">
        <f>IF(Sim_Retenue=1,PROJET!G17,IF(Sim_Retenue=2,PROJET!H17,""))</f>
        <v/>
      </c>
      <c r="M12" s="536">
        <f>IF(Sim_Retenue=1,PROJET!N17,PROJET!N38)</f>
        <v>0</v>
      </c>
      <c r="N12" s="536">
        <f>PROJET!L17</f>
        <v>0</v>
      </c>
      <c r="O12" s="32" t="str">
        <f>IF(L12="x",Devis7_HT,"")</f>
        <v/>
      </c>
      <c r="P12" s="541" t="str">
        <f>IF(L12="x",Devis7_TTC,"")</f>
        <v/>
      </c>
    </row>
    <row r="13" spans="1:16" ht="19.5" thickBot="1" x14ac:dyDescent="0.35">
      <c r="A13" s="1533"/>
      <c r="B13" s="579" t="str">
        <f t="shared" si="2"/>
        <v/>
      </c>
      <c r="C13" s="580" t="str">
        <f t="shared" si="3"/>
        <v/>
      </c>
      <c r="D13" s="581" t="str">
        <f t="shared" si="0"/>
        <v/>
      </c>
      <c r="E13" s="582" t="str">
        <f t="shared" si="1"/>
        <v/>
      </c>
      <c r="F13" s="583" t="str">
        <f t="shared" si="4"/>
        <v/>
      </c>
      <c r="G13" s="583" t="str">
        <f>IFERROR(IF(Sim_Retenue=1,PROJET!P19,IF(Sim_Retenue=2,PROJET!P40,"")),"")</f>
        <v/>
      </c>
      <c r="H13" s="1512" t="str">
        <f>IFERROR(IF(Sim_Retenue=1,PROJET!Q19,IF(Sim_Retenue=2,PROJET!Q40,"")),"")</f>
        <v/>
      </c>
      <c r="I13" s="1513"/>
      <c r="J13" s="1514"/>
      <c r="L13" s="26" t="str">
        <f>IF(Sim_Retenue=1,PROJET!G19,IF(Sim_Retenue=2,PROJET!H19,""))</f>
        <v/>
      </c>
      <c r="M13" s="537">
        <f>IF(Sim_Retenue=1,PROJET!N19,PROJET!N40)</f>
        <v>0</v>
      </c>
      <c r="N13" s="537">
        <f>PROJET!L19</f>
        <v>0</v>
      </c>
      <c r="O13" s="33" t="str">
        <f>IF(L13="x",Devis8_HT,"")</f>
        <v/>
      </c>
      <c r="P13" s="542" t="str">
        <f>IF(L13="x",Devis8_TTC,"")</f>
        <v/>
      </c>
    </row>
    <row r="14" spans="1:16" ht="18.75" x14ac:dyDescent="0.3">
      <c r="A14" s="1533"/>
      <c r="B14" s="565" t="s">
        <v>14</v>
      </c>
      <c r="C14" s="566">
        <f>SUM(C6:C13)</f>
        <v>0</v>
      </c>
      <c r="D14" s="567">
        <f>SUM(D6:D13)</f>
        <v>0</v>
      </c>
      <c r="E14" s="1544"/>
      <c r="F14" s="568">
        <f>SUM(F6:F13)</f>
        <v>0</v>
      </c>
      <c r="G14" s="568">
        <f>SUM(G6:G13)</f>
        <v>0</v>
      </c>
      <c r="H14" s="1515">
        <f>SUM(H6:J13)</f>
        <v>0</v>
      </c>
      <c r="I14" s="1516"/>
      <c r="J14" s="1517"/>
    </row>
    <row r="15" spans="1:16" ht="19.5" thickBot="1" x14ac:dyDescent="0.35">
      <c r="A15" s="1534"/>
      <c r="B15" s="569" t="s">
        <v>482</v>
      </c>
      <c r="C15" s="570">
        <f>ROUND(D15/1.2,0)</f>
        <v>0</v>
      </c>
      <c r="D15" s="571">
        <f>ALS_Frais_AMO</f>
        <v>0</v>
      </c>
      <c r="E15" s="1545"/>
      <c r="F15" s="572"/>
      <c r="G15" s="572">
        <f>ALS_Frais_AMO</f>
        <v>0</v>
      </c>
      <c r="H15" s="1518"/>
      <c r="I15" s="1519"/>
      <c r="J15" s="1520"/>
    </row>
    <row r="16" spans="1:16" ht="19.5" thickBot="1" x14ac:dyDescent="0.35">
      <c r="A16" s="551"/>
      <c r="B16" s="552"/>
      <c r="C16" s="553"/>
      <c r="D16" s="554"/>
      <c r="E16" s="549"/>
      <c r="F16" s="548"/>
      <c r="G16" s="548"/>
      <c r="H16" s="548"/>
      <c r="I16" s="548"/>
      <c r="J16" s="548"/>
    </row>
    <row r="17" spans="1:10" ht="18.75" x14ac:dyDescent="0.3">
      <c r="A17" s="1532" t="s">
        <v>8</v>
      </c>
      <c r="B17" s="1535" t="s">
        <v>489</v>
      </c>
      <c r="C17" s="1539" t="s">
        <v>477</v>
      </c>
      <c r="D17" s="1540"/>
      <c r="E17" s="1528" t="s">
        <v>478</v>
      </c>
      <c r="F17" s="1524" t="s">
        <v>475</v>
      </c>
      <c r="G17" s="1528" t="s">
        <v>484</v>
      </c>
      <c r="H17" s="1530" t="s">
        <v>16</v>
      </c>
      <c r="I17" s="1530" t="s">
        <v>490</v>
      </c>
      <c r="J17" s="1528" t="s">
        <v>479</v>
      </c>
    </row>
    <row r="18" spans="1:10" ht="19.5" thickBot="1" x14ac:dyDescent="0.3">
      <c r="A18" s="1533"/>
      <c r="B18" s="1541"/>
      <c r="C18" s="589" t="s">
        <v>12</v>
      </c>
      <c r="D18" s="590" t="s">
        <v>13</v>
      </c>
      <c r="E18" s="1529"/>
      <c r="F18" s="1525"/>
      <c r="G18" s="1529"/>
      <c r="H18" s="1531"/>
      <c r="I18" s="1531"/>
      <c r="J18" s="1529"/>
    </row>
    <row r="19" spans="1:10" ht="18.75" x14ac:dyDescent="0.3">
      <c r="A19" s="1533"/>
      <c r="B19" s="557" t="str">
        <f t="shared" ref="B19:B27" si="5">B6</f>
        <v/>
      </c>
      <c r="C19" s="559" t="str">
        <f>IFERROR(IF(Sim_Retenue=1,PROJET!S5,IF(Sim_Retenue=2,PROJET!S26,"")),"")</f>
        <v/>
      </c>
      <c r="D19" s="547" t="str">
        <f>IFERROR(IF(Sim_Retenue=1,PROJET!R5,IF(Sim_Retenue=2,PROJET!R26,"")),"")</f>
        <v/>
      </c>
      <c r="E19" s="561" t="str">
        <f>IF(AND(B19="",C19=""),"",IF(C19=0,"Sans Objet","OUI"))</f>
        <v/>
      </c>
      <c r="F19" s="563" t="str">
        <f>C19</f>
        <v/>
      </c>
      <c r="G19" s="563" t="str">
        <f>IFERROR(IF(Sim_Retenue=1,(PROJET!T5+PROJET!U5),IF(Sim_Retenue=2,(PROJET!T26+PROJET!U26),"")),"")</f>
        <v/>
      </c>
      <c r="H19" s="563" t="str">
        <f>IF(Sim_Retenue=1,PROJET!Y5,IF(Sim_Retenue=2,PROJET!Y26,""))</f>
        <v/>
      </c>
      <c r="I19" s="1494" t="str">
        <f>IF(Sim_Retenue=1,(PROJET!G43+PROJET!G44),IF(Sim_Retenue=2,(PROJET!H43+PROJET!H44),""))</f>
        <v/>
      </c>
      <c r="J19" s="1521"/>
    </row>
    <row r="20" spans="1:10" ht="18.75" x14ac:dyDescent="0.3">
      <c r="A20" s="1533"/>
      <c r="B20" s="574" t="str">
        <f t="shared" si="5"/>
        <v/>
      </c>
      <c r="C20" s="575" t="str">
        <f>IFERROR(IF(Sim_Retenue=1,PROJET!S7,IF(Sim_Retenue=2,PROJET!S28,"")),"")</f>
        <v/>
      </c>
      <c r="D20" s="576" t="str">
        <f>IFERROR(IF(Sim_Retenue=1,PROJET!R7,IF(Sim_Retenue=2,PROJET!R28,"")),"")</f>
        <v/>
      </c>
      <c r="E20" s="577" t="str">
        <f t="shared" ref="E20:E26" si="6">IF(AND(B20="",C20=""),"",IF(C20=0,"Sans Objet","OUI"))</f>
        <v/>
      </c>
      <c r="F20" s="578" t="str">
        <f t="shared" ref="F20:F26" si="7">C20</f>
        <v/>
      </c>
      <c r="G20" s="578" t="str">
        <f>IFERROR(IF(Sim_Retenue=1,(PROJET!T7+PROJET!U7),IF(Sim_Retenue=2,(PROJET!T28+PROJET!U28),"")),"")</f>
        <v/>
      </c>
      <c r="H20" s="578" t="str">
        <f>IF(Sim_Retenue=1,PROJET!Y7,IF(Sim_Retenue=2,PROJET!Y28,""))</f>
        <v/>
      </c>
      <c r="I20" s="1495"/>
      <c r="J20" s="1522"/>
    </row>
    <row r="21" spans="1:10" ht="18.75" x14ac:dyDescent="0.3">
      <c r="A21" s="1533"/>
      <c r="B21" s="558" t="str">
        <f t="shared" si="5"/>
        <v/>
      </c>
      <c r="C21" s="560" t="str">
        <f>IFERROR(IF(Sim_Retenue=1,PROJET!S9,IF(Sim_Retenue=2,PROJET!S30,"")),"")</f>
        <v/>
      </c>
      <c r="D21" s="550" t="str">
        <f>IFERROR(IF(Sim_Retenue=1,PROJET!R9,IF(Sim_Retenue=2,PROJET!R30,"")),"")</f>
        <v/>
      </c>
      <c r="E21" s="562" t="str">
        <f t="shared" si="6"/>
        <v/>
      </c>
      <c r="F21" s="564" t="str">
        <f t="shared" si="7"/>
        <v/>
      </c>
      <c r="G21" s="564" t="str">
        <f>IFERROR(IF(Sim_Retenue=1,(PROJET!T9+PROJET!U9),IF(Sim_Retenue=2,(PROJET!T30+PROJET!U30),"")),"")</f>
        <v/>
      </c>
      <c r="H21" s="564" t="str">
        <f>IF(Sim_Retenue=1,PROJET!Y9,IF(Sim_Retenue=2,PROJET!Y30,""))</f>
        <v/>
      </c>
      <c r="I21" s="1495"/>
      <c r="J21" s="1522"/>
    </row>
    <row r="22" spans="1:10" ht="18.75" x14ac:dyDescent="0.3">
      <c r="A22" s="1533"/>
      <c r="B22" s="574" t="str">
        <f t="shared" si="5"/>
        <v/>
      </c>
      <c r="C22" s="575" t="str">
        <f>IFERROR(IF(Sim_Retenue=1,PROJET!S11,IF(Sim_Retenue=2,PROJET!S32,"")),"")</f>
        <v/>
      </c>
      <c r="D22" s="576" t="str">
        <f>IFERROR(IF(Sim_Retenue=1,PROJET!R11,IF(Sim_Retenue=2,PROJET!R32,"")),"")</f>
        <v/>
      </c>
      <c r="E22" s="577" t="str">
        <f t="shared" si="6"/>
        <v/>
      </c>
      <c r="F22" s="578" t="str">
        <f t="shared" si="7"/>
        <v/>
      </c>
      <c r="G22" s="578" t="str">
        <f>IFERROR(IF(Sim_Retenue=1,(PROJET!T11+PROJET!U11),IF(Sim_Retenue=2,(PROJET!T32+PROJET!U32),"")),"")</f>
        <v/>
      </c>
      <c r="H22" s="578" t="str">
        <f>IF(Sim_Retenue=1,PROJET!Y11,IF(Sim_Retenue=2,PROJET!Y32,""))</f>
        <v/>
      </c>
      <c r="I22" s="1495"/>
      <c r="J22" s="1522"/>
    </row>
    <row r="23" spans="1:10" ht="18.75" x14ac:dyDescent="0.3">
      <c r="A23" s="1533"/>
      <c r="B23" s="558" t="str">
        <f t="shared" si="5"/>
        <v/>
      </c>
      <c r="C23" s="560" t="str">
        <f>IFERROR(IF(Sim_Retenue=1,PROJET!S13,IF(Sim_Retenue=2,PROJET!S34,"")),"")</f>
        <v/>
      </c>
      <c r="D23" s="550" t="str">
        <f>IFERROR(IF(Sim_Retenue=1,PROJET!R13,IF(Sim_Retenue=2,PROJET!R34,"")),"")</f>
        <v/>
      </c>
      <c r="E23" s="562" t="str">
        <f t="shared" si="6"/>
        <v/>
      </c>
      <c r="F23" s="564" t="str">
        <f t="shared" si="7"/>
        <v/>
      </c>
      <c r="G23" s="564" t="str">
        <f>IFERROR(IF(Sim_Retenue=1,(PROJET!T13+PROJET!U13),IF(Sim_Retenue=2,(PROJET!T34+PROJET!U34),"")),"")</f>
        <v/>
      </c>
      <c r="H23" s="564" t="str">
        <f>IF(Sim_Retenue=1,PROJET!Y13,IF(Sim_Retenue=2,PROJET!Y34,""))</f>
        <v/>
      </c>
      <c r="I23" s="1495"/>
      <c r="J23" s="1522"/>
    </row>
    <row r="24" spans="1:10" ht="18.75" x14ac:dyDescent="0.3">
      <c r="A24" s="1533"/>
      <c r="B24" s="574" t="str">
        <f t="shared" si="5"/>
        <v/>
      </c>
      <c r="C24" s="575" t="str">
        <f>IFERROR(IF(Sim_Retenue=1,PROJET!S15,IF(Sim_Retenue=2,PROJET!S36,"")),"")</f>
        <v/>
      </c>
      <c r="D24" s="576" t="str">
        <f>IFERROR(IF(Sim_Retenue=1,PROJET!R15,IF(Sim_Retenue=2,PROJET!R36,"")),"")</f>
        <v/>
      </c>
      <c r="E24" s="577" t="str">
        <f t="shared" si="6"/>
        <v/>
      </c>
      <c r="F24" s="578" t="str">
        <f t="shared" si="7"/>
        <v/>
      </c>
      <c r="G24" s="578" t="str">
        <f>IFERROR(IF(Sim_Retenue=1,(PROJET!T15+PROJET!U15),IF(Sim_Retenue=2,(PROJET!T36+PROJET!U36),"")),"")</f>
        <v/>
      </c>
      <c r="H24" s="578" t="str">
        <f>IF(Sim_Retenue=1,PROJET!Y15,IF(Sim_Retenue=2,PROJET!Y36,""))</f>
        <v/>
      </c>
      <c r="I24" s="1495"/>
      <c r="J24" s="1522"/>
    </row>
    <row r="25" spans="1:10" ht="18.75" x14ac:dyDescent="0.3">
      <c r="A25" s="1533"/>
      <c r="B25" s="558" t="str">
        <f t="shared" si="5"/>
        <v/>
      </c>
      <c r="C25" s="560" t="str">
        <f>IFERROR(IF(Sim_Retenue=1,PROJET!S17,IF(Sim_Retenue=2,PROJET!S38,"")),"")</f>
        <v/>
      </c>
      <c r="D25" s="550" t="str">
        <f>IFERROR(IF(Sim_Retenue=1,PROJET!R17,IF(Sim_Retenue=2,PROJET!R38,"")),"")</f>
        <v/>
      </c>
      <c r="E25" s="562" t="str">
        <f t="shared" si="6"/>
        <v/>
      </c>
      <c r="F25" s="564" t="str">
        <f t="shared" si="7"/>
        <v/>
      </c>
      <c r="G25" s="564" t="str">
        <f>IFERROR(IF(Sim_Retenue=1,(PROJET!T17+PROJET!U17),IF(Sim_Retenue=2,(PROJET!T38+PROJET!U38),"")),"")</f>
        <v/>
      </c>
      <c r="H25" s="564" t="str">
        <f>IF(Sim_Retenue=1,PROJET!Y17,IF(Sim_Retenue=2,PROJET!Y38,""))</f>
        <v/>
      </c>
      <c r="I25" s="1495"/>
      <c r="J25" s="1522"/>
    </row>
    <row r="26" spans="1:10" ht="19.5" thickBot="1" x14ac:dyDescent="0.35">
      <c r="A26" s="1533"/>
      <c r="B26" s="579" t="str">
        <f t="shared" si="5"/>
        <v/>
      </c>
      <c r="C26" s="580" t="str">
        <f>IFERROR(IF(Sim_Retenue=1,PROJET!S19,IF(Sim_Retenue=2,PROJET!S40,"")),"")</f>
        <v/>
      </c>
      <c r="D26" s="581" t="str">
        <f>IFERROR(IF(Sim_Retenue=1,PROJET!R19,IF(Sim_Retenue=2,PROJET!R40,"")),"")</f>
        <v/>
      </c>
      <c r="E26" s="582" t="str">
        <f t="shared" si="6"/>
        <v/>
      </c>
      <c r="F26" s="583" t="str">
        <f t="shared" si="7"/>
        <v/>
      </c>
      <c r="G26" s="583" t="str">
        <f>IFERROR(IF(Sim_Retenue=1,(PROJET!T19+PROJET!U19),IF(Sim_Retenue=2,(PROJET!T40+PROJET!U40),"")),"")</f>
        <v/>
      </c>
      <c r="H26" s="583" t="str">
        <f>IF(Sim_Retenue=1,PROJET!Y19,IF(Sim_Retenue=2,PROJET!Y40,""))</f>
        <v/>
      </c>
      <c r="I26" s="1496"/>
      <c r="J26" s="1523"/>
    </row>
    <row r="27" spans="1:10" ht="19.5" thickBot="1" x14ac:dyDescent="0.35">
      <c r="A27" s="1534"/>
      <c r="B27" s="584" t="str">
        <f t="shared" si="5"/>
        <v>TOTAL</v>
      </c>
      <c r="C27" s="585">
        <f>SUM(C19:C26)</f>
        <v>0</v>
      </c>
      <c r="D27" s="573">
        <f>SUM(D19:D26)</f>
        <v>0</v>
      </c>
      <c r="E27" s="586"/>
      <c r="F27" s="587">
        <f>SUM(F19:F26)</f>
        <v>0</v>
      </c>
      <c r="G27" s="587">
        <f>SUM(G19:G26)</f>
        <v>0</v>
      </c>
      <c r="H27" s="588">
        <f>SUM(H19:H26)</f>
        <v>0</v>
      </c>
      <c r="I27" s="588" t="str">
        <f>I19</f>
        <v/>
      </c>
      <c r="J27" s="588" t="e">
        <f>D27-G27-H27-I27</f>
        <v>#VALUE!</v>
      </c>
    </row>
    <row r="32" spans="1:10" ht="21" x14ac:dyDescent="0.35">
      <c r="E32" s="544"/>
    </row>
    <row r="34" spans="5:5" x14ac:dyDescent="0.25">
      <c r="E34" s="545"/>
    </row>
  </sheetData>
  <sheetProtection autoFilter="0"/>
  <mergeCells count="32">
    <mergeCell ref="A1:B2"/>
    <mergeCell ref="C1:J2"/>
    <mergeCell ref="E14:E15"/>
    <mergeCell ref="L4:P4"/>
    <mergeCell ref="A4:A15"/>
    <mergeCell ref="F4:F5"/>
    <mergeCell ref="A17:A27"/>
    <mergeCell ref="B4:B5"/>
    <mergeCell ref="C4:D4"/>
    <mergeCell ref="C17:D17"/>
    <mergeCell ref="E4:E5"/>
    <mergeCell ref="E17:E18"/>
    <mergeCell ref="B17:B18"/>
    <mergeCell ref="F17:F18"/>
    <mergeCell ref="G4:G5"/>
    <mergeCell ref="G17:G18"/>
    <mergeCell ref="J17:J18"/>
    <mergeCell ref="H17:H18"/>
    <mergeCell ref="I17:I18"/>
    <mergeCell ref="I19:I26"/>
    <mergeCell ref="H4:J5"/>
    <mergeCell ref="H6:J6"/>
    <mergeCell ref="H7:J7"/>
    <mergeCell ref="H8:J8"/>
    <mergeCell ref="H9:J9"/>
    <mergeCell ref="H10:J10"/>
    <mergeCell ref="H11:J11"/>
    <mergeCell ref="H12:J12"/>
    <mergeCell ref="H13:J13"/>
    <mergeCell ref="H14:J14"/>
    <mergeCell ref="H15:J15"/>
    <mergeCell ref="J19:J26"/>
  </mergeCells>
  <phoneticPr fontId="13" type="noConversion"/>
  <printOptions horizontalCentered="1"/>
  <pageMargins left="3.937007874015748E-2" right="3.937007874015748E-2" top="0.74803149606299213" bottom="0.55118110236220474" header="0.31496062992125984" footer="0.31496062992125984"/>
  <pageSetup paperSize="9" scale="73" orientation="landscape" horizontalDpi="4294967293" vertic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584FB58AE44A34FAD2F27B1BC5AD668" ma:contentTypeVersion="2" ma:contentTypeDescription="Crée un document." ma:contentTypeScope="" ma:versionID="e3d77ae9521f894274a233c974529d48">
  <xsd:schema xmlns:xsd="http://www.w3.org/2001/XMLSchema" xmlns:xs="http://www.w3.org/2001/XMLSchema" xmlns:p="http://schemas.microsoft.com/office/2006/metadata/properties" xmlns:ns2="1dd47a00-c504-41d3-b0f5-a99753b9565e" targetNamespace="http://schemas.microsoft.com/office/2006/metadata/properties" ma:root="true" ma:fieldsID="313490282e5feabc06f956031435d519" ns2:_="">
    <xsd:import namespace="1dd47a00-c504-41d3-b0f5-a99753b9565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d47a00-c504-41d3-b0f5-a99753b9565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DA74023-A060-43CE-9E63-45EC6C820CB0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E58C1EA8-88E1-4E77-BC5B-2D5853E4F2D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CE38FB2-4CC2-4783-B3D5-54424EC91E1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dd47a00-c504-41d3-b0f5-a99753b9565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553</vt:i4>
      </vt:variant>
    </vt:vector>
  </HeadingPairs>
  <TitlesOfParts>
    <vt:vector size="566" baseType="lpstr">
      <vt:lpstr>NOTES</vt:lpstr>
      <vt:lpstr>INFOS</vt:lpstr>
      <vt:lpstr>P.ADM</vt:lpstr>
      <vt:lpstr>DEVIS</vt:lpstr>
      <vt:lpstr>PROJET</vt:lpstr>
      <vt:lpstr>SOLDE</vt:lpstr>
      <vt:lpstr>FACT</vt:lpstr>
      <vt:lpstr>FACT_RGT</vt:lpstr>
      <vt:lpstr>Paiement_CC</vt:lpstr>
      <vt:lpstr>Kms</vt:lpstr>
      <vt:lpstr>Base_Ent</vt:lpstr>
      <vt:lpstr>B_D</vt:lpstr>
      <vt:lpstr>Plan_ALS_Anah</vt:lpstr>
      <vt:lpstr>ALS_Date_Convention</vt:lpstr>
      <vt:lpstr>ALS_Date_Depot</vt:lpstr>
      <vt:lpstr>ALS_Date_Ouverture</vt:lpstr>
      <vt:lpstr>ALS_Date_Paiement</vt:lpstr>
      <vt:lpstr>ALS_Frais_AMO</vt:lpstr>
      <vt:lpstr>ALS_OuiNon</vt:lpstr>
      <vt:lpstr>ALS_Type_Dossier</vt:lpstr>
      <vt:lpstr>Anah_Date_Acompte</vt:lpstr>
      <vt:lpstr>Anah_Date_Agrement</vt:lpstr>
      <vt:lpstr>Anah_Date_Avance</vt:lpstr>
      <vt:lpstr>Anah_Date_Demande_Paiement</vt:lpstr>
      <vt:lpstr>Anah_Date_Depot</vt:lpstr>
      <vt:lpstr>Anah_Date_Solde</vt:lpstr>
      <vt:lpstr>Anah_Dossier_Depose</vt:lpstr>
      <vt:lpstr>Anah_Num_Depot</vt:lpstr>
      <vt:lpstr>Anah_Num_Dossier</vt:lpstr>
      <vt:lpstr>Anah_Num_Plateforme</vt:lpstr>
      <vt:lpstr>Anim_ref</vt:lpstr>
      <vt:lpstr>AUTO</vt:lpstr>
      <vt:lpstr>BaseCalcul_HT_Sim1</vt:lpstr>
      <vt:lpstr>BaseCalcul_HT_Sim2</vt:lpstr>
      <vt:lpstr>BaseCalcul_TTC_Sim1</vt:lpstr>
      <vt:lpstr>BaseCalcul_TTC_Sim2</vt:lpstr>
      <vt:lpstr>Calcul_prime_ANAH_Sim1.1</vt:lpstr>
      <vt:lpstr>Calcul_prime_ANAH_Sim1.2</vt:lpstr>
      <vt:lpstr>Calcul_prime_ANAH_Sim1.3</vt:lpstr>
      <vt:lpstr>Calcul_prime_ANAH_Sim1.4</vt:lpstr>
      <vt:lpstr>Calcul_prime_ANAH_Sim2.1</vt:lpstr>
      <vt:lpstr>Calcul_prime_ANAH_Sim2.2</vt:lpstr>
      <vt:lpstr>Calcul_prime_ANAH_Sim2.3</vt:lpstr>
      <vt:lpstr>Calcul_prime_ANAH_Sim2.4</vt:lpstr>
      <vt:lpstr>Calcul_prime_ASE_Sim1.1</vt:lpstr>
      <vt:lpstr>Calcul_prime_ASE_Sim1.2</vt:lpstr>
      <vt:lpstr>Calcul_prime_ASE_Sim1.3</vt:lpstr>
      <vt:lpstr>Calcul_prime_ASE_Sim1.4</vt:lpstr>
      <vt:lpstr>Calcul_prime_ASE_Sim2.1</vt:lpstr>
      <vt:lpstr>Calcul_prime_ASE_Sim2.2</vt:lpstr>
      <vt:lpstr>Calcul_prime_ASE_Sim2.3</vt:lpstr>
      <vt:lpstr>Calcul_prime_ASE_Sim2.4</vt:lpstr>
      <vt:lpstr>Cat_RFR</vt:lpstr>
      <vt:lpstr>CC_Nom</vt:lpstr>
      <vt:lpstr>CCCT</vt:lpstr>
      <vt:lpstr>CCMAV</vt:lpstr>
      <vt:lpstr>Cep_Actuel</vt:lpstr>
      <vt:lpstr>Cep_Sim_Solde</vt:lpstr>
      <vt:lpstr>Cep_Sim1</vt:lpstr>
      <vt:lpstr>Cep_Sim2</vt:lpstr>
      <vt:lpstr>Code_Dossier</vt:lpstr>
      <vt:lpstr>Commentaire1</vt:lpstr>
      <vt:lpstr>Commentaire2</vt:lpstr>
      <vt:lpstr>Commentaire3</vt:lpstr>
      <vt:lpstr>Commentaire4</vt:lpstr>
      <vt:lpstr>Commentaire5</vt:lpstr>
      <vt:lpstr>Commentaire6</vt:lpstr>
      <vt:lpstr>Commentaire7</vt:lpstr>
      <vt:lpstr>Date_Commission_AideCC</vt:lpstr>
      <vt:lpstr>Date_Commission_PrimeCC</vt:lpstr>
      <vt:lpstr>Date_Conseil_AideCC</vt:lpstr>
      <vt:lpstr>Date_Conseil_PrimeCC</vt:lpstr>
      <vt:lpstr>Date_Courrier_AideCC</vt:lpstr>
      <vt:lpstr>Date_Courrier_PrimeCC</vt:lpstr>
      <vt:lpstr>Date_Demande_Participation</vt:lpstr>
      <vt:lpstr>Date_DPE_Remise</vt:lpstr>
      <vt:lpstr>Date_DPE_Remise_Ref</vt:lpstr>
      <vt:lpstr>Date_DPE_Visite</vt:lpstr>
      <vt:lpstr>Date_DPE_Visite_Ref</vt:lpstr>
      <vt:lpstr>Date_Paiement_AideCC_Def</vt:lpstr>
      <vt:lpstr>Date_Paiement_PrimeCC_Def</vt:lpstr>
      <vt:lpstr>Date_Visite_Auto</vt:lpstr>
      <vt:lpstr>Date_Visite_Auto_Ref</vt:lpstr>
      <vt:lpstr>Date_Visite_Finance</vt:lpstr>
      <vt:lpstr>Date_Visite_Finance_Ref</vt:lpstr>
      <vt:lpstr>Date_Visite_Initiale</vt:lpstr>
      <vt:lpstr>Date_Visite_Initiale_Ref</vt:lpstr>
      <vt:lpstr>Date_Visite_Solde</vt:lpstr>
      <vt:lpstr>Date_Visite_Solde_Ref</vt:lpstr>
      <vt:lpstr>Devis_recap</vt:lpstr>
      <vt:lpstr>Devis_Recap_Auto_HT</vt:lpstr>
      <vt:lpstr>Devis_Recap_Auto_TTC</vt:lpstr>
      <vt:lpstr>Devis_Recap_NRJ_HT</vt:lpstr>
      <vt:lpstr>Devis_Recap_NRJ_TTC</vt:lpstr>
      <vt:lpstr>Devis_Recap_Projet_HT</vt:lpstr>
      <vt:lpstr>Devis_Recap_Projet_TTC</vt:lpstr>
      <vt:lpstr>Devis_Recap_TRX_LOURD_HT</vt:lpstr>
      <vt:lpstr>Devis_Recap_TRX_LOURD_TTC</vt:lpstr>
      <vt:lpstr>Devis1_Adresse1_Entreprise</vt:lpstr>
      <vt:lpstr>Devis1_Adresse2_Entreprise</vt:lpstr>
      <vt:lpstr>Devis1_Cat_Travaux</vt:lpstr>
      <vt:lpstr>Devis1_CP_Entreprise</vt:lpstr>
      <vt:lpstr>Devis1_HT</vt:lpstr>
      <vt:lpstr>Devis1_Mat_HT</vt:lpstr>
      <vt:lpstr>Devis1_Mat_TTC</vt:lpstr>
      <vt:lpstr>Devis1_MO_HT</vt:lpstr>
      <vt:lpstr>Devis1_MO_TTC</vt:lpstr>
      <vt:lpstr>Devis1_Nom_Entreprise</vt:lpstr>
      <vt:lpstr>Devis1_Siret_Entreprise</vt:lpstr>
      <vt:lpstr>Devis1_Titre_Travaux</vt:lpstr>
      <vt:lpstr>Devis1_TTC</vt:lpstr>
      <vt:lpstr>Devis1_Type_Travaux</vt:lpstr>
      <vt:lpstr>Devis1_Ville_Entreprise</vt:lpstr>
      <vt:lpstr>Devis2_Adresse1_Entreprise</vt:lpstr>
      <vt:lpstr>Devis2_Adresse2_Entreprise</vt:lpstr>
      <vt:lpstr>Devis2_Cat_Travaux</vt:lpstr>
      <vt:lpstr>Devis2_CP_Entreprise</vt:lpstr>
      <vt:lpstr>Devis2_HT</vt:lpstr>
      <vt:lpstr>Devis2_Mat_HT</vt:lpstr>
      <vt:lpstr>Devis2_Mat_TTC</vt:lpstr>
      <vt:lpstr>Devis2_MO_HT</vt:lpstr>
      <vt:lpstr>Devis2_MO_TTC</vt:lpstr>
      <vt:lpstr>Devis2_Nom_Entreprise</vt:lpstr>
      <vt:lpstr>Devis2_Siret_Entreprise</vt:lpstr>
      <vt:lpstr>Devis2_Titre_Travaux</vt:lpstr>
      <vt:lpstr>Devis2_TTC</vt:lpstr>
      <vt:lpstr>Devis2_Type_Travaux</vt:lpstr>
      <vt:lpstr>Devis2_Ville_Entreprise</vt:lpstr>
      <vt:lpstr>Devis3_Adresse1_Entreprise</vt:lpstr>
      <vt:lpstr>Devis3_Adresse2_Entreprise</vt:lpstr>
      <vt:lpstr>Devis3_Cat_Travaux</vt:lpstr>
      <vt:lpstr>Devis3_CP_Entreprise</vt:lpstr>
      <vt:lpstr>Devis3_HT</vt:lpstr>
      <vt:lpstr>Devis3_Mat_HT</vt:lpstr>
      <vt:lpstr>Devis3_Mat_TTC</vt:lpstr>
      <vt:lpstr>Devis3_MO_HT</vt:lpstr>
      <vt:lpstr>Devis3_MO_TTC</vt:lpstr>
      <vt:lpstr>Devis3_Nom_Entreprise</vt:lpstr>
      <vt:lpstr>Devis3_Siret_Entreprise</vt:lpstr>
      <vt:lpstr>Devis3_Titre_Travaux</vt:lpstr>
      <vt:lpstr>Devis3_TTC</vt:lpstr>
      <vt:lpstr>Devis3_Type_Travaux</vt:lpstr>
      <vt:lpstr>Devis3_Ville_Entreprise</vt:lpstr>
      <vt:lpstr>Devis4_Adresse1_Entreprise</vt:lpstr>
      <vt:lpstr>Devis4_Adresse2_Entreprise</vt:lpstr>
      <vt:lpstr>Devis4_Cat_Travaux</vt:lpstr>
      <vt:lpstr>Devis4_CP_Entreprise</vt:lpstr>
      <vt:lpstr>Devis4_HT</vt:lpstr>
      <vt:lpstr>Devis4_Mat_HT</vt:lpstr>
      <vt:lpstr>Devis4_Mat_TTC</vt:lpstr>
      <vt:lpstr>Devis4_MO_HT</vt:lpstr>
      <vt:lpstr>Devis4_MO_TTC</vt:lpstr>
      <vt:lpstr>Devis4_Nom_Entreprise</vt:lpstr>
      <vt:lpstr>Devis4_Siret_Entreprise</vt:lpstr>
      <vt:lpstr>Devis4_Titre_Travaux</vt:lpstr>
      <vt:lpstr>Devis4_TTC</vt:lpstr>
      <vt:lpstr>Devis4_Type_Travaux</vt:lpstr>
      <vt:lpstr>Devis4_Ville_Entreprise</vt:lpstr>
      <vt:lpstr>Devis5_Adresse1_Entreprise</vt:lpstr>
      <vt:lpstr>Devis5_Adresse2_Entreprise</vt:lpstr>
      <vt:lpstr>Devis5_Cat_Travaux</vt:lpstr>
      <vt:lpstr>Devis5_CP_Entreprise</vt:lpstr>
      <vt:lpstr>Devis5_HT</vt:lpstr>
      <vt:lpstr>Devis5_Mat_HT</vt:lpstr>
      <vt:lpstr>Devis5_Mat_TTC</vt:lpstr>
      <vt:lpstr>Devis5_MO_HT</vt:lpstr>
      <vt:lpstr>Devis5_MO_TTC</vt:lpstr>
      <vt:lpstr>Devis5_Nom_Entreprise</vt:lpstr>
      <vt:lpstr>Devis5_Siret_Entreprise</vt:lpstr>
      <vt:lpstr>Devis5_Titre_Travaux</vt:lpstr>
      <vt:lpstr>Devis5_TTC</vt:lpstr>
      <vt:lpstr>Devis5_Type_Travaux</vt:lpstr>
      <vt:lpstr>Devis5_Ville_Entreprise</vt:lpstr>
      <vt:lpstr>Devis6_Adresse1_Entreprise</vt:lpstr>
      <vt:lpstr>Devis6_Adresse2_Entreprise</vt:lpstr>
      <vt:lpstr>Devis6_Cat_Travaux</vt:lpstr>
      <vt:lpstr>Devis6_CP_Entreprise</vt:lpstr>
      <vt:lpstr>Devis6_HT</vt:lpstr>
      <vt:lpstr>Devis6_Mat_HT</vt:lpstr>
      <vt:lpstr>Devis6_Mat_TTC</vt:lpstr>
      <vt:lpstr>Devis6_MO_HT</vt:lpstr>
      <vt:lpstr>Devis6_MO_TTC</vt:lpstr>
      <vt:lpstr>Devis6_Nom_Entreprise</vt:lpstr>
      <vt:lpstr>Devis6_Siret_Entreprise</vt:lpstr>
      <vt:lpstr>Devis6_Titre_Travaux</vt:lpstr>
      <vt:lpstr>Devis6_TTC</vt:lpstr>
      <vt:lpstr>Devis6_Type_Travaux</vt:lpstr>
      <vt:lpstr>Devis6_Ville_Entreprise</vt:lpstr>
      <vt:lpstr>Devis7_Adresse1_Entreprise</vt:lpstr>
      <vt:lpstr>Devis7_Adresse2_Entreprise</vt:lpstr>
      <vt:lpstr>Devis7_Cat_Travaux</vt:lpstr>
      <vt:lpstr>Devis7_CP_Entreprise</vt:lpstr>
      <vt:lpstr>Devis7_HT</vt:lpstr>
      <vt:lpstr>Devis7_Mat_HT</vt:lpstr>
      <vt:lpstr>Devis7_Mat_TTC</vt:lpstr>
      <vt:lpstr>Devis7_MO_HT</vt:lpstr>
      <vt:lpstr>Devis7_MO_TTC</vt:lpstr>
      <vt:lpstr>Devis7_Nom_Entreprise</vt:lpstr>
      <vt:lpstr>Devis7_Siret_Entreprise</vt:lpstr>
      <vt:lpstr>Devis7_Titre_Travaux</vt:lpstr>
      <vt:lpstr>Devis7_TTC</vt:lpstr>
      <vt:lpstr>Devis7_Type_Travaux</vt:lpstr>
      <vt:lpstr>Devis7_Ville_Entreprise</vt:lpstr>
      <vt:lpstr>Devis8_Adresse1_Entreprise</vt:lpstr>
      <vt:lpstr>Devis8_Adresse2_Entreprise</vt:lpstr>
      <vt:lpstr>Devis8_Cat_Travaux</vt:lpstr>
      <vt:lpstr>Devis8_CP_Entreprise</vt:lpstr>
      <vt:lpstr>Devis8_HT</vt:lpstr>
      <vt:lpstr>Devis8_Mat_HT</vt:lpstr>
      <vt:lpstr>Devis8_Mat_TTC</vt:lpstr>
      <vt:lpstr>Devis8_MO_HT</vt:lpstr>
      <vt:lpstr>Devis8_MO_TTC</vt:lpstr>
      <vt:lpstr>Devis8_Nom_Entreprise</vt:lpstr>
      <vt:lpstr>Devis8_Siret_Entreprise</vt:lpstr>
      <vt:lpstr>Devis8_Titre_Travaux</vt:lpstr>
      <vt:lpstr>Devis8_TTC</vt:lpstr>
      <vt:lpstr>Devis8_Type_Travaux</vt:lpstr>
      <vt:lpstr>Devis8_Ville_Entreprise</vt:lpstr>
      <vt:lpstr>Dist_Ent1</vt:lpstr>
      <vt:lpstr>Dist_Ent2</vt:lpstr>
      <vt:lpstr>Dist_Ent3</vt:lpstr>
      <vt:lpstr>Dist_Ent4</vt:lpstr>
      <vt:lpstr>Dist_Ent5</vt:lpstr>
      <vt:lpstr>Dist_Ent6</vt:lpstr>
      <vt:lpstr>Dist_Ent7</vt:lpstr>
      <vt:lpstr>Dist_Ent8</vt:lpstr>
      <vt:lpstr>Dist_Max</vt:lpstr>
      <vt:lpstr>Dist_Min</vt:lpstr>
      <vt:lpstr>Dist_Moy</vt:lpstr>
      <vt:lpstr>Dist_Totale</vt:lpstr>
      <vt:lpstr>Dossier_Auto</vt:lpstr>
      <vt:lpstr>Dossier_Energie</vt:lpstr>
      <vt:lpstr>Dossier_Energie_Plus</vt:lpstr>
      <vt:lpstr>Dossier_Mixte</vt:lpstr>
      <vt:lpstr>Dossier_Mixte_Plus</vt:lpstr>
      <vt:lpstr>Dossier_Trx_Lourd</vt:lpstr>
      <vt:lpstr>Dossier_Trx_Lourd_Plus</vt:lpstr>
      <vt:lpstr>ENERGIE</vt:lpstr>
      <vt:lpstr>Etiquette_Actuel</vt:lpstr>
      <vt:lpstr>Etiquette_DPE</vt:lpstr>
      <vt:lpstr>Etiquette_DPE_Sim1</vt:lpstr>
      <vt:lpstr>Etiquette_DPE_Sim2</vt:lpstr>
      <vt:lpstr>Etiquette_GES</vt:lpstr>
      <vt:lpstr>Ev1_Categorie</vt:lpstr>
      <vt:lpstr>Ev1_Date</vt:lpstr>
      <vt:lpstr>Ev1_Texte</vt:lpstr>
      <vt:lpstr>Ev2_Categorie</vt:lpstr>
      <vt:lpstr>Ev2_Date</vt:lpstr>
      <vt:lpstr>Ev2_Texte</vt:lpstr>
      <vt:lpstr>Ev3_Categorie</vt:lpstr>
      <vt:lpstr>Ev3_Date</vt:lpstr>
      <vt:lpstr>Ev3_Texte</vt:lpstr>
      <vt:lpstr>Ev4_Categorie</vt:lpstr>
      <vt:lpstr>Ev4_Date</vt:lpstr>
      <vt:lpstr>Ev4_Texte</vt:lpstr>
      <vt:lpstr>FACT_RGT</vt:lpstr>
      <vt:lpstr>Fact1_Siret_Entreprise</vt:lpstr>
      <vt:lpstr>Fact2_Siret_Entreprise</vt:lpstr>
      <vt:lpstr>Fact3_Siret_Entreprise</vt:lpstr>
      <vt:lpstr>Fact4_Siret_Entreprise</vt:lpstr>
      <vt:lpstr>Fact5_Siret_Entreprise</vt:lpstr>
      <vt:lpstr>Fact6_Siret_Entreprise</vt:lpstr>
      <vt:lpstr>Fact7_Siret_Entreprise</vt:lpstr>
      <vt:lpstr>Fact8_Siret_Entreprise</vt:lpstr>
      <vt:lpstr>FACTURE</vt:lpstr>
      <vt:lpstr>Facture_Recap_Auto_HT</vt:lpstr>
      <vt:lpstr>Facture_Recap_Auto_TTC</vt:lpstr>
      <vt:lpstr>Facture_Recap_Energie_HT</vt:lpstr>
      <vt:lpstr>Facture_Recap_Energie_TTC</vt:lpstr>
      <vt:lpstr>Facture_Recap_Travaux_HT</vt:lpstr>
      <vt:lpstr>Facture_Recap_Travaux_TTC</vt:lpstr>
      <vt:lpstr>Facture_Recap_Trx_Lourd_HT</vt:lpstr>
      <vt:lpstr>Facture_Recap_Trx_Lourd_TTC</vt:lpstr>
      <vt:lpstr>Facture1_Adresse1_Entreprise</vt:lpstr>
      <vt:lpstr>Facture1_Adresse2_Entreprise</vt:lpstr>
      <vt:lpstr>Facture1_Cat_Travaux</vt:lpstr>
      <vt:lpstr>Facture1_CP_Entreprise</vt:lpstr>
      <vt:lpstr>Facture1_HT</vt:lpstr>
      <vt:lpstr>Facture1_Nom_Entreprise</vt:lpstr>
      <vt:lpstr>Facture1_Titre_Travaux</vt:lpstr>
      <vt:lpstr>Facture1_TTC</vt:lpstr>
      <vt:lpstr>Facture1_Type_Travaux</vt:lpstr>
      <vt:lpstr>Facture1_Ville_Entreprise</vt:lpstr>
      <vt:lpstr>Facture2_Adresse1_Entreprise</vt:lpstr>
      <vt:lpstr>Facture2_Adresse2_Entreprise</vt:lpstr>
      <vt:lpstr>Facture2_Cat_Travaux</vt:lpstr>
      <vt:lpstr>Facture2_CP_Entreprise</vt:lpstr>
      <vt:lpstr>Facture2_HT</vt:lpstr>
      <vt:lpstr>Facture2_Nom_Entreprise</vt:lpstr>
      <vt:lpstr>Facture2_Titre_Travaux</vt:lpstr>
      <vt:lpstr>Facture2_TTC</vt:lpstr>
      <vt:lpstr>Facture2_Type_Travaux</vt:lpstr>
      <vt:lpstr>Facture2_Ville_Entreprise</vt:lpstr>
      <vt:lpstr>Facture3_Adresse1_Entreprise</vt:lpstr>
      <vt:lpstr>Facture3_Adresse2_Entreprise</vt:lpstr>
      <vt:lpstr>Facture3_Cat_Travaux</vt:lpstr>
      <vt:lpstr>Facture3_CP_Entreprise</vt:lpstr>
      <vt:lpstr>Facture3_HT</vt:lpstr>
      <vt:lpstr>Facture3_Nom_Entreprise</vt:lpstr>
      <vt:lpstr>Facture3_Titre_Travaux</vt:lpstr>
      <vt:lpstr>Facture3_TTC</vt:lpstr>
      <vt:lpstr>Facture3_Type_Travaux</vt:lpstr>
      <vt:lpstr>Facture3_Ville_Entreprise</vt:lpstr>
      <vt:lpstr>Facture4_Adresse1_Entreprise</vt:lpstr>
      <vt:lpstr>Facture4_Adresse2_Entreprise</vt:lpstr>
      <vt:lpstr>Facture4_Cat_Travaux</vt:lpstr>
      <vt:lpstr>Facture4_CP_Entreprise</vt:lpstr>
      <vt:lpstr>Facture4_HT</vt:lpstr>
      <vt:lpstr>Facture4_Nom_Entreprise</vt:lpstr>
      <vt:lpstr>Facture4_Titre_Travaux</vt:lpstr>
      <vt:lpstr>Facture4_TTC</vt:lpstr>
      <vt:lpstr>Facture4_Type_Travaux</vt:lpstr>
      <vt:lpstr>Facture4_Ville_Entreprise</vt:lpstr>
      <vt:lpstr>Facture5_Adresse1_Entreprise</vt:lpstr>
      <vt:lpstr>Facture5_Adresse2_Entreprise</vt:lpstr>
      <vt:lpstr>Facture5_Cat_Travaux</vt:lpstr>
      <vt:lpstr>Facture5_CP_Entreprise</vt:lpstr>
      <vt:lpstr>Facture5_HT</vt:lpstr>
      <vt:lpstr>Facture5_Nom_Entreprise</vt:lpstr>
      <vt:lpstr>Facture5_Titre_Travaux</vt:lpstr>
      <vt:lpstr>Facture5_TTC</vt:lpstr>
      <vt:lpstr>Facture5_Type_Travaux</vt:lpstr>
      <vt:lpstr>Facture5_Ville_Entreprise</vt:lpstr>
      <vt:lpstr>Facture6_Adresse1_Entreprise</vt:lpstr>
      <vt:lpstr>Facture6_Adresse2_Entreprise</vt:lpstr>
      <vt:lpstr>Facture6_Cat_Travaux</vt:lpstr>
      <vt:lpstr>Facture6_CP_Entreprise</vt:lpstr>
      <vt:lpstr>Facture6_HT</vt:lpstr>
      <vt:lpstr>Facture6_Nom_Entreprise</vt:lpstr>
      <vt:lpstr>Facture6_Titre_Travaux</vt:lpstr>
      <vt:lpstr>Facture6_TTC</vt:lpstr>
      <vt:lpstr>Facture6_Type_Travaux</vt:lpstr>
      <vt:lpstr>Facture6_Ville_Entreprise</vt:lpstr>
      <vt:lpstr>Facture7_Adresse1_Entreprise</vt:lpstr>
      <vt:lpstr>Facture7_Adresse2_Entreprise</vt:lpstr>
      <vt:lpstr>Facture7_Cat_Travaux</vt:lpstr>
      <vt:lpstr>Facture7_CP_Entreprise</vt:lpstr>
      <vt:lpstr>Facture7_HT</vt:lpstr>
      <vt:lpstr>Facture7_Nom_Entreprise</vt:lpstr>
      <vt:lpstr>Facture7_Titre_Travaux</vt:lpstr>
      <vt:lpstr>Facture7_TTC</vt:lpstr>
      <vt:lpstr>Facture7_Type_Travaux</vt:lpstr>
      <vt:lpstr>Facture7_Ville_Entreprise</vt:lpstr>
      <vt:lpstr>Facture8_Adresse1_Entreprise</vt:lpstr>
      <vt:lpstr>Facture8_Adresse2_Entreprise</vt:lpstr>
      <vt:lpstr>Facture8_Cat_Travaux</vt:lpstr>
      <vt:lpstr>Facture8_CP_Entreprise</vt:lpstr>
      <vt:lpstr>Facture8_HT</vt:lpstr>
      <vt:lpstr>Facture8_Nom_Entreprise</vt:lpstr>
      <vt:lpstr>Facture8_Titre_Travaux</vt:lpstr>
      <vt:lpstr>Facture8_TTC</vt:lpstr>
      <vt:lpstr>Facture8_Type_Travaux</vt:lpstr>
      <vt:lpstr>Facture8_Ville_Entreprise</vt:lpstr>
      <vt:lpstr>Financeur1</vt:lpstr>
      <vt:lpstr>Financeur2</vt:lpstr>
      <vt:lpstr>Financeur3</vt:lpstr>
      <vt:lpstr>Financeur4</vt:lpstr>
      <vt:lpstr>Financeur5</vt:lpstr>
      <vt:lpstr>Gain_Sim1</vt:lpstr>
      <vt:lpstr>Gain_Sim2</vt:lpstr>
      <vt:lpstr>GainCep25</vt:lpstr>
      <vt:lpstr>GainCep35</vt:lpstr>
      <vt:lpstr>Ges_Actuel</vt:lpstr>
      <vt:lpstr>Liste_CC</vt:lpstr>
      <vt:lpstr>Liste_Type_Travaux</vt:lpstr>
      <vt:lpstr>Montant_AideCC_Def</vt:lpstr>
      <vt:lpstr>Montant_AideCC_Prev</vt:lpstr>
      <vt:lpstr>Montant_Ecret_Anah_Sim1</vt:lpstr>
      <vt:lpstr>Montant_Ecret_Anah_Sim2</vt:lpstr>
      <vt:lpstr>Montant_Participation_Commune</vt:lpstr>
      <vt:lpstr>Montant_PrimeCC_Def</vt:lpstr>
      <vt:lpstr>Montant_PrimeCC_Prev</vt:lpstr>
      <vt:lpstr>Opah_Annee</vt:lpstr>
      <vt:lpstr>PB</vt:lpstr>
      <vt:lpstr>Plafond_Anah_Dossier</vt:lpstr>
      <vt:lpstr>Plafond_Anah_Ecretement_Sim1</vt:lpstr>
      <vt:lpstr>Plafond_Anah_Ecretement_Sim2</vt:lpstr>
      <vt:lpstr>Plafond_ANAH_Tx_20k</vt:lpstr>
      <vt:lpstr>Plafond_ANAH_Tx_30k</vt:lpstr>
      <vt:lpstr>Plafond_ANAH_Tx_50k</vt:lpstr>
      <vt:lpstr>Plafond_ASE_Dossier</vt:lpstr>
      <vt:lpstr>Plafond_ASE1600</vt:lpstr>
      <vt:lpstr>Plafond_ASE2000</vt:lpstr>
      <vt:lpstr>Plafond_ASE3000</vt:lpstr>
      <vt:lpstr>Plafond_ASE4000</vt:lpstr>
      <vt:lpstr>Plafond_CC_Sim1</vt:lpstr>
      <vt:lpstr>Plafond_CC_Sim2</vt:lpstr>
      <vt:lpstr>Plafond_CC80</vt:lpstr>
      <vt:lpstr>Plafond_Prime_ALS_Auto</vt:lpstr>
      <vt:lpstr>Plafond_Prime_ALS_PB</vt:lpstr>
      <vt:lpstr>Plafond_Prime_ALS_PO</vt:lpstr>
      <vt:lpstr>Plafond_RFR_ANAH</vt:lpstr>
      <vt:lpstr>Plage_Devis1</vt:lpstr>
      <vt:lpstr>Plage_Devis2</vt:lpstr>
      <vt:lpstr>Plage_Devis3</vt:lpstr>
      <vt:lpstr>Plage_Devis4</vt:lpstr>
      <vt:lpstr>Plage_Devis5</vt:lpstr>
      <vt:lpstr>Plage_Devis6</vt:lpstr>
      <vt:lpstr>Plage_Devis7</vt:lpstr>
      <vt:lpstr>Plage_Devis8</vt:lpstr>
      <vt:lpstr>PO</vt:lpstr>
      <vt:lpstr>Prime_3CT_Sim1</vt:lpstr>
      <vt:lpstr>Prime_3CT_Sim2</vt:lpstr>
      <vt:lpstr>Prime_ALS_Sim1</vt:lpstr>
      <vt:lpstr>Prime_ALS_Sim2</vt:lpstr>
      <vt:lpstr>Prime_Anah_Sim1</vt:lpstr>
      <vt:lpstr>Prime_Anah_Sim2</vt:lpstr>
      <vt:lpstr>Prime_ASE_BBC</vt:lpstr>
      <vt:lpstr>Prime_ASE_BBC_Sim1</vt:lpstr>
      <vt:lpstr>Prime_ASE_BBC_Sim2</vt:lpstr>
      <vt:lpstr>Prime_ASE_Passoire</vt:lpstr>
      <vt:lpstr>Prime_ASE_Passoire_Sim1</vt:lpstr>
      <vt:lpstr>Prime_ASE_Passoire_Sim2</vt:lpstr>
      <vt:lpstr>Prime_ASE_Sim1</vt:lpstr>
      <vt:lpstr>Prime_ASE_Sim2</vt:lpstr>
      <vt:lpstr>Prime_AvantCC_Sim1</vt:lpstr>
      <vt:lpstr>Prime_AvantCC_Sim2</vt:lpstr>
      <vt:lpstr>Prime_CC_Sim1</vt:lpstr>
      <vt:lpstr>Prime_CC_Sim2</vt:lpstr>
      <vt:lpstr>Prime_CR_Def</vt:lpstr>
      <vt:lpstr>Prime_CR_Sim1</vt:lpstr>
      <vt:lpstr>Prime_CR_Sim2</vt:lpstr>
      <vt:lpstr>Prime_Public_Autre_Sim1</vt:lpstr>
      <vt:lpstr>Prime_Public_Autre_Sim2</vt:lpstr>
      <vt:lpstr>Prime_region</vt:lpstr>
      <vt:lpstr>Prime_Region_Date_Agrement</vt:lpstr>
      <vt:lpstr>Prime_Region_Date_Depot</vt:lpstr>
      <vt:lpstr>Prime_Region_Date_Ouverture</vt:lpstr>
      <vt:lpstr>Prime_Region_ouinon</vt:lpstr>
      <vt:lpstr>Prime_Region_Sim1</vt:lpstr>
      <vt:lpstr>Prime_Region_Sim2</vt:lpstr>
      <vt:lpstr>Prime_Totale_Projet_Sim2</vt:lpstr>
      <vt:lpstr>INFOS!Print_Aera</vt:lpstr>
      <vt:lpstr>INFOS!Print_Area</vt:lpstr>
      <vt:lpstr>Paiement_CC!Print_Area</vt:lpstr>
      <vt:lpstr>Prop_Adresse_Bien</vt:lpstr>
      <vt:lpstr>Prop_Adresse1</vt:lpstr>
      <vt:lpstr>Prop_Adresse2</vt:lpstr>
      <vt:lpstr>Prop_Aides_Logement</vt:lpstr>
      <vt:lpstr>Prop_Annee_Construction</vt:lpstr>
      <vt:lpstr>Prop_Caisse_Retraite</vt:lpstr>
      <vt:lpstr>Prop_Categorie</vt:lpstr>
      <vt:lpstr>Prop_Coprop_Date_Naissance</vt:lpstr>
      <vt:lpstr>Prop_Coprop_Lieu_Naissance</vt:lpstr>
      <vt:lpstr>Prop_Coprop_Mail</vt:lpstr>
      <vt:lpstr>Prop_Coprop_Nom</vt:lpstr>
      <vt:lpstr>Prop_Coprop_Prenom</vt:lpstr>
      <vt:lpstr>Prop_Coprop_RFR</vt:lpstr>
      <vt:lpstr>Prop_Coprop_Statut</vt:lpstr>
      <vt:lpstr>Prop_Coprop_Telephone1</vt:lpstr>
      <vt:lpstr>Prop_Coprop_Telephone2</vt:lpstr>
      <vt:lpstr>Prop_CP</vt:lpstr>
      <vt:lpstr>Prop_CP_Bien</vt:lpstr>
      <vt:lpstr>Prop_Date_Acquisition</vt:lpstr>
      <vt:lpstr>Prop_Date_Entree</vt:lpstr>
      <vt:lpstr>Prop_Date_Naissance</vt:lpstr>
      <vt:lpstr>Prop_GIR</vt:lpstr>
      <vt:lpstr>Prop_Lieu_Naissance</vt:lpstr>
      <vt:lpstr>Prop_Mail</vt:lpstr>
      <vt:lpstr>Prop_Nb_Occupant</vt:lpstr>
      <vt:lpstr>Prop_Nom</vt:lpstr>
      <vt:lpstr>Prop_Num_Invariant</vt:lpstr>
      <vt:lpstr>Prop_Parts_Fiscales</vt:lpstr>
      <vt:lpstr>Prop_Prenom</vt:lpstr>
      <vt:lpstr>Prop_Primo_Acc</vt:lpstr>
      <vt:lpstr>Prop_RF_Brut</vt:lpstr>
      <vt:lpstr>Prop_RFR</vt:lpstr>
      <vt:lpstr>Prop_RFR_Somme</vt:lpstr>
      <vt:lpstr>Prop_S.Hab_ApTx</vt:lpstr>
      <vt:lpstr>Prop_S.Hab_AvTx</vt:lpstr>
      <vt:lpstr>Prop_Statut_Lgt</vt:lpstr>
      <vt:lpstr>Prop_statut_pro</vt:lpstr>
      <vt:lpstr>Prop_statut_pro_activite</vt:lpstr>
      <vt:lpstr>Prop_Statutpro_Coprop</vt:lpstr>
      <vt:lpstr>Prop_Statutpro_Coprop_activite</vt:lpstr>
      <vt:lpstr>Prop_telephone1</vt:lpstr>
      <vt:lpstr>Prop_telephone2</vt:lpstr>
      <vt:lpstr>Prop_Type_Lgt</vt:lpstr>
      <vt:lpstr>Prop_Ville</vt:lpstr>
      <vt:lpstr>Prop_Ville_Bien</vt:lpstr>
      <vt:lpstr>Ref_Delib_CCMAV</vt:lpstr>
      <vt:lpstr>REGLEMENT</vt:lpstr>
      <vt:lpstr>Reste_a_charge_Sim1</vt:lpstr>
      <vt:lpstr>Reste_a_charge_Sim2</vt:lpstr>
      <vt:lpstr>Retraite_Date_Soliha</vt:lpstr>
      <vt:lpstr>Retraite_OuiNon</vt:lpstr>
      <vt:lpstr>RFR_Modeste</vt:lpstr>
      <vt:lpstr>RFR_Tres_Modeste</vt:lpstr>
      <vt:lpstr>Seuil_Cep_NRJ_Bonifie</vt:lpstr>
      <vt:lpstr>Sim_Retenue</vt:lpstr>
      <vt:lpstr>Solde_Anah_Dossier_Depose</vt:lpstr>
      <vt:lpstr>Solde_BaseCalcul_HT_Sim_Solde</vt:lpstr>
      <vt:lpstr>Solde_BaseCalcul_TTC_Sim_Solde</vt:lpstr>
      <vt:lpstr>Solde_Cep_Actuel</vt:lpstr>
      <vt:lpstr>Solde_Cep_Sim_Solde</vt:lpstr>
      <vt:lpstr>Solde_Code_dossier</vt:lpstr>
      <vt:lpstr>Solde_Etiquette_DPE_Sim_Solde</vt:lpstr>
      <vt:lpstr>Solde_Gain_Sim_Solde</vt:lpstr>
      <vt:lpstr>Solde_Montant_Ecret_Anah_Sim_Solde</vt:lpstr>
      <vt:lpstr>Solde_OuiNon</vt:lpstr>
      <vt:lpstr>Solde_Plafond_Anah_Dossier</vt:lpstr>
      <vt:lpstr>Solde_Plafond_Anah_Ecretement_Sim_Solde</vt:lpstr>
      <vt:lpstr>Solde_Plafond_ASE_Dossier</vt:lpstr>
      <vt:lpstr>Solde_Plafond_CC_Sim_Solde</vt:lpstr>
      <vt:lpstr>Solde_Prime_3CT_Sim_Solde</vt:lpstr>
      <vt:lpstr>Solde_Prime_ALS_Sim_Solde</vt:lpstr>
      <vt:lpstr>Solde_Prime_Anah_Sim_Solde</vt:lpstr>
      <vt:lpstr>Solde_Prime_ASE_BBC</vt:lpstr>
      <vt:lpstr>Solde_Prime_ASE_Passoire</vt:lpstr>
      <vt:lpstr>Solde_Prime_ASE_Sim_Solde</vt:lpstr>
      <vt:lpstr>Solde_Prime_AvantCC_Sim_Solde</vt:lpstr>
      <vt:lpstr>Solde_Prime_CC_Sim_Solde</vt:lpstr>
      <vt:lpstr>Solde_Prime_CR_Sim_Solde</vt:lpstr>
      <vt:lpstr>Solde_Prime_Public_Autre_Sim_Solde</vt:lpstr>
      <vt:lpstr>Solde_Prime_Region_Sim_Solde</vt:lpstr>
      <vt:lpstr>Solde_Prime_Totale</vt:lpstr>
      <vt:lpstr>Solde_Reste_a_charge_Sim_Solde</vt:lpstr>
      <vt:lpstr>Solde_Table_Cond</vt:lpstr>
      <vt:lpstr>Solde_Taux_Calcul_ANAH_Sim_Solde</vt:lpstr>
      <vt:lpstr>Solde_Taux_Calcul_ASE_Sim_Solde</vt:lpstr>
      <vt:lpstr>Solde_Taux_Calcul_CC_Sim_Solde</vt:lpstr>
      <vt:lpstr>Solde_TOTAL_HT_Projet_Sim_Solde</vt:lpstr>
      <vt:lpstr>Solde_TOTAL_HT_Travaux_Auto</vt:lpstr>
      <vt:lpstr>Solde_TOTAL_HT_Travaux_NRJ_Sim_Solde</vt:lpstr>
      <vt:lpstr>Solde_TOTAL_HT_TRX_LOURD_HT</vt:lpstr>
      <vt:lpstr>Solde_TOTAL_HT_TRX_LOURD_TTC</vt:lpstr>
      <vt:lpstr>Solde_TOTAL_TTC_Projet_Sim_Solde</vt:lpstr>
      <vt:lpstr>Solde_TOTAL_TTC_Travaux_Auto</vt:lpstr>
      <vt:lpstr>Solde_TOTAL_TTC_Travaux_NRJ_Sim_Solde</vt:lpstr>
      <vt:lpstr>Solde_Type_Dossier</vt:lpstr>
      <vt:lpstr>Table_Cond_Projet</vt:lpstr>
      <vt:lpstr>Table_Entreprise</vt:lpstr>
      <vt:lpstr>Table_Frais_AMO</vt:lpstr>
      <vt:lpstr>Taux_Anah_Ecretement</vt:lpstr>
      <vt:lpstr>Taux_ANAH35</vt:lpstr>
      <vt:lpstr>Taux_ANAH50</vt:lpstr>
      <vt:lpstr>Taux_ASE10</vt:lpstr>
      <vt:lpstr>Taux_ASE20</vt:lpstr>
      <vt:lpstr>Taux_Calcul_ANAH_Sim1</vt:lpstr>
      <vt:lpstr>Taux_Calcul_ANAH_Sim2</vt:lpstr>
      <vt:lpstr>Taux_Calcul_ASE_Sim1</vt:lpstr>
      <vt:lpstr>Taux_Calcul_ASE_Sim2</vt:lpstr>
      <vt:lpstr>Taux_Calcul_CC_Sim1</vt:lpstr>
      <vt:lpstr>Taux_Calcul_CC_Sim2</vt:lpstr>
      <vt:lpstr>Taux_CC10</vt:lpstr>
      <vt:lpstr>Taux_CC15</vt:lpstr>
      <vt:lpstr>Taux_CC20</vt:lpstr>
      <vt:lpstr>TOTAL_HT_Projet_Sim1</vt:lpstr>
      <vt:lpstr>TOTAL_HT_Projet_Sim2</vt:lpstr>
      <vt:lpstr>TOTAL_HT_Travaux_Auto</vt:lpstr>
      <vt:lpstr>TOTAL_HT_Travaux_NRJ_Sim1</vt:lpstr>
      <vt:lpstr>TOTAL_HT_Travaux_NRJ_Sim2</vt:lpstr>
      <vt:lpstr>TOTAL_HT_TRX_LOURD_HT</vt:lpstr>
      <vt:lpstr>TOTAL_HT_TRX_LOURD_TTC</vt:lpstr>
      <vt:lpstr>TOTAL_TTC_Projet_Sim1</vt:lpstr>
      <vt:lpstr>TOTAL_TTC_Projet_Sim2</vt:lpstr>
      <vt:lpstr>TOTAL_TTC_Travaux_Auto</vt:lpstr>
      <vt:lpstr>TOTAL_TTC_Travaux_NRJ_Sim1</vt:lpstr>
      <vt:lpstr>TOTAL_TTC_Travaux_NRJ_Sim2</vt:lpstr>
      <vt:lpstr>TRX_LOURD</vt:lpstr>
      <vt:lpstr>TVA_1</vt:lpstr>
      <vt:lpstr>TVA_2</vt:lpstr>
      <vt:lpstr>TVA_3</vt:lpstr>
      <vt:lpstr>Type_Dossier</vt:lpstr>
      <vt:lpstr>INFOS!Zone_d_impression</vt:lpstr>
      <vt:lpstr>Plan_ALS_Anah!Zone_d_impression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Philippe FERRET - B.3.E</dc:creator>
  <dc:description/>
  <cp:lastModifiedBy>Philippe FERRET</cp:lastModifiedBy>
  <cp:revision>3</cp:revision>
  <cp:lastPrinted>2021-03-25T10:07:32Z</cp:lastPrinted>
  <dcterms:created xsi:type="dcterms:W3CDTF">2020-03-11T10:06:57Z</dcterms:created>
  <dcterms:modified xsi:type="dcterms:W3CDTF">2021-04-09T09:54:44Z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  <property fmtid="{D5CDD505-2E9C-101B-9397-08002B2CF9AE}" pid="8" name="CP" linkTarget="Prop_CP">
    <vt:lpwstr/>
  </property>
  <property fmtid="{D5CDD505-2E9C-101B-9397-08002B2CF9AE}" pid="9" name="Nom_Prenom" linkTarget="Prop_Nom_Prenom">
    <vt:r8>0</vt:r8>
  </property>
  <property fmtid="{D5CDD505-2E9C-101B-9397-08002B2CF9AE}" pid="10" name="Ville" linkTarget="Prop_Ville">
    <vt:lpwstr/>
  </property>
  <property fmtid="{D5CDD505-2E9C-101B-9397-08002B2CF9AE}" pid="11" name="Adresse" linkTarget="Prop_Adresse">
    <vt:r8>0</vt:r8>
  </property>
  <property fmtid="{D5CDD505-2E9C-101B-9397-08002B2CF9AE}" pid="12" name="Adresse1" linkTarget="Prop_Adresse1">
    <vt:lpwstr/>
  </property>
  <property fmtid="{D5CDD505-2E9C-101B-9397-08002B2CF9AE}" pid="13" name="Adresse2" linkTarget="Prop_Adresse2">
    <vt:lpwstr/>
  </property>
  <property fmtid="{D5CDD505-2E9C-101B-9397-08002B2CF9AE}" pid="14" name="Nom" linkTarget="Prop_Nom">
    <vt:lpwstr/>
  </property>
  <property fmtid="{D5CDD505-2E9C-101B-9397-08002B2CF9AE}" pid="15" name="Prenom" linkTarget="Prop_Prenom">
    <vt:lpwstr/>
  </property>
  <property fmtid="{D5CDD505-2E9C-101B-9397-08002B2CF9AE}" pid="16" name="RFR" linkTarget="Prop_RFR">
    <vt:lpwstr/>
  </property>
  <property fmtid="{D5CDD505-2E9C-101B-9397-08002B2CF9AE}" pid="17" name="RFR_Autres" linkTarget="Prop_RFR_Autres">
    <vt:r8>10985</vt:r8>
  </property>
  <property fmtid="{D5CDD505-2E9C-101B-9397-08002B2CF9AE}" pid="18" name="GIR" linkTarget="Prop_GIR">
    <vt:lpwstr/>
  </property>
  <property fmtid="{D5CDD505-2E9C-101B-9397-08002B2CF9AE}" pid="19" name="Mail" linkTarget="Prop_Mail">
    <vt:lpwstr/>
  </property>
  <property fmtid="{D5CDD505-2E9C-101B-9397-08002B2CF9AE}" pid="20" name="Num_Invariant" linkTarget="Prop_Num_Invariant">
    <vt:lpwstr/>
  </property>
  <property fmtid="{D5CDD505-2E9C-101B-9397-08002B2CF9AE}" pid="21" name="RFR_Somme" linkTarget="Prop_RFR_Somme">
    <vt:lpwstr>#VALEUR!</vt:lpwstr>
  </property>
  <property fmtid="{D5CDD505-2E9C-101B-9397-08002B2CF9AE}" pid="22" name="telephone1" linkTarget="Prop_telephone1">
    <vt:lpwstr/>
  </property>
  <property fmtid="{D5CDD505-2E9C-101B-9397-08002B2CF9AE}" pid="23" name="telephone2" linkTarget="Prop_telephone2">
    <vt:lpwstr/>
  </property>
  <property fmtid="{D5CDD505-2E9C-101B-9397-08002B2CF9AE}" pid="24" name="Coprop_Mail" linkTarget="Prop_Coprop_Mail">
    <vt:lpwstr/>
  </property>
  <property fmtid="{D5CDD505-2E9C-101B-9397-08002B2CF9AE}" pid="25" name="Coprop_Nom" linkTarget="Prop_Coprop_Nom">
    <vt:lpwstr/>
  </property>
  <property fmtid="{D5CDD505-2E9C-101B-9397-08002B2CF9AE}" pid="26" name="Coprop_Prenom" linkTarget="Prop_Coprop_Prenom">
    <vt:lpwstr/>
  </property>
  <property fmtid="{D5CDD505-2E9C-101B-9397-08002B2CF9AE}" pid="27" name="Coprop_RFR" linkTarget="Prop_Coprop_RFR">
    <vt:lpwstr/>
  </property>
  <property fmtid="{D5CDD505-2E9C-101B-9397-08002B2CF9AE}" pid="28" name="Coprop_Telephone1" linkTarget="Prop_Coprop_Telephone1">
    <vt:lpwstr/>
  </property>
  <property fmtid="{D5CDD505-2E9C-101B-9397-08002B2CF9AE}" pid="29" name="Coprop_Telephone2" linkTarget="Prop_Coprop_Telephone2">
    <vt:lpwstr/>
  </property>
  <property fmtid="{D5CDD505-2E9C-101B-9397-08002B2CF9AE}" pid="30" name="Nb_Occupant" linkTarget="Prop_Nb_Occupant">
    <vt:lpwstr/>
  </property>
  <property fmtid="{D5CDD505-2E9C-101B-9397-08002B2CF9AE}" pid="31" name="Parts_Fiscales" linkTarget="Prop_Parts_Fiscales">
    <vt:lpwstr/>
  </property>
  <property fmtid="{D5CDD505-2E9C-101B-9397-08002B2CF9AE}" pid="32" name="RF_Brut" linkTarget="Prop_RF_Brut">
    <vt:lpwstr/>
  </property>
  <property fmtid="{D5CDD505-2E9C-101B-9397-08002B2CF9AE}" pid="33" name="Coprop_Date_Naissance" linkTarget="Prop_Coprop_Date_Naissance">
    <vt:lpwstr/>
  </property>
  <property fmtid="{D5CDD505-2E9C-101B-9397-08002B2CF9AE}" pid="34" name="Coprop_Statut" linkTarget="Prop_Coprop_Statut">
    <vt:lpwstr/>
  </property>
  <property fmtid="{D5CDD505-2E9C-101B-9397-08002B2CF9AE}" pid="35" name="Date_Naissance" linkTarget="Prop_Date_Naissance">
    <vt:lpwstr/>
  </property>
  <property fmtid="{D5CDD505-2E9C-101B-9397-08002B2CF9AE}" pid="36" name="Lieu_Naissance" linkTarget="Prop_Lieu_Naissance">
    <vt:lpwstr/>
  </property>
  <property fmtid="{D5CDD505-2E9C-101B-9397-08002B2CF9AE}" pid="37" name="Aides_Logement" linkTarget="Prop_Aides_Logement">
    <vt:lpwstr/>
  </property>
  <property fmtid="{D5CDD505-2E9C-101B-9397-08002B2CF9AE}" pid="38" name="Annee_Construction" linkTarget="Prop_Annee_Construction">
    <vt:lpwstr/>
  </property>
  <property fmtid="{D5CDD505-2E9C-101B-9397-08002B2CF9AE}" pid="39" name="Coprop_Lieu_Naissance" linkTarget="Prop_Coprop_Lieu_Naissance">
    <vt:lpwstr/>
  </property>
  <property fmtid="{D5CDD505-2E9C-101B-9397-08002B2CF9AE}" pid="40" name="Date_Acquisition" linkTarget="Prop_Date_Acquisition">
    <vt:lpwstr/>
  </property>
  <property fmtid="{D5CDD505-2E9C-101B-9397-08002B2CF9AE}" pid="41" name="Caisse_Retraite" linkTarget="Prop_Caisse_Retraite">
    <vt:lpwstr/>
  </property>
  <property fmtid="{D5CDD505-2E9C-101B-9397-08002B2CF9AE}" pid="42" name="Adresse_Bien" linkTarget="Prop_Adresse_Bien">
    <vt:lpwstr/>
  </property>
  <property fmtid="{D5CDD505-2E9C-101B-9397-08002B2CF9AE}" pid="43" name="Categorie" linkTarget="Prop_Categorie">
    <vt:lpwstr/>
  </property>
  <property fmtid="{D5CDD505-2E9C-101B-9397-08002B2CF9AE}" pid="44" name="CP_Bien" linkTarget="Prop_CP_Bien">
    <vt:lpwstr/>
  </property>
  <property fmtid="{D5CDD505-2E9C-101B-9397-08002B2CF9AE}" pid="45" name="S.Hab" linkTarget="Prop_S.Hab">
    <vt:lpwstr/>
  </property>
  <property fmtid="{D5CDD505-2E9C-101B-9397-08002B2CF9AE}" pid="46" name="S.Rt" linkTarget="Prop_S.Rt">
    <vt:lpwstr/>
  </property>
  <property fmtid="{D5CDD505-2E9C-101B-9397-08002B2CF9AE}" pid="47" name="Ville_Bien" linkTarget="Prop_Ville_Bien">
    <vt:lpwstr/>
  </property>
  <property fmtid="{D5CDD505-2E9C-101B-9397-08002B2CF9AE}" pid="48" name="Statutpro_Coprop" linkTarget="Prop_Statutpro_Coprop">
    <vt:lpwstr/>
  </property>
  <property fmtid="{D5CDD505-2E9C-101B-9397-08002B2CF9AE}" pid="49" name="statut_pro" linkTarget="Prop_statut_pro">
    <vt:lpwstr/>
  </property>
  <property fmtid="{D5CDD505-2E9C-101B-9397-08002B2CF9AE}" pid="50" name="statut_pro_activite" linkTarget="Prop_statut_pro_activite">
    <vt:lpwstr/>
  </property>
  <property fmtid="{D5CDD505-2E9C-101B-9397-08002B2CF9AE}" pid="51" name="Statutpro_Coprop_activite" linkTarget="Prop_Statutpro_Coprop_activite">
    <vt:lpwstr/>
  </property>
  <property fmtid="{D5CDD505-2E9C-101B-9397-08002B2CF9AE}" pid="52" name="v" linkTarget="prop_v">
    <vt:r8>0</vt:r8>
  </property>
  <property fmtid="{D5CDD505-2E9C-101B-9397-08002B2CF9AE}" pid="53" name="Type_Lgt" linkTarget="Prop_Type_Lgt">
    <vt:lpwstr/>
  </property>
  <property fmtid="{D5CDD505-2E9C-101B-9397-08002B2CF9AE}" pid="54" name="S.Hab_ApTx" linkTarget="Prop_S.Hab_ApTx">
    <vt:lpwstr/>
  </property>
  <property fmtid="{D5CDD505-2E9C-101B-9397-08002B2CF9AE}" pid="55" name="S.Hab_AvTx" linkTarget="Prop_S.Hab_AvTx">
    <vt:lpwstr/>
  </property>
  <property fmtid="{D5CDD505-2E9C-101B-9397-08002B2CF9AE}" pid="56" name="Primo_Acc" linkTarget="Prop_Primo_Acc">
    <vt:lpwstr/>
  </property>
  <property fmtid="{D5CDD505-2E9C-101B-9397-08002B2CF9AE}" pid="57" name="Statut_Lgt" linkTarget="Prop_Statut_Lgt">
    <vt:lpwstr/>
  </property>
  <property fmtid="{D5CDD505-2E9C-101B-9397-08002B2CF9AE}" pid="58" name="Date_Entree" linkTarget="Prop_Date_Entree">
    <vt:lpwstr/>
  </property>
  <property fmtid="{D5CDD505-2E9C-101B-9397-08002B2CF9AE}" pid="59" name="ContentTypeId">
    <vt:lpwstr>0x0101005584FB58AE44A34FAD2F27B1BC5AD668</vt:lpwstr>
  </property>
</Properties>
</file>