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0490" windowHeight="7530" activeTab="3"/>
  </bookViews>
  <sheets>
    <sheet name="LISTE_CONTRATS" sheetId="1" r:id="rId1"/>
    <sheet name="FEUILLE_CONTRAT" sheetId="2" r:id="rId2"/>
    <sheet name="COMPILDATA" sheetId="3" r:id="rId3"/>
    <sheet name="PIECES_CONTRACTUELLES" sheetId="4" r:id="rId4"/>
  </sheets>
  <definedNames>
    <definedName name="_xlnm._FilterDatabase" localSheetId="2" hidden="1">COMPILDATA!$A$1:$A$52</definedName>
    <definedName name="_xlnm._FilterDatabase" localSheetId="3" hidden="1">PIECES_CONTRACTUELLES!$A$1:$F$1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C22" i="3" l="1"/>
  <c r="AC2" i="3"/>
  <c r="AC3" i="3"/>
  <c r="AC4" i="3"/>
  <c r="AC5" i="3"/>
  <c r="AC6" i="3"/>
  <c r="AC7" i="3"/>
  <c r="AC8" i="3"/>
  <c r="AC9" i="3"/>
  <c r="AC10" i="3"/>
  <c r="AC11" i="3"/>
  <c r="AC12" i="3"/>
  <c r="AC13" i="3"/>
  <c r="AC14" i="3"/>
  <c r="AC15" i="3"/>
  <c r="AC16" i="3"/>
  <c r="AC18" i="3"/>
  <c r="AC19" i="3"/>
  <c r="AC20" i="3"/>
  <c r="AC21" i="3"/>
  <c r="AC23" i="3"/>
  <c r="AC24" i="3"/>
  <c r="AC25" i="3"/>
  <c r="AC26" i="3"/>
  <c r="AC27" i="3"/>
  <c r="AC29" i="3"/>
  <c r="AC30" i="3"/>
  <c r="AC31" i="3"/>
  <c r="AC32" i="3"/>
  <c r="AC33" i="3"/>
  <c r="AC34" i="3"/>
  <c r="AC35" i="3"/>
  <c r="AC36" i="3"/>
  <c r="AC37" i="3"/>
  <c r="AC38" i="3"/>
  <c r="AC39" i="3"/>
  <c r="AC40" i="3"/>
  <c r="AC41" i="3"/>
  <c r="AC42" i="3"/>
  <c r="AC43" i="3"/>
  <c r="AC44" i="3"/>
  <c r="AC45" i="3"/>
  <c r="AC46" i="3"/>
  <c r="AC47" i="3"/>
  <c r="AC48" i="3"/>
  <c r="AC49" i="3"/>
  <c r="AC50" i="3"/>
  <c r="AC51" i="3"/>
  <c r="AC28" i="3"/>
  <c r="A34" i="4"/>
  <c r="A8" i="4"/>
  <c r="A12" i="4"/>
  <c r="A33" i="4"/>
  <c r="A17" i="4"/>
  <c r="A11" i="4"/>
  <c r="A43" i="4"/>
  <c r="A35" i="4"/>
  <c r="A37" i="4"/>
  <c r="A16" i="4"/>
  <c r="A39" i="4"/>
  <c r="A36" i="4"/>
  <c r="A15" i="4"/>
  <c r="A14" i="4"/>
  <c r="A32" i="4"/>
  <c r="A13" i="4"/>
  <c r="A42" i="4"/>
  <c r="A31" i="4"/>
  <c r="A6" i="4"/>
  <c r="A5" i="4"/>
  <c r="A10" i="4"/>
  <c r="A30" i="4"/>
  <c r="A51" i="4"/>
  <c r="A29" i="4"/>
  <c r="A28" i="4"/>
  <c r="A27" i="4"/>
  <c r="A9" i="4"/>
  <c r="A38" i="4"/>
  <c r="A41" i="4"/>
  <c r="A4" i="4"/>
  <c r="A26" i="4"/>
  <c r="A50" i="4"/>
  <c r="A49" i="4"/>
  <c r="A48" i="4"/>
  <c r="A7" i="4"/>
  <c r="A3" i="4"/>
  <c r="A25" i="4"/>
  <c r="A24" i="4"/>
  <c r="A23" i="4"/>
  <c r="A47" i="4"/>
  <c r="A46" i="4"/>
  <c r="A22" i="4"/>
  <c r="A21" i="4"/>
  <c r="A20" i="4"/>
  <c r="A19" i="4"/>
  <c r="A45" i="4"/>
  <c r="A40" i="4"/>
  <c r="A44" i="4"/>
  <c r="A18" i="4"/>
  <c r="A2" i="4"/>
  <c r="C8" i="1"/>
  <c r="C18" i="1"/>
  <c r="C38" i="1"/>
  <c r="C13" i="1"/>
  <c r="C29" i="1"/>
  <c r="C20" i="1"/>
  <c r="C11" i="1"/>
  <c r="C3" i="1"/>
  <c r="C43" i="1"/>
  <c r="C46" i="1"/>
  <c r="C4" i="1"/>
  <c r="C5" i="1"/>
  <c r="C36" i="1"/>
  <c r="C10" i="1"/>
  <c r="C14" i="1"/>
  <c r="C21" i="1"/>
  <c r="C25" i="1"/>
  <c r="C37" i="1"/>
  <c r="C7" i="1"/>
  <c r="C24" i="1"/>
  <c r="C45" i="1"/>
  <c r="C40" i="1"/>
  <c r="C35" i="1"/>
  <c r="C15" i="1"/>
  <c r="C31" i="1"/>
  <c r="C39" i="1"/>
  <c r="C30" i="1"/>
  <c r="C51" i="1"/>
  <c r="C47" i="1"/>
  <c r="C44" i="1"/>
  <c r="C34" i="1"/>
  <c r="C48" i="1"/>
  <c r="C27" i="1"/>
  <c r="C19" i="1"/>
  <c r="C42" i="1"/>
  <c r="C50" i="1"/>
  <c r="C16" i="1"/>
  <c r="C6" i="1"/>
  <c r="C49" i="1"/>
  <c r="C26" i="1"/>
  <c r="C17" i="1"/>
  <c r="C23" i="1"/>
  <c r="C22" i="1"/>
  <c r="C41" i="1"/>
  <c r="C9" i="1"/>
  <c r="C12" i="1"/>
  <c r="C28" i="1"/>
  <c r="C32" i="1"/>
  <c r="C33" i="1"/>
  <c r="A1" i="2" l="1"/>
  <c r="F51" i="1"/>
  <c r="E51" i="1"/>
  <c r="B51" i="1"/>
  <c r="A51" i="1"/>
  <c r="G50" i="1"/>
  <c r="F50" i="1"/>
  <c r="E50" i="1"/>
  <c r="B50" i="1"/>
  <c r="A50" i="1"/>
  <c r="G49" i="1"/>
  <c r="F49" i="1"/>
  <c r="E49" i="1"/>
  <c r="B49" i="1"/>
  <c r="A49" i="1"/>
  <c r="G48" i="1"/>
  <c r="F48" i="1"/>
  <c r="E48" i="1"/>
  <c r="B48" i="1"/>
  <c r="A48" i="1"/>
  <c r="G47" i="1"/>
  <c r="F47" i="1"/>
  <c r="E47" i="1"/>
  <c r="B47" i="1"/>
  <c r="A47" i="1"/>
  <c r="G46" i="1"/>
  <c r="F46" i="1"/>
  <c r="E46" i="1"/>
  <c r="B46" i="1"/>
  <c r="A46" i="1"/>
  <c r="G45" i="1"/>
  <c r="F45" i="1"/>
  <c r="E45" i="1"/>
  <c r="B45" i="1"/>
  <c r="A45" i="1"/>
  <c r="G44" i="1"/>
  <c r="F44" i="1"/>
  <c r="E44" i="1"/>
  <c r="B44" i="1"/>
  <c r="A44" i="1"/>
  <c r="G43" i="1"/>
  <c r="F43" i="1"/>
  <c r="E43" i="1"/>
  <c r="B43" i="1"/>
  <c r="A43" i="1"/>
  <c r="G42" i="1"/>
  <c r="F42" i="1"/>
  <c r="E42" i="1"/>
  <c r="B42" i="1"/>
  <c r="A42" i="1"/>
  <c r="G41" i="1"/>
  <c r="F41" i="1"/>
  <c r="E41" i="1"/>
  <c r="B41" i="1"/>
  <c r="A41" i="1"/>
  <c r="G40" i="1"/>
  <c r="F40" i="1"/>
  <c r="E40" i="1"/>
  <c r="B40" i="1"/>
  <c r="A40" i="1"/>
  <c r="G39" i="1"/>
  <c r="F39" i="1"/>
  <c r="E39" i="1"/>
  <c r="B39" i="1"/>
  <c r="A39" i="1"/>
  <c r="G38" i="1"/>
  <c r="F38" i="1"/>
  <c r="E38" i="1"/>
  <c r="B38" i="1"/>
  <c r="A38" i="1"/>
  <c r="G37" i="1"/>
  <c r="F37" i="1"/>
  <c r="E37" i="1"/>
  <c r="B37" i="1"/>
  <c r="A37" i="1"/>
  <c r="G36" i="1"/>
  <c r="F36" i="1"/>
  <c r="E36" i="1"/>
  <c r="B36" i="1"/>
  <c r="A36" i="1"/>
  <c r="G35" i="1"/>
  <c r="F35" i="1"/>
  <c r="E35" i="1"/>
  <c r="B35" i="1"/>
  <c r="A35" i="1"/>
  <c r="G34" i="1"/>
  <c r="F34" i="1"/>
  <c r="E34" i="1"/>
  <c r="B34" i="1"/>
  <c r="A34" i="1"/>
  <c r="G33" i="1"/>
  <c r="F33" i="1"/>
  <c r="E33" i="1"/>
  <c r="B33" i="1"/>
  <c r="A33" i="1"/>
  <c r="G32" i="1"/>
  <c r="F32" i="1"/>
  <c r="E32" i="1"/>
  <c r="B32" i="1"/>
  <c r="A32" i="1"/>
  <c r="G31" i="1"/>
  <c r="F31" i="1"/>
  <c r="E31" i="1"/>
  <c r="B31" i="1"/>
  <c r="A31" i="1"/>
  <c r="G30" i="1"/>
  <c r="F30" i="1"/>
  <c r="E30" i="1"/>
  <c r="B30" i="1"/>
  <c r="A30" i="1"/>
  <c r="G29" i="1"/>
  <c r="F29" i="1"/>
  <c r="E29" i="1"/>
  <c r="B29" i="1"/>
  <c r="A29" i="1"/>
  <c r="G28" i="1"/>
  <c r="F28" i="1"/>
  <c r="E28" i="1"/>
  <c r="B28" i="1"/>
  <c r="A28" i="1"/>
  <c r="G27" i="1"/>
  <c r="F27" i="1"/>
  <c r="E27" i="1"/>
  <c r="B27" i="1"/>
  <c r="A27" i="1"/>
  <c r="G26" i="1"/>
  <c r="F26" i="1"/>
  <c r="E26" i="1"/>
  <c r="B26" i="1"/>
  <c r="A26" i="1"/>
  <c r="G25" i="1"/>
  <c r="F25" i="1"/>
  <c r="E25" i="1"/>
  <c r="B25" i="1"/>
  <c r="A25" i="1"/>
  <c r="G24" i="1"/>
  <c r="F24" i="1"/>
  <c r="E24" i="1"/>
  <c r="B24" i="1"/>
  <c r="A24" i="1"/>
  <c r="G23" i="1"/>
  <c r="F23" i="1"/>
  <c r="E23" i="1"/>
  <c r="B23" i="1"/>
  <c r="A23" i="1"/>
  <c r="G22" i="1"/>
  <c r="F22" i="1"/>
  <c r="E22" i="1"/>
  <c r="B22" i="1"/>
  <c r="A22" i="1"/>
  <c r="G21" i="1"/>
  <c r="F21" i="1"/>
  <c r="E21" i="1"/>
  <c r="B21" i="1"/>
  <c r="A21" i="1"/>
  <c r="G20" i="1"/>
  <c r="F20" i="1"/>
  <c r="E20" i="1"/>
  <c r="B20" i="1"/>
  <c r="A20" i="1"/>
  <c r="G19" i="1"/>
  <c r="F19" i="1"/>
  <c r="E19" i="1"/>
  <c r="B19" i="1"/>
  <c r="A19" i="1"/>
  <c r="G18" i="1"/>
  <c r="F18" i="1"/>
  <c r="E18" i="1"/>
  <c r="B18" i="1"/>
  <c r="A18" i="1"/>
  <c r="G17" i="1"/>
  <c r="F17" i="1"/>
  <c r="E17" i="1"/>
  <c r="B17" i="1"/>
  <c r="A17" i="1"/>
  <c r="G16" i="1"/>
  <c r="F16" i="1"/>
  <c r="E16" i="1"/>
  <c r="B16" i="1"/>
  <c r="A16" i="1"/>
  <c r="G15" i="1"/>
  <c r="F15" i="1"/>
  <c r="E15" i="1"/>
  <c r="B15" i="1"/>
  <c r="A15" i="1"/>
  <c r="G14" i="1"/>
  <c r="F14" i="1"/>
  <c r="E14" i="1"/>
  <c r="B14" i="1"/>
  <c r="A14" i="1"/>
  <c r="G13" i="1"/>
  <c r="F13" i="1"/>
  <c r="E13" i="1"/>
  <c r="B13" i="1"/>
  <c r="A13" i="1"/>
  <c r="G12" i="1"/>
  <c r="F12" i="1"/>
  <c r="E12" i="1"/>
  <c r="B12" i="1"/>
  <c r="A12" i="1"/>
  <c r="G11" i="1"/>
  <c r="F11" i="1"/>
  <c r="E11" i="1"/>
  <c r="B11" i="1"/>
  <c r="A11" i="1"/>
  <c r="G10" i="1"/>
  <c r="F10" i="1"/>
  <c r="E10" i="1"/>
  <c r="B10" i="1"/>
  <c r="A10" i="1"/>
  <c r="G9" i="1"/>
  <c r="F9" i="1"/>
  <c r="E9" i="1"/>
  <c r="B9" i="1"/>
  <c r="A9" i="1"/>
  <c r="G8" i="1"/>
  <c r="F8" i="1"/>
  <c r="E8" i="1"/>
  <c r="B8" i="1"/>
  <c r="A8" i="1"/>
  <c r="G7" i="1"/>
  <c r="F7" i="1"/>
  <c r="E7" i="1"/>
  <c r="B7" i="1"/>
  <c r="A7" i="1"/>
  <c r="G6" i="1"/>
  <c r="F6" i="1"/>
  <c r="E6" i="1"/>
  <c r="B6" i="1"/>
  <c r="A6" i="1"/>
  <c r="G5" i="1"/>
  <c r="F5" i="1"/>
  <c r="E5" i="1"/>
  <c r="B5" i="1"/>
  <c r="A5" i="1"/>
  <c r="G4" i="1"/>
  <c r="F4" i="1"/>
  <c r="E4" i="1"/>
  <c r="B4" i="1"/>
  <c r="A4" i="1"/>
  <c r="G3" i="1"/>
  <c r="F3" i="1"/>
  <c r="E3" i="1"/>
  <c r="B3" i="1"/>
  <c r="A3" i="1"/>
  <c r="G2" i="1"/>
  <c r="F2" i="1"/>
  <c r="E2" i="1"/>
  <c r="B2" i="1"/>
  <c r="A2" i="1"/>
  <c r="I7" i="2"/>
  <c r="I14" i="2"/>
  <c r="L29" i="2"/>
  <c r="E12" i="2"/>
  <c r="E8" i="2"/>
  <c r="I28" i="2"/>
  <c r="D28" i="2"/>
  <c r="I13" i="2"/>
  <c r="G53" i="2"/>
  <c r="L28" i="2"/>
  <c r="D47" i="2"/>
  <c r="J53" i="2"/>
  <c r="M9" i="2"/>
  <c r="I29" i="2"/>
  <c r="G47" i="2"/>
  <c r="I53" i="2"/>
  <c r="H50" i="2"/>
  <c r="C3" i="2"/>
  <c r="L20" i="2"/>
  <c r="D29" i="2"/>
  <c r="E9" i="2"/>
  <c r="H21" i="2"/>
  <c r="E21" i="2"/>
  <c r="I12" i="2"/>
  <c r="D53" i="2"/>
  <c r="C2" i="1"/>
  <c r="E10" i="2"/>
  <c r="I10" i="2"/>
  <c r="I15" i="2"/>
  <c r="E7" i="2"/>
  <c r="B21" i="2"/>
  <c r="C21" i="2"/>
  <c r="D50" i="2"/>
  <c r="F21" i="2"/>
  <c r="E2" i="2"/>
  <c r="M10" i="2"/>
  <c r="I21" i="2"/>
  <c r="I8" i="2"/>
  <c r="I9" i="2"/>
  <c r="J21" i="2" l="1"/>
  <c r="D23" i="2"/>
  <c r="G21" i="2"/>
  <c r="D24" i="2"/>
  <c r="D21" i="2"/>
</calcChain>
</file>

<file path=xl/comments1.xml><?xml version="1.0" encoding="utf-8"?>
<comments xmlns="http://schemas.openxmlformats.org/spreadsheetml/2006/main">
  <authors>
    <author>Antonin Durand</author>
  </authors>
  <commentList>
    <comment ref="A18" authorId="0">
      <text>
        <r>
          <rPr>
            <b/>
            <sz val="9"/>
            <color indexed="81"/>
            <rFont val="Tahoma"/>
            <family val="2"/>
          </rPr>
          <t>Antonin Durand:</t>
        </r>
        <r>
          <rPr>
            <sz val="9"/>
            <color indexed="81"/>
            <rFont val="Tahoma"/>
            <family val="2"/>
          </rPr>
          <t xml:space="preserve">
Verifier rattachement potentiel ?</t>
        </r>
      </text>
    </comment>
    <comment ref="A19" authorId="0">
      <text>
        <r>
          <rPr>
            <b/>
            <sz val="9"/>
            <color indexed="81"/>
            <rFont val="Tahoma"/>
            <family val="2"/>
          </rPr>
          <t>Antonin Durand:</t>
        </r>
        <r>
          <rPr>
            <sz val="9"/>
            <color indexed="81"/>
            <rFont val="Tahoma"/>
            <family val="2"/>
          </rPr>
          <t xml:space="preserve">
Verifier rattachement potentiel ?</t>
        </r>
      </text>
    </comment>
    <comment ref="A23" authorId="0">
      <text>
        <r>
          <rPr>
            <b/>
            <sz val="9"/>
            <color indexed="81"/>
            <rFont val="Tahoma"/>
            <family val="2"/>
          </rPr>
          <t>Antonin Durand:</t>
        </r>
        <r>
          <rPr>
            <sz val="9"/>
            <color indexed="81"/>
            <rFont val="Tahoma"/>
            <family val="2"/>
          </rPr>
          <t xml:space="preserve">
Avenant à vérifier, contrat complexe</t>
        </r>
      </text>
    </comment>
    <comment ref="F25" authorId="0">
      <text>
        <r>
          <rPr>
            <b/>
            <sz val="9"/>
            <color indexed="81"/>
            <rFont val="Tahoma"/>
            <family val="2"/>
          </rPr>
          <t>Antonin Durand:</t>
        </r>
        <r>
          <rPr>
            <sz val="9"/>
            <color indexed="81"/>
            <rFont val="Tahoma"/>
            <family val="2"/>
          </rPr>
          <t xml:space="preserve">
SIC : 31/10/08
Contrat : Date marquée</t>
        </r>
      </text>
    </comment>
    <comment ref="C30" authorId="0">
      <text>
        <r>
          <rPr>
            <b/>
            <sz val="9"/>
            <color indexed="81"/>
            <rFont val="Tahoma"/>
            <family val="2"/>
          </rPr>
          <t xml:space="preserve">Antonin Durand
</t>
        </r>
        <r>
          <rPr>
            <sz val="9"/>
            <color indexed="81"/>
            <rFont val="Tahoma"/>
            <family val="2"/>
          </rPr>
          <t>Actualiser sur SIC le contrat</t>
        </r>
      </text>
    </comment>
    <comment ref="F37" authorId="0">
      <text>
        <r>
          <rPr>
            <b/>
            <sz val="9"/>
            <color indexed="81"/>
            <rFont val="Tahoma"/>
            <family val="2"/>
          </rPr>
          <t>Antonin Durand:</t>
        </r>
        <r>
          <rPr>
            <sz val="9"/>
            <color indexed="81"/>
            <rFont val="Tahoma"/>
            <family val="2"/>
          </rPr>
          <t xml:space="preserve">
SIC : 31/12/13
Contrat : Date marquée</t>
        </r>
      </text>
    </comment>
    <comment ref="H44" authorId="0">
      <text>
        <r>
          <rPr>
            <b/>
            <sz val="9"/>
            <color indexed="81"/>
            <rFont val="Tahoma"/>
            <family val="2"/>
          </rPr>
          <t>Antonin Durand:</t>
        </r>
        <r>
          <rPr>
            <sz val="9"/>
            <color indexed="81"/>
            <rFont val="Tahoma"/>
            <family val="2"/>
          </rPr>
          <t xml:space="preserve">
Renouvelé ou non ?</t>
        </r>
      </text>
    </comment>
  </commentList>
</comments>
</file>

<file path=xl/comments2.xml><?xml version="1.0" encoding="utf-8"?>
<comments xmlns="http://schemas.openxmlformats.org/spreadsheetml/2006/main">
  <authors>
    <author>Antonin Durand</author>
  </authors>
  <commentList>
    <comment ref="C41" authorId="0">
      <text>
        <r>
          <rPr>
            <b/>
            <sz val="9"/>
            <color indexed="81"/>
            <rFont val="Tahoma"/>
            <family val="2"/>
          </rPr>
          <t>Antonin Durand:</t>
        </r>
        <r>
          <rPr>
            <sz val="9"/>
            <color indexed="81"/>
            <rFont val="Tahoma"/>
            <family val="2"/>
          </rPr>
          <t xml:space="preserve">
Verifier les avenants (contrat complexe)</t>
        </r>
      </text>
    </comment>
  </commentList>
</comments>
</file>

<file path=xl/sharedStrings.xml><?xml version="1.0" encoding="utf-8"?>
<sst xmlns="http://schemas.openxmlformats.org/spreadsheetml/2006/main" count="993" uniqueCount="439">
  <si>
    <t>N° Contrat</t>
  </si>
  <si>
    <t>Code D</t>
  </si>
  <si>
    <t>Libellé</t>
  </si>
  <si>
    <t>Date d'effet</t>
  </si>
  <si>
    <t>Prochaine échéance</t>
  </si>
  <si>
    <t>Durée</t>
  </si>
  <si>
    <t>0047612Y</t>
  </si>
  <si>
    <t>D53417B</t>
  </si>
  <si>
    <t>GIVORS Z.H. LES VERNES S/ST A5 LES AULNES</t>
  </si>
  <si>
    <t>0048509C</t>
  </si>
  <si>
    <t>D52299E</t>
  </si>
  <si>
    <t>LYON (69) - SST G024D - INSTITUT D'ETUDE POLITIQUE DE LYON (ELVYA)</t>
  </si>
  <si>
    <t>0051746L</t>
  </si>
  <si>
    <t>D25033D</t>
  </si>
  <si>
    <t>LYON (69) - SST C003 - LA FERRANDIERE (ELVYA)</t>
  </si>
  <si>
    <t>0051892D</t>
  </si>
  <si>
    <t>D25851E</t>
  </si>
  <si>
    <t>73550 MERIBEL LES ALLUES - HOTEL ALLODIS</t>
  </si>
  <si>
    <t>0051940S</t>
  </si>
  <si>
    <t>D25018J</t>
  </si>
  <si>
    <t>LYON (69) - SST D10 -  12 TER RUE D'INKERMANN (ELVYA)</t>
  </si>
  <si>
    <t>0052232B</t>
  </si>
  <si>
    <t>D25016F</t>
  </si>
  <si>
    <t>LYON (69) - SST XX - CENTRE COMMERCIAL BROTTEAUX 2000 (ELVYA)</t>
  </si>
  <si>
    <t>0052604R</t>
  </si>
  <si>
    <t>D25015E</t>
  </si>
  <si>
    <t>LYON (69) -SST B014- 76 RUE GARIBALDI</t>
  </si>
  <si>
    <t>0052667Z</t>
  </si>
  <si>
    <t>D25021N</t>
  </si>
  <si>
    <t>LYON 3° - IMMEUBLE "154 GAMBETTA"</t>
  </si>
  <si>
    <t>0052669B</t>
  </si>
  <si>
    <t>D25095K</t>
  </si>
  <si>
    <t>LYON 7° - RESIDENCE OPALINE ZAC GERLAND</t>
  </si>
  <si>
    <t>0052680R</t>
  </si>
  <si>
    <t>D50581W</t>
  </si>
  <si>
    <t>LYON (69) - SST XX - 1 RUE MAURICE FLANDIN (ELVYA)</t>
  </si>
  <si>
    <t>0053626K</t>
  </si>
  <si>
    <t>D25046X</t>
  </si>
  <si>
    <t>LYON (69) -  SST C021 - LE SAINT ANTOINE (ELVYA)</t>
  </si>
  <si>
    <t>0053902Z</t>
  </si>
  <si>
    <t>D25017H</t>
  </si>
  <si>
    <t>LYON 3 - IMMEUBLE 68 AVENUE DE SAXE</t>
  </si>
  <si>
    <t>0053903A</t>
  </si>
  <si>
    <t>D25031B</t>
  </si>
  <si>
    <t>LYON (69) - SST XX - IMMEUBLE 102 RUE MONTGOLFIER (ELVYA)</t>
  </si>
  <si>
    <t>0054312N</t>
  </si>
  <si>
    <t>D54363X</t>
  </si>
  <si>
    <t>LYON - IMMEUBLE 240 LAFAYETTE</t>
  </si>
  <si>
    <t>0055621K</t>
  </si>
  <si>
    <t>D001WFL</t>
  </si>
  <si>
    <t>FERNEY VOLTAIRE - SIVOM DE L'EST GESSIEN</t>
  </si>
  <si>
    <t>0059097J</t>
  </si>
  <si>
    <t>D001PTR</t>
  </si>
  <si>
    <t>LYON DUCHERE RCU - ST/48BIS - P2 SECONDAIRE</t>
  </si>
  <si>
    <t>0059114F</t>
  </si>
  <si>
    <t>D00A5FY</t>
  </si>
  <si>
    <t>VENISSIEUX LES MINGUETTES A.F.P.A. TRAIT ECS</t>
  </si>
  <si>
    <t>0059137L</t>
  </si>
  <si>
    <t>D00A5KD</t>
  </si>
  <si>
    <t>VENISSIEUX LES MINGUETTES CC/4 ENT.INSTAL.SEC.</t>
  </si>
  <si>
    <t>0063399W</t>
  </si>
  <si>
    <t>D24404B</t>
  </si>
  <si>
    <t>LYON (69) - RES LE VERSEAU 119 - 121 C.A.THOMAS</t>
  </si>
  <si>
    <t>0063788F</t>
  </si>
  <si>
    <t>D001XTP</t>
  </si>
  <si>
    <t>AMBERIEU EN BUGEY (01) - COPROPRIETE DIPAS CPA DE L'AIN</t>
  </si>
  <si>
    <t>0073810T</t>
  </si>
  <si>
    <t>D43571X</t>
  </si>
  <si>
    <t>TARARE (69)- RESIDENCE "LE LAMARTINE"</t>
  </si>
  <si>
    <t>0080931N</t>
  </si>
  <si>
    <t>D42118J</t>
  </si>
  <si>
    <t>BARBY - FOYER LES EPINETTES</t>
  </si>
  <si>
    <t>0082193Z</t>
  </si>
  <si>
    <t>D001XEW</t>
  </si>
  <si>
    <t>ST MICHEL DE MAURIENNE - MAPAD</t>
  </si>
  <si>
    <t>0091148F</t>
  </si>
  <si>
    <t>D62999J</t>
  </si>
  <si>
    <t>SEYNOD (74) - SST XX - CENTRE L EPANOU AAPEI (ZUP DE CHAMPFLEURI)</t>
  </si>
  <si>
    <t>0093016P</t>
  </si>
  <si>
    <t>D005PUT</t>
  </si>
  <si>
    <t>LYON - P2 SECONDAIRES L'ARCHE NORD &amp; L'ARCHE SUD</t>
  </si>
  <si>
    <t>0097858K</t>
  </si>
  <si>
    <t>D005PXY</t>
  </si>
  <si>
    <t>RILLIEUX - SECOND.NORD - S/ST 28 BAT M1 LE MANET</t>
  </si>
  <si>
    <t>0097889B</t>
  </si>
  <si>
    <t>D69559R</t>
  </si>
  <si>
    <t>RILLIEUX LA PAPE (69) - SST 31 - BAT JORDAENS SOGELEM (CU RILLIEUX)</t>
  </si>
  <si>
    <t>0101895Y</t>
  </si>
  <si>
    <t>D43472R</t>
  </si>
  <si>
    <t>VILLEURBANNE (69) - RESIDENCE MARECHAL LECLERC</t>
  </si>
  <si>
    <t>0105811A</t>
  </si>
  <si>
    <t>D25032C</t>
  </si>
  <si>
    <t>LYON (69) - SST XX - RES DE SEZE (ELVYA)</t>
  </si>
  <si>
    <t>0112142E</t>
  </si>
  <si>
    <t>LES HOUCHES -74310- LES ESSERTS</t>
  </si>
  <si>
    <t>3004560T</t>
  </si>
  <si>
    <t>D001WVH</t>
  </si>
  <si>
    <t xml:space="preserve">FERNEY VOLTAIRE (01) - SAS LES PORTES DE GENEVE - RES LA RESERVE </t>
  </si>
  <si>
    <t>3011315F</t>
  </si>
  <si>
    <t>D23873C</t>
  </si>
  <si>
    <t>SAINT PRIEST (69) - RES JULES VERNE</t>
  </si>
  <si>
    <t>3013975F</t>
  </si>
  <si>
    <t>D001WRC</t>
  </si>
  <si>
    <t>BOURG EN BRESSE (01) - RES LE THEMIS - BUREAUX</t>
  </si>
  <si>
    <t>3014440T</t>
  </si>
  <si>
    <t>D91680Y</t>
  </si>
  <si>
    <t>CHAMBERY (73) - INDIGGO</t>
  </si>
  <si>
    <t>3015243A</t>
  </si>
  <si>
    <t>D92817T</t>
  </si>
  <si>
    <t>MEYLAN (38)-FOYER PERSONNES AGEES PRE-BLANC</t>
  </si>
  <si>
    <t>3017154P</t>
  </si>
  <si>
    <t>D86523L</t>
  </si>
  <si>
    <t>BOURG EN BRESSE (01) - SCM IRM DE L'AIN - CLINIQUE CONVERT</t>
  </si>
  <si>
    <t>3017624H</t>
  </si>
  <si>
    <t>D96852C</t>
  </si>
  <si>
    <t>ALLEVARD LES BAINS (38) - SST XX - LA MARMOTTANE (CU)</t>
  </si>
  <si>
    <t>3018178L</t>
  </si>
  <si>
    <t>FONTAINE (38) - RES PRIMAVERA</t>
  </si>
  <si>
    <t>3018469W</t>
  </si>
  <si>
    <t>D97488Z</t>
  </si>
  <si>
    <t>CHAMBERY (73) - LE BUGEY</t>
  </si>
  <si>
    <t>3020982B</t>
  </si>
  <si>
    <t>D26007K</t>
  </si>
  <si>
    <t>MODANE (73) - IMMEUBLE BATIMENT DES DOUANES</t>
  </si>
  <si>
    <t>3021085L</t>
  </si>
  <si>
    <t>D77161T</t>
  </si>
  <si>
    <t>LES 2 ALPES (38) - COMPLEXE SPORTIF ET CULTUREL AMPHIBIA</t>
  </si>
  <si>
    <t>3021161L</t>
  </si>
  <si>
    <t>D99396J</t>
  </si>
  <si>
    <t>SAINT JULIEN MONT DENIS (73) - SALLE SERVEUR</t>
  </si>
  <si>
    <t>3026041H</t>
  </si>
  <si>
    <t>D0009MC</t>
  </si>
  <si>
    <t>VILLEURBANNE (69) - SDC LE LULLI</t>
  </si>
  <si>
    <t>3027156A</t>
  </si>
  <si>
    <t>SEYNOD (74) - SST 29 - COLLEGE SAINT FRANCOIS - LES CORDELIERS</t>
  </si>
  <si>
    <t>3028742L</t>
  </si>
  <si>
    <t>D97933J</t>
  </si>
  <si>
    <t>CRUSEILLES (74) - EHPAD SAINT MAURICE</t>
  </si>
  <si>
    <t>3030429F</t>
  </si>
  <si>
    <t>D33250R</t>
  </si>
  <si>
    <t>SAINT MARTIN D'HERES (38) - CEMAGREF</t>
  </si>
  <si>
    <t>3033682L</t>
  </si>
  <si>
    <t>SAMOENS (74) - CENTRE DE VACANCES</t>
  </si>
  <si>
    <t>3034731S</t>
  </si>
  <si>
    <t>D00AHTB</t>
  </si>
  <si>
    <t>CHATILLON SUR CHALARONNE (01) MAISON MEDICALE</t>
  </si>
  <si>
    <t>3036853J</t>
  </si>
  <si>
    <t>D84100Z</t>
  </si>
  <si>
    <t>ARBENT (01) - COLLEGE JEAN ROSTAND</t>
  </si>
  <si>
    <t>3033576Y</t>
  </si>
  <si>
    <t>D00BLRS</t>
  </si>
  <si>
    <t>ST GENIS POUILLY (01) - COLLEGE JACQUES PREVERT</t>
  </si>
  <si>
    <t>Informations contractuelles</t>
  </si>
  <si>
    <t>Date d'effet :</t>
  </si>
  <si>
    <t>Type de reconduction :</t>
  </si>
  <si>
    <t>Durée :</t>
  </si>
  <si>
    <t>Facturier :</t>
  </si>
  <si>
    <t>Date d'échéance :</t>
  </si>
  <si>
    <t>Type de contrat :</t>
  </si>
  <si>
    <t>Recouvrement :</t>
  </si>
  <si>
    <t>Date de prochaine échéance :</t>
  </si>
  <si>
    <t>RAC Contractuel :</t>
  </si>
  <si>
    <t>P3 Transparent :</t>
  </si>
  <si>
    <t>Nombre d'avenants :</t>
  </si>
  <si>
    <t>Objet avenant 1 :</t>
  </si>
  <si>
    <t>Date avenant 1 :</t>
  </si>
  <si>
    <t>Conditions financières</t>
  </si>
  <si>
    <t>P1</t>
  </si>
  <si>
    <t>P2</t>
  </si>
  <si>
    <t>P3</t>
  </si>
  <si>
    <t>Nombre d'heures</t>
  </si>
  <si>
    <t>CA</t>
  </si>
  <si>
    <t>MB</t>
  </si>
  <si>
    <t xml:space="preserve">% </t>
  </si>
  <si>
    <t>PAO (k€)</t>
  </si>
  <si>
    <t>MB Total (k€)</t>
  </si>
  <si>
    <r>
      <rPr>
        <b/>
        <sz val="11"/>
        <color theme="1"/>
        <rFont val="Calibri"/>
        <family val="2"/>
      </rPr>
      <t>É</t>
    </r>
    <r>
      <rPr>
        <b/>
        <sz val="11"/>
        <color theme="1"/>
        <rFont val="Calibri"/>
        <family val="2"/>
        <scheme val="minor"/>
      </rPr>
      <t>lements techniques</t>
    </r>
  </si>
  <si>
    <t>Type d'énergie :</t>
  </si>
  <si>
    <t>Secteur d'exploitation :</t>
  </si>
  <si>
    <t>ATE :</t>
  </si>
  <si>
    <t>Inventaire matériel :</t>
  </si>
  <si>
    <t>Chef d'exploitation :</t>
  </si>
  <si>
    <t>Technicien :</t>
  </si>
  <si>
    <t>Devis communiqués/Travaux éffectués :</t>
  </si>
  <si>
    <t>Informations clients</t>
  </si>
  <si>
    <t>Nom</t>
  </si>
  <si>
    <t>Adresse</t>
  </si>
  <si>
    <t>Partenaire :</t>
  </si>
  <si>
    <t>Client :</t>
  </si>
  <si>
    <t>Mail</t>
  </si>
  <si>
    <t>Téléphone</t>
  </si>
  <si>
    <t>Fonction</t>
  </si>
  <si>
    <t>Contact client :</t>
  </si>
  <si>
    <t>Objet avenant 2 :</t>
  </si>
  <si>
    <t>Date avenant 2 :</t>
  </si>
  <si>
    <t>4 avenue Vercors - 38243 MEYLAN CEDEX</t>
  </si>
  <si>
    <t>Nom contrat</t>
  </si>
  <si>
    <t>Date éch.</t>
  </si>
  <si>
    <t>Date pro. éch.</t>
  </si>
  <si>
    <t>Type reconduction</t>
  </si>
  <si>
    <t>Facturier</t>
  </si>
  <si>
    <t>Type contrat</t>
  </si>
  <si>
    <t>RAC Contractuel</t>
  </si>
  <si>
    <t>Recouvrement</t>
  </si>
  <si>
    <t>Date A1</t>
  </si>
  <si>
    <t>Objet A1</t>
  </si>
  <si>
    <t>Objet A2</t>
  </si>
  <si>
    <t>Date A2</t>
  </si>
  <si>
    <t>Nb heures</t>
  </si>
  <si>
    <t>Type E</t>
  </si>
  <si>
    <t>Secteur</t>
  </si>
  <si>
    <t>ATE</t>
  </si>
  <si>
    <t>Technicien</t>
  </si>
  <si>
    <t>Nom Part.</t>
  </si>
  <si>
    <t>Adresse Part.</t>
  </si>
  <si>
    <t>Nom Client</t>
  </si>
  <si>
    <t>Adresse Client</t>
  </si>
  <si>
    <t>Nom CC</t>
  </si>
  <si>
    <t>Mail CC</t>
  </si>
  <si>
    <t>Téléphone CC</t>
  </si>
  <si>
    <t>Fonction CC</t>
  </si>
  <si>
    <t>Tacite</t>
  </si>
  <si>
    <t>PF</t>
  </si>
  <si>
    <t>Ø</t>
  </si>
  <si>
    <t>Non</t>
  </si>
  <si>
    <t>Oui</t>
  </si>
  <si>
    <t>DMNI</t>
  </si>
  <si>
    <t>FONCIA IMMOBILIER</t>
  </si>
  <si>
    <t>51 cours Romestang - 38200 VIENNE</t>
  </si>
  <si>
    <t>SDC AULNES IMMEUBLE</t>
  </si>
  <si>
    <t>Zone d'habitation les vernes - 69700 GIVORS</t>
  </si>
  <si>
    <t>Tacite avec durée maximale</t>
  </si>
  <si>
    <t>Unique</t>
  </si>
  <si>
    <t>Pas de renouvellement</t>
  </si>
  <si>
    <t>Lettre recommandée</t>
  </si>
  <si>
    <t>MAY Julie</t>
  </si>
  <si>
    <t>ROCAMORA Patricia</t>
  </si>
  <si>
    <t>PACLET Claire</t>
  </si>
  <si>
    <t>AGUERO Jean Francois</t>
  </si>
  <si>
    <t>FLORIMONT Claire</t>
  </si>
  <si>
    <t>BATISTA Luis-Filipe</t>
  </si>
  <si>
    <t>MAY JULIE</t>
  </si>
  <si>
    <t>DMIR</t>
  </si>
  <si>
    <t>DMDD</t>
  </si>
  <si>
    <t>DMCK</t>
  </si>
  <si>
    <t>Chef Exploitation (automatique)</t>
  </si>
  <si>
    <t>Inventaire (Oui/Non)</t>
  </si>
  <si>
    <t>MB P1 (k€)</t>
  </si>
  <si>
    <t>CA P2 (k€)</t>
  </si>
  <si>
    <t>MB P2 (k€)</t>
  </si>
  <si>
    <t>CA P3 (k€)</t>
  </si>
  <si>
    <t>MB P3 (k€)</t>
  </si>
  <si>
    <t>CA P1 (k€)</t>
  </si>
  <si>
    <t>Nb Avenant (Ø/1/2/3)</t>
  </si>
  <si>
    <t>P3 Transparent (Oui/Non)</t>
  </si>
  <si>
    <t>CRISTAL HABITAT LE CRISTAL</t>
  </si>
  <si>
    <t>1 place du Forum - CHAMBERY LE HAUT 73025 CHAMBERY CEDEX</t>
  </si>
  <si>
    <t>25 rue de la Charité - 69002 LYON</t>
  </si>
  <si>
    <t>INSTITUT D'ETUDE POLITIQUE DE LYON</t>
  </si>
  <si>
    <t>14 avenue Berthelot - 69365 LYON CEDEX 07</t>
  </si>
  <si>
    <t>CHEZ GALIO S.A</t>
  </si>
  <si>
    <t>4 rue de la charité - 69002 LYON</t>
  </si>
  <si>
    <t xml:space="preserve">SDC FERRANDIERE </t>
  </si>
  <si>
    <t>28 rue St Anne de Barbaran - 69003 LYON</t>
  </si>
  <si>
    <t>HOTEL ALLODIS LE BELVEDERE</t>
  </si>
  <si>
    <t>B.P. 43 - 73550 MERIBEL LES ALLUES</t>
  </si>
  <si>
    <t>REGIE POZETTO</t>
  </si>
  <si>
    <t>82 cours Vitton 69457 - LYON CEDEX 06</t>
  </si>
  <si>
    <t xml:space="preserve">SDC IMMEUBLE INKERMANN </t>
  </si>
  <si>
    <t>12 ter rue d'Inkermann - 69006 LYON</t>
  </si>
  <si>
    <t>G.I. FRERES LUMIERE</t>
  </si>
  <si>
    <t>109 rue tête d'Or - 69062 LYON CEDEX 6</t>
  </si>
  <si>
    <t>CENTRE COMMERCIAL BROTTEAUX</t>
  </si>
  <si>
    <t>51 rue bellecombe - 69006 LYON</t>
  </si>
  <si>
    <t>CENTURY 21</t>
  </si>
  <si>
    <t>165 route de Vienne 69008 LYON</t>
  </si>
  <si>
    <t xml:space="preserve">MME VEUVE ETIENNE VERPILLEUX </t>
  </si>
  <si>
    <t>76 rue Garibaldi 69006 LYON</t>
  </si>
  <si>
    <t>QUADRAL IMMOBILIER</t>
  </si>
  <si>
    <t>17 quai Joseph Gillet - 69316 LYON CEDEX 04</t>
  </si>
  <si>
    <t>SDC IMMEUBLE GAMBETTA</t>
  </si>
  <si>
    <t>154 cours Gambetta - 69003 LYON</t>
  </si>
  <si>
    <t xml:space="preserve">AGIS ASSIST.GEST.IMMOB.SANDIER </t>
  </si>
  <si>
    <t>23 rue président Edouard Herriot - 69001 LYON</t>
  </si>
  <si>
    <t xml:space="preserve">SDC IMMEUBLE OPALINE </t>
  </si>
  <si>
    <t>65-67 allée d'Italie - 69007 LYON</t>
  </si>
  <si>
    <t xml:space="preserve">VENDOME SYNDIC </t>
  </si>
  <si>
    <t>109 rue tête d'or - 69006 LYON</t>
  </si>
  <si>
    <t xml:space="preserve">SDC ''FLANDIN 1'' </t>
  </si>
  <si>
    <t>1 rue Maurice Flandin - 69006 LYON</t>
  </si>
  <si>
    <t>SDC "19 ST ANTOINE"</t>
  </si>
  <si>
    <t>10 rue des émeraudes - CS 20028 - 69454 LYON CEDEX 06</t>
  </si>
  <si>
    <t xml:space="preserve">RÉGIE BILLON BOUVET BONNAMOUR </t>
  </si>
  <si>
    <t>68 avenue de Saxe - 69003 LYON</t>
  </si>
  <si>
    <t>BILLON BOUVET BONNAMOUR CPTE</t>
  </si>
  <si>
    <t>119 avenue de Saxe - 69003 LYON</t>
  </si>
  <si>
    <t>ORALIA ROSIER MODICA</t>
  </si>
  <si>
    <t>9 rue Juliette Motteroz - 69455 LYON CEDEX  6</t>
  </si>
  <si>
    <t>REGIE FRANCHET</t>
  </si>
  <si>
    <t xml:space="preserve"> 2 place Bellecour - 69002 LYON</t>
  </si>
  <si>
    <t>SDC DE L'IMMEUBLE ALBERT THOMAS</t>
  </si>
  <si>
    <t xml:space="preserve"> 119 cours Albert Thomas - 69003 LYON</t>
  </si>
  <si>
    <t>IMMO DE FRANCE - AIN</t>
  </si>
  <si>
    <t>7 rue de la grenouillère  - BP 1105 01009 BOURG EN BRESSE CEDEX</t>
  </si>
  <si>
    <t>COPRO DIPAS</t>
  </si>
  <si>
    <t>rue des Plattes - 01500 AMBERIEU EN BUGEY</t>
  </si>
  <si>
    <t>ORALIA SOGIMAT</t>
  </si>
  <si>
    <t xml:space="preserve"> 15 place Victor Hugo - 69170 TARARE</t>
  </si>
  <si>
    <t>C/O SYNDIC SOGIMAT</t>
  </si>
  <si>
    <t>21/22 rue Lamartine - 69170 TARARE</t>
  </si>
  <si>
    <t>MAISON DE RETRAITE LA PROVALIERE</t>
  </si>
  <si>
    <t>Communes Maurienne Galibier St-Michel - MAURIENNE 73140 ST-MICHEL-DE-MAURIENNE</t>
  </si>
  <si>
    <t>A.A.P.E.I L'EPANOU FOYERS</t>
  </si>
  <si>
    <t>8 rue Louis Breguet - 74600 SEYNOD</t>
  </si>
  <si>
    <t>REGIE LIMOUZI</t>
  </si>
  <si>
    <t xml:space="preserve">SDC ARCHE NORD / ARCHE SUD C/O </t>
  </si>
  <si>
    <t>REGIE PEDRINI L'EUROPE</t>
  </si>
  <si>
    <t>62 rue de Bonnel - 69448 LYON CEDEX 03</t>
  </si>
  <si>
    <t xml:space="preserve">SDC IMMEUBLE LE MANET </t>
  </si>
  <si>
    <t>11/15 avenue de l'Europe - 69140 RILLIEUX LA PAPE</t>
  </si>
  <si>
    <t>IMMO DE FRANCE AGENCE LYON</t>
  </si>
  <si>
    <t>50 cours Franklin Roosevelt 69006 LYON</t>
  </si>
  <si>
    <t xml:space="preserve">SDC ''MARECHAL LECLERC'' </t>
  </si>
  <si>
    <t>154 route de Genas &amp; 12/16 rue de Charny - 69100 VILLEURBANNE</t>
  </si>
  <si>
    <t>FONCIA COUPAT</t>
  </si>
  <si>
    <t>140 rue Garibaldi - 69455 LYON CEDEX 06</t>
  </si>
  <si>
    <t>SDC IMMEUBLE ''111 SEZE''</t>
  </si>
  <si>
    <t>10 rue de la République - 69001 LYON</t>
  </si>
  <si>
    <t>SAS LES PORTES DE GENEVE RESIDENCE LA RESERVE</t>
  </si>
  <si>
    <t>1 avenue du Jura - 01210 FERNEY-VOLTAIRE</t>
  </si>
  <si>
    <t>REGIE PAUTET</t>
  </si>
  <si>
    <t>86ter avenue Jean Jaures - 69800 SAINT-PRIEST</t>
  </si>
  <si>
    <t>SDC DU JULES VERNE</t>
  </si>
  <si>
    <t>71-77 rue Jules Verne Manissieux - 69800 SAINT PRIEST</t>
  </si>
  <si>
    <t>URBANIA BENON S.A.S</t>
  </si>
  <si>
    <t>15 rue de l'étoile boite postale 70 - 01002 BOURG EN BRESSE CEDEX</t>
  </si>
  <si>
    <t>SYNDIC. COPRO RESIDENCE LE THEMIS</t>
  </si>
  <si>
    <t>3 rue du 23ème Ri - 01000 BOURG-EN-BRESSE</t>
  </si>
  <si>
    <t>SCI PORTE-TOIT 1</t>
  </si>
  <si>
    <t>1 avenue de la houille blanche - 73000 CHAMBERY</t>
  </si>
  <si>
    <t xml:space="preserve">COMMUNE DE MEYLAN SERVICES FINANCES BP 99 </t>
  </si>
  <si>
    <t>SCM DES DOCTEURS LOUIS BALLY &amp; ASSOCIES</t>
  </si>
  <si>
    <t>28bis avenue des anciens comattants - 01000 BOURG EN BRESSE</t>
  </si>
  <si>
    <t>ALBANNE S.A.</t>
  </si>
  <si>
    <t>16 rue de juiverie - 73000 CHAMBERY</t>
  </si>
  <si>
    <t>COPRO. DU BUGEY-POLE DE SCES LE TRIOLET</t>
  </si>
  <si>
    <t>rue du pré de l'âne - 73000 CHAMBERY</t>
  </si>
  <si>
    <t>EPA MASSE DES DOUANES</t>
  </si>
  <si>
    <t xml:space="preserve"> 6 rue Charles Biennier - BOITE POSTALE 2353 69215 LYON CEDEX 02</t>
  </si>
  <si>
    <t>EPA MASSE DES DOUANES CHAMBERY</t>
  </si>
  <si>
    <t>1 rue Waldeck Rouseau - BP 1154 73011 CHAMBERY CEDEX</t>
  </si>
  <si>
    <t>COMMUNE DE MONT DE LANS</t>
  </si>
  <si>
    <t>Mairie de Mont de Lans - 38860 LES DEUX ALPES</t>
  </si>
  <si>
    <t>SAS ALLIANCE RESEAUX 26 RUE SAINT EXUPERY</t>
  </si>
  <si>
    <t>Zi du plan pinet - BP 144 73303 ST JEAN DE MAURIENNE CEDEX</t>
  </si>
  <si>
    <t>EHPAD SALEVE-GLIERES</t>
  </si>
  <si>
    <t>62 rue frères - 74350 CRUSEILLES</t>
  </si>
  <si>
    <t>IRSTEA GROUPEMENT DE GRENOBLE</t>
  </si>
  <si>
    <t>BP 76 - 38402 ST MARTIN D HERES CEDEX</t>
  </si>
  <si>
    <t>SCM SANTE DR ROUSSEL GERANT</t>
  </si>
  <si>
    <t>326 avenue maréchal Foch - 01400 CHATILLON SUR CHALARONNE</t>
  </si>
  <si>
    <t>SDC "19 ST ANTOINE" C/O</t>
  </si>
  <si>
    <t xml:space="preserve">10 rue des émeraudes - CS 20028 69454 LYON CEDEX </t>
  </si>
  <si>
    <t>SIVOM DE L'EST GESSIEN MULTIPLE DE L'EST GESSIEN</t>
  </si>
  <si>
    <t xml:space="preserve"> 5 avenue des Alpes - 01210 FERNEY-VOLTAIRE</t>
  </si>
  <si>
    <t>ORALIA ROSIER MODICA MOTTEROZ</t>
  </si>
  <si>
    <t xml:space="preserve"> 14 rue LT colonel Prévost - 69455 LYON CEDEX 06</t>
  </si>
  <si>
    <t>BUREAUX TOUR PANORAMIQUE SOUS STATION</t>
  </si>
  <si>
    <t xml:space="preserve"> 48bis la Duchère - 69009 LYON</t>
  </si>
  <si>
    <t>Copie contrat</t>
  </si>
  <si>
    <t>Copie avenant</t>
  </si>
  <si>
    <t>X</t>
  </si>
  <si>
    <t/>
  </si>
  <si>
    <t>D95493P</t>
  </si>
  <si>
    <t>DMNP</t>
  </si>
  <si>
    <t>GERALP</t>
  </si>
  <si>
    <t>95-98 avenue Ravanel le rouge BP5 - 74401 CHAMONIX MONT BLANC CEDEX</t>
  </si>
  <si>
    <t>COPRO LES ESSERTS</t>
  </si>
  <si>
    <t>278 rue de l'Hessert - 74310 LES HOUCHES</t>
  </si>
  <si>
    <t>COPRO LA MARMOTTANE</t>
  </si>
  <si>
    <t>9 place de la résistance - 38580 ALLEVARD</t>
  </si>
  <si>
    <t>33 avenue de Savoie - 38580 ALLEVARD</t>
  </si>
  <si>
    <t>D97288K</t>
  </si>
  <si>
    <t>PELISSOU RONZINO</t>
  </si>
  <si>
    <t>16 boulevard Edouard Rey</t>
  </si>
  <si>
    <t>RESIDENCE PRIMAVERA</t>
  </si>
  <si>
    <t>134 rue Joliot Curie - 38600 FONTAINE</t>
  </si>
  <si>
    <t>D004SAN</t>
  </si>
  <si>
    <t>AFEPA - SERVICE COMPTA</t>
  </si>
  <si>
    <t>3 boulevard Costa de Beauregard - 74600 SEYNOD</t>
  </si>
  <si>
    <t>D00BMZL</t>
  </si>
  <si>
    <t>CRAM ZA DES GARENNES</t>
  </si>
  <si>
    <t>6 rue Levassor - 78130 LES MUREAUX</t>
  </si>
  <si>
    <t>COLLEGE JEAN ROSTANT</t>
  </si>
  <si>
    <t>5 rue Marcel Gaget - 01100 ARBENT</t>
  </si>
  <si>
    <t>DMDL</t>
  </si>
  <si>
    <t>EST METROPOLE HABITAT COPRO LULLY</t>
  </si>
  <si>
    <t>10 avenue des Canuts CS 10036 - 69517 VAUX EN VELIN CEDEX</t>
  </si>
  <si>
    <t>DMDN</t>
  </si>
  <si>
    <t>AFPA RHONES ALPES</t>
  </si>
  <si>
    <t>35 boulevard de Jodino CS 80017 - 69631 VENISSIEUX CEDEX</t>
  </si>
  <si>
    <t xml:space="preserve">DISTRIBUTION CASINO FR </t>
  </si>
  <si>
    <t>1 esplanade de France BP 316 - 42008 ST ETIENNE CEDEX 2</t>
  </si>
  <si>
    <t>DUBOURG Florence</t>
  </si>
  <si>
    <t>DMDK</t>
  </si>
  <si>
    <t>JC. BOUFFANET</t>
  </si>
  <si>
    <t>COLLEGE JACQUES PREVERT</t>
  </si>
  <si>
    <t>2bis rue de Jean Charnoz - 01630 ST GENIS POUILLY</t>
  </si>
  <si>
    <t>LAMBERT Maryline</t>
  </si>
  <si>
    <t>Facturier associé</t>
  </si>
  <si>
    <t>NICOLLET Patricia</t>
  </si>
  <si>
    <t>NICCOLET Patricia</t>
  </si>
  <si>
    <t>MILLION Nathalie</t>
  </si>
  <si>
    <t>Fichiers joints</t>
  </si>
  <si>
    <t>Supplément</t>
  </si>
  <si>
    <t>Contrat</t>
  </si>
  <si>
    <t>Contrat/A1/A2</t>
  </si>
  <si>
    <t>A1</t>
  </si>
  <si>
    <t>Contrat/A1</t>
  </si>
  <si>
    <t>Renouvellement</t>
  </si>
  <si>
    <t>A2</t>
  </si>
  <si>
    <t>P3 Entretien + Garantie</t>
  </si>
  <si>
    <t>Maintenance matériel</t>
  </si>
  <si>
    <t>Diminuer P2/P3</t>
  </si>
  <si>
    <t>Exclusivité des droits</t>
  </si>
  <si>
    <t>Diminuer prestations P2</t>
  </si>
  <si>
    <t>Transfert de droits</t>
  </si>
  <si>
    <t>Précisions garantie + redéfinition formules de révision P2/P3</t>
  </si>
  <si>
    <t>Prise en charge gendarmerie</t>
  </si>
  <si>
    <t>Modification du prix</t>
  </si>
  <si>
    <t>MàJ matériel</t>
  </si>
  <si>
    <t>Prise en charge installations</t>
  </si>
  <si>
    <t>Révision montant P2 + prise en charge nouveau matériel</t>
  </si>
  <si>
    <t>Prise en charge d'équipements supp.</t>
  </si>
  <si>
    <t>Prise en charge de deux batiments par l'OPAC</t>
  </si>
  <si>
    <t>Suppression prestations annuelles</t>
  </si>
  <si>
    <t>Reconduction (identique)</t>
  </si>
  <si>
    <t>Pièces contractuelles</t>
  </si>
  <si>
    <t>Modification modalité paiement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</si>
</sst>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0"/>
      <name val="Arial"/>
      <family val="2"/>
    </font>
    <font>
      <sz val="1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u/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7" tint="0.79998168889431442"/>
        <bgColor indexed="64"/>
      </patternFill>
    </fill>
  </fills>
  <borders count="38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theme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1"/>
      </left>
      <right style="thin">
        <color indexed="64"/>
      </right>
      <top style="thin">
        <color auto="1"/>
      </top>
      <bottom/>
      <diagonal/>
    </border>
    <border>
      <left style="thin">
        <color theme="1"/>
      </left>
      <right style="thin">
        <color indexed="64"/>
      </right>
      <top/>
      <bottom/>
      <diagonal/>
    </border>
    <border>
      <left style="thin">
        <color theme="1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6" fillId="0" borderId="0"/>
  </cellStyleXfs>
  <cellXfs count="116">
    <xf numFmtId="0" fontId="0" fillId="0" borderId="0" xfId="0"/>
    <xf numFmtId="0" fontId="1" fillId="2" borderId="1" xfId="0" applyFont="1" applyFill="1" applyBorder="1"/>
    <xf numFmtId="0" fontId="0" fillId="0" borderId="2" xfId="0" applyFont="1" applyBorder="1"/>
    <xf numFmtId="14" fontId="0" fillId="0" borderId="2" xfId="0" applyNumberFormat="1" applyFont="1" applyBorder="1" applyAlignment="1">
      <alignment horizontal="left"/>
    </xf>
    <xf numFmtId="0" fontId="3" fillId="3" borderId="1" xfId="0" applyFont="1" applyFill="1" applyBorder="1"/>
    <xf numFmtId="0" fontId="1" fillId="6" borderId="3" xfId="0" applyFont="1" applyFill="1" applyBorder="1" applyAlignment="1">
      <alignment horizontal="center"/>
    </xf>
    <xf numFmtId="0" fontId="0" fillId="6" borderId="4" xfId="0" applyFill="1" applyBorder="1"/>
    <xf numFmtId="0" fontId="1" fillId="6" borderId="8" xfId="0" applyFont="1" applyFill="1" applyBorder="1" applyAlignment="1">
      <alignment horizontal="center" vertical="center"/>
    </xf>
    <xf numFmtId="0" fontId="0" fillId="6" borderId="9" xfId="0" applyFill="1" applyBorder="1"/>
    <xf numFmtId="14" fontId="0" fillId="0" borderId="0" xfId="0" applyNumberFormat="1"/>
    <xf numFmtId="0" fontId="0" fillId="0" borderId="0" xfId="0" applyNumberFormat="1"/>
    <xf numFmtId="0" fontId="1" fillId="0" borderId="0" xfId="0" applyFont="1"/>
    <xf numFmtId="0" fontId="4" fillId="0" borderId="0" xfId="0" applyFont="1"/>
    <xf numFmtId="0" fontId="0" fillId="0" borderId="0" xfId="0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0" xfId="0" applyFont="1" applyBorder="1"/>
    <xf numFmtId="0" fontId="0" fillId="0" borderId="19" xfId="0" applyBorder="1"/>
    <xf numFmtId="10" fontId="0" fillId="0" borderId="19" xfId="0" applyNumberFormat="1" applyBorder="1"/>
    <xf numFmtId="0" fontId="0" fillId="4" borderId="19" xfId="0" applyNumberFormat="1" applyFill="1" applyBorder="1"/>
    <xf numFmtId="0" fontId="1" fillId="0" borderId="0" xfId="0" applyFont="1" applyAlignment="1">
      <alignment horizontal="left"/>
    </xf>
    <xf numFmtId="0" fontId="0" fillId="0" borderId="0" xfId="0" applyBorder="1"/>
    <xf numFmtId="0" fontId="0" fillId="0" borderId="20" xfId="0" applyBorder="1"/>
    <xf numFmtId="0" fontId="1" fillId="0" borderId="16" xfId="0" applyFont="1" applyBorder="1"/>
    <xf numFmtId="0" fontId="0" fillId="0" borderId="18" xfId="0" applyBorder="1"/>
    <xf numFmtId="0" fontId="1" fillId="0" borderId="22" xfId="0" applyFont="1" applyBorder="1" applyAlignment="1">
      <alignment horizontal="center"/>
    </xf>
    <xf numFmtId="0" fontId="0" fillId="0" borderId="17" xfId="0" applyBorder="1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3" fillId="0" borderId="0" xfId="1" applyFont="1" applyFill="1" applyAlignment="1">
      <alignment horizontal="center"/>
    </xf>
    <xf numFmtId="0" fontId="2" fillId="0" borderId="0" xfId="1"/>
    <xf numFmtId="0" fontId="0" fillId="0" borderId="2" xfId="0" applyNumberFormat="1" applyFont="1" applyBorder="1"/>
    <xf numFmtId="0" fontId="0" fillId="0" borderId="28" xfId="0" applyFont="1" applyFill="1" applyBorder="1"/>
    <xf numFmtId="0" fontId="0" fillId="0" borderId="27" xfId="0" applyBorder="1" applyAlignment="1">
      <alignment horizontal="left"/>
    </xf>
    <xf numFmtId="2" fontId="0" fillId="0" borderId="0" xfId="0" applyNumberFormat="1"/>
    <xf numFmtId="0" fontId="0" fillId="0" borderId="29" xfId="0" applyBorder="1"/>
    <xf numFmtId="0" fontId="0" fillId="0" borderId="29" xfId="0" applyFont="1" applyBorder="1"/>
    <xf numFmtId="14" fontId="0" fillId="0" borderId="29" xfId="0" applyNumberFormat="1" applyBorder="1"/>
    <xf numFmtId="0" fontId="0" fillId="0" borderId="29" xfId="0" applyFill="1" applyBorder="1"/>
    <xf numFmtId="0" fontId="0" fillId="5" borderId="29" xfId="0" applyFont="1" applyFill="1" applyBorder="1"/>
    <xf numFmtId="0" fontId="0" fillId="0" borderId="29" xfId="0" applyFont="1" applyBorder="1" applyAlignment="1">
      <alignment horizontal="left" vertical="center"/>
    </xf>
    <xf numFmtId="0" fontId="0" fillId="0" borderId="19" xfId="0" applyBorder="1" applyAlignment="1">
      <alignment horizontal="center"/>
    </xf>
    <xf numFmtId="0" fontId="0" fillId="0" borderId="30" xfId="0" applyFont="1" applyBorder="1" applyAlignment="1">
      <alignment horizontal="left" vertical="center"/>
    </xf>
    <xf numFmtId="0" fontId="0" fillId="0" borderId="30" xfId="0" applyFont="1" applyBorder="1"/>
    <xf numFmtId="14" fontId="0" fillId="0" borderId="30" xfId="0" applyNumberFormat="1" applyBorder="1"/>
    <xf numFmtId="0" fontId="0" fillId="0" borderId="30" xfId="0" applyBorder="1"/>
    <xf numFmtId="0" fontId="0" fillId="0" borderId="19" xfId="0" applyBorder="1" applyAlignment="1">
      <alignment wrapText="1"/>
    </xf>
    <xf numFmtId="14" fontId="0" fillId="0" borderId="19" xfId="0" applyNumberFormat="1" applyBorder="1"/>
    <xf numFmtId="0" fontId="7" fillId="0" borderId="2" xfId="1" applyFont="1" applyBorder="1"/>
    <xf numFmtId="0" fontId="0" fillId="0" borderId="31" xfId="0" applyFont="1" applyFill="1" applyBorder="1"/>
    <xf numFmtId="0" fontId="0" fillId="0" borderId="31" xfId="0" applyFill="1" applyBorder="1" applyAlignment="1">
      <alignment horizontal="center"/>
    </xf>
    <xf numFmtId="0" fontId="0" fillId="0" borderId="34" xfId="0" applyBorder="1"/>
    <xf numFmtId="0" fontId="0" fillId="0" borderId="31" xfId="0" applyFont="1" applyFill="1" applyBorder="1" applyAlignment="1">
      <alignment horizontal="center"/>
    </xf>
    <xf numFmtId="14" fontId="0" fillId="5" borderId="29" xfId="0" applyNumberFormat="1" applyFill="1" applyBorder="1"/>
    <xf numFmtId="0" fontId="0" fillId="0" borderId="29" xfId="0" applyFont="1" applyFill="1" applyBorder="1"/>
    <xf numFmtId="0" fontId="0" fillId="7" borderId="31" xfId="0" applyFont="1" applyFill="1" applyBorder="1"/>
    <xf numFmtId="0" fontId="0" fillId="7" borderId="31" xfId="0" applyFill="1" applyBorder="1" applyAlignment="1">
      <alignment horizontal="center"/>
    </xf>
    <xf numFmtId="0" fontId="0" fillId="7" borderId="31" xfId="0" applyFont="1" applyFill="1" applyBorder="1" applyAlignment="1">
      <alignment horizontal="left" vertical="center"/>
    </xf>
    <xf numFmtId="0" fontId="0" fillId="7" borderId="36" xfId="0" applyFill="1" applyBorder="1"/>
    <xf numFmtId="0" fontId="0" fillId="0" borderId="36" xfId="0" applyBorder="1"/>
    <xf numFmtId="0" fontId="0" fillId="7" borderId="37" xfId="0" applyFill="1" applyBorder="1"/>
    <xf numFmtId="0" fontId="0" fillId="0" borderId="2" xfId="0" applyFont="1" applyFill="1" applyBorder="1"/>
    <xf numFmtId="0" fontId="0" fillId="0" borderId="2" xfId="0" applyFont="1" applyFill="1" applyBorder="1" applyAlignment="1">
      <alignment horizontal="left" vertical="center"/>
    </xf>
    <xf numFmtId="0" fontId="0" fillId="0" borderId="0" xfId="0" applyFill="1"/>
    <xf numFmtId="0" fontId="7" fillId="0" borderId="36" xfId="0" applyFont="1" applyBorder="1"/>
    <xf numFmtId="0" fontId="0" fillId="5" borderId="31" xfId="0" applyFill="1" applyBorder="1" applyAlignment="1">
      <alignment horizontal="center"/>
    </xf>
    <xf numFmtId="0" fontId="7" fillId="0" borderId="36" xfId="1" applyFont="1" applyBorder="1"/>
    <xf numFmtId="0" fontId="7" fillId="0" borderId="36" xfId="1" applyFont="1" applyFill="1" applyBorder="1"/>
    <xf numFmtId="0" fontId="7" fillId="0" borderId="36" xfId="0" applyFont="1" applyFill="1" applyBorder="1"/>
    <xf numFmtId="0" fontId="7" fillId="7" borderId="36" xfId="1" applyFont="1" applyFill="1" applyBorder="1"/>
    <xf numFmtId="0" fontId="7" fillId="7" borderId="36" xfId="0" applyFont="1" applyFill="1" applyBorder="1"/>
    <xf numFmtId="14" fontId="1" fillId="8" borderId="1" xfId="0" applyNumberFormat="1" applyFont="1" applyFill="1" applyBorder="1" applyAlignment="1">
      <alignment horizontal="left"/>
    </xf>
    <xf numFmtId="14" fontId="1" fillId="8" borderId="1" xfId="0" applyNumberFormat="1" applyFont="1" applyFill="1" applyBorder="1" applyAlignment="1">
      <alignment horizontal="left" vertical="center" wrapText="1"/>
    </xf>
    <xf numFmtId="0" fontId="1" fillId="8" borderId="1" xfId="0" applyFont="1" applyFill="1" applyBorder="1"/>
    <xf numFmtId="0" fontId="0" fillId="0" borderId="19" xfId="0" applyFill="1" applyBorder="1" applyAlignment="1">
      <alignment wrapText="1"/>
    </xf>
    <xf numFmtId="0" fontId="0" fillId="0" borderId="29" xfId="0" applyBorder="1" applyAlignment="1">
      <alignment horizontal="right"/>
    </xf>
    <xf numFmtId="0" fontId="0" fillId="0" borderId="0" xfId="0" applyAlignment="1">
      <alignment horizontal="right"/>
    </xf>
    <xf numFmtId="0" fontId="0" fillId="0" borderId="19" xfId="0" applyBorder="1" applyAlignment="1">
      <alignment horizontal="left" wrapText="1"/>
    </xf>
    <xf numFmtId="0" fontId="0" fillId="0" borderId="29" xfId="0" applyBorder="1" applyAlignment="1">
      <alignment horizontal="left"/>
    </xf>
    <xf numFmtId="0" fontId="0" fillId="0" borderId="30" xfId="0" applyBorder="1" applyAlignment="1">
      <alignment horizontal="left"/>
    </xf>
    <xf numFmtId="0" fontId="7" fillId="0" borderId="0" xfId="1" applyFont="1" applyBorder="1"/>
    <xf numFmtId="0" fontId="7" fillId="0" borderId="0" xfId="1" applyFont="1" applyFill="1" applyBorder="1"/>
    <xf numFmtId="0" fontId="0" fillId="7" borderId="35" xfId="0" applyFill="1" applyBorder="1"/>
    <xf numFmtId="0" fontId="0" fillId="7" borderId="33" xfId="0" applyFont="1" applyFill="1" applyBorder="1"/>
    <xf numFmtId="0" fontId="0" fillId="7" borderId="33" xfId="0" applyFill="1" applyBorder="1" applyAlignment="1">
      <alignment horizontal="center"/>
    </xf>
    <xf numFmtId="0" fontId="0" fillId="7" borderId="32" xfId="0" applyFill="1" applyBorder="1" applyAlignment="1">
      <alignment horizontal="center"/>
    </xf>
    <xf numFmtId="0" fontId="7" fillId="7" borderId="37" xfId="1" applyFont="1" applyFill="1" applyBorder="1"/>
    <xf numFmtId="0" fontId="0" fillId="7" borderId="32" xfId="0" applyFont="1" applyFill="1" applyBorder="1"/>
    <xf numFmtId="0" fontId="1" fillId="0" borderId="0" xfId="0" applyFont="1" applyAlignment="1">
      <alignment horizontal="left"/>
    </xf>
    <xf numFmtId="0" fontId="0" fillId="6" borderId="5" xfId="0" applyFill="1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/>
    </xf>
    <xf numFmtId="0" fontId="0" fillId="6" borderId="10" xfId="0" applyFill="1" applyBorder="1" applyAlignment="1">
      <alignment horizontal="center" vertical="center"/>
    </xf>
    <xf numFmtId="0" fontId="0" fillId="6" borderId="11" xfId="0" applyFill="1" applyBorder="1" applyAlignment="1">
      <alignment horizontal="center" vertical="center"/>
    </xf>
    <xf numFmtId="0" fontId="0" fillId="6" borderId="12" xfId="0" applyFill="1" applyBorder="1" applyAlignment="1">
      <alignment horizontal="center" vertical="center"/>
    </xf>
    <xf numFmtId="0" fontId="0" fillId="0" borderId="13" xfId="0" applyBorder="1" applyAlignment="1">
      <alignment horizontal="center"/>
    </xf>
    <xf numFmtId="0" fontId="1" fillId="6" borderId="14" xfId="0" applyFont="1" applyFill="1" applyBorder="1" applyAlignment="1">
      <alignment horizontal="center"/>
    </xf>
    <xf numFmtId="0" fontId="1" fillId="6" borderId="13" xfId="0" applyFont="1" applyFill="1" applyBorder="1" applyAlignment="1">
      <alignment horizontal="center"/>
    </xf>
    <xf numFmtId="0" fontId="1" fillId="6" borderId="15" xfId="0" applyFont="1" applyFill="1" applyBorder="1" applyAlignment="1">
      <alignment horizontal="center"/>
    </xf>
    <xf numFmtId="0" fontId="10" fillId="0" borderId="0" xfId="1" applyFont="1" applyAlignment="1">
      <alignment horizontal="left"/>
    </xf>
    <xf numFmtId="0" fontId="0" fillId="0" borderId="0" xfId="0" applyAlignment="1">
      <alignment horizontal="left"/>
    </xf>
    <xf numFmtId="0" fontId="1" fillId="0" borderId="16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8" xfId="0" applyBorder="1" applyAlignment="1">
      <alignment horizontal="center"/>
    </xf>
    <xf numFmtId="0" fontId="1" fillId="4" borderId="16" xfId="0" applyFont="1" applyFill="1" applyBorder="1" applyAlignment="1">
      <alignment horizontal="left"/>
    </xf>
    <xf numFmtId="0" fontId="1" fillId="4" borderId="18" xfId="0" applyFont="1" applyFill="1" applyBorder="1" applyAlignment="1">
      <alignment horizontal="left"/>
    </xf>
    <xf numFmtId="0" fontId="0" fillId="0" borderId="24" xfId="0" applyBorder="1" applyAlignment="1">
      <alignment horizontal="left"/>
    </xf>
    <xf numFmtId="0" fontId="0" fillId="0" borderId="26" xfId="0" applyBorder="1" applyAlignment="1">
      <alignment horizontal="left"/>
    </xf>
    <xf numFmtId="0" fontId="0" fillId="0" borderId="25" xfId="0" applyBorder="1" applyAlignment="1">
      <alignment horizontal="left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</cellXfs>
  <cellStyles count="3">
    <cellStyle name="Lien hypertexte" xfId="1" builtinId="8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276225</xdr:colOff>
      <xdr:row>1</xdr:row>
      <xdr:rowOff>57150</xdr:rowOff>
    </xdr:from>
    <xdr:to>
      <xdr:col>0</xdr:col>
      <xdr:colOff>638175</xdr:colOff>
      <xdr:row>2</xdr:row>
      <xdr:rowOff>152400</xdr:rowOff>
    </xdr:to>
    <xdr:sp macro="[0]!RENVOI_ONGLET_LISTE_CONTRATS" textlink="">
      <xdr:nvSpPr>
        <xdr:cNvPr id="2" name="Flèche : droite 1">
          <a:extLst>
            <a:ext uri="{FF2B5EF4-FFF2-40B4-BE49-F238E27FC236}">
              <a16:creationId xmlns:a16="http://schemas.microsoft.com/office/drawing/2014/main" xmlns="" id="{7F4076F1-7C0C-48A9-81EF-267931E6E089}"/>
            </a:ext>
          </a:extLst>
        </xdr:cNvPr>
        <xdr:cNvSpPr/>
      </xdr:nvSpPr>
      <xdr:spPr>
        <a:xfrm rot="10800000">
          <a:off x="276225" y="257175"/>
          <a:ext cx="361950" cy="285750"/>
        </a:xfrm>
        <a:prstGeom prst="rightArrow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561975</xdr:colOff>
      <xdr:row>0</xdr:row>
      <xdr:rowOff>47625</xdr:rowOff>
    </xdr:from>
    <xdr:to>
      <xdr:col>0</xdr:col>
      <xdr:colOff>742950</xdr:colOff>
      <xdr:row>0</xdr:row>
      <xdr:rowOff>171450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xmlns="" id="{FB3AB49B-831F-46F4-94F3-C93B3C368DAD}"/>
            </a:ext>
          </a:extLst>
        </xdr:cNvPr>
        <xdr:cNvSpPr/>
      </xdr:nvSpPr>
      <xdr:spPr>
        <a:xfrm>
          <a:off x="561975" y="47625"/>
          <a:ext cx="180975" cy="123825"/>
        </a:xfrm>
        <a:prstGeom prst="rect">
          <a:avLst/>
        </a:prstGeom>
        <a:solidFill>
          <a:schemeClr val="bg1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209549</xdr:colOff>
      <xdr:row>0</xdr:row>
      <xdr:rowOff>228600</xdr:rowOff>
    </xdr:from>
    <xdr:to>
      <xdr:col>6</xdr:col>
      <xdr:colOff>581024</xdr:colOff>
      <xdr:row>1</xdr:row>
      <xdr:rowOff>133350</xdr:rowOff>
    </xdr:to>
    <xdr:sp macro="[0]!RENVOI_ONGLET_LISTE_CONTRATS" textlink="">
      <xdr:nvSpPr>
        <xdr:cNvPr id="2" name="Flèche : droite 1">
          <a:extLst>
            <a:ext uri="{FF2B5EF4-FFF2-40B4-BE49-F238E27FC236}">
              <a16:creationId xmlns:a16="http://schemas.microsoft.com/office/drawing/2014/main" xmlns="" id="{D59C1744-B912-4BEE-AD26-51242C014A97}"/>
            </a:ext>
          </a:extLst>
        </xdr:cNvPr>
        <xdr:cNvSpPr/>
      </xdr:nvSpPr>
      <xdr:spPr>
        <a:xfrm rot="10800000">
          <a:off x="6476999" y="228600"/>
          <a:ext cx="371475" cy="285750"/>
        </a:xfrm>
        <a:prstGeom prst="rightArrow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3" Type="http://schemas.openxmlformats.org/officeDocument/2006/relationships/hyperlink" Target="PIECES_CONTRACTUELLES\0059097J%20-%20LYON%2069%20-%20DUCHERE%20RCU%20-%20ST48BIS%20-%20P2%20SECONDAIRE\CONTRAT+AVENANT_ST-48BIS_0059097J.pdf" TargetMode="External"/><Relationship Id="rId18" Type="http://schemas.openxmlformats.org/officeDocument/2006/relationships/hyperlink" Target="PIECES_CONTRACTUELLES\0082193Z%20-%20ST%20MICHEL%20DE%20MAURIENNE%2073%20-%20MAPAD\AVENANT_MAPAD_0082193Z.pdf" TargetMode="External"/><Relationship Id="rId26" Type="http://schemas.openxmlformats.org/officeDocument/2006/relationships/hyperlink" Target="PIECES_CONTRACTUELLES\3004560T%20-%20FERNEY%20VOLTAIRE%2001%20-%20SAS%20LES%20PORTES%20DE%20GENEVE-RES%20LA%20RESERVE\CONTRAT+AVENANT_SAS%20LES%20PORTES%20DE%20GENEVES-RESLA%20RESERVE_3004560T.pdf" TargetMode="External"/><Relationship Id="rId39" Type="http://schemas.openxmlformats.org/officeDocument/2006/relationships/hyperlink" Target="PIECES_CONTRACTUELLES\3028742L%20-%20CRUSEILLES%2074%20-%20EHPAD%20SAINT%20MAURICE\CONTRAT_EHPAD%20SAINT%20MAURICE_3028742L.pdf" TargetMode="External"/><Relationship Id="rId21" Type="http://schemas.openxmlformats.org/officeDocument/2006/relationships/hyperlink" Target="PIECES_CONTRACTUELLES\0097858K%20-%20RILLIEUX%2069%20-%20SECOND.NORD%20-%20SST%2028%20BAT%20M1%20LE%20MANET\CONTRAT_LE%20MANET_0097858K.pdf" TargetMode="External"/><Relationship Id="rId34" Type="http://schemas.openxmlformats.org/officeDocument/2006/relationships/hyperlink" Target="PIECES_CONTRACTUELLES\3020982B%20-%20MODANE%2073%20-%20IMMEUBLE%20BATIMENT%20DES%20DOUANES\CONTRAT_IMMEUBLE%20BATIMENT%20DES%20DOUANES_3020982B.pdf" TargetMode="External"/><Relationship Id="rId42" Type="http://schemas.openxmlformats.org/officeDocument/2006/relationships/hyperlink" Target="PIECES_CONTRACTUELLES\3017624H%20-%20ALLERVARD%20LES%20BAINS%2038%20-%20SST%20XX%20LES%20MARMOTTANE\CONTRAT_MARMOTTANE_3017624H.pdf" TargetMode="External"/><Relationship Id="rId47" Type="http://schemas.openxmlformats.org/officeDocument/2006/relationships/printerSettings" Target="../printerSettings/printerSettings4.bin"/><Relationship Id="rId50" Type="http://schemas.openxmlformats.org/officeDocument/2006/relationships/comments" Target="../comments2.xml"/><Relationship Id="rId7" Type="http://schemas.openxmlformats.org/officeDocument/2006/relationships/hyperlink" Target="PIECES_CONTRACTUELLES\0052669B%20-%20LYON%2069%20-%20RESIDENCE%20OPALINE%20ZAC%20GERLAND\CONTRAT+AVENANT_RESIDENCE%20OPALINE%20ZAC%20GERLAND_0052669B.pdf" TargetMode="External"/><Relationship Id="rId2" Type="http://schemas.openxmlformats.org/officeDocument/2006/relationships/hyperlink" Target="PIECES_CONTRACTUELLES\0051746L%20-%20LYON%2069%20-%20SST%20C003%20-%20LA%20FERRANDIERE%20(ELVYA)\CONTRAT_LA%20FERRANDIERE%20(ELVYA)_0051746L.pdf" TargetMode="External"/><Relationship Id="rId16" Type="http://schemas.openxmlformats.org/officeDocument/2006/relationships/hyperlink" Target="PIECES_CONTRACTUELLES\0080931N%20-%20BARBY%2073%20-%20FOYER%20LES%20EPINETTES\CONTRAT+AVENANT_FOYER%20EPINETTES_0080931N.pdf" TargetMode="External"/><Relationship Id="rId29" Type="http://schemas.openxmlformats.org/officeDocument/2006/relationships/hyperlink" Target="PIECES_CONTRACTUELLES\3014440T%20-%20CHAMBERY%2073%20-%20INDIGGO\CONTRAT_INDIGGO_3014440T.pdf" TargetMode="External"/><Relationship Id="rId11" Type="http://schemas.openxmlformats.org/officeDocument/2006/relationships/hyperlink" Target="PIECES_CONTRACTUELLES\0053903A%20-%20LYON%2069%20-%20SST%20XX%20-%20IMMEUBLE%20102%20RUE%20MONTGOLFIER%20(ELVYA)\CONTRAT_IMMEUBLE%20102%20RUE%20DE%20MONTGOLFIER(ELVYA)_0053903A.pdf" TargetMode="External"/><Relationship Id="rId24" Type="http://schemas.openxmlformats.org/officeDocument/2006/relationships/hyperlink" Target="PIECES_CONTRACTUELLES\0101895Y%20-%20VILLEURBANNE%2069%20-%20RESIDENCE%20MARECHAL%20LECLERC\0101895Y_RENNOUVELLEMENT.PNG" TargetMode="External"/><Relationship Id="rId32" Type="http://schemas.openxmlformats.org/officeDocument/2006/relationships/hyperlink" Target="PIECES_CONTRACTUELLES\3017154P%20-%20BOURG%20EN%20BRESSE%2001%20-%20SCM%20IRM%20DE%20L'AIN%20-%20CLINIQUE%20CONVERT\CONTRAT_SCM%20IRM%20DE%20L'AIN_3017154P.pdf" TargetMode="External"/><Relationship Id="rId37" Type="http://schemas.openxmlformats.org/officeDocument/2006/relationships/hyperlink" Target="PIECES_CONTRACTUELLES\3026041H%20-%20VILLEURBANNE%2069%20-%20SDC%20LE%20LULLI\CONTRAT_SDC%20DE%20LULLI_3026041H.pdf" TargetMode="External"/><Relationship Id="rId40" Type="http://schemas.openxmlformats.org/officeDocument/2006/relationships/hyperlink" Target="PIECES_CONTRACTUELLES\3034731S%20-%20CHATILLON%20SUR%20CHALARONNE%2001%20-%20MAISON%20MEDICALE\CONTRAT_MAISON%20MEDICALE%20DE%20CHATILLON%20SUR%20CHALARONNE_3034731S.pdf" TargetMode="External"/><Relationship Id="rId45" Type="http://schemas.openxmlformats.org/officeDocument/2006/relationships/hyperlink" Target="PIECES_CONTRACTUELLES\0059114F%20-%20VENISSIEUX%2069%20-%20LES%20MINGUETTES%20A.F.P.A.%20TRAIT%20ECS\AVENANT1_LES%20MINGUETTES%20A.F.P.A%20TRAIT%20ECS_0059114F.pdf" TargetMode="External"/><Relationship Id="rId5" Type="http://schemas.openxmlformats.org/officeDocument/2006/relationships/hyperlink" Target="PIECES_CONTRACTUELLES\0052232B%20-%20LYON%2069%20-%20SST%20XX%20-%20CENTRE%20COMMERCIAL%20BROTTEAUX%202000%20(ELVYA)\CONTRAT_CENTRE%20COMMERCIAL%20BROTTEAUX%20(ELVYA)_0052232B.pdf" TargetMode="External"/><Relationship Id="rId15" Type="http://schemas.openxmlformats.org/officeDocument/2006/relationships/hyperlink" Target="PIECES_CONTRACTUELLES\0073810T%20-%20TARARE%2069%20-%20RESIDENCE%20LE%20LAMARTINE\CONTRAT_RESIDENCE%20LE%20LAMARTINE_0073810T.pdf" TargetMode="External"/><Relationship Id="rId23" Type="http://schemas.openxmlformats.org/officeDocument/2006/relationships/hyperlink" Target="PIECES_CONTRACTUELLES\0101895Y%20-%20VILLEURBANNE%2069%20-%20RESIDENCE%20MARECHAL%20LECLERC\CONTRAT_RESIDENCE%20MARECHAL%20LECLERC_0101895Y.pdf" TargetMode="External"/><Relationship Id="rId28" Type="http://schemas.openxmlformats.org/officeDocument/2006/relationships/hyperlink" Target="PIECES_CONTRACTUELLES\3013975F%20-%20BOURG%20EN%20BRESSE%2001%20-%20RES%20LE%20THEMIS%20-%20BUREAUX\CONTRAT_RES%20LE%20THEMIS_3013975F.pdf" TargetMode="External"/><Relationship Id="rId36" Type="http://schemas.openxmlformats.org/officeDocument/2006/relationships/hyperlink" Target="PIECES_CONTRACTUELLES\3021161L%20-%20SAINT%20JULIEN%20MONT%20DENIS%2073%20-%20SALLE%20SERVEUR\CONTRAT_SALLE%20SERVEUR_3021161L.pdf" TargetMode="External"/><Relationship Id="rId49" Type="http://schemas.openxmlformats.org/officeDocument/2006/relationships/vmlDrawing" Target="../drawings/vmlDrawing2.vml"/><Relationship Id="rId10" Type="http://schemas.openxmlformats.org/officeDocument/2006/relationships/hyperlink" Target="PIECES_CONTRACTUELLES\0053902Z%20-%20LYON%2069%20-%20IMMEUBLE%2068%20AVENUE%20DE%20SAXE\CONTRAT_IMMEUBLE%2068%20AVENUE%20DE%20SAXE_0053902Z.pdf" TargetMode="External"/><Relationship Id="rId19" Type="http://schemas.openxmlformats.org/officeDocument/2006/relationships/hyperlink" Target="PIECES_CONTRACTUELLES\0091148F%20-%20SEYNOD%2074%20-%20SST%20XX%20-%20CENTRE%20L%20EPANOU%20AAPEI%20(ZUP%20DE%20CHAMPFLEURI)\CONTRAT+AVENANT_AAPEI_0091148F.pdf" TargetMode="External"/><Relationship Id="rId31" Type="http://schemas.openxmlformats.org/officeDocument/2006/relationships/hyperlink" Target="PIECES_CONTRACTUELLES\3015243A%20-%20MEYLAN%2038%20-%20FOYER%20PERSONNES%20AGEES%20PRE-BLANC\AVENANT_FOYER%20PERSONNES%20AGEES%20PRE-BLANC_3015243A.pdf" TargetMode="External"/><Relationship Id="rId44" Type="http://schemas.openxmlformats.org/officeDocument/2006/relationships/hyperlink" Target="PIECES_CONTRACTUELLES\0073810T%20-%20TARARE%2069%20-%20RESIDENCE%20LE%20LAMARTINE\AVENANT1_RESIDENCE%20LE%20LAMARTINE_0073810T.pdf" TargetMode="External"/><Relationship Id="rId4" Type="http://schemas.openxmlformats.org/officeDocument/2006/relationships/hyperlink" Target="PIECES_CONTRACTUELLES\0051940S%20-%20LYON%2069%20-%20SST%20D10%20-%20%2012%20TER%20RUE%20D'INKERMANN%20(ELVYA)\CONTRAT_12%20TER%20RUE%20D'INKERMANN(ELVYA)_0051940S.pdf" TargetMode="External"/><Relationship Id="rId9" Type="http://schemas.openxmlformats.org/officeDocument/2006/relationships/hyperlink" Target="PIECES_CONTRACTUELLES\0053626K%20-%20LYON%2069%20-%20%20SST%20C021%20-%20LE%20SAINT%20ANTOINE%20(ELVYA)\CONTRAT+AVENANT1_LE%20SAINT%20ANTOINE%20(ELVYA)_0053626K.pdf" TargetMode="External"/><Relationship Id="rId14" Type="http://schemas.openxmlformats.org/officeDocument/2006/relationships/hyperlink" Target="PIECES_CONTRACTUELLES\0063399W%20-%20LYON%2069%20-%20RES%20LE%20VERSEAU%20119-121%20CA%20THOMAS\CONTRAT_RES%20LE%20VERSEAU_0063399W.pdf" TargetMode="External"/><Relationship Id="rId22" Type="http://schemas.openxmlformats.org/officeDocument/2006/relationships/hyperlink" Target="PIECES_CONTRACTUELLES\0097889B%20-%20RILLIEUX%20LA%20PAPE%2069%20-%20SST%2031%20-%20BAT%20JORDAENS%20SOGELEM%20(CU%20RILLIEUX)\CONTRAT_SST%2031%20-%20BAT%20JORDAENS%20SOGELEM%20(CU%20RILLIEUX)_0097889B.pdf" TargetMode="External"/><Relationship Id="rId27" Type="http://schemas.openxmlformats.org/officeDocument/2006/relationships/hyperlink" Target="PIECES_CONTRACTUELLES\3011315F%20-%20SAINT%20PRIEST%2069%20-%20RES%20JULES%20VERNE\CONTRAT_RES%20JULES%20VERNE_3011315F.pdf" TargetMode="External"/><Relationship Id="rId30" Type="http://schemas.openxmlformats.org/officeDocument/2006/relationships/hyperlink" Target="PIECES_CONTRACTUELLES\3015243A%20-%20MEYLAN%2038%20-%20FOYER%20PERSONNES%20AGEES%20PRE-BLANC\CONTRAT_FOYER%20PERSONNES%20AGEES%20PRE-BLANC_3015243A.pdf" TargetMode="External"/><Relationship Id="rId35" Type="http://schemas.openxmlformats.org/officeDocument/2006/relationships/hyperlink" Target="PIECES_CONTRACTUELLES\3021085L%20-%20LES%202%20ALPES%2038%20-%20COMPLEXE%20SPORTIF%20ET%20CULTUREL%20AMPHIBIA\CONTRAT_COMPLEXE%20SPORTIF%20ET%20CULTUREL%20AMPHIBIA_3021085L.pdf" TargetMode="External"/><Relationship Id="rId43" Type="http://schemas.openxmlformats.org/officeDocument/2006/relationships/hyperlink" Target="PIECES_CONTRACTUELLES\3018178L%20-%20FONTAINE%2038%20-%20RES%20PRIMAVERA\CONTRAT_PRIMAVERA_3018178l.pdf" TargetMode="External"/><Relationship Id="rId48" Type="http://schemas.openxmlformats.org/officeDocument/2006/relationships/drawing" Target="../drawings/drawing2.xml"/><Relationship Id="rId8" Type="http://schemas.openxmlformats.org/officeDocument/2006/relationships/hyperlink" Target="PIECES_CONTRACTUELLES\0052680R%20-%20LYON%2069%20-%20SST%20XX%20-%201%20RUE%20MAURICE%20FLANDIN%20(ELVYA)\CONTRAT+AVENANT1_SST%20XX%20-%201%20RUE%20MAURICE%20FLANDIN%20(ELVYA)_0052680R.pdf" TargetMode="External"/><Relationship Id="rId3" Type="http://schemas.openxmlformats.org/officeDocument/2006/relationships/hyperlink" Target="PIECES_CONTRACTUELLES\0051892D%20-%20MERIBEL%20LES%20ALLUES%2073%20-%20HOTEL%20ALLODIS\CONTRAT+AVENANT_HOTEL%20ALLODIS_0051892D.pdf" TargetMode="External"/><Relationship Id="rId12" Type="http://schemas.openxmlformats.org/officeDocument/2006/relationships/hyperlink" Target="PIECES_CONTRACTUELLES\0055621K%20-%20FERNEY%20VOLTAIRE%2001%20-%20SIVOM%20DE%20L'EST%20GESSIEN\CONTRAT+AVENANT_FERNEY%20VOLTAIRE_0055621K.pdf" TargetMode="External"/><Relationship Id="rId17" Type="http://schemas.openxmlformats.org/officeDocument/2006/relationships/hyperlink" Target="PIECES_CONTRACTUELLES\0082193Z%20-%20ST%20MICHEL%20DE%20MAURIENNE%2073%20-%20MAPAD\CONTRAT_MAPAD_0082193Z.pdf" TargetMode="External"/><Relationship Id="rId25" Type="http://schemas.openxmlformats.org/officeDocument/2006/relationships/hyperlink" Target="PIECES_CONTRACTUELLES\0105811A%20-%20LYON%2069%20-%20SST%20XX%20-%20RES%20DE%20SEZE%20(ELVYA)\CONTRAT_RES%20DE%20SEZE%20(ELVYA)_0105811A%20.pdf" TargetMode="External"/><Relationship Id="rId33" Type="http://schemas.openxmlformats.org/officeDocument/2006/relationships/hyperlink" Target="PIECES_CONTRACTUELLES\3018469W%20-%20CHAMBERY%2073%20-%20LE%20BUGEY\CONTRAT_LE%20BUGEY_3018469W.pdf" TargetMode="External"/><Relationship Id="rId38" Type="http://schemas.openxmlformats.org/officeDocument/2006/relationships/hyperlink" Target="PIECES_CONTRACTUELLES\3028742L%20-%20CRUSEILLES%2074%20-%20EHPAD%20SAINT%20MAURICE\CONTRAT_EHPAD%20SAINT%20MAURICE_3028742L.pdf" TargetMode="External"/><Relationship Id="rId46" Type="http://schemas.openxmlformats.org/officeDocument/2006/relationships/hyperlink" Target="PIECES_CONTRACTUELLES\0059114F%20-%20VENISSIEUX%2069%20-%20LES%20MINGUETTES%20A.F.P.A.%20TRAIT%20ECS\CONTRAT_LES%20MINGUETTES%20A.F.P.A%20TRAIT%20ECS_0059114F.pdf" TargetMode="External"/><Relationship Id="rId20" Type="http://schemas.openxmlformats.org/officeDocument/2006/relationships/hyperlink" Target="PIECES_CONTRACTUELLES\0093016P%20-%20LYON%2069%20-%20P2%20SECONDAIRES%20L'ARCHE%20NORD%20&amp;%20L'ARCHE%20SUD\CONTRAT+AVENANT_P2%20SECONDAIRE%20ARCHE%20NORD%20ET%20SUD_0093016P.pdf" TargetMode="External"/><Relationship Id="rId41" Type="http://schemas.openxmlformats.org/officeDocument/2006/relationships/hyperlink" Target="PIECES_CONTRACTUELLES\3036853J%20-%20ARBENT%2001%20-%20CELLEGE%20JEAN%20ROSTAND\3036853J_CONTRAT%20COLLEGE%20JEAN%20ROSTAND.pdf" TargetMode="External"/><Relationship Id="rId1" Type="http://schemas.openxmlformats.org/officeDocument/2006/relationships/hyperlink" Target="PIECES_CONTRACTUELLES\0048509C%20-%20LYON%2069%20-%20SST%20G024D%20-%20INSTITUT%20D'ETUDE%20POLITIQUE%20DE%20LYON%20(ELVYA)\CONTRAT_INSTITUT%20D'ETUDE%20POLITIQUE%20DE%20LYON%20(ELVYA)_0048509C.pdf" TargetMode="External"/><Relationship Id="rId6" Type="http://schemas.openxmlformats.org/officeDocument/2006/relationships/hyperlink" Target="PIECES_CONTRACTUELLES\0052667Z%20-%20LYON%2069%20-%20IMMEUBLE%20154%20GAMBETTA\AVENANT_IMMEUBLE%20154%20GAMBETTA_0052667Z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52"/>
  <sheetViews>
    <sheetView workbookViewId="0">
      <selection activeCell="C40" sqref="C40"/>
    </sheetView>
  </sheetViews>
  <sheetFormatPr baseColWidth="10" defaultRowHeight="15" x14ac:dyDescent="0.25"/>
  <cols>
    <col min="1" max="1" width="10.140625" bestFit="1" customWidth="1"/>
    <col min="2" max="2" width="9.7109375" bestFit="1" customWidth="1"/>
    <col min="3" max="3" width="64" customWidth="1"/>
    <col min="4" max="4" width="13" hidden="1" customWidth="1"/>
    <col min="5" max="5" width="11.7109375" bestFit="1" customWidth="1"/>
    <col min="6" max="6" width="10.7109375" bestFit="1" customWidth="1"/>
    <col min="7" max="7" width="6.42578125" customWidth="1"/>
    <col min="8" max="8" width="13" customWidth="1"/>
  </cols>
  <sheetData>
    <row r="1" spans="1:8" ht="30.75" thickBot="1" x14ac:dyDescent="0.3">
      <c r="A1" s="1" t="s">
        <v>0</v>
      </c>
      <c r="B1" s="1" t="s">
        <v>1</v>
      </c>
      <c r="C1" s="4" t="s">
        <v>2</v>
      </c>
      <c r="E1" s="70" t="s">
        <v>3</v>
      </c>
      <c r="F1" s="71" t="s">
        <v>4</v>
      </c>
      <c r="G1" s="72" t="s">
        <v>5</v>
      </c>
    </row>
    <row r="2" spans="1:8" x14ac:dyDescent="0.25">
      <c r="A2" s="2" t="str">
        <f>IF(COMPILDATA!A2="","",COMPILDATA!A2)</f>
        <v>0047612Y</v>
      </c>
      <c r="B2" s="30" t="str">
        <f>IF(COMPILDATA!B2="","",COMPILDATA!B2)</f>
        <v>D53417B</v>
      </c>
      <c r="C2" s="47" t="str">
        <f ca="1">INDIRECT("COMPILDATA!C"&amp;D2)</f>
        <v>GIVORS Z.H. LES VERNES S/ST A5 LES AULNES</v>
      </c>
      <c r="D2" s="31">
        <v>2</v>
      </c>
      <c r="E2" s="3">
        <f>IF(COMPILDATA!D2="","",COMPILDATA!D2)</f>
        <v>28399</v>
      </c>
      <c r="F2" s="3">
        <f>IF(COMPILDATA!G2="","",COMPILDATA!G2)</f>
        <v>43008</v>
      </c>
      <c r="G2" s="2">
        <f>IF(COMPILDATA!E2="","",COMPILDATA!E2)</f>
        <v>1</v>
      </c>
      <c r="H2" s="31"/>
    </row>
    <row r="3" spans="1:8" x14ac:dyDescent="0.25">
      <c r="A3" s="2" t="str">
        <f>IF(COMPILDATA!A3="","",COMPILDATA!A3)</f>
        <v>0048509C</v>
      </c>
      <c r="B3" s="30" t="str">
        <f>IF(COMPILDATA!B3="","",COMPILDATA!B3)</f>
        <v>D52299E</v>
      </c>
      <c r="C3" s="47" t="str">
        <f t="shared" ref="C3:C51" ca="1" si="0">INDIRECT("COMPILDATA!C"&amp;D3)</f>
        <v>LYON (69) - SST G024D - INSTITUT D'ETUDE POLITIQUE DE LYON (ELVYA)</v>
      </c>
      <c r="D3" s="31">
        <v>3</v>
      </c>
      <c r="E3" s="3">
        <f>IF(COMPILDATA!D3="","",COMPILDATA!D3)</f>
        <v>37012</v>
      </c>
      <c r="F3" s="3">
        <f>IF(COMPILDATA!G3="","",COMPILDATA!G3)</f>
        <v>42855</v>
      </c>
      <c r="G3" s="2">
        <f>IF(COMPILDATA!E3="","",COMPILDATA!E3)</f>
        <v>1</v>
      </c>
      <c r="H3" s="31"/>
    </row>
    <row r="4" spans="1:8" x14ac:dyDescent="0.25">
      <c r="A4" s="2" t="str">
        <f>IF(COMPILDATA!A4="","",COMPILDATA!A4)</f>
        <v>0051746L</v>
      </c>
      <c r="B4" s="30" t="str">
        <f>IF(COMPILDATA!B4="","",COMPILDATA!B4)</f>
        <v>D25033D</v>
      </c>
      <c r="C4" s="47" t="str">
        <f t="shared" ca="1" si="0"/>
        <v>LYON (69) - SST C003 - LA FERRANDIERE (ELVYA)</v>
      </c>
      <c r="D4" s="31">
        <v>4</v>
      </c>
      <c r="E4" s="3">
        <f>IF(COMPILDATA!D4="","",COMPILDATA!D4)</f>
        <v>27011</v>
      </c>
      <c r="F4" s="3">
        <f>IF(COMPILDATA!G4="","",COMPILDATA!G4)</f>
        <v>42716</v>
      </c>
      <c r="G4" s="2">
        <f>IF(COMPILDATA!E4="","",COMPILDATA!E4)</f>
        <v>1</v>
      </c>
      <c r="H4" s="31"/>
    </row>
    <row r="5" spans="1:8" x14ac:dyDescent="0.25">
      <c r="A5" s="2" t="str">
        <f>IF(COMPILDATA!A5="","",COMPILDATA!A5)</f>
        <v>0051892D</v>
      </c>
      <c r="B5" s="30" t="str">
        <f>IF(COMPILDATA!B5="","",COMPILDATA!B5)</f>
        <v>D25851E</v>
      </c>
      <c r="C5" s="47" t="str">
        <f t="shared" ca="1" si="0"/>
        <v>73550 MERIBEL LES ALLUES - HOTEL ALLODIS</v>
      </c>
      <c r="D5" s="31">
        <v>5</v>
      </c>
      <c r="E5" s="3">
        <f>IF(COMPILDATA!D5="","",COMPILDATA!D5)</f>
        <v>33604</v>
      </c>
      <c r="F5" s="3">
        <f>IF(COMPILDATA!G5="","",COMPILDATA!G5)</f>
        <v>44561</v>
      </c>
      <c r="G5" s="2">
        <f>IF(COMPILDATA!E5="","",COMPILDATA!E5)</f>
        <v>10</v>
      </c>
      <c r="H5" s="31"/>
    </row>
    <row r="6" spans="1:8" x14ac:dyDescent="0.25">
      <c r="A6" s="2" t="str">
        <f>IF(COMPILDATA!A6="","",COMPILDATA!A6)</f>
        <v>0051940S</v>
      </c>
      <c r="B6" s="30" t="str">
        <f>IF(COMPILDATA!B6="","",COMPILDATA!B6)</f>
        <v>D25018J</v>
      </c>
      <c r="C6" s="47" t="str">
        <f t="shared" ca="1" si="0"/>
        <v>LYON (69) - SST D10 -  12 TER RUE D'INKERMANN (ELVYA)</v>
      </c>
      <c r="D6" s="31">
        <v>6</v>
      </c>
      <c r="E6" s="3">
        <f>IF(COMPILDATA!D6="","",COMPILDATA!D6)</f>
        <v>29147</v>
      </c>
      <c r="F6" s="3">
        <f>IF(COMPILDATA!G6="","",COMPILDATA!G6)</f>
        <v>43026</v>
      </c>
      <c r="G6" s="2">
        <f>IF(COMPILDATA!E6="","",COMPILDATA!E6)</f>
        <v>1</v>
      </c>
      <c r="H6" s="31"/>
    </row>
    <row r="7" spans="1:8" x14ac:dyDescent="0.25">
      <c r="A7" s="2" t="str">
        <f>IF(COMPILDATA!A7="","",COMPILDATA!A7)</f>
        <v>0052232B</v>
      </c>
      <c r="B7" s="30" t="str">
        <f>IF(COMPILDATA!B7="","",COMPILDATA!B7)</f>
        <v>D25016F</v>
      </c>
      <c r="C7" s="47" t="str">
        <f t="shared" ca="1" si="0"/>
        <v>LYON (69) - SST XX - CENTRE COMMERCIAL BROTTEAUX 2000 (ELVYA)</v>
      </c>
      <c r="D7" s="31">
        <v>7</v>
      </c>
      <c r="E7" s="3">
        <f>IF(COMPILDATA!D7="","",COMPILDATA!D7)</f>
        <v>27030</v>
      </c>
      <c r="F7" s="3">
        <f>IF(COMPILDATA!G7="","",COMPILDATA!G7)</f>
        <v>43100</v>
      </c>
      <c r="G7" s="2">
        <f>IF(COMPILDATA!E7="","",COMPILDATA!E7)</f>
        <v>11</v>
      </c>
      <c r="H7" s="31"/>
    </row>
    <row r="8" spans="1:8" x14ac:dyDescent="0.25">
      <c r="A8" s="2" t="str">
        <f>IF(COMPILDATA!A8="","",COMPILDATA!A8)</f>
        <v>0052604R</v>
      </c>
      <c r="B8" s="30" t="str">
        <f>IF(COMPILDATA!B8="","",COMPILDATA!B8)</f>
        <v>D25015E</v>
      </c>
      <c r="C8" s="47" t="str">
        <f t="shared" ca="1" si="0"/>
        <v>LYON (69) -SST B014- 76 RUE GARIBALDI</v>
      </c>
      <c r="D8" s="31">
        <v>8</v>
      </c>
      <c r="E8" s="3">
        <f>IF(COMPILDATA!D8="","",COMPILDATA!D8)</f>
        <v>28388</v>
      </c>
      <c r="F8" s="3">
        <f>IF(COMPILDATA!G8="","",COMPILDATA!G8)</f>
        <v>42997</v>
      </c>
      <c r="G8" s="2">
        <f>IF(COMPILDATA!E8="","",COMPILDATA!E8)</f>
        <v>1</v>
      </c>
      <c r="H8" s="31"/>
    </row>
    <row r="9" spans="1:8" x14ac:dyDescent="0.25">
      <c r="A9" s="2" t="str">
        <f>IF(COMPILDATA!A9="","",COMPILDATA!A9)</f>
        <v>0052667Z</v>
      </c>
      <c r="B9" s="30" t="str">
        <f>IF(COMPILDATA!B9="","",COMPILDATA!B9)</f>
        <v>D25021N</v>
      </c>
      <c r="C9" s="47" t="str">
        <f t="shared" ca="1" si="0"/>
        <v>LYON 3° - IMMEUBLE "154 GAMBETTA"</v>
      </c>
      <c r="D9" s="31">
        <v>9</v>
      </c>
      <c r="E9" s="3">
        <f>IF(COMPILDATA!D9="","",COMPILDATA!D9)</f>
        <v>32325</v>
      </c>
      <c r="F9" s="3">
        <f>IF(COMPILDATA!G9="","",COMPILDATA!G9)</f>
        <v>42916</v>
      </c>
      <c r="G9" s="2">
        <f>IF(COMPILDATA!E9="","",COMPILDATA!E9)</f>
        <v>15</v>
      </c>
      <c r="H9" s="31"/>
    </row>
    <row r="10" spans="1:8" x14ac:dyDescent="0.25">
      <c r="A10" s="2" t="str">
        <f>IF(COMPILDATA!A10="","",COMPILDATA!A10)</f>
        <v>0052669B</v>
      </c>
      <c r="B10" s="30" t="str">
        <f>IF(COMPILDATA!B10="","",COMPILDATA!B10)</f>
        <v>D25095K</v>
      </c>
      <c r="C10" s="47" t="str">
        <f t="shared" ca="1" si="0"/>
        <v>LYON 7° - RESIDENCE OPALINE ZAC GERLAND</v>
      </c>
      <c r="D10" s="31">
        <v>10</v>
      </c>
      <c r="E10" s="3">
        <f>IF(COMPILDATA!D10="","",COMPILDATA!D10)</f>
        <v>32455</v>
      </c>
      <c r="F10" s="3">
        <f>IF(COMPILDATA!G10="","",COMPILDATA!G10)</f>
        <v>47794</v>
      </c>
      <c r="G10" s="2">
        <f>IF(COMPILDATA!E10="","",COMPILDATA!E10)</f>
        <v>21</v>
      </c>
      <c r="H10" s="31"/>
    </row>
    <row r="11" spans="1:8" x14ac:dyDescent="0.25">
      <c r="A11" s="2" t="str">
        <f>IF(COMPILDATA!A11="","",COMPILDATA!A11)</f>
        <v>0052680R</v>
      </c>
      <c r="B11" s="30" t="str">
        <f>IF(COMPILDATA!B11="","",COMPILDATA!B11)</f>
        <v>D50581W</v>
      </c>
      <c r="C11" s="47" t="str">
        <f t="shared" ca="1" si="0"/>
        <v>LYON (69) - SST XX - 1 RUE MAURICE FLANDIN (ELVYA)</v>
      </c>
      <c r="D11" s="31">
        <v>11</v>
      </c>
      <c r="E11" s="3">
        <f>IF(COMPILDATA!D11="","",COMPILDATA!D11)</f>
        <v>33889</v>
      </c>
      <c r="F11" s="3">
        <f>IF(COMPILDATA!G11="","",COMPILDATA!G11)</f>
        <v>43019</v>
      </c>
      <c r="G11" s="2">
        <f>IF(COMPILDATA!E11="","",COMPILDATA!E11)</f>
        <v>17</v>
      </c>
      <c r="H11" s="31"/>
    </row>
    <row r="12" spans="1:8" x14ac:dyDescent="0.25">
      <c r="A12" s="2" t="str">
        <f>IF(COMPILDATA!A12="","",COMPILDATA!A12)</f>
        <v>0053626K</v>
      </c>
      <c r="B12" s="30" t="str">
        <f>IF(COMPILDATA!B12="","",COMPILDATA!B12)</f>
        <v>D25046X</v>
      </c>
      <c r="C12" s="47" t="str">
        <f t="shared" ca="1" si="0"/>
        <v>LYON (69) -  SST C021 - LE SAINT ANTOINE (ELVYA)</v>
      </c>
      <c r="D12" s="31">
        <v>12</v>
      </c>
      <c r="E12" s="3">
        <f>IF(COMPILDATA!D12="","",COMPILDATA!D12)</f>
        <v>30590</v>
      </c>
      <c r="F12" s="3">
        <f>IF(COMPILDATA!G12="","",COMPILDATA!G12)</f>
        <v>43008</v>
      </c>
      <c r="G12" s="2">
        <f>IF(COMPILDATA!E12="","",COMPILDATA!E12)</f>
        <v>1</v>
      </c>
      <c r="H12" s="31"/>
    </row>
    <row r="13" spans="1:8" x14ac:dyDescent="0.25">
      <c r="A13" s="2" t="str">
        <f>IF(COMPILDATA!A13="","",COMPILDATA!A13)</f>
        <v>0053902Z</v>
      </c>
      <c r="B13" s="30" t="str">
        <f>IF(COMPILDATA!B13="","",COMPILDATA!B13)</f>
        <v>D25017H</v>
      </c>
      <c r="C13" s="47" t="str">
        <f t="shared" ca="1" si="0"/>
        <v>LYON 3 - IMMEUBLE 68 AVENUE DE SAXE</v>
      </c>
      <c r="D13" s="31">
        <v>13</v>
      </c>
      <c r="E13" s="3">
        <f>IF(COMPILDATA!D13="","",COMPILDATA!D13)</f>
        <v>32796</v>
      </c>
      <c r="F13" s="3">
        <f>IF(COMPILDATA!G13="","",COMPILDATA!G13)</f>
        <v>43022</v>
      </c>
      <c r="G13" s="2">
        <f>IF(COMPILDATA!E13="","",COMPILDATA!E13)</f>
        <v>1</v>
      </c>
      <c r="H13" s="31"/>
    </row>
    <row r="14" spans="1:8" x14ac:dyDescent="0.25">
      <c r="A14" s="2" t="str">
        <f>IF(COMPILDATA!A14="","",COMPILDATA!A14)</f>
        <v>0053903A</v>
      </c>
      <c r="B14" s="30" t="str">
        <f>IF(COMPILDATA!B14="","",COMPILDATA!B14)</f>
        <v>D25031B</v>
      </c>
      <c r="C14" s="47" t="str">
        <f t="shared" ca="1" si="0"/>
        <v>LYON (69) - SST XX - IMMEUBLE 102 RUE MONTGOLFIER (ELVYA)</v>
      </c>
      <c r="D14" s="31">
        <v>14</v>
      </c>
      <c r="E14" s="3">
        <f>IF(COMPILDATA!D14="","",COMPILDATA!D14)</f>
        <v>32596</v>
      </c>
      <c r="F14" s="3">
        <f>IF(COMPILDATA!G14="","",COMPILDATA!G14)</f>
        <v>46840</v>
      </c>
      <c r="G14" s="2">
        <f>IF(COMPILDATA!E14="","",COMPILDATA!E14)</f>
        <v>13</v>
      </c>
      <c r="H14" s="31"/>
    </row>
    <row r="15" spans="1:8" x14ac:dyDescent="0.25">
      <c r="A15" s="2" t="str">
        <f>IF(COMPILDATA!A15="","",COMPILDATA!A15)</f>
        <v>0054312N</v>
      </c>
      <c r="B15" s="30" t="str">
        <f>IF(COMPILDATA!B15="","",COMPILDATA!B15)</f>
        <v>D54363X</v>
      </c>
      <c r="C15" s="47" t="str">
        <f t="shared" ca="1" si="0"/>
        <v>LYON - IMMEUBLE 240 LAFAYETTE</v>
      </c>
      <c r="D15" s="31">
        <v>15</v>
      </c>
      <c r="E15" s="3">
        <f>IF(COMPILDATA!D15="","",COMPILDATA!D15)</f>
        <v>34335</v>
      </c>
      <c r="F15" s="3">
        <f>IF(COMPILDATA!G15="","",COMPILDATA!G15)</f>
        <v>42735</v>
      </c>
      <c r="G15" s="2">
        <f>IF(COMPILDATA!E15="","",COMPILDATA!E15)</f>
        <v>1</v>
      </c>
      <c r="H15" s="31"/>
    </row>
    <row r="16" spans="1:8" x14ac:dyDescent="0.25">
      <c r="A16" s="60" t="str">
        <f>IF(COMPILDATA!A16="","",COMPILDATA!A16)</f>
        <v>0055621K</v>
      </c>
      <c r="B16" s="30" t="str">
        <f>IF(COMPILDATA!B16="","",COMPILDATA!B16)</f>
        <v>D001WFL</v>
      </c>
      <c r="C16" s="47" t="str">
        <f t="shared" ca="1" si="0"/>
        <v>FERNEY VOLTAIRE - SIVOM DE L'EST GESSIEN</v>
      </c>
      <c r="D16" s="31">
        <v>16</v>
      </c>
      <c r="E16" s="3">
        <f>IF(COMPILDATA!D16="","",COMPILDATA!D16)</f>
        <v>36434</v>
      </c>
      <c r="F16" s="3">
        <f>IF(COMPILDATA!G16="","",COMPILDATA!G16)</f>
        <v>43738</v>
      </c>
      <c r="G16" s="2">
        <f>IF(COMPILDATA!E16="","",COMPILDATA!E16)</f>
        <v>5</v>
      </c>
      <c r="H16" s="31"/>
    </row>
    <row r="17" spans="1:8" x14ac:dyDescent="0.25">
      <c r="A17" s="60" t="str">
        <f>IF(COMPILDATA!A17="","",COMPILDATA!A17)</f>
        <v>0059097J</v>
      </c>
      <c r="B17" s="30" t="str">
        <f>IF(COMPILDATA!B17="","",COMPILDATA!B17)</f>
        <v>D001PTR</v>
      </c>
      <c r="C17" s="47" t="str">
        <f t="shared" ca="1" si="0"/>
        <v>LYON DUCHERE RCU - ST/48BIS - P2 SECONDAIRE</v>
      </c>
      <c r="D17" s="31">
        <v>17</v>
      </c>
      <c r="E17" s="3">
        <f>IF(COMPILDATA!D17="","",COMPILDATA!D17)</f>
        <v>27820</v>
      </c>
      <c r="F17" s="3">
        <f>IF(COMPILDATA!G17="","",COMPILDATA!G17)</f>
        <v>42794</v>
      </c>
      <c r="G17" s="2">
        <f>IF(COMPILDATA!E17="","",COMPILDATA!E17)</f>
        <v>1</v>
      </c>
      <c r="H17" s="31"/>
    </row>
    <row r="18" spans="1:8" x14ac:dyDescent="0.25">
      <c r="A18" s="60" t="str">
        <f>IF(COMPILDATA!A18="","",COMPILDATA!A18)</f>
        <v>0059114F</v>
      </c>
      <c r="B18" s="30" t="str">
        <f>IF(COMPILDATA!B18="","",COMPILDATA!B18)</f>
        <v>D00A5FY</v>
      </c>
      <c r="C18" s="47" t="str">
        <f t="shared" ca="1" si="0"/>
        <v>VENISSIEUX LES MINGUETTES A.F.P.A. TRAIT ECS</v>
      </c>
      <c r="D18" s="31">
        <v>18</v>
      </c>
      <c r="E18" s="3">
        <f>IF(COMPILDATA!D18="","",COMPILDATA!D18)</f>
        <v>25498</v>
      </c>
      <c r="F18" s="3">
        <f>IF(COMPILDATA!G18="","",COMPILDATA!G18)</f>
        <v>43029</v>
      </c>
      <c r="G18" s="2">
        <f>IF(COMPILDATA!E18="","",COMPILDATA!E18)</f>
        <v>10</v>
      </c>
      <c r="H18" s="31"/>
    </row>
    <row r="19" spans="1:8" x14ac:dyDescent="0.25">
      <c r="A19" s="60" t="str">
        <f>IF(COMPILDATA!A19="","",COMPILDATA!A19)</f>
        <v>0059137L</v>
      </c>
      <c r="B19" s="30" t="str">
        <f>IF(COMPILDATA!B19="","",COMPILDATA!B19)</f>
        <v>D00A5KD</v>
      </c>
      <c r="C19" s="47" t="str">
        <f t="shared" ca="1" si="0"/>
        <v>VENISSIEUX LES MINGUETTES CC/4 ENT.INSTAL.SEC.</v>
      </c>
      <c r="D19" s="31">
        <v>19</v>
      </c>
      <c r="E19" s="3">
        <f>IF(COMPILDATA!D19="","",COMPILDATA!D19)</f>
        <v>25477</v>
      </c>
      <c r="F19" s="3">
        <f>IF(COMPILDATA!G19="","",COMPILDATA!G19)</f>
        <v>43008</v>
      </c>
      <c r="G19" s="2">
        <f>IF(COMPILDATA!E19="","",COMPILDATA!E19)</f>
        <v>10</v>
      </c>
      <c r="H19" s="31"/>
    </row>
    <row r="20" spans="1:8" x14ac:dyDescent="0.25">
      <c r="A20" s="60" t="str">
        <f>IF(COMPILDATA!A20="","",COMPILDATA!A20)</f>
        <v>0063399W</v>
      </c>
      <c r="B20" s="30" t="str">
        <f>IF(COMPILDATA!B20="","",COMPILDATA!B20)</f>
        <v>D24404B</v>
      </c>
      <c r="C20" s="47" t="str">
        <f t="shared" ca="1" si="0"/>
        <v>LYON (69) - RES LE VERSEAU 119 - 121 C.A.THOMAS</v>
      </c>
      <c r="D20" s="31">
        <v>20</v>
      </c>
      <c r="E20" s="3">
        <f>IF(COMPILDATA!D20="","",COMPILDATA!D20)</f>
        <v>38169</v>
      </c>
      <c r="F20" s="3">
        <f>IF(COMPILDATA!G20="","",COMPILDATA!G20)</f>
        <v>42916</v>
      </c>
      <c r="G20" s="2">
        <f>IF(COMPILDATA!E20="","",COMPILDATA!E20)</f>
        <v>10</v>
      </c>
      <c r="H20" s="31"/>
    </row>
    <row r="21" spans="1:8" x14ac:dyDescent="0.25">
      <c r="A21" s="60" t="str">
        <f>IF(COMPILDATA!A21="","",COMPILDATA!A21)</f>
        <v>0063788F</v>
      </c>
      <c r="B21" s="30" t="str">
        <f>IF(COMPILDATA!B21="","",COMPILDATA!B21)</f>
        <v>D001XTP</v>
      </c>
      <c r="C21" s="47" t="str">
        <f t="shared" ca="1" si="0"/>
        <v>AMBERIEU EN BUGEY (01) - COPROPRIETE DIPAS CPA DE L'AIN</v>
      </c>
      <c r="D21" s="31">
        <v>21</v>
      </c>
      <c r="E21" s="3">
        <f>IF(COMPILDATA!D21="","",COMPILDATA!D21)</f>
        <v>38718</v>
      </c>
      <c r="F21" s="3">
        <f>IF(COMPILDATA!G21="","",COMPILDATA!G21)</f>
        <v>43100</v>
      </c>
      <c r="G21" s="2">
        <f>IF(COMPILDATA!E21="","",COMPILDATA!E21)</f>
        <v>1</v>
      </c>
      <c r="H21" s="31"/>
    </row>
    <row r="22" spans="1:8" x14ac:dyDescent="0.25">
      <c r="A22" s="60" t="str">
        <f>IF(COMPILDATA!A22="","",COMPILDATA!A22)</f>
        <v>0073810T</v>
      </c>
      <c r="B22" s="30" t="str">
        <f>IF(COMPILDATA!B22="","",COMPILDATA!B22)</f>
        <v>D43571X</v>
      </c>
      <c r="C22" s="47" t="str">
        <f t="shared" ca="1" si="0"/>
        <v>TARARE (69)- RESIDENCE "LE LAMARTINE"</v>
      </c>
      <c r="D22" s="31">
        <v>22</v>
      </c>
      <c r="E22" s="3">
        <f>IF(COMPILDATA!D22="","",COMPILDATA!D22)</f>
        <v>30590</v>
      </c>
      <c r="F22" s="3">
        <f>IF(COMPILDATA!G22="","",COMPILDATA!G22)</f>
        <v>45199</v>
      </c>
      <c r="G22" s="2">
        <f>IF(COMPILDATA!E22="","",COMPILDATA!E22)</f>
        <v>10</v>
      </c>
      <c r="H22" s="31"/>
    </row>
    <row r="23" spans="1:8" x14ac:dyDescent="0.25">
      <c r="A23" s="60" t="str">
        <f>IF(COMPILDATA!A23="","",COMPILDATA!A23)</f>
        <v>0080931N</v>
      </c>
      <c r="B23" s="30" t="str">
        <f>IF(COMPILDATA!B23="","",COMPILDATA!B23)</f>
        <v>D42118J</v>
      </c>
      <c r="C23" s="47" t="str">
        <f t="shared" ca="1" si="0"/>
        <v>BARBY - FOYER LES EPINETTES</v>
      </c>
      <c r="D23" s="31">
        <v>23</v>
      </c>
      <c r="E23" s="3">
        <f>IF(COMPILDATA!D23="","",COMPILDATA!D23)</f>
        <v>34366</v>
      </c>
      <c r="F23" s="3">
        <f>IF(COMPILDATA!G23="","",COMPILDATA!G23)</f>
        <v>43131</v>
      </c>
      <c r="G23" s="2">
        <f>IF(COMPILDATA!E23="","",COMPILDATA!E23)</f>
        <v>5</v>
      </c>
      <c r="H23" s="31"/>
    </row>
    <row r="24" spans="1:8" x14ac:dyDescent="0.25">
      <c r="A24" s="60" t="str">
        <f>IF(COMPILDATA!A24="","",COMPILDATA!A24)</f>
        <v>0082193Z</v>
      </c>
      <c r="B24" s="30" t="str">
        <f>IF(COMPILDATA!B24="","",COMPILDATA!B24)</f>
        <v>D001XEW</v>
      </c>
      <c r="C24" s="47" t="str">
        <f t="shared" ca="1" si="0"/>
        <v>ST MICHEL DE MAURIENNE - MAPAD</v>
      </c>
      <c r="D24" s="31">
        <v>24</v>
      </c>
      <c r="E24" s="3">
        <f>IF(COMPILDATA!D24="","",COMPILDATA!D24)</f>
        <v>34335</v>
      </c>
      <c r="F24" s="3">
        <f>IF(COMPILDATA!G24="","",COMPILDATA!G24)</f>
        <v>43100</v>
      </c>
      <c r="G24" s="2">
        <f>IF(COMPILDATA!E24="","",COMPILDATA!E24)</f>
        <v>1</v>
      </c>
      <c r="H24" s="31"/>
    </row>
    <row r="25" spans="1:8" x14ac:dyDescent="0.25">
      <c r="A25" s="60" t="str">
        <f>IF(COMPILDATA!A25="","",COMPILDATA!A25)</f>
        <v>0091148F</v>
      </c>
      <c r="B25" s="30" t="str">
        <f>IF(COMPILDATA!B25="","",COMPILDATA!B25)</f>
        <v>D62999J</v>
      </c>
      <c r="C25" s="47" t="str">
        <f t="shared" ca="1" si="0"/>
        <v>SEYNOD (74) - SST XX - CENTRE L EPANOU AAPEI (ZUP DE CHAMPFLEURI)</v>
      </c>
      <c r="D25" s="31">
        <v>25</v>
      </c>
      <c r="E25" s="3">
        <f>IF(COMPILDATA!D25="","",COMPILDATA!D25)</f>
        <v>36100</v>
      </c>
      <c r="F25" s="3">
        <f>IF(COMPILDATA!G25="","",COMPILDATA!G25)</f>
        <v>43404</v>
      </c>
      <c r="G25" s="2">
        <f>IF(COMPILDATA!E25="","",COMPILDATA!E25)</f>
        <v>10</v>
      </c>
      <c r="H25" s="31"/>
    </row>
    <row r="26" spans="1:8" x14ac:dyDescent="0.25">
      <c r="A26" s="60" t="str">
        <f>IF(COMPILDATA!A26="","",COMPILDATA!A26)</f>
        <v>0093016P</v>
      </c>
      <c r="B26" s="30" t="str">
        <f>IF(COMPILDATA!B26="","",COMPILDATA!B26)</f>
        <v>D005PUT</v>
      </c>
      <c r="C26" s="47" t="str">
        <f t="shared" ca="1" si="0"/>
        <v>LYON - P2 SECONDAIRES L'ARCHE NORD &amp; L'ARCHE SUD</v>
      </c>
      <c r="D26" s="31">
        <v>26</v>
      </c>
      <c r="E26" s="3">
        <f>IF(COMPILDATA!D26="","",COMPILDATA!D26)</f>
        <v>36251</v>
      </c>
      <c r="F26" s="3">
        <f>IF(COMPILDATA!G26="","",COMPILDATA!G26)</f>
        <v>42825</v>
      </c>
      <c r="G26" s="2">
        <f>IF(COMPILDATA!E26="","",COMPILDATA!E26)</f>
        <v>1</v>
      </c>
      <c r="H26" s="31"/>
    </row>
    <row r="27" spans="1:8" x14ac:dyDescent="0.25">
      <c r="A27" s="60" t="str">
        <f>IF(COMPILDATA!A27="","",COMPILDATA!A27)</f>
        <v>0097858K</v>
      </c>
      <c r="B27" s="30" t="str">
        <f>IF(COMPILDATA!B27="","",COMPILDATA!B27)</f>
        <v>D005PXY</v>
      </c>
      <c r="C27" s="47" t="str">
        <f t="shared" ca="1" si="0"/>
        <v>RILLIEUX - SECOND.NORD - S/ST 28 BAT M1 LE MANET</v>
      </c>
      <c r="D27" s="31">
        <v>27</v>
      </c>
      <c r="E27" s="3">
        <f>IF(COMPILDATA!D27="","",COMPILDATA!D27)</f>
        <v>37165</v>
      </c>
      <c r="F27" s="3">
        <f>IF(COMPILDATA!G27="","",COMPILDATA!G27)</f>
        <v>44469</v>
      </c>
      <c r="G27" s="2">
        <f>IF(COMPILDATA!E27="","",COMPILDATA!E27)</f>
        <v>5</v>
      </c>
      <c r="H27" s="31"/>
    </row>
    <row r="28" spans="1:8" x14ac:dyDescent="0.25">
      <c r="A28" s="60" t="str">
        <f>IF(COMPILDATA!A28="","",COMPILDATA!A28)</f>
        <v>0097889B</v>
      </c>
      <c r="B28" s="30" t="str">
        <f>IF(COMPILDATA!B28="","",COMPILDATA!B28)</f>
        <v>D69559R</v>
      </c>
      <c r="C28" s="47" t="str">
        <f t="shared" ca="1" si="0"/>
        <v>RILLIEUX LA PAPE (69) - SST 31 - BAT JORDAENS SOGELEM (CU RILLIEUX)</v>
      </c>
      <c r="D28" s="31">
        <v>28</v>
      </c>
      <c r="E28" s="3">
        <f>IF(COMPILDATA!D28="","",COMPILDATA!D28)</f>
        <v>37622</v>
      </c>
      <c r="F28" s="3">
        <f>IF(COMPILDATA!G28="","",COMPILDATA!G28)</f>
        <v>42735</v>
      </c>
      <c r="G28" s="2">
        <f>IF(COMPILDATA!E28="","",COMPILDATA!E28)</f>
        <v>8</v>
      </c>
      <c r="H28" s="31"/>
    </row>
    <row r="29" spans="1:8" x14ac:dyDescent="0.25">
      <c r="A29" s="60" t="str">
        <f>IF(COMPILDATA!A29="","",COMPILDATA!A29)</f>
        <v>0101895Y</v>
      </c>
      <c r="B29" s="30" t="str">
        <f>IF(COMPILDATA!B29="","",COMPILDATA!B29)</f>
        <v>D43472R</v>
      </c>
      <c r="C29" s="47" t="str">
        <f t="shared" ca="1" si="0"/>
        <v>VILLEURBANNE (69) - RESIDENCE MARECHAL LECLERC</v>
      </c>
      <c r="D29" s="31">
        <v>29</v>
      </c>
      <c r="E29" s="3">
        <f>IF(COMPILDATA!D29="","",COMPILDATA!D29)</f>
        <v>37895</v>
      </c>
      <c r="F29" s="3">
        <f>IF(COMPILDATA!G29="","",COMPILDATA!G29)</f>
        <v>43373</v>
      </c>
      <c r="G29" s="2">
        <f>IF(COMPILDATA!E29="","",COMPILDATA!E29)</f>
        <v>10</v>
      </c>
      <c r="H29" s="31"/>
    </row>
    <row r="30" spans="1:8" x14ac:dyDescent="0.25">
      <c r="A30" s="60" t="str">
        <f>IF(COMPILDATA!A30="","",COMPILDATA!A30)</f>
        <v>0105811A</v>
      </c>
      <c r="B30" s="30" t="str">
        <f>IF(COMPILDATA!B30="","",COMPILDATA!B30)</f>
        <v>D25032C</v>
      </c>
      <c r="C30" s="47" t="str">
        <f t="shared" ca="1" si="0"/>
        <v>LYON (69) - SST XX - RES DE SEZE (ELVYA)</v>
      </c>
      <c r="D30" s="31">
        <v>30</v>
      </c>
      <c r="E30" s="3">
        <f>IF(COMPILDATA!D30="","",COMPILDATA!D30)</f>
        <v>38443</v>
      </c>
      <c r="F30" s="3">
        <f>IF(COMPILDATA!G30="","",COMPILDATA!G30)</f>
        <v>42825</v>
      </c>
      <c r="G30" s="2">
        <f>IF(COMPILDATA!E30="","",COMPILDATA!E30)</f>
        <v>7</v>
      </c>
      <c r="H30" s="31"/>
    </row>
    <row r="31" spans="1:8" x14ac:dyDescent="0.25">
      <c r="A31" s="60" t="str">
        <f>IF(COMPILDATA!A31="","",COMPILDATA!A31)</f>
        <v>0112142E</v>
      </c>
      <c r="B31" s="30" t="str">
        <f>IF(COMPILDATA!B31="","",COMPILDATA!B31)</f>
        <v>D95493P</v>
      </c>
      <c r="C31" s="47" t="str">
        <f t="shared" ca="1" si="0"/>
        <v>LES HOUCHES -74310- LES ESSERTS</v>
      </c>
      <c r="D31" s="31">
        <v>31</v>
      </c>
      <c r="E31" s="3">
        <f>IF(COMPILDATA!D31="","",COMPILDATA!D31)</f>
        <v>37865</v>
      </c>
      <c r="F31" s="3">
        <f>IF(COMPILDATA!G31="","",COMPILDATA!G31)</f>
        <v>43343</v>
      </c>
      <c r="G31" s="2">
        <f>IF(COMPILDATA!E31="","",COMPILDATA!E31)</f>
        <v>5</v>
      </c>
      <c r="H31" s="31"/>
    </row>
    <row r="32" spans="1:8" x14ac:dyDescent="0.25">
      <c r="A32" s="60" t="str">
        <f>IF(COMPILDATA!A32="","",COMPILDATA!A32)</f>
        <v>3004560T</v>
      </c>
      <c r="B32" s="30" t="str">
        <f>IF(COMPILDATA!B32="","",COMPILDATA!B32)</f>
        <v>D001WVH</v>
      </c>
      <c r="C32" s="47" t="str">
        <f t="shared" ca="1" si="0"/>
        <v xml:space="preserve">FERNEY VOLTAIRE (01) - SAS LES PORTES DE GENEVE - RES LA RESERVE </v>
      </c>
      <c r="D32" s="31">
        <v>32</v>
      </c>
      <c r="E32" s="3">
        <f>IF(COMPILDATA!D32="","",COMPILDATA!D32)</f>
        <v>39022</v>
      </c>
      <c r="F32" s="3">
        <f>IF(COMPILDATA!G32="","",COMPILDATA!G32)</f>
        <v>44500</v>
      </c>
      <c r="G32" s="2">
        <f>IF(COMPILDATA!E32="","",COMPILDATA!E32)</f>
        <v>5</v>
      </c>
      <c r="H32" s="31"/>
    </row>
    <row r="33" spans="1:8" x14ac:dyDescent="0.25">
      <c r="A33" s="60" t="str">
        <f>IF(COMPILDATA!A33="","",COMPILDATA!A33)</f>
        <v>3011315F</v>
      </c>
      <c r="B33" s="30" t="str">
        <f>IF(COMPILDATA!B33="","",COMPILDATA!B33)</f>
        <v>D23873C</v>
      </c>
      <c r="C33" s="47" t="str">
        <f t="shared" ca="1" si="0"/>
        <v>SAINT PRIEST (69) - RES JULES VERNE</v>
      </c>
      <c r="D33" s="31">
        <v>33</v>
      </c>
      <c r="E33" s="3">
        <f>IF(COMPILDATA!D33="","",COMPILDATA!D33)</f>
        <v>39995</v>
      </c>
      <c r="F33" s="3">
        <f>IF(COMPILDATA!G33="","",COMPILDATA!G33)</f>
        <v>43646</v>
      </c>
      <c r="G33" s="2">
        <f>IF(COMPILDATA!E33="","",COMPILDATA!E33)</f>
        <v>10</v>
      </c>
      <c r="H33" s="31"/>
    </row>
    <row r="34" spans="1:8" x14ac:dyDescent="0.25">
      <c r="A34" s="60" t="str">
        <f>IF(COMPILDATA!A34="","",COMPILDATA!A34)</f>
        <v>3013975F</v>
      </c>
      <c r="B34" s="30" t="str">
        <f>IF(COMPILDATA!B34="","",COMPILDATA!B34)</f>
        <v>D001WRC</v>
      </c>
      <c r="C34" s="47" t="str">
        <f t="shared" ca="1" si="0"/>
        <v>BOURG EN BRESSE (01) - RES LE THEMIS - BUREAUX</v>
      </c>
      <c r="D34" s="31">
        <v>34</v>
      </c>
      <c r="E34" s="3">
        <f>IF(COMPILDATA!D34="","",COMPILDATA!D34)</f>
        <v>40087</v>
      </c>
      <c r="F34" s="3">
        <f>IF(COMPILDATA!G34="","",COMPILDATA!G34)</f>
        <v>43738</v>
      </c>
      <c r="G34" s="2">
        <f>IF(COMPILDATA!E34="","",COMPILDATA!E34)</f>
        <v>10</v>
      </c>
      <c r="H34" s="31"/>
    </row>
    <row r="35" spans="1:8" x14ac:dyDescent="0.25">
      <c r="A35" s="60" t="str">
        <f>IF(COMPILDATA!A35="","",COMPILDATA!A35)</f>
        <v>3014440T</v>
      </c>
      <c r="B35" s="30" t="str">
        <f>IF(COMPILDATA!B35="","",COMPILDATA!B35)</f>
        <v>D91680Y</v>
      </c>
      <c r="C35" s="47" t="str">
        <f t="shared" ca="1" si="0"/>
        <v>CHAMBERY (73) - INDIGGO</v>
      </c>
      <c r="D35" s="31">
        <v>35</v>
      </c>
      <c r="E35" s="3">
        <f>IF(COMPILDATA!D35="","",COMPILDATA!D35)</f>
        <v>40238</v>
      </c>
      <c r="F35" s="3">
        <f>IF(COMPILDATA!G35="","",COMPILDATA!G35)</f>
        <v>42794</v>
      </c>
      <c r="G35" s="2">
        <f>IF(COMPILDATA!E35="","",COMPILDATA!E35)</f>
        <v>1</v>
      </c>
      <c r="H35" s="31"/>
    </row>
    <row r="36" spans="1:8" x14ac:dyDescent="0.25">
      <c r="A36" s="60" t="str">
        <f>IF(COMPILDATA!A36="","",COMPILDATA!A36)</f>
        <v>3015243A</v>
      </c>
      <c r="B36" s="30" t="str">
        <f>IF(COMPILDATA!B36="","",COMPILDATA!B36)</f>
        <v>D92817T</v>
      </c>
      <c r="C36" s="47" t="str">
        <f t="shared" ca="1" si="0"/>
        <v>MEYLAN (38)-FOYER PERSONNES AGEES PRE-BLANC</v>
      </c>
      <c r="D36" s="31">
        <v>36</v>
      </c>
      <c r="E36" s="3">
        <f>IF(COMPILDATA!D36="","",COMPILDATA!D36)</f>
        <v>40360</v>
      </c>
      <c r="F36" s="3">
        <f>IF(COMPILDATA!G36="","",COMPILDATA!G36)</f>
        <v>43100</v>
      </c>
      <c r="G36" s="2">
        <f>IF(COMPILDATA!E36="","",COMPILDATA!E36)</f>
        <v>1.5</v>
      </c>
      <c r="H36" s="31"/>
    </row>
    <row r="37" spans="1:8" x14ac:dyDescent="0.25">
      <c r="A37" s="60" t="str">
        <f>IF(COMPILDATA!A37="","",COMPILDATA!A37)</f>
        <v>3017154P</v>
      </c>
      <c r="B37" s="30" t="str">
        <f>IF(COMPILDATA!B37="","",COMPILDATA!B37)</f>
        <v>D86523L</v>
      </c>
      <c r="C37" s="47" t="str">
        <f t="shared" ca="1" si="0"/>
        <v>BOURG EN BRESSE (01) - SCM IRM DE L'AIN - CLINIQUE CONVERT</v>
      </c>
      <c r="D37" s="31">
        <v>37</v>
      </c>
      <c r="E37" s="3">
        <f>IF(COMPILDATA!D37="","",COMPILDATA!D37)</f>
        <v>40544</v>
      </c>
      <c r="F37" s="3">
        <f>IF(COMPILDATA!G37="","",COMPILDATA!G37)</f>
        <v>43100</v>
      </c>
      <c r="G37" s="2">
        <f>IF(COMPILDATA!E37="","",COMPILDATA!E37)</f>
        <v>3</v>
      </c>
      <c r="H37" s="31"/>
    </row>
    <row r="38" spans="1:8" x14ac:dyDescent="0.25">
      <c r="A38" s="60" t="str">
        <f>IF(COMPILDATA!A38="","",COMPILDATA!A38)</f>
        <v>3017624H</v>
      </c>
      <c r="B38" s="30" t="str">
        <f>IF(COMPILDATA!B38="","",COMPILDATA!B38)</f>
        <v>D96852C</v>
      </c>
      <c r="C38" s="47" t="str">
        <f t="shared" ca="1" si="0"/>
        <v>ALLEVARD LES BAINS (38) - SST XX - LA MARMOTTANE (CU)</v>
      </c>
      <c r="D38" s="31">
        <v>38</v>
      </c>
      <c r="E38" s="3">
        <f>IF(COMPILDATA!D38="","",COMPILDATA!D38)</f>
        <v>40544</v>
      </c>
      <c r="F38" s="3">
        <f>IF(COMPILDATA!G38="","",COMPILDATA!G38)</f>
        <v>43100</v>
      </c>
      <c r="G38" s="2">
        <f>IF(COMPILDATA!E38="","",COMPILDATA!E38)</f>
        <v>5</v>
      </c>
      <c r="H38" s="31"/>
    </row>
    <row r="39" spans="1:8" x14ac:dyDescent="0.25">
      <c r="A39" s="60" t="str">
        <f>IF(COMPILDATA!A39="","",COMPILDATA!A39)</f>
        <v>3018178L</v>
      </c>
      <c r="B39" s="30" t="str">
        <f>IF(COMPILDATA!B39="","",COMPILDATA!B39)</f>
        <v>D97288K</v>
      </c>
      <c r="C39" s="47" t="str">
        <f t="shared" ca="1" si="0"/>
        <v>FONTAINE (38) - RES PRIMAVERA</v>
      </c>
      <c r="D39" s="31">
        <v>39</v>
      </c>
      <c r="E39" s="3">
        <f>IF(COMPILDATA!D39="","",COMPILDATA!D39)</f>
        <v>40634</v>
      </c>
      <c r="F39" s="3">
        <f>IF(COMPILDATA!G39="","",COMPILDATA!G39)</f>
        <v>43190</v>
      </c>
      <c r="G39" s="2">
        <f>IF(COMPILDATA!E39="","",COMPILDATA!E39)</f>
        <v>4</v>
      </c>
      <c r="H39" s="31"/>
    </row>
    <row r="40" spans="1:8" x14ac:dyDescent="0.25">
      <c r="A40" s="60" t="str">
        <f>IF(COMPILDATA!A40="","",COMPILDATA!A40)</f>
        <v>3018469W</v>
      </c>
      <c r="B40" s="30" t="str">
        <f>IF(COMPILDATA!B40="","",COMPILDATA!B40)</f>
        <v>D97488Z</v>
      </c>
      <c r="C40" s="47" t="str">
        <f t="shared" ca="1" si="0"/>
        <v>CHAMBERY (73) - LE BUGEY</v>
      </c>
      <c r="D40" s="31">
        <v>40</v>
      </c>
      <c r="E40" s="3">
        <f>IF(COMPILDATA!D40="","",COMPILDATA!D40)</f>
        <v>40695</v>
      </c>
      <c r="F40" s="3">
        <f>IF(COMPILDATA!G40="","",COMPILDATA!G40)</f>
        <v>42886</v>
      </c>
      <c r="G40" s="2">
        <f>IF(COMPILDATA!E40="","",COMPILDATA!E40)</f>
        <v>5</v>
      </c>
      <c r="H40" s="31"/>
    </row>
    <row r="41" spans="1:8" x14ac:dyDescent="0.25">
      <c r="A41" s="60" t="str">
        <f>IF(COMPILDATA!A41="","",COMPILDATA!A41)</f>
        <v>3020982B</v>
      </c>
      <c r="B41" s="30" t="str">
        <f>IF(COMPILDATA!B41="","",COMPILDATA!B41)</f>
        <v>D26007K</v>
      </c>
      <c r="C41" s="47" t="str">
        <f t="shared" ca="1" si="0"/>
        <v>MODANE (73) - IMMEUBLE BATIMENT DES DOUANES</v>
      </c>
      <c r="D41" s="31">
        <v>41</v>
      </c>
      <c r="E41" s="3">
        <f>IF(COMPILDATA!D41="","",COMPILDATA!D41)</f>
        <v>40940</v>
      </c>
      <c r="F41" s="3">
        <f>IF(COMPILDATA!G41="","",COMPILDATA!G41)</f>
        <v>42766</v>
      </c>
      <c r="G41" s="2">
        <f>IF(COMPILDATA!E41="","",COMPILDATA!E41)</f>
        <v>1</v>
      </c>
      <c r="H41" s="31"/>
    </row>
    <row r="42" spans="1:8" x14ac:dyDescent="0.25">
      <c r="A42" s="60" t="str">
        <f>IF(COMPILDATA!A42="","",COMPILDATA!A42)</f>
        <v>3021085L</v>
      </c>
      <c r="B42" s="30" t="str">
        <f>IF(COMPILDATA!B42="","",COMPILDATA!B42)</f>
        <v>D77161T</v>
      </c>
      <c r="C42" s="47" t="str">
        <f t="shared" ca="1" si="0"/>
        <v>LES 2 ALPES (38) - COMPLEXE SPORTIF ET CULTUREL AMPHIBIA</v>
      </c>
      <c r="D42" s="31">
        <v>42</v>
      </c>
      <c r="E42" s="3">
        <f>IF(COMPILDATA!D42="","",COMPILDATA!D42)</f>
        <v>40969</v>
      </c>
      <c r="F42" s="3">
        <f>IF(COMPILDATA!G42="","",COMPILDATA!G42)</f>
        <v>43159</v>
      </c>
      <c r="G42" s="2">
        <f>IF(COMPILDATA!E42="","",COMPILDATA!E42)</f>
        <v>5</v>
      </c>
      <c r="H42" s="31"/>
    </row>
    <row r="43" spans="1:8" x14ac:dyDescent="0.25">
      <c r="A43" s="60" t="str">
        <f>IF(COMPILDATA!A43="","",COMPILDATA!A43)</f>
        <v>3021161L</v>
      </c>
      <c r="B43" s="30" t="str">
        <f>IF(COMPILDATA!B43="","",COMPILDATA!B43)</f>
        <v>D99396J</v>
      </c>
      <c r="C43" s="47" t="str">
        <f t="shared" ca="1" si="0"/>
        <v>SAINT JULIEN MONT DENIS (73) - SALLE SERVEUR</v>
      </c>
      <c r="D43" s="31">
        <v>43</v>
      </c>
      <c r="E43" s="3">
        <f>IF(COMPILDATA!D43="","",COMPILDATA!D43)</f>
        <v>40940</v>
      </c>
      <c r="F43" s="3">
        <f>IF(COMPILDATA!G43="","",COMPILDATA!G43)</f>
        <v>43131</v>
      </c>
      <c r="G43" s="2">
        <f>IF(COMPILDATA!E43="","",COMPILDATA!E43)</f>
        <v>3</v>
      </c>
      <c r="H43" s="31"/>
    </row>
    <row r="44" spans="1:8" x14ac:dyDescent="0.25">
      <c r="A44" s="60" t="str">
        <f>IF(COMPILDATA!A44="","",COMPILDATA!A44)</f>
        <v>3026041H</v>
      </c>
      <c r="B44" s="30" t="str">
        <f>IF(COMPILDATA!B44="","",COMPILDATA!B44)</f>
        <v>D0009MC</v>
      </c>
      <c r="C44" s="47" t="str">
        <f t="shared" ca="1" si="0"/>
        <v>VILLEURBANNE (69) - SDC LE LULLI</v>
      </c>
      <c r="D44" s="31">
        <v>44</v>
      </c>
      <c r="E44" s="3">
        <f>IF(COMPILDATA!D44="","",COMPILDATA!D44)</f>
        <v>41275</v>
      </c>
      <c r="F44" s="3">
        <f>IF(COMPILDATA!G44="","",COMPILDATA!G44)</f>
        <v>42735</v>
      </c>
      <c r="G44" s="2">
        <f>IF(COMPILDATA!E44="","",COMPILDATA!E44)</f>
        <v>4</v>
      </c>
      <c r="H44" s="31"/>
    </row>
    <row r="45" spans="1:8" x14ac:dyDescent="0.25">
      <c r="A45" s="60" t="str">
        <f>IF(COMPILDATA!A45="","",COMPILDATA!A45)</f>
        <v>3027156A</v>
      </c>
      <c r="B45" s="30" t="str">
        <f>IF(COMPILDATA!B45="","",COMPILDATA!B45)</f>
        <v>D004SAN</v>
      </c>
      <c r="C45" s="47" t="str">
        <f t="shared" ca="1" si="0"/>
        <v>SEYNOD (74) - SST 29 - COLLEGE SAINT FRANCOIS - LES CORDELIERS</v>
      </c>
      <c r="D45" s="31">
        <v>45</v>
      </c>
      <c r="E45" s="3">
        <f>IF(COMPILDATA!D45="","",COMPILDATA!D45)</f>
        <v>41275</v>
      </c>
      <c r="F45" s="3">
        <f>IF(COMPILDATA!G45="","",COMPILDATA!G45)</f>
        <v>43465</v>
      </c>
      <c r="G45" s="2">
        <f>IF(COMPILDATA!E45="","",COMPILDATA!E45)</f>
        <v>3</v>
      </c>
      <c r="H45" s="31"/>
    </row>
    <row r="46" spans="1:8" x14ac:dyDescent="0.25">
      <c r="A46" s="60" t="str">
        <f>IF(COMPILDATA!A46="","",COMPILDATA!A46)</f>
        <v>3028742L</v>
      </c>
      <c r="B46" s="30" t="str">
        <f>IF(COMPILDATA!B46="","",COMPILDATA!B46)</f>
        <v>D97933J</v>
      </c>
      <c r="C46" s="47" t="str">
        <f t="shared" ca="1" si="0"/>
        <v>CRUSEILLES (74) - EHPAD SAINT MAURICE</v>
      </c>
      <c r="D46" s="31">
        <v>46</v>
      </c>
      <c r="E46" s="3">
        <f>IF(COMPILDATA!D46="","",COMPILDATA!D46)</f>
        <v>41640</v>
      </c>
      <c r="F46" s="3">
        <f>IF(COMPILDATA!G46="","",COMPILDATA!G46)</f>
        <v>43830</v>
      </c>
      <c r="G46" s="2">
        <f>IF(COMPILDATA!E46="","",COMPILDATA!E46)</f>
        <v>3</v>
      </c>
      <c r="H46" s="31"/>
    </row>
    <row r="47" spans="1:8" x14ac:dyDescent="0.25">
      <c r="A47" s="60" t="str">
        <f>IF(COMPILDATA!A47="","",COMPILDATA!A47)</f>
        <v>3030429F</v>
      </c>
      <c r="B47" s="30" t="str">
        <f>IF(COMPILDATA!B47="","",COMPILDATA!B47)</f>
        <v>D33250R</v>
      </c>
      <c r="C47" s="47" t="str">
        <f t="shared" ca="1" si="0"/>
        <v>SAINT MARTIN D'HERES (38) - CEMAGREF</v>
      </c>
      <c r="D47" s="31">
        <v>47</v>
      </c>
      <c r="E47" s="3">
        <f>IF(COMPILDATA!D47="","",COMPILDATA!D47)</f>
        <v>41518</v>
      </c>
      <c r="F47" s="3">
        <f>IF(COMPILDATA!G47="","",COMPILDATA!G47)</f>
        <v>43708</v>
      </c>
      <c r="G47" s="2">
        <f>IF(COMPILDATA!E47="","",COMPILDATA!E47)</f>
        <v>5</v>
      </c>
      <c r="H47" s="31"/>
    </row>
    <row r="48" spans="1:8" x14ac:dyDescent="0.25">
      <c r="A48" s="60" t="str">
        <f>IF(COMPILDATA!A48="","",COMPILDATA!A48)</f>
        <v>3033576Y</v>
      </c>
      <c r="B48" s="30" t="str">
        <f>IF(COMPILDATA!B48="","",COMPILDATA!B48)</f>
        <v>D00BLRS</v>
      </c>
      <c r="C48" s="47" t="str">
        <f t="shared" ca="1" si="0"/>
        <v>ST GENIS POUILLY (01) - COLLEGE JACQUES PREVERT</v>
      </c>
      <c r="D48" s="31">
        <v>48</v>
      </c>
      <c r="E48" s="3">
        <f>IF(COMPILDATA!D48="","",COMPILDATA!D48)</f>
        <v>42370</v>
      </c>
      <c r="F48" s="3">
        <f>IF(COMPILDATA!G48="","",COMPILDATA!G48)</f>
        <v>42735</v>
      </c>
      <c r="G48" s="2">
        <f>IF(COMPILDATA!E48="","",COMPILDATA!E48)</f>
        <v>1</v>
      </c>
      <c r="H48" s="31"/>
    </row>
    <row r="49" spans="1:8" x14ac:dyDescent="0.25">
      <c r="A49" s="60" t="str">
        <f>IF(COMPILDATA!A49="","",COMPILDATA!A49)</f>
        <v>3033682L</v>
      </c>
      <c r="B49" s="30" t="str">
        <f>IF(COMPILDATA!B49="","",COMPILDATA!B49)</f>
        <v>D00BMZL</v>
      </c>
      <c r="C49" s="47" t="str">
        <f t="shared" ca="1" si="0"/>
        <v>SAMOENS (74) - CENTRE DE VACANCES</v>
      </c>
      <c r="D49" s="31">
        <v>49</v>
      </c>
      <c r="E49" s="3">
        <f>IF(COMPILDATA!D49="","",COMPILDATA!D49)</f>
        <v>42248</v>
      </c>
      <c r="F49" s="3">
        <f>IF(COMPILDATA!G49="","",COMPILDATA!G49)</f>
        <v>43708</v>
      </c>
      <c r="G49" s="2">
        <f>IF(COMPILDATA!E49="","",COMPILDATA!E49)</f>
        <v>4</v>
      </c>
      <c r="H49" s="31"/>
    </row>
    <row r="50" spans="1:8" x14ac:dyDescent="0.25">
      <c r="A50" s="61" t="str">
        <f>IF(COMPILDATA!A50="","",COMPILDATA!A50)</f>
        <v>3034731S</v>
      </c>
      <c r="B50" s="30" t="str">
        <f>IF(COMPILDATA!B50="","",COMPILDATA!B50)</f>
        <v>D00AHTB</v>
      </c>
      <c r="C50" s="47" t="str">
        <f t="shared" ca="1" si="0"/>
        <v>CHATILLON SUR CHALARONNE (01) MAISON MEDICALE</v>
      </c>
      <c r="D50" s="31">
        <v>50</v>
      </c>
      <c r="E50" s="3">
        <f>IF(COMPILDATA!D50="","",COMPILDATA!D50)</f>
        <v>42370</v>
      </c>
      <c r="F50" s="3">
        <f>IF(COMPILDATA!G50="","",COMPILDATA!G50)</f>
        <v>43100</v>
      </c>
      <c r="G50" s="2">
        <f>IF(COMPILDATA!E50="","",COMPILDATA!E50)</f>
        <v>1</v>
      </c>
      <c r="H50" s="31"/>
    </row>
    <row r="51" spans="1:8" x14ac:dyDescent="0.25">
      <c r="A51" s="61" t="str">
        <f>IF(COMPILDATA!A51="","",COMPILDATA!A51)</f>
        <v>3036853J</v>
      </c>
      <c r="B51" s="30" t="str">
        <f>IF(COMPILDATA!B51="","",COMPILDATA!B51)</f>
        <v>D84100Z</v>
      </c>
      <c r="C51" s="47" t="str">
        <f t="shared" ca="1" si="0"/>
        <v>ARBENT (01) - COLLEGE JEAN ROSTAND</v>
      </c>
      <c r="D51" s="31">
        <v>51</v>
      </c>
      <c r="E51" s="3">
        <f>IF(COMPILDATA!D51="","",COMPILDATA!D51)</f>
        <v>42675</v>
      </c>
      <c r="F51" s="3">
        <f>IF(COMPILDATA!G51="","",COMPILDATA!G51)</f>
        <v>43769</v>
      </c>
      <c r="G51" s="2"/>
      <c r="H51" s="31"/>
    </row>
    <row r="52" spans="1:8" x14ac:dyDescent="0.25">
      <c r="A52" s="62"/>
    </row>
  </sheetData>
  <hyperlinks>
    <hyperlink ref="C2" location="FEUILLE_CONTRAT!A1" display="FEUILLE_CONTRAT!A1"/>
    <hyperlink ref="C3:C51" location="FEUILLE_CONTRAT!A1" display="FEUILLE_CONTRAT!A1"/>
  </hyperlink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53"/>
  <sheetViews>
    <sheetView showGridLines="0" showZeros="0" zoomScaleNormal="100" workbookViewId="0">
      <selection activeCell="K7" sqref="K7:L7"/>
    </sheetView>
  </sheetViews>
  <sheetFormatPr baseColWidth="10" defaultRowHeight="15" x14ac:dyDescent="0.25"/>
  <cols>
    <col min="1" max="1" width="11.42578125" customWidth="1"/>
    <col min="16" max="16" width="11.42578125" customWidth="1"/>
  </cols>
  <sheetData>
    <row r="1" spans="1:13" ht="15.75" thickBot="1" x14ac:dyDescent="0.3">
      <c r="A1">
        <f>MATCH(C2,COMPILDATA!$A$1:$A$100,0)</f>
        <v>40</v>
      </c>
    </row>
    <row r="2" spans="1:13" x14ac:dyDescent="0.25">
      <c r="A2" s="28"/>
      <c r="B2" s="5" t="s">
        <v>42</v>
      </c>
      <c r="C2" s="6" t="s">
        <v>118</v>
      </c>
      <c r="E2" s="88" t="str">
        <f ca="1">IFERROR(INDIRECT("COMPILDATA!C"&amp;$A$1),"")</f>
        <v>CHAMBERY (73) - LE BUGEY</v>
      </c>
      <c r="F2" s="89"/>
      <c r="G2" s="89"/>
      <c r="H2" s="89"/>
      <c r="I2" s="89"/>
      <c r="J2" s="89"/>
      <c r="K2" s="89"/>
      <c r="L2" s="89"/>
      <c r="M2" s="90"/>
    </row>
    <row r="3" spans="1:13" ht="15.75" thickBot="1" x14ac:dyDescent="0.3">
      <c r="B3" s="7" t="s">
        <v>1</v>
      </c>
      <c r="C3" s="8" t="str">
        <f ca="1">IFERROR(INDIRECT("COMPILDATA!B"&amp;$A$1),"")</f>
        <v>D97488Z</v>
      </c>
      <c r="E3" s="91"/>
      <c r="F3" s="92"/>
      <c r="G3" s="92"/>
      <c r="H3" s="92"/>
      <c r="I3" s="92"/>
      <c r="J3" s="92"/>
      <c r="K3" s="92"/>
      <c r="L3" s="92"/>
      <c r="M3" s="93"/>
    </row>
    <row r="4" spans="1:13" ht="15.75" thickBot="1" x14ac:dyDescent="0.3">
      <c r="F4" s="94"/>
      <c r="G4" s="94"/>
      <c r="H4" s="94"/>
      <c r="I4" s="94"/>
      <c r="J4" s="94"/>
    </row>
    <row r="5" spans="1:13" ht="15.75" thickBot="1" x14ac:dyDescent="0.3">
      <c r="B5" s="95" t="s">
        <v>152</v>
      </c>
      <c r="C5" s="96"/>
      <c r="D5" s="96"/>
      <c r="E5" s="96"/>
      <c r="F5" s="96"/>
      <c r="G5" s="96"/>
      <c r="H5" s="96"/>
      <c r="I5" s="96"/>
      <c r="J5" s="96"/>
      <c r="K5" s="96"/>
      <c r="L5" s="96"/>
      <c r="M5" s="97"/>
    </row>
    <row r="7" spans="1:13" x14ac:dyDescent="0.25">
      <c r="B7" s="87" t="s">
        <v>153</v>
      </c>
      <c r="C7" s="87"/>
      <c r="D7" s="87"/>
      <c r="E7" s="9">
        <f ca="1">IFERROR(INDIRECT("COMPILDATA!D"&amp;$A$1),"")</f>
        <v>40695</v>
      </c>
      <c r="G7" s="87" t="s">
        <v>154</v>
      </c>
      <c r="H7" s="87"/>
      <c r="I7" t="str">
        <f ca="1">IFERROR(INDIRECT("COMPILDATA!H"&amp;$A$1),"")</f>
        <v>Lettre recommandée</v>
      </c>
      <c r="K7" s="98" t="s">
        <v>437</v>
      </c>
      <c r="L7" s="98"/>
    </row>
    <row r="8" spans="1:13" x14ac:dyDescent="0.25">
      <c r="B8" s="87" t="s">
        <v>155</v>
      </c>
      <c r="C8" s="87"/>
      <c r="D8" s="87"/>
      <c r="E8" s="10">
        <f ca="1">IFERROR(INDIRECT("COMPILDATA!E"&amp;$A$1),"")</f>
        <v>5</v>
      </c>
      <c r="G8" s="87" t="s">
        <v>156</v>
      </c>
      <c r="H8" s="87"/>
      <c r="I8" s="99" t="str">
        <f ca="1">IFERROR(INDIRECT("COMPILDATA!I"&amp;$A$1),"")</f>
        <v>NICCOLET Patricia</v>
      </c>
      <c r="J8" s="99"/>
      <c r="K8" s="99"/>
      <c r="M8" s="12"/>
    </row>
    <row r="9" spans="1:13" x14ac:dyDescent="0.25">
      <c r="B9" s="87" t="s">
        <v>157</v>
      </c>
      <c r="C9" s="87"/>
      <c r="D9" s="87"/>
      <c r="E9" s="9">
        <f ca="1">IFERROR(INDIRECT("COMPILDATA!F"&amp;$A$1),"")</f>
        <v>42521</v>
      </c>
      <c r="G9" s="87" t="s">
        <v>158</v>
      </c>
      <c r="H9" s="87"/>
      <c r="I9" t="str">
        <f ca="1">IFERROR(INDIRECT("COMPILDATA!J"&amp;$A$1),"")</f>
        <v>PF</v>
      </c>
      <c r="K9" s="87" t="s">
        <v>159</v>
      </c>
      <c r="L9" s="87"/>
      <c r="M9">
        <f ca="1">IFERROR(INDIRECT("COMPILDATA!L"&amp;$A$1),"")</f>
        <v>0</v>
      </c>
    </row>
    <row r="10" spans="1:13" x14ac:dyDescent="0.25">
      <c r="B10" s="87" t="s">
        <v>160</v>
      </c>
      <c r="C10" s="87"/>
      <c r="D10" s="87"/>
      <c r="E10" s="9">
        <f ca="1">IFERROR(INDIRECT("COMPILDATA!G"&amp;$A$1),"")</f>
        <v>42886</v>
      </c>
      <c r="G10" s="87" t="s">
        <v>161</v>
      </c>
      <c r="H10" s="87"/>
      <c r="I10" t="str">
        <f ca="1">IFERROR(INDIRECT("COMPILDATA!K"&amp;$A$1),"")</f>
        <v>Non</v>
      </c>
      <c r="K10" s="87" t="s">
        <v>162</v>
      </c>
      <c r="L10" s="87"/>
      <c r="M10" t="str">
        <f ca="1">IFERROR(INDIRECT("COMPILDATA!M"&amp;$A$1),"")</f>
        <v>Non</v>
      </c>
    </row>
    <row r="11" spans="1:13" x14ac:dyDescent="0.25">
      <c r="E11" s="12"/>
    </row>
    <row r="12" spans="1:13" x14ac:dyDescent="0.25">
      <c r="B12" s="87" t="s">
        <v>163</v>
      </c>
      <c r="C12" s="87"/>
      <c r="D12" s="87"/>
      <c r="E12" s="13" t="str">
        <f ca="1">IFERROR(INDIRECT("COMPILDATA!N"&amp;$A$1),"")</f>
        <v>Ø</v>
      </c>
      <c r="G12" s="87" t="s">
        <v>164</v>
      </c>
      <c r="H12" s="87"/>
      <c r="I12" s="99">
        <f ca="1">IFERROR(INDIRECT("COMPILDATA!O"&amp;$A$1),"")</f>
        <v>0</v>
      </c>
      <c r="J12" s="99"/>
      <c r="K12" s="99"/>
      <c r="L12" s="99"/>
      <c r="M12" s="99"/>
    </row>
    <row r="13" spans="1:13" x14ac:dyDescent="0.25">
      <c r="B13" s="19"/>
      <c r="C13" s="19"/>
      <c r="D13" s="19"/>
      <c r="E13" s="13"/>
      <c r="G13" s="87" t="s">
        <v>165</v>
      </c>
      <c r="H13" s="87"/>
      <c r="I13" s="27">
        <f ca="1">IFERROR(INDIRECT("COMPILDATA!P"&amp;$A$1),"")</f>
        <v>0</v>
      </c>
      <c r="J13" s="26"/>
      <c r="K13" s="26"/>
      <c r="L13" s="26"/>
      <c r="M13" s="26"/>
    </row>
    <row r="14" spans="1:13" x14ac:dyDescent="0.25">
      <c r="B14" s="19"/>
      <c r="C14" s="19"/>
      <c r="D14" s="19"/>
      <c r="E14" s="13"/>
      <c r="G14" s="87" t="s">
        <v>193</v>
      </c>
      <c r="H14" s="87"/>
      <c r="I14" s="99">
        <f ca="1">IFERROR(INDIRECT("COMPILDATA!Q"&amp;$A$1),"")</f>
        <v>0</v>
      </c>
      <c r="J14" s="99"/>
      <c r="K14" s="99"/>
      <c r="L14" s="99"/>
      <c r="M14" s="99"/>
    </row>
    <row r="15" spans="1:13" x14ac:dyDescent="0.25">
      <c r="G15" s="87" t="s">
        <v>194</v>
      </c>
      <c r="H15" s="87"/>
      <c r="I15" s="27">
        <f ca="1">IFERROR(INDIRECT("COMPILDATA!R"&amp;$A$1),"")</f>
        <v>0</v>
      </c>
      <c r="J15" s="26"/>
      <c r="K15" s="26"/>
      <c r="L15" s="26"/>
      <c r="M15" s="26"/>
    </row>
    <row r="16" spans="1:13" ht="15.75" thickBot="1" x14ac:dyDescent="0.3"/>
    <row r="17" spans="2:13" ht="15.75" thickBot="1" x14ac:dyDescent="0.3">
      <c r="B17" s="95" t="s">
        <v>166</v>
      </c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7"/>
    </row>
    <row r="19" spans="2:13" x14ac:dyDescent="0.25">
      <c r="B19" s="100" t="s">
        <v>167</v>
      </c>
      <c r="C19" s="101"/>
      <c r="D19" s="102"/>
      <c r="E19" s="100" t="s">
        <v>168</v>
      </c>
      <c r="F19" s="101"/>
      <c r="G19" s="102"/>
      <c r="H19" s="100" t="s">
        <v>169</v>
      </c>
      <c r="I19" s="101"/>
      <c r="J19" s="102"/>
      <c r="L19" s="100" t="s">
        <v>170</v>
      </c>
      <c r="M19" s="102"/>
    </row>
    <row r="20" spans="2:13" x14ac:dyDescent="0.25">
      <c r="B20" s="14" t="s">
        <v>171</v>
      </c>
      <c r="C20" s="14" t="s">
        <v>172</v>
      </c>
      <c r="D20" s="14" t="s">
        <v>173</v>
      </c>
      <c r="E20" s="14" t="s">
        <v>171</v>
      </c>
      <c r="F20" s="14" t="s">
        <v>172</v>
      </c>
      <c r="G20" s="14" t="s">
        <v>173</v>
      </c>
      <c r="H20" s="14" t="s">
        <v>171</v>
      </c>
      <c r="I20" s="14" t="s">
        <v>172</v>
      </c>
      <c r="J20" s="14" t="s">
        <v>173</v>
      </c>
      <c r="K20" s="15"/>
      <c r="L20" s="106">
        <f ca="1">IFERROR(INDIRECT("COMPILDATA!y"&amp;$A$1),"")</f>
        <v>24.8</v>
      </c>
      <c r="M20" s="107"/>
    </row>
    <row r="21" spans="2:13" x14ac:dyDescent="0.25">
      <c r="B21" s="16">
        <f ca="1">IFERROR(INDIRECT("COMPILDATA!S"&amp;$A$1),"")</f>
        <v>0</v>
      </c>
      <c r="C21" s="16">
        <f ca="1">IFERROR(INDIRECT("COMPILDATA!T"&amp;$A$1),"")</f>
        <v>0</v>
      </c>
      <c r="D21" s="17" t="str">
        <f ca="1">IF(C21="",C21/B21,"")</f>
        <v/>
      </c>
      <c r="E21" s="16">
        <f ca="1">IFERROR(INDIRECT("COMPILDATA!U"&amp;$A$1),"")</f>
        <v>1.98</v>
      </c>
      <c r="F21" s="16">
        <f ca="1">IFERROR(INDIRECT("COMPILDATA!V"&amp;$A$1),"")</f>
        <v>0.71</v>
      </c>
      <c r="G21" s="17">
        <f ca="1">IF(F21=0,"",F21/E21)</f>
        <v>0.35858585858585856</v>
      </c>
      <c r="H21" s="16">
        <f ca="1">IFERROR(INDIRECT("COMPILDATA!w"&amp;$A$1),"")</f>
        <v>0</v>
      </c>
      <c r="I21" s="16">
        <f ca="1">IFERROR(INDIRECT("COMPILDATA!x"&amp;$A$1),"")</f>
        <v>0</v>
      </c>
      <c r="J21" s="17" t="str">
        <f ca="1">IF(I21=0,"",I21/H21)</f>
        <v/>
      </c>
    </row>
    <row r="23" spans="2:13" x14ac:dyDescent="0.25">
      <c r="B23" s="108" t="s">
        <v>174</v>
      </c>
      <c r="C23" s="109"/>
      <c r="D23" s="18">
        <f ca="1">B21+E21+H21</f>
        <v>1.98</v>
      </c>
    </row>
    <row r="24" spans="2:13" x14ac:dyDescent="0.25">
      <c r="B24" s="108" t="s">
        <v>175</v>
      </c>
      <c r="C24" s="109"/>
      <c r="D24" s="18">
        <f ca="1">C21+F21+I21</f>
        <v>0.71</v>
      </c>
    </row>
    <row r="25" spans="2:13" ht="15.75" thickBot="1" x14ac:dyDescent="0.3"/>
    <row r="26" spans="2:13" ht="15.75" thickBot="1" x14ac:dyDescent="0.3">
      <c r="B26" s="95" t="s">
        <v>176</v>
      </c>
      <c r="C26" s="96"/>
      <c r="D26" s="96"/>
      <c r="E26" s="96"/>
      <c r="F26" s="96"/>
      <c r="G26" s="96"/>
      <c r="H26" s="96"/>
      <c r="I26" s="96"/>
      <c r="J26" s="96"/>
      <c r="K26" s="96"/>
      <c r="L26" s="96"/>
      <c r="M26" s="97"/>
    </row>
    <row r="28" spans="2:13" x14ac:dyDescent="0.25">
      <c r="B28" s="87" t="s">
        <v>177</v>
      </c>
      <c r="C28" s="87"/>
      <c r="D28">
        <f ca="1">IFERROR(INDIRECT("COMPILDATA!Z"&amp;$A$1),"")</f>
        <v>0</v>
      </c>
      <c r="G28" s="87" t="s">
        <v>178</v>
      </c>
      <c r="H28" s="87"/>
      <c r="I28" t="str">
        <f ca="1">IFERROR(INDIRECT("COMPILDATA!AB"&amp;$A$1),"")</f>
        <v>DMNI</v>
      </c>
      <c r="K28" s="19" t="s">
        <v>179</v>
      </c>
      <c r="L28" s="99">
        <f ca="1">IFERROR(INDIRECT("COMPILDATA!AD"&amp;$A$1),"")</f>
        <v>0</v>
      </c>
      <c r="M28" s="99"/>
    </row>
    <row r="29" spans="2:13" x14ac:dyDescent="0.25">
      <c r="B29" s="87" t="s">
        <v>180</v>
      </c>
      <c r="C29" s="87"/>
      <c r="D29" t="str">
        <f ca="1">IFERROR(INDIRECT("COMPILDATA!AA"&amp;$A$1),"")</f>
        <v>Oui</v>
      </c>
      <c r="G29" s="87" t="s">
        <v>181</v>
      </c>
      <c r="H29" s="87"/>
      <c r="I29" s="99" t="str">
        <f ca="1">IFERROR(INDIRECT("COMPILDATA!AC"&amp;$A$1),"")</f>
        <v>S. JECKEL</v>
      </c>
      <c r="J29" s="99"/>
      <c r="K29" s="19" t="s">
        <v>182</v>
      </c>
      <c r="L29" s="99">
        <f ca="1">IFERROR(INDIRECT("COMPILDATA!AE"&amp;$A$1),"")</f>
        <v>0</v>
      </c>
      <c r="M29" s="99"/>
    </row>
    <row r="30" spans="2:13" x14ac:dyDescent="0.25">
      <c r="G30" s="11"/>
    </row>
    <row r="31" spans="2:13" x14ac:dyDescent="0.25">
      <c r="B31" s="87" t="s">
        <v>183</v>
      </c>
      <c r="C31" s="87"/>
      <c r="D31" s="87"/>
      <c r="E31" s="87"/>
      <c r="G31" s="11"/>
    </row>
    <row r="43" spans="2:13" ht="15.75" thickBot="1" x14ac:dyDescent="0.3"/>
    <row r="44" spans="2:13" ht="15.75" thickBot="1" x14ac:dyDescent="0.3">
      <c r="B44" s="95" t="s">
        <v>184</v>
      </c>
      <c r="C44" s="96"/>
      <c r="D44" s="96"/>
      <c r="E44" s="96"/>
      <c r="F44" s="96"/>
      <c r="G44" s="96"/>
      <c r="H44" s="96"/>
      <c r="I44" s="96"/>
      <c r="J44" s="96"/>
      <c r="K44" s="96"/>
      <c r="L44" s="96"/>
      <c r="M44" s="97"/>
    </row>
    <row r="46" spans="2:13" x14ac:dyDescent="0.25">
      <c r="B46" s="20"/>
      <c r="C46" s="21"/>
      <c r="D46" s="103" t="s">
        <v>185</v>
      </c>
      <c r="E46" s="104"/>
      <c r="F46" s="105"/>
      <c r="G46" s="103" t="s">
        <v>186</v>
      </c>
      <c r="H46" s="104"/>
      <c r="I46" s="104"/>
      <c r="J46" s="104"/>
      <c r="K46" s="104"/>
      <c r="L46" s="104"/>
      <c r="M46" s="105"/>
    </row>
    <row r="47" spans="2:13" x14ac:dyDescent="0.25">
      <c r="B47" s="22" t="s">
        <v>187</v>
      </c>
      <c r="C47" s="23"/>
      <c r="D47" s="113" t="str">
        <f ca="1">IFERROR(INDIRECT("COMPILDATA!AF"&amp;$A$1),"")</f>
        <v>ALBANNE S.A.</v>
      </c>
      <c r="E47" s="114"/>
      <c r="F47" s="115"/>
      <c r="G47" s="113" t="str">
        <f ca="1">IFERROR(INDIRECT("COMPILDATA!AG"&amp;$A$1),"")</f>
        <v>16 rue de juiverie - 73000 CHAMBERY</v>
      </c>
      <c r="H47" s="114"/>
      <c r="I47" s="114"/>
      <c r="J47" s="114"/>
      <c r="K47" s="114"/>
      <c r="L47" s="114"/>
      <c r="M47" s="115"/>
    </row>
    <row r="49" spans="2:13" x14ac:dyDescent="0.25">
      <c r="B49" s="20"/>
      <c r="C49" s="21"/>
      <c r="D49" s="103" t="s">
        <v>185</v>
      </c>
      <c r="E49" s="104"/>
      <c r="F49" s="104"/>
      <c r="G49" s="105" t="s">
        <v>186</v>
      </c>
      <c r="H49" s="103" t="s">
        <v>186</v>
      </c>
      <c r="I49" s="104"/>
      <c r="J49" s="104"/>
      <c r="K49" s="104"/>
      <c r="L49" s="104"/>
      <c r="M49" s="105"/>
    </row>
    <row r="50" spans="2:13" x14ac:dyDescent="0.25">
      <c r="B50" s="22" t="s">
        <v>188</v>
      </c>
      <c r="C50" s="23"/>
      <c r="D50" s="113" t="str">
        <f ca="1">IFERROR(INDIRECT("COMPILDATA!AH"&amp;$A$1),"")</f>
        <v>COPRO. DU BUGEY-POLE DE SCES LE TRIOLET</v>
      </c>
      <c r="E50" s="114"/>
      <c r="F50" s="114"/>
      <c r="G50" s="115" t="s">
        <v>195</v>
      </c>
      <c r="H50" s="113" t="str">
        <f ca="1">IFERROR(INDIRECT("COMPILDATA!AI"&amp;$A$1),"")</f>
        <v>rue du pré de l'âne - 73000 CHAMBERY</v>
      </c>
      <c r="I50" s="114"/>
      <c r="J50" s="114"/>
      <c r="K50" s="114"/>
      <c r="L50" s="114"/>
      <c r="M50" s="115"/>
    </row>
    <row r="52" spans="2:13" x14ac:dyDescent="0.25">
      <c r="D52" s="103" t="s">
        <v>185</v>
      </c>
      <c r="E52" s="104"/>
      <c r="F52" s="105"/>
      <c r="G52" s="103" t="s">
        <v>189</v>
      </c>
      <c r="H52" s="105"/>
      <c r="I52" s="24" t="s">
        <v>190</v>
      </c>
      <c r="J52" s="103" t="s">
        <v>191</v>
      </c>
      <c r="K52" s="105"/>
    </row>
    <row r="53" spans="2:13" x14ac:dyDescent="0.25">
      <c r="B53" s="22" t="s">
        <v>192</v>
      </c>
      <c r="C53" s="25"/>
      <c r="D53" s="110">
        <f ca="1">IFERROR(INDIRECT("COMPILDATA!AJ"&amp;$A$1),"")</f>
        <v>0</v>
      </c>
      <c r="E53" s="112"/>
      <c r="F53" s="111"/>
      <c r="G53" s="110">
        <f ca="1">IFERROR(INDIRECT("COMPILDATA!AK"&amp;$A$1),"")</f>
        <v>0</v>
      </c>
      <c r="H53" s="111"/>
      <c r="I53" s="32">
        <f ca="1">IFERROR(INDIRECT("COMPILDATA!AL"&amp;$A$1),"")</f>
        <v>0</v>
      </c>
      <c r="J53" s="110">
        <f ca="1">IFERROR(INDIRECT("COMPILDATA!AM"&amp;$A$1),"")</f>
        <v>0</v>
      </c>
      <c r="K53" s="111"/>
    </row>
  </sheetData>
  <mergeCells count="54">
    <mergeCell ref="D49:G49"/>
    <mergeCell ref="H49:M49"/>
    <mergeCell ref="D50:G50"/>
    <mergeCell ref="D47:F47"/>
    <mergeCell ref="G47:M47"/>
    <mergeCell ref="H50:M50"/>
    <mergeCell ref="J53:K53"/>
    <mergeCell ref="D52:F52"/>
    <mergeCell ref="G52:H52"/>
    <mergeCell ref="J52:K52"/>
    <mergeCell ref="D53:F53"/>
    <mergeCell ref="G53:H53"/>
    <mergeCell ref="G46:M46"/>
    <mergeCell ref="B31:E31"/>
    <mergeCell ref="L20:M20"/>
    <mergeCell ref="B23:C23"/>
    <mergeCell ref="B24:C24"/>
    <mergeCell ref="B26:M26"/>
    <mergeCell ref="B28:C28"/>
    <mergeCell ref="G28:H28"/>
    <mergeCell ref="L28:M28"/>
    <mergeCell ref="B29:C29"/>
    <mergeCell ref="G29:H29"/>
    <mergeCell ref="I29:J29"/>
    <mergeCell ref="L29:M29"/>
    <mergeCell ref="B44:M44"/>
    <mergeCell ref="D46:F46"/>
    <mergeCell ref="B12:D12"/>
    <mergeCell ref="G12:H12"/>
    <mergeCell ref="G13:H13"/>
    <mergeCell ref="B17:M17"/>
    <mergeCell ref="B19:D19"/>
    <mergeCell ref="E19:G19"/>
    <mergeCell ref="H19:J19"/>
    <mergeCell ref="L19:M19"/>
    <mergeCell ref="I12:M12"/>
    <mergeCell ref="I14:M14"/>
    <mergeCell ref="G14:H14"/>
    <mergeCell ref="G15:H15"/>
    <mergeCell ref="B10:D10"/>
    <mergeCell ref="G10:H10"/>
    <mergeCell ref="K10:L10"/>
    <mergeCell ref="E2:M3"/>
    <mergeCell ref="F4:J4"/>
    <mergeCell ref="B5:M5"/>
    <mergeCell ref="B7:D7"/>
    <mergeCell ref="G7:H7"/>
    <mergeCell ref="K7:L7"/>
    <mergeCell ref="B8:D8"/>
    <mergeCell ref="G8:H8"/>
    <mergeCell ref="B9:D9"/>
    <mergeCell ref="G9:H9"/>
    <mergeCell ref="K9:L9"/>
    <mergeCell ref="I8:K8"/>
  </mergeCells>
  <hyperlinks>
    <hyperlink ref="K7:L7" location="PIECES_CONTRACTUELLES!A1" display="Pièces contrcatuelles"/>
  </hyperlinks>
  <pageMargins left="0.7" right="0.7" top="0.75" bottom="0.75" header="0.3" footer="0.3"/>
  <pageSetup paperSize="9" orientation="portrait" horizontalDpi="4294967293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AN51"/>
  <sheetViews>
    <sheetView showGridLines="0" zoomScaleNormal="100" workbookViewId="0">
      <pane xSplit="1" topLeftCell="R1" activePane="topRight" state="frozen"/>
      <selection pane="topRight" activeCell="U4" sqref="U4"/>
    </sheetView>
  </sheetViews>
  <sheetFormatPr baseColWidth="10" defaultRowHeight="15" x14ac:dyDescent="0.25"/>
  <cols>
    <col min="3" max="3" width="64.85546875" bestFit="1" customWidth="1"/>
    <col min="6" max="6" width="11.42578125" customWidth="1"/>
    <col min="7" max="7" width="13.140625" bestFit="1" customWidth="1"/>
    <col min="8" max="8" width="25.85546875" bestFit="1" customWidth="1"/>
    <col min="9" max="9" width="38.7109375" bestFit="1" customWidth="1"/>
    <col min="10" max="10" width="12" bestFit="1" customWidth="1"/>
    <col min="11" max="11" width="15.28515625" bestFit="1" customWidth="1"/>
    <col min="12" max="12" width="14" bestFit="1" customWidth="1"/>
    <col min="13" max="13" width="14.140625" bestFit="1" customWidth="1"/>
    <col min="14" max="14" width="11.42578125" style="75"/>
    <col min="15" max="15" width="29.7109375" customWidth="1"/>
    <col min="16" max="16" width="10.7109375" style="9" bestFit="1" customWidth="1"/>
    <col min="17" max="17" width="20.7109375" bestFit="1" customWidth="1"/>
    <col min="18" max="18" width="11.42578125" style="9"/>
    <col min="19" max="24" width="11.42578125" style="33"/>
    <col min="29" max="29" width="16.42578125" bestFit="1" customWidth="1"/>
    <col min="32" max="32" width="38.140625" customWidth="1"/>
    <col min="33" max="33" width="60.5703125" bestFit="1" customWidth="1"/>
    <col min="34" max="34" width="46.28515625" bestFit="1" customWidth="1"/>
    <col min="35" max="35" width="81.42578125" bestFit="1" customWidth="1"/>
    <col min="36" max="36" width="8" bestFit="1" customWidth="1"/>
    <col min="37" max="37" width="20" bestFit="1" customWidth="1"/>
    <col min="38" max="38" width="13.28515625" bestFit="1" customWidth="1"/>
    <col min="40" max="40" width="17" bestFit="1" customWidth="1"/>
  </cols>
  <sheetData>
    <row r="1" spans="1:40" ht="30" customHeight="1" x14ac:dyDescent="0.25">
      <c r="A1" s="16" t="s">
        <v>0</v>
      </c>
      <c r="B1" s="16" t="s">
        <v>1</v>
      </c>
      <c r="C1" s="40" t="s">
        <v>196</v>
      </c>
      <c r="D1" s="16" t="s">
        <v>3</v>
      </c>
      <c r="E1" s="16" t="s">
        <v>5</v>
      </c>
      <c r="F1" s="16" t="s">
        <v>197</v>
      </c>
      <c r="G1" s="16" t="s">
        <v>198</v>
      </c>
      <c r="H1" s="16" t="s">
        <v>199</v>
      </c>
      <c r="I1" s="16" t="s">
        <v>200</v>
      </c>
      <c r="J1" s="16" t="s">
        <v>201</v>
      </c>
      <c r="K1" s="16" t="s">
        <v>202</v>
      </c>
      <c r="L1" s="16" t="s">
        <v>203</v>
      </c>
      <c r="M1" s="45" t="s">
        <v>254</v>
      </c>
      <c r="N1" s="76" t="s">
        <v>253</v>
      </c>
      <c r="O1" s="16" t="s">
        <v>205</v>
      </c>
      <c r="P1" s="46" t="s">
        <v>204</v>
      </c>
      <c r="Q1" s="16" t="s">
        <v>206</v>
      </c>
      <c r="R1" s="46" t="s">
        <v>207</v>
      </c>
      <c r="S1" s="16" t="s">
        <v>252</v>
      </c>
      <c r="T1" s="16" t="s">
        <v>247</v>
      </c>
      <c r="U1" s="16" t="s">
        <v>248</v>
      </c>
      <c r="V1" s="16" t="s">
        <v>249</v>
      </c>
      <c r="W1" s="16" t="s">
        <v>250</v>
      </c>
      <c r="X1" s="16" t="s">
        <v>251</v>
      </c>
      <c r="Y1" s="16" t="s">
        <v>208</v>
      </c>
      <c r="Z1" s="16" t="s">
        <v>209</v>
      </c>
      <c r="AA1" s="45" t="s">
        <v>246</v>
      </c>
      <c r="AB1" s="16" t="s">
        <v>210</v>
      </c>
      <c r="AC1" s="45" t="s">
        <v>245</v>
      </c>
      <c r="AD1" s="16" t="s">
        <v>211</v>
      </c>
      <c r="AE1" s="16" t="s">
        <v>212</v>
      </c>
      <c r="AF1" s="16" t="s">
        <v>213</v>
      </c>
      <c r="AG1" s="16" t="s">
        <v>214</v>
      </c>
      <c r="AH1" s="16" t="s">
        <v>215</v>
      </c>
      <c r="AI1" s="16" t="s">
        <v>216</v>
      </c>
      <c r="AJ1" s="16" t="s">
        <v>217</v>
      </c>
      <c r="AK1" s="16" t="s">
        <v>218</v>
      </c>
      <c r="AL1" s="16" t="s">
        <v>219</v>
      </c>
      <c r="AM1" s="16" t="s">
        <v>220</v>
      </c>
    </row>
    <row r="2" spans="1:40" x14ac:dyDescent="0.25">
      <c r="A2" s="35" t="s">
        <v>6</v>
      </c>
      <c r="B2" s="35" t="s">
        <v>7</v>
      </c>
      <c r="C2" s="35" t="s">
        <v>8</v>
      </c>
      <c r="D2" s="36">
        <v>28399</v>
      </c>
      <c r="E2" s="34">
        <v>1</v>
      </c>
      <c r="F2" s="36">
        <v>28763</v>
      </c>
      <c r="G2" s="36">
        <v>43008</v>
      </c>
      <c r="H2" s="36" t="s">
        <v>221</v>
      </c>
      <c r="I2" s="36" t="s">
        <v>238</v>
      </c>
      <c r="J2" s="34" t="s">
        <v>222</v>
      </c>
      <c r="K2" s="34" t="s">
        <v>224</v>
      </c>
      <c r="L2" s="34"/>
      <c r="M2" s="34" t="s">
        <v>224</v>
      </c>
      <c r="N2" s="77" t="s">
        <v>223</v>
      </c>
      <c r="O2" s="34"/>
      <c r="P2" s="36"/>
      <c r="Q2" s="34"/>
      <c r="R2" s="36"/>
      <c r="S2" s="34"/>
      <c r="T2" s="34"/>
      <c r="U2" s="34">
        <v>1.65</v>
      </c>
      <c r="V2" s="34">
        <v>-1.23</v>
      </c>
      <c r="W2" s="34"/>
      <c r="X2" s="34"/>
      <c r="Y2" s="34">
        <v>55.8</v>
      </c>
      <c r="Z2" s="34"/>
      <c r="AA2" s="34"/>
      <c r="AB2" s="34" t="s">
        <v>398</v>
      </c>
      <c r="AC2" s="34" t="str">
        <f t="shared" ref="AC2:AC27" si="0">IF(AB2="DMNI","S. JECKEL",IF(AB2="DMDN","M. LEMONNIER",IF(AB2="DMIR","C. SONNERAT",IF(AB2="DMCK","A. CHABERT",IF(AB2="DMDD","F. CHAPITEAU",IF(AB2="DMDL","A. VESIN",IF(AB2="DMNP","Y. DURAND","")))))))</f>
        <v>M. LEMONNIER</v>
      </c>
      <c r="AD2" s="34"/>
      <c r="AE2" s="34"/>
      <c r="AF2" s="34" t="s">
        <v>227</v>
      </c>
      <c r="AG2" s="34" t="s">
        <v>228</v>
      </c>
      <c r="AH2" s="34" t="s">
        <v>229</v>
      </c>
      <c r="AI2" s="34" t="s">
        <v>230</v>
      </c>
      <c r="AJ2" s="34"/>
      <c r="AK2" s="37"/>
      <c r="AL2" s="34"/>
      <c r="AM2" s="34"/>
      <c r="AN2" s="29"/>
    </row>
    <row r="3" spans="1:40" x14ac:dyDescent="0.25">
      <c r="A3" s="35" t="s">
        <v>9</v>
      </c>
      <c r="B3" s="35" t="s">
        <v>10</v>
      </c>
      <c r="C3" s="35" t="s">
        <v>11</v>
      </c>
      <c r="D3" s="36">
        <v>37012</v>
      </c>
      <c r="E3" s="34">
        <v>1</v>
      </c>
      <c r="F3" s="36">
        <v>37376</v>
      </c>
      <c r="G3" s="36">
        <v>42855</v>
      </c>
      <c r="H3" s="36" t="s">
        <v>221</v>
      </c>
      <c r="I3" s="36" t="s">
        <v>235</v>
      </c>
      <c r="J3" s="34" t="s">
        <v>222</v>
      </c>
      <c r="K3" s="34" t="s">
        <v>224</v>
      </c>
      <c r="L3" s="34"/>
      <c r="M3" s="34" t="s">
        <v>224</v>
      </c>
      <c r="N3" s="77" t="s">
        <v>223</v>
      </c>
      <c r="O3" s="34"/>
      <c r="P3" s="36"/>
      <c r="Q3" s="34"/>
      <c r="R3" s="36"/>
      <c r="S3" s="34"/>
      <c r="T3" s="34"/>
      <c r="U3" s="34">
        <v>1.82</v>
      </c>
      <c r="V3" s="34">
        <v>1.1599999999999999</v>
      </c>
      <c r="W3" s="34"/>
      <c r="X3" s="34"/>
      <c r="Y3" s="34">
        <v>13</v>
      </c>
      <c r="Z3" s="34"/>
      <c r="AA3" s="34" t="s">
        <v>225</v>
      </c>
      <c r="AB3" s="34" t="s">
        <v>395</v>
      </c>
      <c r="AC3" s="34" t="str">
        <f t="shared" si="0"/>
        <v>A. VESIN</v>
      </c>
      <c r="AD3" s="34"/>
      <c r="AE3" s="34"/>
      <c r="AF3" s="34"/>
      <c r="AG3" s="34"/>
      <c r="AH3" s="34" t="s">
        <v>258</v>
      </c>
      <c r="AI3" s="34" t="s">
        <v>259</v>
      </c>
      <c r="AJ3" s="34"/>
      <c r="AK3" s="34"/>
      <c r="AL3" s="34"/>
      <c r="AM3" s="34"/>
    </row>
    <row r="4" spans="1:40" x14ac:dyDescent="0.25">
      <c r="A4" s="35" t="s">
        <v>12</v>
      </c>
      <c r="B4" s="35" t="s">
        <v>13</v>
      </c>
      <c r="C4" s="35" t="s">
        <v>14</v>
      </c>
      <c r="D4" s="36">
        <v>27011</v>
      </c>
      <c r="E4" s="34">
        <v>1</v>
      </c>
      <c r="F4" s="36">
        <v>27375</v>
      </c>
      <c r="G4" s="36">
        <v>42716</v>
      </c>
      <c r="H4" s="36" t="s">
        <v>221</v>
      </c>
      <c r="I4" s="36" t="s">
        <v>236</v>
      </c>
      <c r="J4" s="34" t="s">
        <v>222</v>
      </c>
      <c r="K4" s="34" t="s">
        <v>224</v>
      </c>
      <c r="L4" s="34"/>
      <c r="M4" s="34" t="s">
        <v>224</v>
      </c>
      <c r="N4" s="77" t="s">
        <v>223</v>
      </c>
      <c r="O4" s="34"/>
      <c r="P4" s="36"/>
      <c r="Q4" s="34"/>
      <c r="R4" s="36"/>
      <c r="S4" s="34"/>
      <c r="T4" s="34"/>
      <c r="U4" s="34">
        <v>1.18</v>
      </c>
      <c r="V4" s="34">
        <v>7.0000000000000007E-2</v>
      </c>
      <c r="W4" s="34"/>
      <c r="X4" s="34"/>
      <c r="Y4" s="34">
        <v>22</v>
      </c>
      <c r="Z4" s="34"/>
      <c r="AA4" s="34" t="s">
        <v>224</v>
      </c>
      <c r="AB4" s="34" t="s">
        <v>395</v>
      </c>
      <c r="AC4" s="34" t="str">
        <f t="shared" si="0"/>
        <v>A. VESIN</v>
      </c>
      <c r="AD4" s="34"/>
      <c r="AE4" s="34"/>
      <c r="AF4" s="34" t="s">
        <v>260</v>
      </c>
      <c r="AG4" s="34" t="s">
        <v>261</v>
      </c>
      <c r="AH4" s="34" t="s">
        <v>262</v>
      </c>
      <c r="AI4" s="34" t="s">
        <v>263</v>
      </c>
      <c r="AJ4" s="34"/>
      <c r="AK4" s="34"/>
      <c r="AL4" s="34"/>
      <c r="AM4" s="34"/>
    </row>
    <row r="5" spans="1:40" x14ac:dyDescent="0.25">
      <c r="A5" s="35" t="s">
        <v>15</v>
      </c>
      <c r="B5" s="35" t="s">
        <v>16</v>
      </c>
      <c r="C5" s="35" t="s">
        <v>17</v>
      </c>
      <c r="D5" s="36">
        <v>33604</v>
      </c>
      <c r="E5" s="34">
        <v>10</v>
      </c>
      <c r="F5" s="36">
        <v>37256</v>
      </c>
      <c r="G5" s="36">
        <v>44561</v>
      </c>
      <c r="H5" s="36" t="s">
        <v>221</v>
      </c>
      <c r="I5" s="36" t="s">
        <v>237</v>
      </c>
      <c r="J5" s="34" t="s">
        <v>222</v>
      </c>
      <c r="K5" s="34" t="s">
        <v>224</v>
      </c>
      <c r="L5" s="34"/>
      <c r="M5" s="34" t="s">
        <v>224</v>
      </c>
      <c r="N5" s="74">
        <v>2</v>
      </c>
      <c r="O5" s="34" t="s">
        <v>421</v>
      </c>
      <c r="P5" s="36">
        <v>33593</v>
      </c>
      <c r="Q5" s="34" t="s">
        <v>422</v>
      </c>
      <c r="R5" s="36">
        <v>35431</v>
      </c>
      <c r="S5" s="34"/>
      <c r="T5" s="34"/>
      <c r="U5" s="34">
        <v>5.38</v>
      </c>
      <c r="V5" s="34">
        <v>2.2600000000000002</v>
      </c>
      <c r="W5" s="34">
        <v>5.91</v>
      </c>
      <c r="X5" s="34">
        <v>3.37</v>
      </c>
      <c r="Y5" s="34">
        <v>53.1</v>
      </c>
      <c r="Z5" s="34"/>
      <c r="AA5" s="34" t="s">
        <v>225</v>
      </c>
      <c r="AB5" s="34" t="s">
        <v>226</v>
      </c>
      <c r="AC5" s="34" t="str">
        <f t="shared" si="0"/>
        <v>S. JECKEL</v>
      </c>
      <c r="AD5" s="34"/>
      <c r="AE5" s="34"/>
      <c r="AF5" s="34"/>
      <c r="AG5" s="34"/>
      <c r="AH5" s="34" t="s">
        <v>264</v>
      </c>
      <c r="AI5" s="34" t="s">
        <v>265</v>
      </c>
      <c r="AJ5" s="34"/>
      <c r="AK5" s="34"/>
      <c r="AL5" s="34"/>
      <c r="AM5" s="34"/>
    </row>
    <row r="6" spans="1:40" x14ac:dyDescent="0.25">
      <c r="A6" s="35" t="s">
        <v>18</v>
      </c>
      <c r="B6" s="35" t="s">
        <v>19</v>
      </c>
      <c r="C6" s="35" t="s">
        <v>20</v>
      </c>
      <c r="D6" s="36">
        <v>29147</v>
      </c>
      <c r="E6" s="34">
        <v>1</v>
      </c>
      <c r="F6" s="36">
        <v>29512</v>
      </c>
      <c r="G6" s="36">
        <v>43026</v>
      </c>
      <c r="H6" s="36" t="s">
        <v>221</v>
      </c>
      <c r="I6" s="36" t="s">
        <v>236</v>
      </c>
      <c r="J6" s="34" t="s">
        <v>222</v>
      </c>
      <c r="K6" s="34" t="s">
        <v>224</v>
      </c>
      <c r="L6" s="34"/>
      <c r="M6" s="34" t="s">
        <v>224</v>
      </c>
      <c r="N6" s="77" t="s">
        <v>223</v>
      </c>
      <c r="O6" s="34"/>
      <c r="P6" s="36"/>
      <c r="Q6" s="34"/>
      <c r="R6" s="36"/>
      <c r="S6" s="34"/>
      <c r="T6" s="34"/>
      <c r="U6" s="34">
        <v>0.84</v>
      </c>
      <c r="V6" s="34">
        <v>0.13</v>
      </c>
      <c r="W6" s="34"/>
      <c r="X6" s="34"/>
      <c r="Y6" s="34">
        <v>14</v>
      </c>
      <c r="Z6" s="34"/>
      <c r="AA6" s="34" t="s">
        <v>225</v>
      </c>
      <c r="AB6" s="34" t="s">
        <v>395</v>
      </c>
      <c r="AC6" s="34" t="str">
        <f t="shared" si="0"/>
        <v>A. VESIN</v>
      </c>
      <c r="AD6" s="34"/>
      <c r="AE6" s="34"/>
      <c r="AF6" s="34" t="s">
        <v>266</v>
      </c>
      <c r="AG6" s="34" t="s">
        <v>267</v>
      </c>
      <c r="AH6" s="34" t="s">
        <v>268</v>
      </c>
      <c r="AI6" s="34" t="s">
        <v>269</v>
      </c>
      <c r="AJ6" s="34"/>
      <c r="AK6" s="34"/>
      <c r="AL6" s="34"/>
      <c r="AM6" s="34"/>
    </row>
    <row r="7" spans="1:40" x14ac:dyDescent="0.25">
      <c r="A7" s="35" t="s">
        <v>21</v>
      </c>
      <c r="B7" s="35" t="s">
        <v>22</v>
      </c>
      <c r="C7" s="35" t="s">
        <v>23</v>
      </c>
      <c r="D7" s="36">
        <v>27030</v>
      </c>
      <c r="E7" s="34">
        <v>11</v>
      </c>
      <c r="F7" s="36">
        <v>31047</v>
      </c>
      <c r="G7" s="36">
        <v>43100</v>
      </c>
      <c r="H7" s="36" t="s">
        <v>221</v>
      </c>
      <c r="I7" s="36" t="s">
        <v>235</v>
      </c>
      <c r="J7" s="34" t="s">
        <v>222</v>
      </c>
      <c r="K7" s="34" t="s">
        <v>224</v>
      </c>
      <c r="L7" s="34"/>
      <c r="M7" s="34" t="s">
        <v>224</v>
      </c>
      <c r="N7" s="77" t="s">
        <v>223</v>
      </c>
      <c r="O7" s="34"/>
      <c r="P7" s="36"/>
      <c r="Q7" s="34"/>
      <c r="R7" s="36"/>
      <c r="S7" s="34"/>
      <c r="T7" s="34"/>
      <c r="U7" s="34">
        <v>0.66</v>
      </c>
      <c r="V7" s="34">
        <v>-0.13</v>
      </c>
      <c r="W7" s="34"/>
      <c r="X7" s="34"/>
      <c r="Y7" s="34">
        <v>15.2</v>
      </c>
      <c r="Z7" s="34"/>
      <c r="AA7" s="34" t="s">
        <v>224</v>
      </c>
      <c r="AB7" s="34" t="s">
        <v>395</v>
      </c>
      <c r="AC7" s="34" t="str">
        <f t="shared" si="0"/>
        <v>A. VESIN</v>
      </c>
      <c r="AD7" s="34"/>
      <c r="AE7" s="34"/>
      <c r="AF7" s="34" t="s">
        <v>270</v>
      </c>
      <c r="AG7" s="34" t="s">
        <v>271</v>
      </c>
      <c r="AH7" s="34" t="s">
        <v>272</v>
      </c>
      <c r="AI7" s="34" t="s">
        <v>273</v>
      </c>
      <c r="AJ7" s="34"/>
      <c r="AK7" s="34"/>
      <c r="AL7" s="34"/>
      <c r="AM7" s="34"/>
    </row>
    <row r="8" spans="1:40" x14ac:dyDescent="0.25">
      <c r="A8" s="35" t="s">
        <v>24</v>
      </c>
      <c r="B8" s="35" t="s">
        <v>25</v>
      </c>
      <c r="C8" s="35" t="s">
        <v>26</v>
      </c>
      <c r="D8" s="36">
        <v>28388</v>
      </c>
      <c r="E8" s="34">
        <v>1</v>
      </c>
      <c r="F8" s="36">
        <v>28752</v>
      </c>
      <c r="G8" s="36">
        <v>42997</v>
      </c>
      <c r="H8" s="36" t="s">
        <v>221</v>
      </c>
      <c r="I8" s="36" t="s">
        <v>235</v>
      </c>
      <c r="J8" s="34" t="s">
        <v>222</v>
      </c>
      <c r="K8" s="34" t="s">
        <v>224</v>
      </c>
      <c r="L8" s="34"/>
      <c r="M8" s="34" t="s">
        <v>224</v>
      </c>
      <c r="N8" s="77" t="s">
        <v>223</v>
      </c>
      <c r="O8" s="34"/>
      <c r="P8" s="36"/>
      <c r="Q8" s="34"/>
      <c r="R8" s="36"/>
      <c r="S8" s="34"/>
      <c r="T8" s="34"/>
      <c r="U8" s="34">
        <v>0.46</v>
      </c>
      <c r="V8" s="34">
        <v>-0.4</v>
      </c>
      <c r="W8" s="34"/>
      <c r="X8" s="34"/>
      <c r="Y8" s="34">
        <v>17</v>
      </c>
      <c r="Z8" s="34"/>
      <c r="AA8" s="34"/>
      <c r="AB8" s="34" t="s">
        <v>395</v>
      </c>
      <c r="AC8" s="34" t="str">
        <f t="shared" si="0"/>
        <v>A. VESIN</v>
      </c>
      <c r="AD8" s="34"/>
      <c r="AE8" s="34"/>
      <c r="AF8" s="34" t="s">
        <v>274</v>
      </c>
      <c r="AG8" s="34" t="s">
        <v>275</v>
      </c>
      <c r="AH8" s="34" t="s">
        <v>276</v>
      </c>
      <c r="AI8" s="34" t="s">
        <v>277</v>
      </c>
      <c r="AJ8" s="34"/>
      <c r="AK8" s="34"/>
      <c r="AL8" s="34"/>
      <c r="AM8" s="34"/>
    </row>
    <row r="9" spans="1:40" x14ac:dyDescent="0.25">
      <c r="A9" s="35" t="s">
        <v>27</v>
      </c>
      <c r="B9" s="35" t="s">
        <v>28</v>
      </c>
      <c r="C9" s="35" t="s">
        <v>29</v>
      </c>
      <c r="D9" s="36">
        <v>32325</v>
      </c>
      <c r="E9" s="34">
        <v>15</v>
      </c>
      <c r="F9" s="36">
        <v>37802</v>
      </c>
      <c r="G9" s="36">
        <v>42916</v>
      </c>
      <c r="H9" s="36" t="s">
        <v>221</v>
      </c>
      <c r="I9" s="36" t="s">
        <v>235</v>
      </c>
      <c r="J9" s="34" t="s">
        <v>222</v>
      </c>
      <c r="K9" s="34" t="s">
        <v>224</v>
      </c>
      <c r="L9" s="34"/>
      <c r="M9" s="34" t="s">
        <v>224</v>
      </c>
      <c r="N9" s="74">
        <v>2</v>
      </c>
      <c r="O9" s="34"/>
      <c r="P9" s="36"/>
      <c r="Q9" s="34" t="s">
        <v>423</v>
      </c>
      <c r="R9" s="36">
        <v>35527</v>
      </c>
      <c r="S9" s="34"/>
      <c r="T9" s="34"/>
      <c r="U9" s="34">
        <v>0.76</v>
      </c>
      <c r="V9" s="34">
        <v>-0.46</v>
      </c>
      <c r="W9" s="34">
        <v>1.5</v>
      </c>
      <c r="X9" s="34">
        <v>0.12</v>
      </c>
      <c r="Y9" s="34">
        <v>23.1</v>
      </c>
      <c r="Z9" s="34"/>
      <c r="AA9" s="34"/>
      <c r="AB9" s="34" t="s">
        <v>395</v>
      </c>
      <c r="AC9" s="34" t="str">
        <f t="shared" si="0"/>
        <v>A. VESIN</v>
      </c>
      <c r="AD9" s="34"/>
      <c r="AE9" s="34"/>
      <c r="AF9" s="34" t="s">
        <v>278</v>
      </c>
      <c r="AG9" s="34" t="s">
        <v>279</v>
      </c>
      <c r="AH9" s="34" t="s">
        <v>280</v>
      </c>
      <c r="AI9" s="34" t="s">
        <v>281</v>
      </c>
      <c r="AJ9" s="34"/>
      <c r="AK9" s="34"/>
      <c r="AL9" s="34"/>
      <c r="AM9" s="34"/>
    </row>
    <row r="10" spans="1:40" x14ac:dyDescent="0.25">
      <c r="A10" s="35" t="s">
        <v>30</v>
      </c>
      <c r="B10" s="35" t="s">
        <v>31</v>
      </c>
      <c r="C10" s="35" t="s">
        <v>32</v>
      </c>
      <c r="D10" s="36">
        <v>32455</v>
      </c>
      <c r="E10" s="34">
        <v>21</v>
      </c>
      <c r="F10" s="36">
        <v>40124</v>
      </c>
      <c r="G10" s="36">
        <v>47794</v>
      </c>
      <c r="H10" s="36" t="s">
        <v>221</v>
      </c>
      <c r="I10" s="36" t="s">
        <v>235</v>
      </c>
      <c r="J10" s="34" t="s">
        <v>222</v>
      </c>
      <c r="K10" s="34" t="s">
        <v>224</v>
      </c>
      <c r="L10" s="34"/>
      <c r="M10" s="34" t="s">
        <v>224</v>
      </c>
      <c r="N10" s="74">
        <v>1</v>
      </c>
      <c r="O10" s="34" t="s">
        <v>424</v>
      </c>
      <c r="P10" s="36">
        <v>32455</v>
      </c>
      <c r="Q10" s="34"/>
      <c r="R10" s="36"/>
      <c r="S10" s="34"/>
      <c r="T10" s="34"/>
      <c r="U10" s="34">
        <v>2.13</v>
      </c>
      <c r="V10" s="34">
        <v>1.47</v>
      </c>
      <c r="W10" s="34"/>
      <c r="X10" s="34"/>
      <c r="Y10" s="34">
        <v>12.3</v>
      </c>
      <c r="Z10" s="34"/>
      <c r="AA10" s="34" t="s">
        <v>224</v>
      </c>
      <c r="AB10" s="34" t="s">
        <v>395</v>
      </c>
      <c r="AC10" s="34" t="str">
        <f t="shared" si="0"/>
        <v>A. VESIN</v>
      </c>
      <c r="AD10" s="34"/>
      <c r="AE10" s="34"/>
      <c r="AF10" s="34" t="s">
        <v>282</v>
      </c>
      <c r="AG10" s="34" t="s">
        <v>283</v>
      </c>
      <c r="AH10" s="34" t="s">
        <v>284</v>
      </c>
      <c r="AI10" s="34" t="s">
        <v>285</v>
      </c>
      <c r="AJ10" s="34"/>
      <c r="AK10" s="34"/>
      <c r="AL10" s="34"/>
      <c r="AM10" s="34"/>
    </row>
    <row r="11" spans="1:40" x14ac:dyDescent="0.25">
      <c r="A11" s="35" t="s">
        <v>33</v>
      </c>
      <c r="B11" s="35" t="s">
        <v>34</v>
      </c>
      <c r="C11" s="35" t="s">
        <v>35</v>
      </c>
      <c r="D11" s="36">
        <v>33889</v>
      </c>
      <c r="E11" s="34">
        <v>17</v>
      </c>
      <c r="F11" s="36">
        <v>40097</v>
      </c>
      <c r="G11" s="36">
        <v>43019</v>
      </c>
      <c r="H11" s="36" t="s">
        <v>221</v>
      </c>
      <c r="I11" s="36" t="s">
        <v>236</v>
      </c>
      <c r="J11" s="34" t="s">
        <v>222</v>
      </c>
      <c r="K11" s="34" t="s">
        <v>224</v>
      </c>
      <c r="L11" s="34"/>
      <c r="M11" s="34" t="s">
        <v>224</v>
      </c>
      <c r="N11" s="74">
        <v>1</v>
      </c>
      <c r="O11" s="34" t="s">
        <v>425</v>
      </c>
      <c r="P11" s="36">
        <v>33889</v>
      </c>
      <c r="Q11" s="34"/>
      <c r="R11" s="36"/>
      <c r="S11" s="34"/>
      <c r="T11" s="34"/>
      <c r="U11" s="34">
        <v>1.71</v>
      </c>
      <c r="V11" s="34">
        <v>1.02</v>
      </c>
      <c r="W11" s="34"/>
      <c r="X11" s="34"/>
      <c r="Y11" s="34">
        <v>13.2</v>
      </c>
      <c r="Z11" s="34"/>
      <c r="AA11" s="34" t="s">
        <v>225</v>
      </c>
      <c r="AB11" s="34" t="s">
        <v>395</v>
      </c>
      <c r="AC11" s="34" t="str">
        <f t="shared" si="0"/>
        <v>A. VESIN</v>
      </c>
      <c r="AD11" s="34"/>
      <c r="AE11" s="34"/>
      <c r="AF11" s="34" t="s">
        <v>286</v>
      </c>
      <c r="AG11" s="34" t="s">
        <v>287</v>
      </c>
      <c r="AH11" s="34" t="s">
        <v>288</v>
      </c>
      <c r="AI11" s="34" t="s">
        <v>289</v>
      </c>
      <c r="AJ11" s="34"/>
      <c r="AK11" s="34"/>
      <c r="AL11" s="34"/>
      <c r="AM11" s="34"/>
    </row>
    <row r="12" spans="1:40" x14ac:dyDescent="0.25">
      <c r="A12" s="35" t="s">
        <v>36</v>
      </c>
      <c r="B12" s="35" t="s">
        <v>37</v>
      </c>
      <c r="C12" s="35" t="s">
        <v>38</v>
      </c>
      <c r="D12" s="36">
        <v>30590</v>
      </c>
      <c r="E12" s="34">
        <v>1</v>
      </c>
      <c r="F12" s="36">
        <v>30955</v>
      </c>
      <c r="G12" s="36">
        <v>43008</v>
      </c>
      <c r="H12" s="36" t="s">
        <v>221</v>
      </c>
      <c r="I12" s="36" t="s">
        <v>236</v>
      </c>
      <c r="J12" s="34" t="s">
        <v>222</v>
      </c>
      <c r="K12" s="34" t="s">
        <v>224</v>
      </c>
      <c r="L12" s="34"/>
      <c r="M12" s="34" t="s">
        <v>224</v>
      </c>
      <c r="N12" s="74">
        <v>1</v>
      </c>
      <c r="O12" s="34" t="s">
        <v>426</v>
      </c>
      <c r="P12" s="36">
        <v>31959</v>
      </c>
      <c r="Q12" s="34"/>
      <c r="R12" s="36"/>
      <c r="S12" s="34"/>
      <c r="T12" s="34"/>
      <c r="U12" s="34">
        <v>1.67</v>
      </c>
      <c r="V12" s="34">
        <v>0.91</v>
      </c>
      <c r="W12" s="34"/>
      <c r="X12" s="34"/>
      <c r="Y12" s="34">
        <v>15</v>
      </c>
      <c r="Z12" s="34"/>
      <c r="AA12" s="34" t="s">
        <v>225</v>
      </c>
      <c r="AB12" s="34" t="s">
        <v>395</v>
      </c>
      <c r="AC12" s="34" t="str">
        <f t="shared" si="0"/>
        <v>A. VESIN</v>
      </c>
      <c r="AD12" s="34"/>
      <c r="AE12" s="34"/>
      <c r="AF12" s="34" t="s">
        <v>290</v>
      </c>
      <c r="AG12" s="34" t="s">
        <v>291</v>
      </c>
      <c r="AH12" s="34" t="s">
        <v>361</v>
      </c>
      <c r="AI12" s="34" t="s">
        <v>362</v>
      </c>
      <c r="AJ12" s="34"/>
      <c r="AK12" s="34"/>
      <c r="AL12" s="34"/>
      <c r="AM12" s="34"/>
    </row>
    <row r="13" spans="1:40" x14ac:dyDescent="0.25">
      <c r="A13" s="35" t="s">
        <v>39</v>
      </c>
      <c r="B13" s="35" t="s">
        <v>40</v>
      </c>
      <c r="C13" s="35" t="s">
        <v>41</v>
      </c>
      <c r="D13" s="36">
        <v>32796</v>
      </c>
      <c r="E13" s="34">
        <v>1</v>
      </c>
      <c r="F13" s="36">
        <v>33160</v>
      </c>
      <c r="G13" s="36">
        <v>43022</v>
      </c>
      <c r="H13" s="36" t="s">
        <v>221</v>
      </c>
      <c r="I13" s="36" t="s">
        <v>235</v>
      </c>
      <c r="J13" s="34" t="s">
        <v>222</v>
      </c>
      <c r="K13" s="34" t="s">
        <v>224</v>
      </c>
      <c r="L13" s="34"/>
      <c r="M13" s="34" t="s">
        <v>224</v>
      </c>
      <c r="N13" s="77" t="s">
        <v>223</v>
      </c>
      <c r="O13" s="34"/>
      <c r="P13" s="36"/>
      <c r="Q13" s="34"/>
      <c r="R13" s="36"/>
      <c r="S13" s="34"/>
      <c r="T13" s="34"/>
      <c r="U13" s="34">
        <v>0.84</v>
      </c>
      <c r="V13" s="34">
        <v>0</v>
      </c>
      <c r="W13" s="34"/>
      <c r="X13" s="34"/>
      <c r="Y13" s="34">
        <v>16.2</v>
      </c>
      <c r="Z13" s="34"/>
      <c r="AA13" s="34" t="s">
        <v>224</v>
      </c>
      <c r="AB13" s="34" t="s">
        <v>395</v>
      </c>
      <c r="AC13" s="34" t="str">
        <f t="shared" si="0"/>
        <v>A. VESIN</v>
      </c>
      <c r="AD13" s="34"/>
      <c r="AE13" s="34"/>
      <c r="AF13" s="34" t="s">
        <v>292</v>
      </c>
      <c r="AG13" s="34" t="s">
        <v>293</v>
      </c>
      <c r="AH13" s="34" t="s">
        <v>294</v>
      </c>
      <c r="AI13" s="34" t="s">
        <v>295</v>
      </c>
      <c r="AJ13" s="34"/>
      <c r="AK13" s="34"/>
      <c r="AL13" s="34"/>
      <c r="AM13" s="34"/>
    </row>
    <row r="14" spans="1:40" x14ac:dyDescent="0.25">
      <c r="A14" s="35" t="s">
        <v>42</v>
      </c>
      <c r="B14" s="35" t="s">
        <v>43</v>
      </c>
      <c r="C14" s="35" t="s">
        <v>44</v>
      </c>
      <c r="D14" s="36">
        <v>32596</v>
      </c>
      <c r="E14" s="34">
        <v>13</v>
      </c>
      <c r="F14" s="36">
        <v>37343</v>
      </c>
      <c r="G14" s="36">
        <v>46840</v>
      </c>
      <c r="H14" s="36" t="s">
        <v>221</v>
      </c>
      <c r="I14" s="36" t="s">
        <v>235</v>
      </c>
      <c r="J14" s="34" t="s">
        <v>222</v>
      </c>
      <c r="K14" s="34" t="s">
        <v>224</v>
      </c>
      <c r="L14" s="34"/>
      <c r="M14" s="34" t="s">
        <v>224</v>
      </c>
      <c r="N14" s="77" t="s">
        <v>223</v>
      </c>
      <c r="O14" s="34"/>
      <c r="P14" s="36"/>
      <c r="Q14" s="34"/>
      <c r="R14" s="36"/>
      <c r="S14" s="34"/>
      <c r="T14" s="34"/>
      <c r="U14" s="34">
        <v>1.24</v>
      </c>
      <c r="V14" s="34">
        <v>0.23</v>
      </c>
      <c r="W14" s="34"/>
      <c r="X14" s="34"/>
      <c r="Y14" s="34">
        <v>20</v>
      </c>
      <c r="Z14" s="34"/>
      <c r="AA14" s="34" t="s">
        <v>224</v>
      </c>
      <c r="AB14" s="34" t="s">
        <v>395</v>
      </c>
      <c r="AC14" s="34" t="str">
        <f t="shared" si="0"/>
        <v>A. VESIN</v>
      </c>
      <c r="AD14" s="34"/>
      <c r="AE14" s="34"/>
      <c r="AF14" s="34" t="s">
        <v>260</v>
      </c>
      <c r="AG14" s="34" t="s">
        <v>261</v>
      </c>
      <c r="AH14" s="34"/>
      <c r="AI14" s="34"/>
      <c r="AJ14" s="34"/>
      <c r="AK14" s="34"/>
      <c r="AL14" s="34"/>
      <c r="AM14" s="34"/>
    </row>
    <row r="15" spans="1:40" x14ac:dyDescent="0.25">
      <c r="A15" s="35" t="s">
        <v>45</v>
      </c>
      <c r="B15" s="35" t="s">
        <v>46</v>
      </c>
      <c r="C15" s="35" t="s">
        <v>47</v>
      </c>
      <c r="D15" s="36">
        <v>34335</v>
      </c>
      <c r="E15" s="34">
        <v>1</v>
      </c>
      <c r="F15" s="36">
        <v>34699</v>
      </c>
      <c r="G15" s="36">
        <v>42735</v>
      </c>
      <c r="H15" s="36" t="s">
        <v>221</v>
      </c>
      <c r="I15" s="36" t="s">
        <v>235</v>
      </c>
      <c r="J15" s="34" t="s">
        <v>222</v>
      </c>
      <c r="K15" s="34" t="s">
        <v>224</v>
      </c>
      <c r="L15" s="34"/>
      <c r="M15" s="34" t="s">
        <v>224</v>
      </c>
      <c r="N15" s="77" t="s">
        <v>223</v>
      </c>
      <c r="O15" s="34"/>
      <c r="P15" s="36"/>
      <c r="Q15" s="34"/>
      <c r="R15" s="36"/>
      <c r="S15" s="34"/>
      <c r="T15" s="34"/>
      <c r="U15" s="34">
        <v>1.32</v>
      </c>
      <c r="V15" s="34">
        <v>0.6</v>
      </c>
      <c r="W15" s="34"/>
      <c r="X15" s="34"/>
      <c r="Y15" s="34">
        <v>13.9</v>
      </c>
      <c r="Z15" s="34"/>
      <c r="AA15" s="34"/>
      <c r="AB15" s="34" t="s">
        <v>395</v>
      </c>
      <c r="AC15" s="34" t="str">
        <f t="shared" si="0"/>
        <v>A. VESIN</v>
      </c>
      <c r="AD15" s="34"/>
      <c r="AE15" s="34"/>
      <c r="AF15" s="34" t="s">
        <v>296</v>
      </c>
      <c r="AG15" s="34" t="s">
        <v>297</v>
      </c>
      <c r="AH15" s="34"/>
      <c r="AI15" s="34"/>
      <c r="AJ15" s="34"/>
      <c r="AK15" s="34"/>
      <c r="AL15" s="34"/>
      <c r="AM15" s="34"/>
    </row>
    <row r="16" spans="1:40" x14ac:dyDescent="0.25">
      <c r="A16" s="35" t="s">
        <v>48</v>
      </c>
      <c r="B16" s="35" t="s">
        <v>49</v>
      </c>
      <c r="C16" s="35" t="s">
        <v>50</v>
      </c>
      <c r="D16" s="36">
        <v>36434</v>
      </c>
      <c r="E16" s="34">
        <v>5</v>
      </c>
      <c r="F16" s="36">
        <v>38260</v>
      </c>
      <c r="G16" s="36">
        <v>43738</v>
      </c>
      <c r="H16" s="36" t="s">
        <v>221</v>
      </c>
      <c r="I16" s="36" t="s">
        <v>238</v>
      </c>
      <c r="J16" s="34" t="s">
        <v>222</v>
      </c>
      <c r="K16" s="34" t="s">
        <v>224</v>
      </c>
      <c r="L16" s="34"/>
      <c r="M16" s="34" t="s">
        <v>224</v>
      </c>
      <c r="N16" s="74">
        <v>2</v>
      </c>
      <c r="O16" s="34" t="s">
        <v>427</v>
      </c>
      <c r="P16" s="36">
        <v>36526</v>
      </c>
      <c r="Q16" s="34" t="s">
        <v>428</v>
      </c>
      <c r="R16" s="36">
        <v>37622</v>
      </c>
      <c r="S16" s="34"/>
      <c r="T16" s="34"/>
      <c r="U16" s="34">
        <v>8.69</v>
      </c>
      <c r="V16" s="34">
        <v>2.95</v>
      </c>
      <c r="W16" s="34">
        <v>9.91</v>
      </c>
      <c r="X16" s="34">
        <v>2.61</v>
      </c>
      <c r="Y16" s="34">
        <v>108.7</v>
      </c>
      <c r="Z16" s="34"/>
      <c r="AA16" s="34" t="s">
        <v>225</v>
      </c>
      <c r="AB16" s="34" t="s">
        <v>242</v>
      </c>
      <c r="AC16" s="34" t="str">
        <f t="shared" si="0"/>
        <v>C. SONNERAT</v>
      </c>
      <c r="AD16" s="34"/>
      <c r="AE16" s="34"/>
      <c r="AF16" s="34"/>
      <c r="AG16" s="34"/>
      <c r="AH16" s="34" t="s">
        <v>363</v>
      </c>
      <c r="AI16" s="34" t="s">
        <v>364</v>
      </c>
      <c r="AJ16" s="34"/>
      <c r="AK16" s="34"/>
      <c r="AL16" s="34"/>
      <c r="AM16" s="34"/>
    </row>
    <row r="17" spans="1:39" x14ac:dyDescent="0.25">
      <c r="A17" s="35" t="s">
        <v>51</v>
      </c>
      <c r="B17" s="35" t="s">
        <v>52</v>
      </c>
      <c r="C17" s="35" t="s">
        <v>53</v>
      </c>
      <c r="D17" s="36">
        <v>27820</v>
      </c>
      <c r="E17" s="34">
        <v>1</v>
      </c>
      <c r="F17" s="36">
        <v>28184</v>
      </c>
      <c r="G17" s="36">
        <v>42794</v>
      </c>
      <c r="H17" s="36" t="s">
        <v>221</v>
      </c>
      <c r="I17" s="36" t="s">
        <v>403</v>
      </c>
      <c r="J17" s="34" t="s">
        <v>222</v>
      </c>
      <c r="K17" s="34" t="s">
        <v>224</v>
      </c>
      <c r="L17" s="34"/>
      <c r="M17" s="34" t="s">
        <v>224</v>
      </c>
      <c r="N17" s="74">
        <v>1</v>
      </c>
      <c r="O17" s="34" t="s">
        <v>429</v>
      </c>
      <c r="P17" s="36">
        <v>28034</v>
      </c>
      <c r="Q17" s="34"/>
      <c r="R17" s="36"/>
      <c r="S17" s="34"/>
      <c r="T17" s="34"/>
      <c r="U17" s="34">
        <v>1.52</v>
      </c>
      <c r="V17" s="34">
        <v>1.03</v>
      </c>
      <c r="W17" s="34"/>
      <c r="X17" s="34"/>
      <c r="Y17" s="34">
        <v>9.1999999999999993</v>
      </c>
      <c r="Z17" s="34"/>
      <c r="AA17" s="34" t="s">
        <v>225</v>
      </c>
      <c r="AB17" s="34" t="s">
        <v>404</v>
      </c>
      <c r="AC17" s="34" t="s">
        <v>405</v>
      </c>
      <c r="AD17" s="34"/>
      <c r="AE17" s="34"/>
      <c r="AF17" s="34" t="s">
        <v>365</v>
      </c>
      <c r="AG17" s="34" t="s">
        <v>366</v>
      </c>
      <c r="AH17" s="34" t="s">
        <v>367</v>
      </c>
      <c r="AI17" s="34" t="s">
        <v>368</v>
      </c>
      <c r="AJ17" s="34"/>
      <c r="AK17" s="34"/>
      <c r="AL17" s="34"/>
      <c r="AM17" s="34"/>
    </row>
    <row r="18" spans="1:39" x14ac:dyDescent="0.25">
      <c r="A18" s="38" t="s">
        <v>54</v>
      </c>
      <c r="B18" s="53" t="s">
        <v>55</v>
      </c>
      <c r="C18" s="35" t="s">
        <v>56</v>
      </c>
      <c r="D18" s="36">
        <v>25498</v>
      </c>
      <c r="E18" s="34">
        <v>10</v>
      </c>
      <c r="F18" s="36">
        <v>29149</v>
      </c>
      <c r="G18" s="36">
        <v>43029</v>
      </c>
      <c r="H18" s="36" t="s">
        <v>221</v>
      </c>
      <c r="I18" s="36" t="s">
        <v>236</v>
      </c>
      <c r="J18" s="34" t="s">
        <v>222</v>
      </c>
      <c r="K18" s="34" t="s">
        <v>224</v>
      </c>
      <c r="L18" s="34"/>
      <c r="M18" s="34" t="s">
        <v>224</v>
      </c>
      <c r="N18" s="77" t="s">
        <v>223</v>
      </c>
      <c r="O18" s="34"/>
      <c r="P18" s="36"/>
      <c r="Q18" s="34"/>
      <c r="R18" s="36"/>
      <c r="S18" s="34"/>
      <c r="T18" s="34"/>
      <c r="U18" s="34">
        <v>7.35</v>
      </c>
      <c r="V18" s="34">
        <v>6.57</v>
      </c>
      <c r="W18" s="34"/>
      <c r="X18" s="34"/>
      <c r="Y18" s="34">
        <v>15.5</v>
      </c>
      <c r="Z18" s="34"/>
      <c r="AA18" s="34"/>
      <c r="AB18" s="34" t="s">
        <v>398</v>
      </c>
      <c r="AC18" s="34" t="str">
        <f t="shared" si="0"/>
        <v>M. LEMONNIER</v>
      </c>
      <c r="AD18" s="34"/>
      <c r="AE18" s="34"/>
      <c r="AF18" s="34"/>
      <c r="AG18" s="34"/>
      <c r="AH18" s="34" t="s">
        <v>399</v>
      </c>
      <c r="AI18" s="34" t="s">
        <v>400</v>
      </c>
      <c r="AJ18" s="34"/>
      <c r="AK18" s="34"/>
      <c r="AL18" s="34"/>
      <c r="AM18" s="34"/>
    </row>
    <row r="19" spans="1:39" x14ac:dyDescent="0.25">
      <c r="A19" s="38" t="s">
        <v>57</v>
      </c>
      <c r="B19" s="53" t="s">
        <v>58</v>
      </c>
      <c r="C19" s="35" t="s">
        <v>59</v>
      </c>
      <c r="D19" s="36">
        <v>25477</v>
      </c>
      <c r="E19" s="34">
        <v>10</v>
      </c>
      <c r="F19" s="36">
        <v>29128</v>
      </c>
      <c r="G19" s="36">
        <v>43008</v>
      </c>
      <c r="H19" s="36" t="s">
        <v>221</v>
      </c>
      <c r="I19" s="36" t="s">
        <v>236</v>
      </c>
      <c r="J19" s="34" t="s">
        <v>222</v>
      </c>
      <c r="K19" s="34" t="s">
        <v>224</v>
      </c>
      <c r="L19" s="34"/>
      <c r="M19" s="34" t="s">
        <v>224</v>
      </c>
      <c r="N19" s="77" t="s">
        <v>223</v>
      </c>
      <c r="O19" s="34"/>
      <c r="P19" s="36"/>
      <c r="Q19" s="34"/>
      <c r="R19" s="36"/>
      <c r="S19" s="34"/>
      <c r="T19" s="34"/>
      <c r="U19" s="34">
        <v>2.09</v>
      </c>
      <c r="V19" s="34">
        <v>0.89</v>
      </c>
      <c r="W19" s="34"/>
      <c r="X19" s="34"/>
      <c r="Y19" s="34">
        <v>23</v>
      </c>
      <c r="Z19" s="34"/>
      <c r="AA19" s="34"/>
      <c r="AB19" s="34" t="s">
        <v>398</v>
      </c>
      <c r="AC19" s="34" t="str">
        <f t="shared" si="0"/>
        <v>M. LEMONNIER</v>
      </c>
      <c r="AD19" s="34"/>
      <c r="AE19" s="34"/>
      <c r="AF19" s="34"/>
      <c r="AG19" s="34"/>
      <c r="AH19" s="34" t="s">
        <v>401</v>
      </c>
      <c r="AI19" s="34" t="s">
        <v>402</v>
      </c>
      <c r="AJ19" s="34"/>
      <c r="AK19" s="34"/>
      <c r="AL19" s="34"/>
      <c r="AM19" s="34"/>
    </row>
    <row r="20" spans="1:39" x14ac:dyDescent="0.25">
      <c r="A20" s="35" t="s">
        <v>60</v>
      </c>
      <c r="B20" s="53" t="s">
        <v>61</v>
      </c>
      <c r="C20" s="35" t="s">
        <v>62</v>
      </c>
      <c r="D20" s="36">
        <v>38169</v>
      </c>
      <c r="E20" s="34">
        <v>10</v>
      </c>
      <c r="F20" s="36">
        <v>41820</v>
      </c>
      <c r="G20" s="36">
        <v>42916</v>
      </c>
      <c r="H20" s="36" t="s">
        <v>221</v>
      </c>
      <c r="I20" s="36" t="s">
        <v>236</v>
      </c>
      <c r="J20" s="34" t="s">
        <v>222</v>
      </c>
      <c r="K20" s="34" t="s">
        <v>224</v>
      </c>
      <c r="L20" s="34"/>
      <c r="M20" s="34" t="s">
        <v>224</v>
      </c>
      <c r="N20" s="77" t="s">
        <v>223</v>
      </c>
      <c r="O20" s="34"/>
      <c r="P20" s="36"/>
      <c r="Q20" s="34"/>
      <c r="R20" s="36"/>
      <c r="S20" s="34"/>
      <c r="T20" s="34"/>
      <c r="U20" s="34">
        <v>4</v>
      </c>
      <c r="V20" s="34">
        <v>1.3</v>
      </c>
      <c r="W20" s="34"/>
      <c r="X20" s="34"/>
      <c r="Y20" s="34">
        <v>46</v>
      </c>
      <c r="Z20" s="34"/>
      <c r="AA20" s="34" t="s">
        <v>225</v>
      </c>
      <c r="AB20" s="34" t="s">
        <v>395</v>
      </c>
      <c r="AC20" s="34" t="str">
        <f t="shared" si="0"/>
        <v>A. VESIN</v>
      </c>
      <c r="AD20" s="34"/>
      <c r="AE20" s="34"/>
      <c r="AF20" s="34" t="s">
        <v>298</v>
      </c>
      <c r="AG20" s="34" t="s">
        <v>299</v>
      </c>
      <c r="AH20" s="34" t="s">
        <v>300</v>
      </c>
      <c r="AI20" s="34" t="s">
        <v>301</v>
      </c>
      <c r="AJ20" s="34"/>
      <c r="AK20" s="34"/>
      <c r="AL20" s="34"/>
      <c r="AM20" s="34"/>
    </row>
    <row r="21" spans="1:39" x14ac:dyDescent="0.25">
      <c r="A21" s="35" t="s">
        <v>63</v>
      </c>
      <c r="B21" s="35" t="s">
        <v>64</v>
      </c>
      <c r="C21" s="35" t="s">
        <v>65</v>
      </c>
      <c r="D21" s="36">
        <v>38718</v>
      </c>
      <c r="E21" s="34">
        <v>1</v>
      </c>
      <c r="F21" s="36">
        <v>39082</v>
      </c>
      <c r="G21" s="36">
        <v>43100</v>
      </c>
      <c r="H21" s="36" t="s">
        <v>221</v>
      </c>
      <c r="I21" s="36" t="s">
        <v>235</v>
      </c>
      <c r="J21" s="34" t="s">
        <v>222</v>
      </c>
      <c r="K21" s="34" t="s">
        <v>224</v>
      </c>
      <c r="L21" s="34"/>
      <c r="M21" s="34" t="s">
        <v>224</v>
      </c>
      <c r="N21" s="77" t="s">
        <v>223</v>
      </c>
      <c r="O21" s="34"/>
      <c r="P21" s="36"/>
      <c r="Q21" s="34"/>
      <c r="R21" s="36"/>
      <c r="S21" s="34"/>
      <c r="T21" s="34"/>
      <c r="U21" s="34">
        <v>3.41</v>
      </c>
      <c r="V21" s="34">
        <v>1.67</v>
      </c>
      <c r="W21" s="34"/>
      <c r="X21" s="34"/>
      <c r="Y21" s="34">
        <v>33.799999999999997</v>
      </c>
      <c r="Z21" s="34"/>
      <c r="AA21" s="34"/>
      <c r="AB21" s="34" t="s">
        <v>243</v>
      </c>
      <c r="AC21" s="34" t="str">
        <f t="shared" si="0"/>
        <v>F. CHAPITEAU</v>
      </c>
      <c r="AD21" s="34"/>
      <c r="AE21" s="34"/>
      <c r="AF21" s="34" t="s">
        <v>302</v>
      </c>
      <c r="AG21" s="34" t="s">
        <v>303</v>
      </c>
      <c r="AH21" s="34" t="s">
        <v>304</v>
      </c>
      <c r="AI21" s="34" t="s">
        <v>305</v>
      </c>
      <c r="AJ21" s="34"/>
      <c r="AK21" s="34"/>
      <c r="AL21" s="34"/>
      <c r="AM21" s="34"/>
    </row>
    <row r="22" spans="1:39" x14ac:dyDescent="0.25">
      <c r="A22" s="35" t="s">
        <v>66</v>
      </c>
      <c r="B22" s="35" t="s">
        <v>67</v>
      </c>
      <c r="C22" s="35" t="s">
        <v>68</v>
      </c>
      <c r="D22" s="36">
        <v>30590</v>
      </c>
      <c r="E22" s="34">
        <v>10</v>
      </c>
      <c r="F22" s="36">
        <v>34242</v>
      </c>
      <c r="G22" s="36">
        <v>45199</v>
      </c>
      <c r="H22" s="36" t="s">
        <v>221</v>
      </c>
      <c r="I22" s="36" t="s">
        <v>238</v>
      </c>
      <c r="J22" s="34" t="s">
        <v>222</v>
      </c>
      <c r="K22" s="34" t="s">
        <v>224</v>
      </c>
      <c r="L22" s="34"/>
      <c r="M22" s="34" t="s">
        <v>224</v>
      </c>
      <c r="N22" s="77" t="s">
        <v>223</v>
      </c>
      <c r="O22" s="34"/>
      <c r="P22" s="36"/>
      <c r="Q22" s="34"/>
      <c r="R22" s="36"/>
      <c r="S22" s="34"/>
      <c r="T22" s="34"/>
      <c r="U22" s="34">
        <v>1.67</v>
      </c>
      <c r="V22" s="34">
        <v>1.49</v>
      </c>
      <c r="W22" s="34">
        <v>1.48</v>
      </c>
      <c r="X22" s="34">
        <v>1.48</v>
      </c>
      <c r="Y22" s="34">
        <v>0</v>
      </c>
      <c r="Z22" s="34"/>
      <c r="AA22" s="34" t="s">
        <v>224</v>
      </c>
      <c r="AB22" s="34" t="s">
        <v>244</v>
      </c>
      <c r="AC22" s="34" t="str">
        <f t="shared" si="0"/>
        <v>A. CHABERT</v>
      </c>
      <c r="AD22" s="34"/>
      <c r="AE22" s="34"/>
      <c r="AF22" s="34" t="s">
        <v>306</v>
      </c>
      <c r="AG22" s="34" t="s">
        <v>307</v>
      </c>
      <c r="AH22" s="34" t="s">
        <v>308</v>
      </c>
      <c r="AI22" s="34" t="s">
        <v>309</v>
      </c>
      <c r="AJ22" s="34"/>
      <c r="AK22" s="34"/>
      <c r="AL22" s="34"/>
      <c r="AM22" s="34"/>
    </row>
    <row r="23" spans="1:39" x14ac:dyDescent="0.25">
      <c r="A23" s="38" t="s">
        <v>69</v>
      </c>
      <c r="B23" s="35" t="s">
        <v>70</v>
      </c>
      <c r="C23" s="35" t="s">
        <v>71</v>
      </c>
      <c r="D23" s="36">
        <v>34366</v>
      </c>
      <c r="E23" s="34">
        <v>5</v>
      </c>
      <c r="F23" s="36">
        <v>36191</v>
      </c>
      <c r="G23" s="36">
        <v>43131</v>
      </c>
      <c r="H23" s="36" t="s">
        <v>221</v>
      </c>
      <c r="I23" s="36" t="s">
        <v>237</v>
      </c>
      <c r="J23" s="34" t="s">
        <v>222</v>
      </c>
      <c r="K23" s="34" t="s">
        <v>224</v>
      </c>
      <c r="L23" s="34"/>
      <c r="M23" s="34" t="s">
        <v>224</v>
      </c>
      <c r="N23" s="74">
        <v>3</v>
      </c>
      <c r="O23" s="34" t="s">
        <v>434</v>
      </c>
      <c r="P23" s="36">
        <v>37288</v>
      </c>
      <c r="Q23" s="34" t="s">
        <v>433</v>
      </c>
      <c r="R23" s="36">
        <v>39722</v>
      </c>
      <c r="S23" s="34"/>
      <c r="T23" s="34"/>
      <c r="U23" s="34">
        <v>12.1</v>
      </c>
      <c r="V23" s="34">
        <v>2.33</v>
      </c>
      <c r="W23" s="34">
        <v>8.17</v>
      </c>
      <c r="X23" s="34">
        <v>-1.1300000000000001</v>
      </c>
      <c r="Y23" s="34">
        <v>161.80000000000001</v>
      </c>
      <c r="Z23" s="34"/>
      <c r="AA23" s="34" t="s">
        <v>225</v>
      </c>
      <c r="AB23" s="34" t="s">
        <v>226</v>
      </c>
      <c r="AC23" s="34" t="str">
        <f t="shared" si="0"/>
        <v>S. JECKEL</v>
      </c>
      <c r="AD23" s="34"/>
      <c r="AE23" s="34"/>
      <c r="AF23" s="34"/>
      <c r="AG23" s="34"/>
      <c r="AH23" s="34" t="s">
        <v>255</v>
      </c>
      <c r="AI23" s="34" t="s">
        <v>256</v>
      </c>
      <c r="AJ23" s="34"/>
      <c r="AK23" s="34"/>
      <c r="AL23" s="34"/>
      <c r="AM23" s="34"/>
    </row>
    <row r="24" spans="1:39" x14ac:dyDescent="0.25">
      <c r="A24" s="35" t="s">
        <v>72</v>
      </c>
      <c r="B24" s="35" t="s">
        <v>73</v>
      </c>
      <c r="C24" s="35" t="s">
        <v>74</v>
      </c>
      <c r="D24" s="36">
        <v>34335</v>
      </c>
      <c r="E24" s="34">
        <v>1</v>
      </c>
      <c r="F24" s="36">
        <v>34699</v>
      </c>
      <c r="G24" s="36">
        <v>43100</v>
      </c>
      <c r="H24" s="36" t="s">
        <v>221</v>
      </c>
      <c r="I24" s="36" t="s">
        <v>410</v>
      </c>
      <c r="J24" s="34" t="s">
        <v>222</v>
      </c>
      <c r="K24" s="34" t="s">
        <v>224</v>
      </c>
      <c r="L24" s="34"/>
      <c r="M24" s="34" t="s">
        <v>224</v>
      </c>
      <c r="N24" s="74">
        <v>2</v>
      </c>
      <c r="O24" s="34"/>
      <c r="P24" s="36"/>
      <c r="Q24" s="34" t="s">
        <v>430</v>
      </c>
      <c r="R24" s="36">
        <v>41671</v>
      </c>
      <c r="S24" s="34"/>
      <c r="T24" s="34"/>
      <c r="U24" s="34">
        <v>3.88</v>
      </c>
      <c r="V24" s="34">
        <v>1.79</v>
      </c>
      <c r="W24" s="34"/>
      <c r="X24" s="34"/>
      <c r="Y24" s="34">
        <v>40</v>
      </c>
      <c r="Z24" s="34"/>
      <c r="AA24" s="34" t="s">
        <v>225</v>
      </c>
      <c r="AB24" s="34" t="s">
        <v>226</v>
      </c>
      <c r="AC24" s="34" t="str">
        <f t="shared" si="0"/>
        <v>S. JECKEL</v>
      </c>
      <c r="AD24" s="34"/>
      <c r="AE24" s="34"/>
      <c r="AF24" s="34"/>
      <c r="AG24" s="34"/>
      <c r="AH24" s="34" t="s">
        <v>310</v>
      </c>
      <c r="AI24" s="34" t="s">
        <v>311</v>
      </c>
      <c r="AJ24" s="34"/>
      <c r="AK24" s="34"/>
      <c r="AL24" s="34"/>
      <c r="AM24" s="34"/>
    </row>
    <row r="25" spans="1:39" x14ac:dyDescent="0.25">
      <c r="A25" s="35" t="s">
        <v>75</v>
      </c>
      <c r="B25" s="35" t="s">
        <v>76</v>
      </c>
      <c r="C25" s="35" t="s">
        <v>77</v>
      </c>
      <c r="D25" s="36">
        <v>36100</v>
      </c>
      <c r="E25" s="34">
        <v>10</v>
      </c>
      <c r="F25" s="52">
        <v>36464</v>
      </c>
      <c r="G25" s="36">
        <v>43404</v>
      </c>
      <c r="H25" s="36" t="s">
        <v>221</v>
      </c>
      <c r="I25" s="36" t="s">
        <v>239</v>
      </c>
      <c r="J25" s="34" t="s">
        <v>222</v>
      </c>
      <c r="K25" s="34" t="s">
        <v>224</v>
      </c>
      <c r="L25" s="34"/>
      <c r="M25" s="34" t="s">
        <v>224</v>
      </c>
      <c r="N25" s="74">
        <v>2</v>
      </c>
      <c r="O25" s="34" t="s">
        <v>431</v>
      </c>
      <c r="P25" s="36">
        <v>36465</v>
      </c>
      <c r="Q25" s="34" t="s">
        <v>432</v>
      </c>
      <c r="R25" s="36">
        <v>39142</v>
      </c>
      <c r="S25" s="34"/>
      <c r="T25" s="34"/>
      <c r="U25" s="34">
        <v>3.91</v>
      </c>
      <c r="V25" s="34">
        <v>2.48</v>
      </c>
      <c r="W25" s="34"/>
      <c r="X25" s="34"/>
      <c r="Y25" s="34">
        <v>28</v>
      </c>
      <c r="Z25" s="34"/>
      <c r="AA25" s="34" t="s">
        <v>225</v>
      </c>
      <c r="AB25" s="34" t="s">
        <v>242</v>
      </c>
      <c r="AC25" s="34" t="str">
        <f t="shared" si="0"/>
        <v>C. SONNERAT</v>
      </c>
      <c r="AD25" s="34"/>
      <c r="AE25" s="34"/>
      <c r="AF25" s="34"/>
      <c r="AG25" s="34"/>
      <c r="AH25" s="34" t="s">
        <v>312</v>
      </c>
      <c r="AI25" s="34" t="s">
        <v>313</v>
      </c>
      <c r="AJ25" s="34"/>
      <c r="AK25" s="34"/>
      <c r="AL25" s="34"/>
      <c r="AM25" s="34"/>
    </row>
    <row r="26" spans="1:39" x14ac:dyDescent="0.25">
      <c r="A26" s="35" t="s">
        <v>78</v>
      </c>
      <c r="B26" s="35" t="s">
        <v>79</v>
      </c>
      <c r="C26" s="35" t="s">
        <v>80</v>
      </c>
      <c r="D26" s="36">
        <v>36251</v>
      </c>
      <c r="E26" s="34">
        <v>1</v>
      </c>
      <c r="F26" s="36">
        <v>36616</v>
      </c>
      <c r="G26" s="36">
        <v>42825</v>
      </c>
      <c r="H26" s="36" t="s">
        <v>221</v>
      </c>
      <c r="I26" s="36" t="s">
        <v>235</v>
      </c>
      <c r="J26" s="34" t="s">
        <v>222</v>
      </c>
      <c r="K26" s="34" t="s">
        <v>224</v>
      </c>
      <c r="L26" s="34"/>
      <c r="M26" s="34" t="s">
        <v>224</v>
      </c>
      <c r="N26" s="74">
        <v>1</v>
      </c>
      <c r="O26" s="34" t="s">
        <v>431</v>
      </c>
      <c r="P26" s="36">
        <v>37531</v>
      </c>
      <c r="Q26" s="34"/>
      <c r="R26" s="36"/>
      <c r="S26" s="34"/>
      <c r="T26" s="34"/>
      <c r="U26" s="34">
        <v>2.85</v>
      </c>
      <c r="V26" s="34">
        <v>0.64</v>
      </c>
      <c r="W26" s="34"/>
      <c r="X26" s="34"/>
      <c r="Y26" s="34">
        <v>43</v>
      </c>
      <c r="Z26" s="34"/>
      <c r="AA26" s="34" t="s">
        <v>225</v>
      </c>
      <c r="AB26" s="34" t="s">
        <v>395</v>
      </c>
      <c r="AC26" s="34" t="str">
        <f t="shared" si="0"/>
        <v>A. VESIN</v>
      </c>
      <c r="AD26" s="34"/>
      <c r="AE26" s="34"/>
      <c r="AF26" s="34" t="s">
        <v>314</v>
      </c>
      <c r="AG26" s="34" t="s">
        <v>257</v>
      </c>
      <c r="AH26" s="34" t="s">
        <v>315</v>
      </c>
      <c r="AI26" s="34" t="s">
        <v>257</v>
      </c>
      <c r="AJ26" s="34"/>
      <c r="AK26" s="34"/>
      <c r="AL26" s="34"/>
      <c r="AM26" s="34"/>
    </row>
    <row r="27" spans="1:39" x14ac:dyDescent="0.25">
      <c r="A27" s="35" t="s">
        <v>81</v>
      </c>
      <c r="B27" s="35" t="s">
        <v>82</v>
      </c>
      <c r="C27" s="35" t="s">
        <v>83</v>
      </c>
      <c r="D27" s="36">
        <v>37165</v>
      </c>
      <c r="E27" s="34">
        <v>5</v>
      </c>
      <c r="F27" s="36">
        <v>38990</v>
      </c>
      <c r="G27" s="36">
        <v>44469</v>
      </c>
      <c r="H27" s="36" t="s">
        <v>221</v>
      </c>
      <c r="I27" s="36" t="s">
        <v>235</v>
      </c>
      <c r="J27" s="34" t="s">
        <v>222</v>
      </c>
      <c r="K27" s="34" t="s">
        <v>224</v>
      </c>
      <c r="L27" s="34"/>
      <c r="M27" s="34" t="s">
        <v>224</v>
      </c>
      <c r="N27" s="77" t="s">
        <v>223</v>
      </c>
      <c r="O27" s="34"/>
      <c r="P27" s="36"/>
      <c r="Q27" s="34"/>
      <c r="R27" s="36"/>
      <c r="S27" s="34"/>
      <c r="T27" s="34"/>
      <c r="U27" s="34">
        <v>1.97</v>
      </c>
      <c r="V27" s="34">
        <v>0.68</v>
      </c>
      <c r="W27" s="34">
        <v>1.22</v>
      </c>
      <c r="X27" s="34">
        <v>0.38</v>
      </c>
      <c r="Y27" s="34">
        <v>21.2</v>
      </c>
      <c r="Z27" s="34"/>
      <c r="AA27" s="34" t="s">
        <v>225</v>
      </c>
      <c r="AB27" s="34" t="s">
        <v>395</v>
      </c>
      <c r="AC27" s="34" t="str">
        <f t="shared" si="0"/>
        <v>A. VESIN</v>
      </c>
      <c r="AD27" s="34"/>
      <c r="AE27" s="34"/>
      <c r="AF27" s="34" t="s">
        <v>316</v>
      </c>
      <c r="AG27" s="34" t="s">
        <v>317</v>
      </c>
      <c r="AH27" s="34" t="s">
        <v>318</v>
      </c>
      <c r="AI27" s="34" t="s">
        <v>319</v>
      </c>
      <c r="AJ27" s="34"/>
      <c r="AK27" s="34"/>
      <c r="AL27" s="34"/>
      <c r="AM27" s="34"/>
    </row>
    <row r="28" spans="1:39" x14ac:dyDescent="0.25">
      <c r="A28" s="35" t="s">
        <v>84</v>
      </c>
      <c r="B28" s="35" t="s">
        <v>85</v>
      </c>
      <c r="C28" s="35" t="s">
        <v>86</v>
      </c>
      <c r="D28" s="36">
        <v>37622</v>
      </c>
      <c r="E28" s="34">
        <v>8</v>
      </c>
      <c r="F28" s="36">
        <v>40543</v>
      </c>
      <c r="G28" s="36">
        <v>42735</v>
      </c>
      <c r="H28" s="36" t="s">
        <v>231</v>
      </c>
      <c r="I28" s="36" t="s">
        <v>235</v>
      </c>
      <c r="J28" s="34" t="s">
        <v>222</v>
      </c>
      <c r="K28" s="34" t="s">
        <v>224</v>
      </c>
      <c r="L28" s="34"/>
      <c r="M28" s="34" t="s">
        <v>224</v>
      </c>
      <c r="N28" s="77" t="s">
        <v>223</v>
      </c>
      <c r="O28" s="34"/>
      <c r="P28" s="36"/>
      <c r="Q28" s="34"/>
      <c r="R28" s="36"/>
      <c r="S28" s="34"/>
      <c r="T28" s="34"/>
      <c r="U28" s="34">
        <v>3.29</v>
      </c>
      <c r="V28" s="34">
        <v>-5.0999999999999996</v>
      </c>
      <c r="W28" s="34">
        <v>1.83</v>
      </c>
      <c r="X28" s="34">
        <v>0.65</v>
      </c>
      <c r="Y28" s="34">
        <v>137.5</v>
      </c>
      <c r="Z28" s="34"/>
      <c r="AA28" s="34" t="s">
        <v>225</v>
      </c>
      <c r="AB28" s="34" t="s">
        <v>395</v>
      </c>
      <c r="AC28" s="34" t="str">
        <f>IF(AB28="DMNI","S. JECKEL",IF(AB28="DMDN","M. LEMONNIER",IF(AB28="DMIR","C. SONNERAT",IF(AB28="DMCK","A. CHABERT",IF(AB28="DMDD","F. CHAPITEAU",IF(AB28="DMDL","A. VESIN",IF(AB28="DMNP","Y. DURAND","")))))))</f>
        <v>A. VESIN</v>
      </c>
      <c r="AD28" s="34"/>
      <c r="AE28" s="34"/>
      <c r="AF28" s="34"/>
      <c r="AG28" s="34"/>
      <c r="AH28" s="34"/>
      <c r="AI28" s="34"/>
      <c r="AJ28" s="34"/>
      <c r="AK28" s="34"/>
      <c r="AL28" s="34"/>
      <c r="AM28" s="34"/>
    </row>
    <row r="29" spans="1:39" x14ac:dyDescent="0.25">
      <c r="A29" s="35" t="s">
        <v>87</v>
      </c>
      <c r="B29" s="35" t="s">
        <v>88</v>
      </c>
      <c r="C29" s="35" t="s">
        <v>89</v>
      </c>
      <c r="D29" s="36">
        <v>37895</v>
      </c>
      <c r="E29" s="34">
        <v>10</v>
      </c>
      <c r="F29" s="36">
        <v>41547</v>
      </c>
      <c r="G29" s="36">
        <v>43373</v>
      </c>
      <c r="H29" s="36" t="s">
        <v>232</v>
      </c>
      <c r="I29" s="36" t="s">
        <v>236</v>
      </c>
      <c r="J29" s="34" t="s">
        <v>222</v>
      </c>
      <c r="K29" s="34" t="s">
        <v>224</v>
      </c>
      <c r="L29" s="34"/>
      <c r="M29" s="34" t="s">
        <v>224</v>
      </c>
      <c r="N29" s="77" t="s">
        <v>223</v>
      </c>
      <c r="O29" s="34"/>
      <c r="P29" s="36"/>
      <c r="Q29" s="34"/>
      <c r="R29" s="36"/>
      <c r="S29" s="34"/>
      <c r="T29" s="34"/>
      <c r="U29" s="34">
        <v>6.69</v>
      </c>
      <c r="V29" s="34">
        <v>1.31</v>
      </c>
      <c r="W29" s="34">
        <v>1.7</v>
      </c>
      <c r="X29" s="34">
        <v>0.76</v>
      </c>
      <c r="Y29" s="34">
        <v>87</v>
      </c>
      <c r="Z29" s="34"/>
      <c r="AA29" s="34" t="s">
        <v>225</v>
      </c>
      <c r="AB29" s="34" t="s">
        <v>395</v>
      </c>
      <c r="AC29" s="34" t="str">
        <f t="shared" ref="AC29:AC51" si="1">IF(AB29="DMNI","S. JECKEL",IF(AB29="DMDN","M. LEMONNIER",IF(AB29="DMIR","C. SONNERAT",IF(AB29="DMCK","A. CHABERT",IF(AB29="DMDD","F. CHAPITEAU",IF(AB29="DMDL","A. VESIN",IF(AB29="DMNP","Y. DURAND","")))))))</f>
        <v>A. VESIN</v>
      </c>
      <c r="AD29" s="34"/>
      <c r="AE29" s="34"/>
      <c r="AF29" s="34" t="s">
        <v>320</v>
      </c>
      <c r="AG29" s="34" t="s">
        <v>321</v>
      </c>
      <c r="AH29" s="34" t="s">
        <v>322</v>
      </c>
      <c r="AI29" s="34" t="s">
        <v>323</v>
      </c>
      <c r="AJ29" s="34"/>
      <c r="AK29" s="34"/>
      <c r="AL29" s="34"/>
      <c r="AM29" s="34"/>
    </row>
    <row r="30" spans="1:39" x14ac:dyDescent="0.25">
      <c r="A30" s="35" t="s">
        <v>90</v>
      </c>
      <c r="B30" s="35" t="s">
        <v>91</v>
      </c>
      <c r="C30" s="38" t="s">
        <v>92</v>
      </c>
      <c r="D30" s="36">
        <v>38443</v>
      </c>
      <c r="E30" s="34">
        <v>7</v>
      </c>
      <c r="F30" s="36">
        <v>40999</v>
      </c>
      <c r="G30" s="36">
        <v>42825</v>
      </c>
      <c r="H30" s="36" t="s">
        <v>221</v>
      </c>
      <c r="I30" s="36" t="s">
        <v>235</v>
      </c>
      <c r="J30" s="34" t="s">
        <v>222</v>
      </c>
      <c r="K30" s="34" t="s">
        <v>224</v>
      </c>
      <c r="L30" s="34"/>
      <c r="M30" s="34" t="s">
        <v>224</v>
      </c>
      <c r="N30" s="77" t="s">
        <v>223</v>
      </c>
      <c r="O30" s="34"/>
      <c r="P30" s="36"/>
      <c r="Q30" s="34"/>
      <c r="R30" s="36"/>
      <c r="S30" s="34"/>
      <c r="T30" s="34"/>
      <c r="U30" s="34">
        <v>1.22</v>
      </c>
      <c r="V30" s="34">
        <v>0.41</v>
      </c>
      <c r="W30" s="34">
        <v>2.02</v>
      </c>
      <c r="X30" s="34">
        <v>0.64</v>
      </c>
      <c r="Y30" s="34">
        <v>16</v>
      </c>
      <c r="Z30" s="34"/>
      <c r="AA30" s="34" t="s">
        <v>224</v>
      </c>
      <c r="AB30" s="34" t="s">
        <v>395</v>
      </c>
      <c r="AC30" s="34" t="str">
        <f t="shared" si="1"/>
        <v>A. VESIN</v>
      </c>
      <c r="AD30" s="34"/>
      <c r="AE30" s="34"/>
      <c r="AF30" s="34" t="s">
        <v>324</v>
      </c>
      <c r="AG30" s="34" t="s">
        <v>325</v>
      </c>
      <c r="AH30" s="34" t="s">
        <v>326</v>
      </c>
      <c r="AI30" s="34" t="s">
        <v>327</v>
      </c>
      <c r="AJ30" s="34"/>
      <c r="AK30" s="34"/>
      <c r="AL30" s="34"/>
      <c r="AM30" s="34"/>
    </row>
    <row r="31" spans="1:39" x14ac:dyDescent="0.25">
      <c r="A31" s="53" t="s">
        <v>93</v>
      </c>
      <c r="B31" s="35" t="s">
        <v>373</v>
      </c>
      <c r="C31" s="35" t="s">
        <v>94</v>
      </c>
      <c r="D31" s="36">
        <v>37865</v>
      </c>
      <c r="E31" s="34">
        <v>5</v>
      </c>
      <c r="F31" s="36">
        <v>39691</v>
      </c>
      <c r="G31" s="36">
        <v>43343</v>
      </c>
      <c r="H31" s="36" t="s">
        <v>221</v>
      </c>
      <c r="I31" s="36" t="s">
        <v>239</v>
      </c>
      <c r="J31" s="34" t="s">
        <v>222</v>
      </c>
      <c r="K31" s="34" t="s">
        <v>224</v>
      </c>
      <c r="L31" s="34"/>
      <c r="M31" s="34" t="s">
        <v>224</v>
      </c>
      <c r="N31" s="77" t="s">
        <v>223</v>
      </c>
      <c r="O31" s="34"/>
      <c r="P31" s="36"/>
      <c r="Q31" s="34"/>
      <c r="R31" s="36"/>
      <c r="S31" s="34"/>
      <c r="T31" s="34"/>
      <c r="U31" s="34">
        <v>2.4</v>
      </c>
      <c r="V31" s="34">
        <v>0.88</v>
      </c>
      <c r="W31" s="34"/>
      <c r="X31" s="34"/>
      <c r="Y31" s="34">
        <v>29.4</v>
      </c>
      <c r="Z31" s="34"/>
      <c r="AA31" s="34"/>
      <c r="AB31" s="34" t="s">
        <v>374</v>
      </c>
      <c r="AC31" s="34" t="str">
        <f t="shared" si="1"/>
        <v>Y. DURAND</v>
      </c>
      <c r="AD31" s="34"/>
      <c r="AE31" s="34"/>
      <c r="AF31" s="34" t="s">
        <v>375</v>
      </c>
      <c r="AG31" s="34" t="s">
        <v>376</v>
      </c>
      <c r="AH31" s="34" t="s">
        <v>377</v>
      </c>
      <c r="AI31" s="34" t="s">
        <v>378</v>
      </c>
      <c r="AJ31" s="34"/>
      <c r="AK31" s="34"/>
      <c r="AL31" s="34"/>
      <c r="AM31" s="34"/>
    </row>
    <row r="32" spans="1:39" x14ac:dyDescent="0.25">
      <c r="A32" s="53" t="s">
        <v>95</v>
      </c>
      <c r="B32" s="35" t="s">
        <v>96</v>
      </c>
      <c r="C32" s="35" t="s">
        <v>97</v>
      </c>
      <c r="D32" s="36">
        <v>39022</v>
      </c>
      <c r="E32" s="34">
        <v>5</v>
      </c>
      <c r="F32" s="36">
        <v>40847</v>
      </c>
      <c r="G32" s="36">
        <v>44500</v>
      </c>
      <c r="H32" s="36" t="s">
        <v>221</v>
      </c>
      <c r="I32" s="36" t="s">
        <v>238</v>
      </c>
      <c r="J32" s="34" t="s">
        <v>222</v>
      </c>
      <c r="K32" s="34" t="s">
        <v>224</v>
      </c>
      <c r="L32" s="34"/>
      <c r="M32" s="34" t="s">
        <v>224</v>
      </c>
      <c r="N32" s="74">
        <v>1</v>
      </c>
      <c r="O32" s="34" t="s">
        <v>435</v>
      </c>
      <c r="P32" s="36">
        <v>40817</v>
      </c>
      <c r="Q32" s="34"/>
      <c r="R32" s="36"/>
      <c r="S32" s="34"/>
      <c r="T32" s="34"/>
      <c r="U32" s="34">
        <v>1.04</v>
      </c>
      <c r="V32" s="34">
        <v>0.13</v>
      </c>
      <c r="W32" s="34">
        <v>0.92</v>
      </c>
      <c r="X32" s="34">
        <v>0.4</v>
      </c>
      <c r="Y32" s="34">
        <v>17</v>
      </c>
      <c r="Z32" s="34"/>
      <c r="AA32" s="34" t="s">
        <v>224</v>
      </c>
      <c r="AB32" s="34" t="s">
        <v>242</v>
      </c>
      <c r="AC32" s="34" t="str">
        <f t="shared" si="1"/>
        <v>C. SONNERAT</v>
      </c>
      <c r="AD32" s="34"/>
      <c r="AE32" s="34"/>
      <c r="AF32" s="34"/>
      <c r="AG32" s="34"/>
      <c r="AH32" s="34" t="s">
        <v>328</v>
      </c>
      <c r="AI32" s="34" t="s">
        <v>329</v>
      </c>
      <c r="AJ32" s="34"/>
      <c r="AK32" s="34"/>
      <c r="AL32" s="34"/>
      <c r="AM32" s="34"/>
    </row>
    <row r="33" spans="1:39" x14ac:dyDescent="0.25">
      <c r="A33" s="53" t="s">
        <v>98</v>
      </c>
      <c r="B33" s="35" t="s">
        <v>99</v>
      </c>
      <c r="C33" s="35" t="s">
        <v>100</v>
      </c>
      <c r="D33" s="36">
        <v>39995</v>
      </c>
      <c r="E33" s="34">
        <v>10</v>
      </c>
      <c r="F33" s="36">
        <v>43646</v>
      </c>
      <c r="G33" s="36">
        <v>43646</v>
      </c>
      <c r="H33" s="36" t="s">
        <v>233</v>
      </c>
      <c r="I33" s="36" t="s">
        <v>240</v>
      </c>
      <c r="J33" s="34" t="s">
        <v>222</v>
      </c>
      <c r="K33" s="34" t="s">
        <v>224</v>
      </c>
      <c r="L33" s="34"/>
      <c r="M33" s="34" t="s">
        <v>225</v>
      </c>
      <c r="N33" s="77" t="s">
        <v>223</v>
      </c>
      <c r="O33" s="34" t="s">
        <v>438</v>
      </c>
      <c r="P33" s="36">
        <v>40360</v>
      </c>
      <c r="Q33" s="34"/>
      <c r="R33" s="36"/>
      <c r="S33" s="34"/>
      <c r="T33" s="34"/>
      <c r="U33" s="34">
        <v>1.96</v>
      </c>
      <c r="V33" s="34">
        <v>-0.84</v>
      </c>
      <c r="W33" s="34">
        <v>2.33</v>
      </c>
      <c r="X33" s="34">
        <v>-6.63</v>
      </c>
      <c r="Y33" s="34">
        <v>45</v>
      </c>
      <c r="Z33" s="34"/>
      <c r="AA33" s="34" t="s">
        <v>225</v>
      </c>
      <c r="AB33" s="34" t="s">
        <v>395</v>
      </c>
      <c r="AC33" s="34" t="str">
        <f t="shared" si="1"/>
        <v>A. VESIN</v>
      </c>
      <c r="AD33" s="34"/>
      <c r="AE33" s="34"/>
      <c r="AF33" s="34" t="s">
        <v>330</v>
      </c>
      <c r="AG33" s="34" t="s">
        <v>331</v>
      </c>
      <c r="AH33" s="34" t="s">
        <v>332</v>
      </c>
      <c r="AI33" s="34" t="s">
        <v>333</v>
      </c>
      <c r="AJ33" s="34"/>
      <c r="AK33" s="34"/>
      <c r="AL33" s="34"/>
      <c r="AM33" s="34"/>
    </row>
    <row r="34" spans="1:39" x14ac:dyDescent="0.25">
      <c r="A34" s="53" t="s">
        <v>101</v>
      </c>
      <c r="B34" s="35" t="s">
        <v>102</v>
      </c>
      <c r="C34" s="35" t="s">
        <v>103</v>
      </c>
      <c r="D34" s="36">
        <v>40087</v>
      </c>
      <c r="E34" s="34">
        <v>10</v>
      </c>
      <c r="F34" s="36">
        <v>43738</v>
      </c>
      <c r="G34" s="36">
        <v>43738</v>
      </c>
      <c r="H34" s="36" t="s">
        <v>231</v>
      </c>
      <c r="I34" s="36" t="s">
        <v>235</v>
      </c>
      <c r="J34" s="34" t="s">
        <v>222</v>
      </c>
      <c r="K34" s="34" t="s">
        <v>224</v>
      </c>
      <c r="L34" s="34"/>
      <c r="M34" s="34" t="s">
        <v>225</v>
      </c>
      <c r="N34" s="77" t="s">
        <v>223</v>
      </c>
      <c r="O34" s="34"/>
      <c r="P34" s="36"/>
      <c r="Q34" s="34"/>
      <c r="R34" s="36"/>
      <c r="S34" s="34"/>
      <c r="T34" s="34"/>
      <c r="U34" s="34">
        <v>6.5</v>
      </c>
      <c r="V34" s="34">
        <v>1.21</v>
      </c>
      <c r="W34" s="34">
        <v>5.58</v>
      </c>
      <c r="X34" s="34">
        <v>5.58</v>
      </c>
      <c r="Y34" s="34">
        <v>98</v>
      </c>
      <c r="Z34" s="34"/>
      <c r="AA34" s="34" t="s">
        <v>225</v>
      </c>
      <c r="AB34" s="34" t="s">
        <v>243</v>
      </c>
      <c r="AC34" s="34" t="str">
        <f t="shared" si="1"/>
        <v>F. CHAPITEAU</v>
      </c>
      <c r="AD34" s="34"/>
      <c r="AE34" s="34"/>
      <c r="AF34" s="34" t="s">
        <v>334</v>
      </c>
      <c r="AG34" s="34" t="s">
        <v>335</v>
      </c>
      <c r="AH34" s="34" t="s">
        <v>336</v>
      </c>
      <c r="AI34" s="34" t="s">
        <v>337</v>
      </c>
      <c r="AJ34" s="34"/>
      <c r="AK34" s="34"/>
      <c r="AL34" s="34"/>
      <c r="AM34" s="34"/>
    </row>
    <row r="35" spans="1:39" x14ac:dyDescent="0.25">
      <c r="A35" s="53" t="s">
        <v>104</v>
      </c>
      <c r="B35" s="35" t="s">
        <v>105</v>
      </c>
      <c r="C35" s="35" t="s">
        <v>106</v>
      </c>
      <c r="D35" s="36">
        <v>40238</v>
      </c>
      <c r="E35" s="34">
        <v>1</v>
      </c>
      <c r="F35" s="36">
        <v>40602</v>
      </c>
      <c r="G35" s="36">
        <v>42794</v>
      </c>
      <c r="H35" s="36" t="s">
        <v>221</v>
      </c>
      <c r="I35" s="36" t="s">
        <v>237</v>
      </c>
      <c r="J35" s="34" t="s">
        <v>222</v>
      </c>
      <c r="K35" s="34" t="s">
        <v>224</v>
      </c>
      <c r="L35" s="34"/>
      <c r="M35" s="34" t="s">
        <v>224</v>
      </c>
      <c r="N35" s="77" t="s">
        <v>223</v>
      </c>
      <c r="O35" s="34"/>
      <c r="P35" s="36"/>
      <c r="Q35" s="34"/>
      <c r="R35" s="36"/>
      <c r="S35" s="34"/>
      <c r="T35" s="34"/>
      <c r="U35" s="34">
        <v>9.66</v>
      </c>
      <c r="V35" s="34">
        <v>5.84</v>
      </c>
      <c r="W35" s="34"/>
      <c r="X35" s="34"/>
      <c r="Y35" s="34">
        <v>73.600000000000009</v>
      </c>
      <c r="Z35" s="34"/>
      <c r="AA35" s="34" t="s">
        <v>224</v>
      </c>
      <c r="AB35" s="34" t="s">
        <v>226</v>
      </c>
      <c r="AC35" s="34" t="str">
        <f t="shared" si="1"/>
        <v>S. JECKEL</v>
      </c>
      <c r="AD35" s="34"/>
      <c r="AE35" s="34"/>
      <c r="AF35" s="34"/>
      <c r="AG35" s="34"/>
      <c r="AH35" s="34" t="s">
        <v>338</v>
      </c>
      <c r="AI35" s="34" t="s">
        <v>339</v>
      </c>
      <c r="AJ35" s="34"/>
      <c r="AK35" s="34"/>
      <c r="AL35" s="34"/>
      <c r="AM35" s="34"/>
    </row>
    <row r="36" spans="1:39" x14ac:dyDescent="0.25">
      <c r="A36" s="53" t="s">
        <v>107</v>
      </c>
      <c r="B36" s="35" t="s">
        <v>108</v>
      </c>
      <c r="C36" s="35" t="s">
        <v>109</v>
      </c>
      <c r="D36" s="36">
        <v>40360</v>
      </c>
      <c r="E36" s="34">
        <v>1.5</v>
      </c>
      <c r="F36" s="36">
        <v>40908</v>
      </c>
      <c r="G36" s="36">
        <v>43100</v>
      </c>
      <c r="H36" s="36" t="s">
        <v>221</v>
      </c>
      <c r="I36" s="36" t="s">
        <v>408</v>
      </c>
      <c r="J36" s="34" t="s">
        <v>222</v>
      </c>
      <c r="K36" s="34" t="s">
        <v>224</v>
      </c>
      <c r="L36" s="34"/>
      <c r="M36" s="34" t="s">
        <v>224</v>
      </c>
      <c r="N36" s="74">
        <v>1</v>
      </c>
      <c r="O36" s="34" t="s">
        <v>436</v>
      </c>
      <c r="P36" s="36">
        <v>41978</v>
      </c>
      <c r="Q36" s="34"/>
      <c r="R36" s="36"/>
      <c r="S36" s="34"/>
      <c r="T36" s="34"/>
      <c r="U36" s="34">
        <v>1.26</v>
      </c>
      <c r="V36" s="34">
        <v>0.52</v>
      </c>
      <c r="W36" s="34"/>
      <c r="X36" s="34"/>
      <c r="Y36" s="34">
        <v>12</v>
      </c>
      <c r="Z36" s="34"/>
      <c r="AA36" s="34" t="s">
        <v>225</v>
      </c>
      <c r="AB36" s="34" t="s">
        <v>244</v>
      </c>
      <c r="AC36" s="34" t="str">
        <f t="shared" si="1"/>
        <v>A. CHABERT</v>
      </c>
      <c r="AD36" s="34"/>
      <c r="AE36" s="34"/>
      <c r="AF36" s="34"/>
      <c r="AG36" s="34"/>
      <c r="AH36" s="34" t="s">
        <v>340</v>
      </c>
      <c r="AI36" s="34" t="s">
        <v>195</v>
      </c>
      <c r="AJ36" s="34"/>
      <c r="AK36" s="34"/>
      <c r="AL36" s="34"/>
      <c r="AM36" s="34"/>
    </row>
    <row r="37" spans="1:39" x14ac:dyDescent="0.25">
      <c r="A37" s="53" t="s">
        <v>110</v>
      </c>
      <c r="B37" s="35" t="s">
        <v>111</v>
      </c>
      <c r="C37" s="35" t="s">
        <v>112</v>
      </c>
      <c r="D37" s="36">
        <v>40544</v>
      </c>
      <c r="E37" s="34">
        <v>3</v>
      </c>
      <c r="F37" s="52">
        <v>41729</v>
      </c>
      <c r="G37" s="36">
        <v>43100</v>
      </c>
      <c r="H37" s="36" t="s">
        <v>221</v>
      </c>
      <c r="I37" s="36" t="s">
        <v>235</v>
      </c>
      <c r="J37" s="34" t="s">
        <v>222</v>
      </c>
      <c r="K37" s="34" t="s">
        <v>224</v>
      </c>
      <c r="L37" s="34"/>
      <c r="M37" s="34" t="s">
        <v>224</v>
      </c>
      <c r="N37" s="77" t="s">
        <v>223</v>
      </c>
      <c r="O37" s="34"/>
      <c r="P37" s="36"/>
      <c r="Q37" s="34"/>
      <c r="R37" s="36"/>
      <c r="S37" s="34"/>
      <c r="T37" s="34"/>
      <c r="U37" s="34">
        <v>1.82</v>
      </c>
      <c r="V37" s="34">
        <v>0.53</v>
      </c>
      <c r="W37" s="34"/>
      <c r="X37" s="34"/>
      <c r="Y37" s="34">
        <v>25.3</v>
      </c>
      <c r="Z37" s="34"/>
      <c r="AA37" s="34" t="s">
        <v>225</v>
      </c>
      <c r="AB37" s="34" t="s">
        <v>243</v>
      </c>
      <c r="AC37" s="34" t="str">
        <f t="shared" si="1"/>
        <v>F. CHAPITEAU</v>
      </c>
      <c r="AD37" s="34"/>
      <c r="AE37" s="34"/>
      <c r="AF37" s="34"/>
      <c r="AG37" s="34"/>
      <c r="AH37" s="34" t="s">
        <v>341</v>
      </c>
      <c r="AI37" s="34" t="s">
        <v>342</v>
      </c>
      <c r="AJ37" s="34"/>
      <c r="AK37" s="34"/>
      <c r="AL37" s="34"/>
      <c r="AM37" s="34"/>
    </row>
    <row r="38" spans="1:39" x14ac:dyDescent="0.25">
      <c r="A38" s="53" t="s">
        <v>113</v>
      </c>
      <c r="B38" s="35" t="s">
        <v>114</v>
      </c>
      <c r="C38" s="35" t="s">
        <v>115</v>
      </c>
      <c r="D38" s="36">
        <v>40544</v>
      </c>
      <c r="E38" s="34">
        <v>5</v>
      </c>
      <c r="F38" s="36">
        <v>42369</v>
      </c>
      <c r="G38" s="36">
        <v>43100</v>
      </c>
      <c r="H38" s="36" t="s">
        <v>221</v>
      </c>
      <c r="I38" s="36" t="s">
        <v>408</v>
      </c>
      <c r="J38" s="34" t="s">
        <v>222</v>
      </c>
      <c r="K38" s="34" t="s">
        <v>224</v>
      </c>
      <c r="L38" s="34"/>
      <c r="M38" s="34" t="s">
        <v>224</v>
      </c>
      <c r="N38" s="77" t="s">
        <v>223</v>
      </c>
      <c r="O38" s="34"/>
      <c r="P38" s="36"/>
      <c r="Q38" s="34"/>
      <c r="R38" s="36"/>
      <c r="S38" s="34"/>
      <c r="T38" s="34"/>
      <c r="U38" s="34">
        <v>2.2400000000000002</v>
      </c>
      <c r="V38" s="34">
        <v>0.21</v>
      </c>
      <c r="W38" s="34"/>
      <c r="X38" s="34"/>
      <c r="Y38" s="34">
        <v>37.300000000000004</v>
      </c>
      <c r="Z38" s="34"/>
      <c r="AA38" s="34" t="s">
        <v>225</v>
      </c>
      <c r="AB38" s="34" t="s">
        <v>244</v>
      </c>
      <c r="AC38" s="34" t="str">
        <f t="shared" si="1"/>
        <v>A. CHABERT</v>
      </c>
      <c r="AD38" s="34"/>
      <c r="AE38" s="34"/>
      <c r="AF38" s="34" t="s">
        <v>379</v>
      </c>
      <c r="AG38" s="34" t="s">
        <v>380</v>
      </c>
      <c r="AH38" s="34" t="s">
        <v>379</v>
      </c>
      <c r="AI38" s="34" t="s">
        <v>381</v>
      </c>
      <c r="AJ38" s="34"/>
      <c r="AK38" s="34"/>
      <c r="AL38" s="34"/>
      <c r="AM38" s="34"/>
    </row>
    <row r="39" spans="1:39" x14ac:dyDescent="0.25">
      <c r="A39" s="53" t="s">
        <v>116</v>
      </c>
      <c r="B39" s="35" t="s">
        <v>382</v>
      </c>
      <c r="C39" s="35" t="s">
        <v>117</v>
      </c>
      <c r="D39" s="36">
        <v>40634</v>
      </c>
      <c r="E39" s="34">
        <v>4</v>
      </c>
      <c r="F39" s="36">
        <v>42094</v>
      </c>
      <c r="G39" s="36">
        <v>43190</v>
      </c>
      <c r="H39" s="36" t="s">
        <v>221</v>
      </c>
      <c r="I39" s="36" t="s">
        <v>408</v>
      </c>
      <c r="J39" s="34" t="s">
        <v>222</v>
      </c>
      <c r="K39" s="34" t="s">
        <v>224</v>
      </c>
      <c r="L39" s="34"/>
      <c r="M39" s="34" t="s">
        <v>224</v>
      </c>
      <c r="N39" s="77" t="s">
        <v>223</v>
      </c>
      <c r="O39" s="34"/>
      <c r="P39" s="36"/>
      <c r="Q39" s="34"/>
      <c r="R39" s="36"/>
      <c r="S39" s="34"/>
      <c r="T39" s="34"/>
      <c r="U39" s="34">
        <v>1.27</v>
      </c>
      <c r="V39" s="34">
        <v>0.12</v>
      </c>
      <c r="W39" s="34"/>
      <c r="X39" s="34"/>
      <c r="Y39" s="34">
        <v>21.5</v>
      </c>
      <c r="Z39" s="34"/>
      <c r="AA39" s="34" t="s">
        <v>225</v>
      </c>
      <c r="AB39" s="34" t="s">
        <v>244</v>
      </c>
      <c r="AC39" s="34" t="str">
        <f t="shared" si="1"/>
        <v>A. CHABERT</v>
      </c>
      <c r="AD39" s="34"/>
      <c r="AE39" s="34"/>
      <c r="AF39" s="34" t="s">
        <v>383</v>
      </c>
      <c r="AG39" s="34" t="s">
        <v>384</v>
      </c>
      <c r="AH39" s="34" t="s">
        <v>385</v>
      </c>
      <c r="AI39" s="34" t="s">
        <v>386</v>
      </c>
      <c r="AJ39" s="34"/>
      <c r="AK39" s="34"/>
      <c r="AL39" s="34"/>
      <c r="AM39" s="34"/>
    </row>
    <row r="40" spans="1:39" x14ac:dyDescent="0.25">
      <c r="A40" s="53" t="s">
        <v>118</v>
      </c>
      <c r="B40" s="35" t="s">
        <v>119</v>
      </c>
      <c r="C40" s="35" t="s">
        <v>120</v>
      </c>
      <c r="D40" s="36">
        <v>40695</v>
      </c>
      <c r="E40" s="34">
        <v>5</v>
      </c>
      <c r="F40" s="36">
        <v>42521</v>
      </c>
      <c r="G40" s="36">
        <v>42886</v>
      </c>
      <c r="H40" s="36" t="s">
        <v>234</v>
      </c>
      <c r="I40" s="36" t="s">
        <v>411</v>
      </c>
      <c r="J40" s="34" t="s">
        <v>222</v>
      </c>
      <c r="K40" s="34" t="s">
        <v>224</v>
      </c>
      <c r="L40" s="34"/>
      <c r="M40" s="34" t="s">
        <v>224</v>
      </c>
      <c r="N40" s="77" t="s">
        <v>223</v>
      </c>
      <c r="O40" s="34"/>
      <c r="P40" s="36"/>
      <c r="Q40" s="34"/>
      <c r="R40" s="36"/>
      <c r="S40" s="34"/>
      <c r="T40" s="34"/>
      <c r="U40" s="34">
        <v>1.98</v>
      </c>
      <c r="V40" s="34">
        <v>0.71</v>
      </c>
      <c r="W40" s="34"/>
      <c r="X40" s="34"/>
      <c r="Y40" s="34">
        <v>24.8</v>
      </c>
      <c r="Z40" s="34"/>
      <c r="AA40" s="34" t="s">
        <v>225</v>
      </c>
      <c r="AB40" s="34" t="s">
        <v>226</v>
      </c>
      <c r="AC40" s="34" t="str">
        <f t="shared" si="1"/>
        <v>S. JECKEL</v>
      </c>
      <c r="AD40" s="34"/>
      <c r="AE40" s="34"/>
      <c r="AF40" s="34" t="s">
        <v>343</v>
      </c>
      <c r="AG40" s="34" t="s">
        <v>344</v>
      </c>
      <c r="AH40" s="34" t="s">
        <v>345</v>
      </c>
      <c r="AI40" s="34" t="s">
        <v>346</v>
      </c>
      <c r="AJ40" s="34"/>
      <c r="AK40" s="34"/>
      <c r="AL40" s="34"/>
      <c r="AM40" s="34"/>
    </row>
    <row r="41" spans="1:39" x14ac:dyDescent="0.25">
      <c r="A41" s="35" t="s">
        <v>121</v>
      </c>
      <c r="B41" s="35" t="s">
        <v>122</v>
      </c>
      <c r="C41" s="35" t="s">
        <v>123</v>
      </c>
      <c r="D41" s="36">
        <v>40940</v>
      </c>
      <c r="E41" s="34">
        <v>1</v>
      </c>
      <c r="F41" s="36">
        <v>41305</v>
      </c>
      <c r="G41" s="36">
        <v>42766</v>
      </c>
      <c r="H41" s="36" t="s">
        <v>221</v>
      </c>
      <c r="I41" s="36" t="s">
        <v>410</v>
      </c>
      <c r="J41" s="34" t="s">
        <v>222</v>
      </c>
      <c r="K41" s="34" t="s">
        <v>224</v>
      </c>
      <c r="L41" s="34"/>
      <c r="M41" s="34" t="s">
        <v>224</v>
      </c>
      <c r="N41" s="77" t="s">
        <v>223</v>
      </c>
      <c r="O41" s="34"/>
      <c r="P41" s="36"/>
      <c r="Q41" s="34"/>
      <c r="R41" s="36"/>
      <c r="S41" s="34"/>
      <c r="T41" s="34"/>
      <c r="U41" s="34">
        <v>2.02</v>
      </c>
      <c r="V41" s="34">
        <v>1.32</v>
      </c>
      <c r="W41" s="34">
        <v>2.29</v>
      </c>
      <c r="X41" s="34">
        <v>-0.55000000000000004</v>
      </c>
      <c r="Y41" s="34">
        <v>11.3</v>
      </c>
      <c r="Z41" s="34"/>
      <c r="AA41" s="34" t="s">
        <v>225</v>
      </c>
      <c r="AB41" s="34" t="s">
        <v>226</v>
      </c>
      <c r="AC41" s="34" t="str">
        <f t="shared" si="1"/>
        <v>S. JECKEL</v>
      </c>
      <c r="AD41" s="34"/>
      <c r="AE41" s="34"/>
      <c r="AF41" s="34" t="s">
        <v>347</v>
      </c>
      <c r="AG41" s="34" t="s">
        <v>348</v>
      </c>
      <c r="AH41" s="34" t="s">
        <v>349</v>
      </c>
      <c r="AI41" s="34" t="s">
        <v>350</v>
      </c>
      <c r="AJ41" s="34"/>
      <c r="AK41" s="34"/>
      <c r="AL41" s="34"/>
      <c r="AM41" s="34"/>
    </row>
    <row r="42" spans="1:39" x14ac:dyDescent="0.25">
      <c r="A42" s="35" t="s">
        <v>124</v>
      </c>
      <c r="B42" s="35" t="s">
        <v>125</v>
      </c>
      <c r="C42" s="35" t="s">
        <v>126</v>
      </c>
      <c r="D42" s="36">
        <v>40969</v>
      </c>
      <c r="E42" s="34">
        <v>5</v>
      </c>
      <c r="F42" s="36">
        <v>42794</v>
      </c>
      <c r="G42" s="36">
        <v>43159</v>
      </c>
      <c r="H42" s="36" t="s">
        <v>221</v>
      </c>
      <c r="I42" s="36" t="s">
        <v>408</v>
      </c>
      <c r="J42" s="34" t="s">
        <v>222</v>
      </c>
      <c r="K42" s="34" t="s">
        <v>224</v>
      </c>
      <c r="L42" s="34"/>
      <c r="M42" s="34" t="s">
        <v>224</v>
      </c>
      <c r="N42" s="77" t="s">
        <v>223</v>
      </c>
      <c r="O42" s="34"/>
      <c r="P42" s="36"/>
      <c r="Q42" s="34"/>
      <c r="R42" s="36"/>
      <c r="S42" s="34"/>
      <c r="T42" s="34"/>
      <c r="U42" s="34">
        <v>8.67</v>
      </c>
      <c r="V42" s="34">
        <v>2.39</v>
      </c>
      <c r="W42" s="34"/>
      <c r="X42" s="34"/>
      <c r="Y42" s="34">
        <v>94.2</v>
      </c>
      <c r="Z42" s="34"/>
      <c r="AA42" s="34" t="s">
        <v>225</v>
      </c>
      <c r="AB42" s="34" t="s">
        <v>244</v>
      </c>
      <c r="AC42" s="34" t="str">
        <f t="shared" si="1"/>
        <v>A. CHABERT</v>
      </c>
      <c r="AD42" s="34"/>
      <c r="AE42" s="34"/>
      <c r="AF42" s="34"/>
      <c r="AG42" s="34"/>
      <c r="AH42" s="34" t="s">
        <v>351</v>
      </c>
      <c r="AI42" s="34" t="s">
        <v>352</v>
      </c>
      <c r="AJ42" s="34"/>
      <c r="AK42" s="34"/>
      <c r="AL42" s="34"/>
      <c r="AM42" s="34"/>
    </row>
    <row r="43" spans="1:39" x14ac:dyDescent="0.25">
      <c r="A43" s="35" t="s">
        <v>127</v>
      </c>
      <c r="B43" s="35" t="s">
        <v>128</v>
      </c>
      <c r="C43" s="35" t="s">
        <v>129</v>
      </c>
      <c r="D43" s="36">
        <v>40940</v>
      </c>
      <c r="E43" s="34">
        <v>3</v>
      </c>
      <c r="F43" s="36">
        <v>42035</v>
      </c>
      <c r="G43" s="36">
        <v>43131</v>
      </c>
      <c r="H43" s="36" t="s">
        <v>221</v>
      </c>
      <c r="I43" s="36" t="s">
        <v>411</v>
      </c>
      <c r="J43" s="34" t="s">
        <v>222</v>
      </c>
      <c r="K43" s="34" t="s">
        <v>224</v>
      </c>
      <c r="L43" s="34"/>
      <c r="M43" s="34" t="s">
        <v>224</v>
      </c>
      <c r="N43" s="77" t="s">
        <v>223</v>
      </c>
      <c r="O43" s="34"/>
      <c r="P43" s="36"/>
      <c r="Q43" s="34"/>
      <c r="R43" s="36"/>
      <c r="S43" s="34"/>
      <c r="T43" s="34"/>
      <c r="U43" s="34">
        <v>4.18</v>
      </c>
      <c r="V43" s="34">
        <v>-0.56000000000000005</v>
      </c>
      <c r="W43" s="34"/>
      <c r="X43" s="34"/>
      <c r="Y43" s="34">
        <v>37.700000000000003</v>
      </c>
      <c r="Z43" s="34"/>
      <c r="AA43" s="34" t="s">
        <v>224</v>
      </c>
      <c r="AB43" s="34" t="s">
        <v>226</v>
      </c>
      <c r="AC43" s="34" t="str">
        <f t="shared" si="1"/>
        <v>S. JECKEL</v>
      </c>
      <c r="AD43" s="34"/>
      <c r="AE43" s="34"/>
      <c r="AF43" s="34"/>
      <c r="AG43" s="34"/>
      <c r="AH43" s="34" t="s">
        <v>353</v>
      </c>
      <c r="AI43" s="34" t="s">
        <v>354</v>
      </c>
      <c r="AJ43" s="34"/>
      <c r="AK43" s="34"/>
      <c r="AL43" s="34"/>
      <c r="AM43" s="34"/>
    </row>
    <row r="44" spans="1:39" x14ac:dyDescent="0.25">
      <c r="A44" s="53" t="s">
        <v>130</v>
      </c>
      <c r="B44" s="35" t="s">
        <v>131</v>
      </c>
      <c r="C44" s="35" t="s">
        <v>132</v>
      </c>
      <c r="D44" s="36">
        <v>41275</v>
      </c>
      <c r="E44" s="34">
        <v>4</v>
      </c>
      <c r="F44" s="36">
        <v>42735</v>
      </c>
      <c r="G44" s="36">
        <v>42735</v>
      </c>
      <c r="H44" s="52" t="s">
        <v>233</v>
      </c>
      <c r="I44" s="36" t="s">
        <v>412</v>
      </c>
      <c r="J44" s="34" t="s">
        <v>222</v>
      </c>
      <c r="K44" s="34" t="s">
        <v>224</v>
      </c>
      <c r="L44" s="34"/>
      <c r="M44" s="34" t="s">
        <v>224</v>
      </c>
      <c r="N44" s="77" t="s">
        <v>223</v>
      </c>
      <c r="O44" s="34"/>
      <c r="P44" s="36"/>
      <c r="Q44" s="34"/>
      <c r="R44" s="36"/>
      <c r="S44" s="34"/>
      <c r="T44" s="34"/>
      <c r="U44" s="34">
        <v>0.18</v>
      </c>
      <c r="V44" s="34">
        <v>-2.5499999999999998</v>
      </c>
      <c r="W44" s="34">
        <v>2.2000000000000002</v>
      </c>
      <c r="X44" s="34">
        <v>0.66</v>
      </c>
      <c r="Y44" s="34">
        <v>53.5</v>
      </c>
      <c r="Z44" s="34"/>
      <c r="AA44" s="34" t="s">
        <v>224</v>
      </c>
      <c r="AB44" s="34" t="s">
        <v>395</v>
      </c>
      <c r="AC44" s="34" t="str">
        <f t="shared" si="1"/>
        <v>A. VESIN</v>
      </c>
      <c r="AD44" s="34"/>
      <c r="AE44" s="34"/>
      <c r="AF44" s="34"/>
      <c r="AG44" s="34"/>
      <c r="AH44" s="34" t="s">
        <v>396</v>
      </c>
      <c r="AI44" s="34" t="s">
        <v>397</v>
      </c>
      <c r="AJ44" s="34"/>
      <c r="AK44" s="34"/>
      <c r="AL44" s="34"/>
      <c r="AM44" s="34"/>
    </row>
    <row r="45" spans="1:39" x14ac:dyDescent="0.25">
      <c r="A45" s="53" t="s">
        <v>133</v>
      </c>
      <c r="B45" s="35" t="s">
        <v>387</v>
      </c>
      <c r="C45" s="35" t="s">
        <v>134</v>
      </c>
      <c r="D45" s="36">
        <v>41275</v>
      </c>
      <c r="E45" s="34">
        <v>3</v>
      </c>
      <c r="F45" s="36">
        <v>42369</v>
      </c>
      <c r="G45" s="36">
        <v>43465</v>
      </c>
      <c r="H45" s="36" t="s">
        <v>221</v>
      </c>
      <c r="I45" s="36" t="s">
        <v>237</v>
      </c>
      <c r="J45" s="34" t="s">
        <v>222</v>
      </c>
      <c r="K45" s="34" t="s">
        <v>224</v>
      </c>
      <c r="L45" s="34"/>
      <c r="M45" s="34" t="s">
        <v>224</v>
      </c>
      <c r="N45" s="77" t="s">
        <v>223</v>
      </c>
      <c r="O45" s="34"/>
      <c r="P45" s="36"/>
      <c r="Q45" s="34"/>
      <c r="R45" s="36"/>
      <c r="S45" s="34"/>
      <c r="T45" s="34"/>
      <c r="U45" s="34">
        <v>1.08</v>
      </c>
      <c r="V45" s="34">
        <v>0.31</v>
      </c>
      <c r="W45" s="34"/>
      <c r="X45" s="34"/>
      <c r="Y45" s="34">
        <v>15</v>
      </c>
      <c r="Z45" s="34"/>
      <c r="AA45" s="34"/>
      <c r="AB45" s="34" t="s">
        <v>242</v>
      </c>
      <c r="AC45" s="34" t="str">
        <f t="shared" si="1"/>
        <v>C. SONNERAT</v>
      </c>
      <c r="AD45" s="34"/>
      <c r="AE45" s="34"/>
      <c r="AF45" s="34"/>
      <c r="AG45" s="34"/>
      <c r="AH45" s="34" t="s">
        <v>388</v>
      </c>
      <c r="AI45" s="34" t="s">
        <v>389</v>
      </c>
      <c r="AJ45" s="34"/>
      <c r="AK45" s="34"/>
      <c r="AL45" s="34"/>
      <c r="AM45" s="34"/>
    </row>
    <row r="46" spans="1:39" x14ac:dyDescent="0.25">
      <c r="A46" s="35" t="s">
        <v>135</v>
      </c>
      <c r="B46" s="35" t="s">
        <v>136</v>
      </c>
      <c r="C46" s="35" t="s">
        <v>137</v>
      </c>
      <c r="D46" s="36">
        <v>41640</v>
      </c>
      <c r="E46" s="34">
        <v>3</v>
      </c>
      <c r="F46" s="36">
        <v>42735</v>
      </c>
      <c r="G46" s="36">
        <v>43830</v>
      </c>
      <c r="H46" s="36" t="s">
        <v>221</v>
      </c>
      <c r="I46" s="36" t="s">
        <v>239</v>
      </c>
      <c r="J46" s="34" t="s">
        <v>222</v>
      </c>
      <c r="K46" s="34" t="s">
        <v>224</v>
      </c>
      <c r="L46" s="34"/>
      <c r="M46" s="34" t="s">
        <v>224</v>
      </c>
      <c r="N46" s="77" t="s">
        <v>223</v>
      </c>
      <c r="O46" s="34"/>
      <c r="P46" s="36"/>
      <c r="Q46" s="34"/>
      <c r="R46" s="36"/>
      <c r="S46" s="34"/>
      <c r="T46" s="34"/>
      <c r="U46" s="34">
        <v>1.33</v>
      </c>
      <c r="V46" s="34">
        <v>-4.3100000000000005</v>
      </c>
      <c r="W46" s="34"/>
      <c r="X46" s="34"/>
      <c r="Y46" s="34">
        <v>90.2</v>
      </c>
      <c r="Z46" s="34"/>
      <c r="AA46" s="34" t="s">
        <v>225</v>
      </c>
      <c r="AB46" s="34" t="s">
        <v>242</v>
      </c>
      <c r="AC46" s="34" t="str">
        <f t="shared" si="1"/>
        <v>C. SONNERAT</v>
      </c>
      <c r="AD46" s="34"/>
      <c r="AE46" s="34"/>
      <c r="AF46" s="34"/>
      <c r="AG46" s="34"/>
      <c r="AH46" s="34" t="s">
        <v>355</v>
      </c>
      <c r="AI46" s="34" t="s">
        <v>356</v>
      </c>
      <c r="AJ46" s="34"/>
      <c r="AK46" s="34"/>
      <c r="AL46" s="34"/>
      <c r="AM46" s="34"/>
    </row>
    <row r="47" spans="1:39" x14ac:dyDescent="0.25">
      <c r="A47" s="35" t="s">
        <v>138</v>
      </c>
      <c r="B47" s="35" t="s">
        <v>139</v>
      </c>
      <c r="C47" s="35" t="s">
        <v>140</v>
      </c>
      <c r="D47" s="36">
        <v>41518</v>
      </c>
      <c r="E47" s="34">
        <v>5</v>
      </c>
      <c r="F47" s="36">
        <v>43343</v>
      </c>
      <c r="G47" s="36">
        <v>43708</v>
      </c>
      <c r="H47" s="36" t="s">
        <v>221</v>
      </c>
      <c r="I47" s="36" t="s">
        <v>408</v>
      </c>
      <c r="J47" s="34" t="s">
        <v>222</v>
      </c>
      <c r="K47" s="34" t="s">
        <v>224</v>
      </c>
      <c r="L47" s="34"/>
      <c r="M47" s="34" t="s">
        <v>224</v>
      </c>
      <c r="N47" s="77" t="s">
        <v>223</v>
      </c>
      <c r="O47" s="34"/>
      <c r="P47" s="36"/>
      <c r="Q47" s="34"/>
      <c r="R47" s="36"/>
      <c r="S47" s="34"/>
      <c r="T47" s="34"/>
      <c r="U47" s="34">
        <v>8.83</v>
      </c>
      <c r="V47" s="34">
        <v>1.9</v>
      </c>
      <c r="W47" s="34"/>
      <c r="X47" s="34"/>
      <c r="Y47" s="34">
        <v>122.6</v>
      </c>
      <c r="Z47" s="34"/>
      <c r="AA47" s="34" t="s">
        <v>225</v>
      </c>
      <c r="AB47" s="34" t="s">
        <v>244</v>
      </c>
      <c r="AC47" s="34" t="str">
        <f t="shared" si="1"/>
        <v>A. CHABERT</v>
      </c>
      <c r="AD47" s="34"/>
      <c r="AE47" s="34"/>
      <c r="AF47" s="34"/>
      <c r="AG47" s="34"/>
      <c r="AH47" s="34" t="s">
        <v>357</v>
      </c>
      <c r="AI47" s="34" t="s">
        <v>358</v>
      </c>
      <c r="AJ47" s="34"/>
      <c r="AK47" s="34"/>
      <c r="AL47" s="34"/>
      <c r="AM47" s="34"/>
    </row>
    <row r="48" spans="1:39" x14ac:dyDescent="0.25">
      <c r="A48" s="39" t="s">
        <v>149</v>
      </c>
      <c r="B48" s="39" t="s">
        <v>150</v>
      </c>
      <c r="C48" s="35" t="s">
        <v>151</v>
      </c>
      <c r="D48" s="36">
        <v>42370</v>
      </c>
      <c r="E48" s="34">
        <v>1</v>
      </c>
      <c r="F48" s="36">
        <v>42735</v>
      </c>
      <c r="G48" s="36">
        <v>42735</v>
      </c>
      <c r="H48" s="36" t="s">
        <v>221</v>
      </c>
      <c r="I48" s="36" t="s">
        <v>235</v>
      </c>
      <c r="J48" s="34" t="s">
        <v>222</v>
      </c>
      <c r="K48" s="34" t="s">
        <v>224</v>
      </c>
      <c r="L48" s="34"/>
      <c r="M48" s="34" t="s">
        <v>224</v>
      </c>
      <c r="N48" s="77" t="s">
        <v>223</v>
      </c>
      <c r="O48" s="34"/>
      <c r="P48" s="36"/>
      <c r="Q48" s="34"/>
      <c r="R48" s="36"/>
      <c r="S48" s="34"/>
      <c r="T48" s="34"/>
      <c r="U48" s="34">
        <v>3.33</v>
      </c>
      <c r="V48" s="34">
        <v>0.65</v>
      </c>
      <c r="W48" s="34"/>
      <c r="X48" s="34"/>
      <c r="Y48" s="34">
        <v>51</v>
      </c>
      <c r="Z48" s="34"/>
      <c r="AA48" s="34"/>
      <c r="AB48" s="34" t="s">
        <v>242</v>
      </c>
      <c r="AC48" s="34" t="str">
        <f t="shared" si="1"/>
        <v>C. SONNERAT</v>
      </c>
      <c r="AD48" s="34"/>
      <c r="AE48" s="34"/>
      <c r="AF48" s="34"/>
      <c r="AG48" s="34"/>
      <c r="AH48" s="34" t="s">
        <v>406</v>
      </c>
      <c r="AI48" s="34" t="s">
        <v>407</v>
      </c>
      <c r="AJ48" s="34"/>
      <c r="AK48" s="34"/>
      <c r="AL48" s="34"/>
      <c r="AM48" s="34"/>
    </row>
    <row r="49" spans="1:39" x14ac:dyDescent="0.25">
      <c r="A49" s="35" t="s">
        <v>141</v>
      </c>
      <c r="B49" s="35" t="s">
        <v>390</v>
      </c>
      <c r="C49" s="35" t="s">
        <v>142</v>
      </c>
      <c r="D49" s="36">
        <v>42248</v>
      </c>
      <c r="E49" s="34">
        <v>4</v>
      </c>
      <c r="F49" s="36">
        <v>43708</v>
      </c>
      <c r="G49" s="36">
        <v>43708</v>
      </c>
      <c r="H49" s="36" t="s">
        <v>221</v>
      </c>
      <c r="I49" s="36" t="s">
        <v>239</v>
      </c>
      <c r="J49" s="34" t="s">
        <v>222</v>
      </c>
      <c r="K49" s="34" t="s">
        <v>224</v>
      </c>
      <c r="L49" s="34"/>
      <c r="M49" s="34" t="s">
        <v>224</v>
      </c>
      <c r="N49" s="77" t="s">
        <v>223</v>
      </c>
      <c r="O49" s="34"/>
      <c r="P49" s="36"/>
      <c r="Q49" s="34"/>
      <c r="R49" s="36"/>
      <c r="S49" s="34"/>
      <c r="T49" s="34"/>
      <c r="U49" s="34">
        <v>1.9</v>
      </c>
      <c r="V49" s="34">
        <v>0.61</v>
      </c>
      <c r="W49" s="34"/>
      <c r="X49" s="34"/>
      <c r="Y49" s="34">
        <v>25</v>
      </c>
      <c r="Z49" s="34"/>
      <c r="AA49" s="34"/>
      <c r="AB49" s="34" t="s">
        <v>374</v>
      </c>
      <c r="AC49" s="34" t="str">
        <f t="shared" si="1"/>
        <v>Y. DURAND</v>
      </c>
      <c r="AD49" s="34"/>
      <c r="AE49" s="34"/>
      <c r="AF49" s="34"/>
      <c r="AG49" s="34"/>
      <c r="AH49" s="34" t="s">
        <v>391</v>
      </c>
      <c r="AI49" s="34" t="s">
        <v>392</v>
      </c>
      <c r="AJ49" s="34"/>
      <c r="AK49" s="34"/>
      <c r="AL49" s="34"/>
      <c r="AM49" s="34"/>
    </row>
    <row r="50" spans="1:39" x14ac:dyDescent="0.25">
      <c r="A50" s="35" t="s">
        <v>143</v>
      </c>
      <c r="B50" s="35" t="s">
        <v>144</v>
      </c>
      <c r="C50" s="35" t="s">
        <v>145</v>
      </c>
      <c r="D50" s="36">
        <v>42370</v>
      </c>
      <c r="E50" s="34">
        <v>1</v>
      </c>
      <c r="F50" s="36">
        <v>42735</v>
      </c>
      <c r="G50" s="36">
        <v>43100</v>
      </c>
      <c r="H50" s="36" t="s">
        <v>221</v>
      </c>
      <c r="I50" s="36" t="s">
        <v>403</v>
      </c>
      <c r="J50" s="34" t="s">
        <v>222</v>
      </c>
      <c r="K50" s="34" t="s">
        <v>224</v>
      </c>
      <c r="L50" s="34"/>
      <c r="M50" s="34" t="s">
        <v>224</v>
      </c>
      <c r="N50" s="77" t="s">
        <v>223</v>
      </c>
      <c r="O50" s="34"/>
      <c r="P50" s="36"/>
      <c r="Q50" s="34"/>
      <c r="R50" s="36"/>
      <c r="S50" s="34"/>
      <c r="T50" s="34"/>
      <c r="U50" s="34">
        <v>1.58</v>
      </c>
      <c r="V50" s="34">
        <v>0.52</v>
      </c>
      <c r="W50" s="34"/>
      <c r="X50" s="34"/>
      <c r="Y50" s="34">
        <v>20</v>
      </c>
      <c r="Z50" s="34"/>
      <c r="AA50" s="34" t="s">
        <v>224</v>
      </c>
      <c r="AB50" s="34" t="s">
        <v>243</v>
      </c>
      <c r="AC50" s="34" t="str">
        <f t="shared" si="1"/>
        <v>F. CHAPITEAU</v>
      </c>
      <c r="AD50" s="34"/>
      <c r="AE50" s="34"/>
      <c r="AF50" s="34"/>
      <c r="AG50" s="34"/>
      <c r="AH50" s="34" t="s">
        <v>359</v>
      </c>
      <c r="AI50" s="34" t="s">
        <v>360</v>
      </c>
      <c r="AJ50" s="34"/>
      <c r="AK50" s="34"/>
      <c r="AL50" s="34"/>
      <c r="AM50" s="34"/>
    </row>
    <row r="51" spans="1:39" x14ac:dyDescent="0.25">
      <c r="A51" s="41" t="s">
        <v>146</v>
      </c>
      <c r="B51" s="41" t="s">
        <v>147</v>
      </c>
      <c r="C51" s="42" t="s">
        <v>148</v>
      </c>
      <c r="D51" s="43">
        <v>42675</v>
      </c>
      <c r="E51" s="44">
        <v>3</v>
      </c>
      <c r="F51" s="43">
        <v>43769</v>
      </c>
      <c r="G51" s="43">
        <v>43769</v>
      </c>
      <c r="H51" s="43" t="s">
        <v>221</v>
      </c>
      <c r="I51" s="43" t="s">
        <v>241</v>
      </c>
      <c r="J51" s="44" t="s">
        <v>222</v>
      </c>
      <c r="K51" s="44" t="s">
        <v>224</v>
      </c>
      <c r="L51" s="44"/>
      <c r="M51" s="44" t="s">
        <v>224</v>
      </c>
      <c r="N51" s="78" t="s">
        <v>223</v>
      </c>
      <c r="O51" s="44"/>
      <c r="P51" s="43"/>
      <c r="Q51" s="44"/>
      <c r="R51" s="43"/>
      <c r="S51" s="44"/>
      <c r="T51" s="44"/>
      <c r="U51" s="44">
        <v>2.41</v>
      </c>
      <c r="V51" s="44">
        <v>0.51</v>
      </c>
      <c r="W51" s="44"/>
      <c r="X51" s="44"/>
      <c r="Y51" s="44">
        <v>16.399999999999999</v>
      </c>
      <c r="Z51" s="44"/>
      <c r="AA51" s="44" t="s">
        <v>225</v>
      </c>
      <c r="AB51" s="44" t="s">
        <v>243</v>
      </c>
      <c r="AC51" s="44" t="str">
        <f t="shared" si="1"/>
        <v>F. CHAPITEAU</v>
      </c>
      <c r="AD51" s="44"/>
      <c r="AE51" s="44"/>
      <c r="AF51" s="44"/>
      <c r="AG51" s="44"/>
      <c r="AH51" s="44" t="s">
        <v>393</v>
      </c>
      <c r="AI51" s="44" t="s">
        <v>394</v>
      </c>
      <c r="AJ51" s="44"/>
      <c r="AK51" s="44"/>
      <c r="AL51" s="44"/>
      <c r="AM51" s="44"/>
    </row>
  </sheetData>
  <pageMargins left="0.7" right="0.7" top="0.75" bottom="0.75" header="0.3" footer="0.3"/>
  <pageSetup paperSize="9" orientation="portrait" horizontalDpi="4294967293" verticalDpi="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F51"/>
  <sheetViews>
    <sheetView showGridLines="0" tabSelected="1" workbookViewId="0"/>
  </sheetViews>
  <sheetFormatPr baseColWidth="10" defaultRowHeight="15" x14ac:dyDescent="0.25"/>
  <cols>
    <col min="1" max="1" width="12.42578125" bestFit="1" customWidth="1"/>
    <col min="2" max="2" width="15.140625" bestFit="1" customWidth="1"/>
    <col min="3" max="3" width="16" bestFit="1" customWidth="1"/>
    <col min="4" max="4" width="20.7109375" bestFit="1" customWidth="1"/>
    <col min="5" max="5" width="15.5703125" bestFit="1" customWidth="1"/>
    <col min="6" max="7" width="15.85546875" bestFit="1" customWidth="1"/>
  </cols>
  <sheetData>
    <row r="1" spans="1:6" ht="30" customHeight="1" x14ac:dyDescent="0.25">
      <c r="A1" s="50" t="s">
        <v>0</v>
      </c>
      <c r="B1" s="50" t="s">
        <v>369</v>
      </c>
      <c r="C1" s="50" t="s">
        <v>370</v>
      </c>
      <c r="D1" s="73" t="s">
        <v>409</v>
      </c>
      <c r="E1" s="73" t="s">
        <v>413</v>
      </c>
      <c r="F1" s="73" t="s">
        <v>414</v>
      </c>
    </row>
    <row r="2" spans="1:6" x14ac:dyDescent="0.25">
      <c r="A2" s="82" t="str">
        <f>IF(COMPILDATA!A2="","",COMPILDATA!A2)</f>
        <v>0047612Y</v>
      </c>
      <c r="B2" s="83"/>
      <c r="C2" s="83"/>
      <c r="D2" s="81" t="s">
        <v>238</v>
      </c>
      <c r="E2" s="69"/>
      <c r="F2" s="69"/>
    </row>
    <row r="3" spans="1:6" x14ac:dyDescent="0.25">
      <c r="A3" s="54" t="str">
        <f>IF(COMPILDATA!A16="","",COMPILDATA!A16)</f>
        <v>0055621K</v>
      </c>
      <c r="B3" s="55" t="s">
        <v>371</v>
      </c>
      <c r="C3" s="55" t="s">
        <v>371</v>
      </c>
      <c r="D3" s="57" t="s">
        <v>238</v>
      </c>
      <c r="E3" s="68" t="s">
        <v>416</v>
      </c>
      <c r="F3" s="69"/>
    </row>
    <row r="4" spans="1:6" x14ac:dyDescent="0.25">
      <c r="A4" s="54" t="str">
        <f>IF(COMPILDATA!A22="","",COMPILDATA!A22)</f>
        <v>0073810T</v>
      </c>
      <c r="B4" s="55" t="s">
        <v>371</v>
      </c>
      <c r="C4" s="55" t="s">
        <v>371</v>
      </c>
      <c r="D4" s="57" t="s">
        <v>238</v>
      </c>
      <c r="E4" s="68" t="s">
        <v>415</v>
      </c>
      <c r="F4" s="68" t="s">
        <v>417</v>
      </c>
    </row>
    <row r="5" spans="1:6" x14ac:dyDescent="0.25">
      <c r="A5" s="54" t="str">
        <f>IF(COMPILDATA!A32="","",COMPILDATA!A32)</f>
        <v>3004560T</v>
      </c>
      <c r="B5" s="55" t="s">
        <v>371</v>
      </c>
      <c r="C5" s="55" t="s">
        <v>371</v>
      </c>
      <c r="D5" s="57" t="s">
        <v>238</v>
      </c>
      <c r="E5" s="68" t="s">
        <v>418</v>
      </c>
      <c r="F5" s="69"/>
    </row>
    <row r="6" spans="1:6" x14ac:dyDescent="0.25">
      <c r="A6" s="54" t="str">
        <f>IF(COMPILDATA!A33="","",COMPILDATA!A33)</f>
        <v>3011315F</v>
      </c>
      <c r="B6" s="55" t="s">
        <v>371</v>
      </c>
      <c r="C6" s="55"/>
      <c r="D6" s="57" t="s">
        <v>240</v>
      </c>
      <c r="E6" s="68" t="s">
        <v>415</v>
      </c>
      <c r="F6" s="69"/>
    </row>
    <row r="7" spans="1:6" x14ac:dyDescent="0.25">
      <c r="A7" s="54" t="str">
        <f>IF(COMPILDATA!A17="","",COMPILDATA!A17)</f>
        <v>0059097J</v>
      </c>
      <c r="B7" s="55" t="s">
        <v>371</v>
      </c>
      <c r="C7" s="55" t="s">
        <v>371</v>
      </c>
      <c r="D7" s="57" t="s">
        <v>403</v>
      </c>
      <c r="E7" s="68" t="s">
        <v>418</v>
      </c>
      <c r="F7" s="69"/>
    </row>
    <row r="8" spans="1:6" x14ac:dyDescent="0.25">
      <c r="A8" s="56" t="str">
        <f>IF(COMPILDATA!A50="","",COMPILDATA!A50)</f>
        <v>3034731S</v>
      </c>
      <c r="B8" s="55" t="s">
        <v>371</v>
      </c>
      <c r="C8" s="55" t="s">
        <v>372</v>
      </c>
      <c r="D8" s="57" t="s">
        <v>403</v>
      </c>
      <c r="E8" s="68" t="s">
        <v>415</v>
      </c>
      <c r="F8" s="69"/>
    </row>
    <row r="9" spans="1:6" x14ac:dyDescent="0.25">
      <c r="A9" s="48" t="str">
        <f>IF(COMPILDATA!A25="","",COMPILDATA!A25)</f>
        <v>0091148F</v>
      </c>
      <c r="B9" s="49" t="s">
        <v>371</v>
      </c>
      <c r="C9" s="49" t="s">
        <v>371</v>
      </c>
      <c r="D9" s="58" t="s">
        <v>239</v>
      </c>
      <c r="E9" s="66" t="s">
        <v>416</v>
      </c>
      <c r="F9" s="63"/>
    </row>
    <row r="10" spans="1:6" x14ac:dyDescent="0.25">
      <c r="A10" s="48" t="str">
        <f>IF(COMPILDATA!A31="","",COMPILDATA!A31)</f>
        <v>0112142E</v>
      </c>
      <c r="B10" s="49" t="s">
        <v>372</v>
      </c>
      <c r="C10" s="49" t="s">
        <v>372</v>
      </c>
      <c r="D10" s="58" t="s">
        <v>239</v>
      </c>
      <c r="E10" s="67"/>
      <c r="F10" s="63"/>
    </row>
    <row r="11" spans="1:6" x14ac:dyDescent="0.25">
      <c r="A11" s="48" t="str">
        <f>IF(COMPILDATA!A46="","",COMPILDATA!A46)</f>
        <v>3028742L</v>
      </c>
      <c r="B11" s="49" t="s">
        <v>371</v>
      </c>
      <c r="C11" s="49" t="s">
        <v>372</v>
      </c>
      <c r="D11" s="58" t="s">
        <v>239</v>
      </c>
      <c r="E11" s="65" t="s">
        <v>415</v>
      </c>
      <c r="F11" s="63"/>
    </row>
    <row r="12" spans="1:6" x14ac:dyDescent="0.25">
      <c r="A12" s="48" t="str">
        <f>IF(COMPILDATA!A49="","",COMPILDATA!A49)</f>
        <v>3033682L</v>
      </c>
      <c r="B12" s="49" t="s">
        <v>372</v>
      </c>
      <c r="C12" s="49" t="s">
        <v>372</v>
      </c>
      <c r="D12" s="58" t="s">
        <v>239</v>
      </c>
      <c r="E12" s="63"/>
      <c r="F12" s="63"/>
    </row>
    <row r="13" spans="1:6" x14ac:dyDescent="0.25">
      <c r="A13" s="54" t="str">
        <f>IF(COMPILDATA!A36="","",COMPILDATA!A36)</f>
        <v>3015243A</v>
      </c>
      <c r="B13" s="55" t="s">
        <v>371</v>
      </c>
      <c r="C13" s="55" t="s">
        <v>371</v>
      </c>
      <c r="D13" s="57" t="s">
        <v>408</v>
      </c>
      <c r="E13" s="68" t="s">
        <v>415</v>
      </c>
      <c r="F13" s="68" t="s">
        <v>417</v>
      </c>
    </row>
    <row r="14" spans="1:6" x14ac:dyDescent="0.25">
      <c r="A14" s="54" t="str">
        <f>IF(COMPILDATA!A38="","",COMPILDATA!A38)</f>
        <v>3017624H</v>
      </c>
      <c r="B14" s="55" t="s">
        <v>371</v>
      </c>
      <c r="C14" s="55"/>
      <c r="D14" s="57" t="s">
        <v>408</v>
      </c>
      <c r="E14" s="68" t="s">
        <v>415</v>
      </c>
      <c r="F14" s="68"/>
    </row>
    <row r="15" spans="1:6" x14ac:dyDescent="0.25">
      <c r="A15" s="54" t="str">
        <f>IF(COMPILDATA!A39="","",COMPILDATA!A39)</f>
        <v>3018178L</v>
      </c>
      <c r="B15" s="55" t="s">
        <v>371</v>
      </c>
      <c r="C15" s="55" t="s">
        <v>372</v>
      </c>
      <c r="D15" s="57" t="s">
        <v>408</v>
      </c>
      <c r="E15" s="68" t="s">
        <v>415</v>
      </c>
      <c r="F15" s="69"/>
    </row>
    <row r="16" spans="1:6" x14ac:dyDescent="0.25">
      <c r="A16" s="54" t="str">
        <f>IF(COMPILDATA!A42="","",COMPILDATA!A42)</f>
        <v>3021085L</v>
      </c>
      <c r="B16" s="55" t="s">
        <v>371</v>
      </c>
      <c r="C16" s="55" t="s">
        <v>372</v>
      </c>
      <c r="D16" s="57" t="s">
        <v>408</v>
      </c>
      <c r="E16" s="68" t="s">
        <v>415</v>
      </c>
      <c r="F16" s="69"/>
    </row>
    <row r="17" spans="1:6" x14ac:dyDescent="0.25">
      <c r="A17" s="54" t="str">
        <f>IF(COMPILDATA!A47="","",COMPILDATA!A47)</f>
        <v>3030429F</v>
      </c>
      <c r="B17" s="55" t="s">
        <v>371</v>
      </c>
      <c r="C17" s="55" t="s">
        <v>372</v>
      </c>
      <c r="D17" s="57" t="s">
        <v>408</v>
      </c>
      <c r="E17" s="68" t="s">
        <v>415</v>
      </c>
      <c r="F17" s="69"/>
    </row>
    <row r="18" spans="1:6" x14ac:dyDescent="0.25">
      <c r="A18" s="54" t="str">
        <f>IF(COMPILDATA!A3="","",COMPILDATA!A3)</f>
        <v>0048509C</v>
      </c>
      <c r="B18" s="55" t="s">
        <v>371</v>
      </c>
      <c r="C18" s="55" t="s">
        <v>372</v>
      </c>
      <c r="D18" s="57" t="s">
        <v>235</v>
      </c>
      <c r="E18" s="68" t="s">
        <v>415</v>
      </c>
      <c r="F18" s="69"/>
    </row>
    <row r="19" spans="1:6" x14ac:dyDescent="0.25">
      <c r="A19" s="54" t="str">
        <f>IF(COMPILDATA!A7="","",COMPILDATA!A7)</f>
        <v>0052232B</v>
      </c>
      <c r="B19" s="55" t="s">
        <v>371</v>
      </c>
      <c r="C19" s="55" t="s">
        <v>372</v>
      </c>
      <c r="D19" s="57" t="s">
        <v>235</v>
      </c>
      <c r="E19" s="68" t="s">
        <v>415</v>
      </c>
      <c r="F19" s="69"/>
    </row>
    <row r="20" spans="1:6" x14ac:dyDescent="0.25">
      <c r="A20" s="54" t="str">
        <f>IF(COMPILDATA!A8="","",COMPILDATA!A8)</f>
        <v>0052604R</v>
      </c>
      <c r="B20" s="55" t="s">
        <v>372</v>
      </c>
      <c r="C20" s="55" t="s">
        <v>372</v>
      </c>
      <c r="D20" s="57" t="s">
        <v>235</v>
      </c>
      <c r="E20" s="69"/>
      <c r="F20" s="69"/>
    </row>
    <row r="21" spans="1:6" x14ac:dyDescent="0.25">
      <c r="A21" s="54" t="str">
        <f>IF(COMPILDATA!A9="","",COMPILDATA!A9)</f>
        <v>0052667Z</v>
      </c>
      <c r="B21" s="55"/>
      <c r="C21" s="55" t="s">
        <v>371</v>
      </c>
      <c r="D21" s="57" t="s">
        <v>235</v>
      </c>
      <c r="E21" s="68" t="s">
        <v>417</v>
      </c>
      <c r="F21" s="69"/>
    </row>
    <row r="22" spans="1:6" x14ac:dyDescent="0.25">
      <c r="A22" s="54" t="str">
        <f>IF(COMPILDATA!A10="","",COMPILDATA!A10)</f>
        <v>0052669B</v>
      </c>
      <c r="B22" s="55" t="s">
        <v>371</v>
      </c>
      <c r="C22" s="55" t="s">
        <v>371</v>
      </c>
      <c r="D22" s="57" t="s">
        <v>235</v>
      </c>
      <c r="E22" s="68" t="s">
        <v>418</v>
      </c>
      <c r="F22" s="69"/>
    </row>
    <row r="23" spans="1:6" x14ac:dyDescent="0.25">
      <c r="A23" s="54" t="str">
        <f>IF(COMPILDATA!A13="","",COMPILDATA!A13)</f>
        <v>0053902Z</v>
      </c>
      <c r="B23" s="55" t="s">
        <v>371</v>
      </c>
      <c r="C23" s="55" t="s">
        <v>372</v>
      </c>
      <c r="D23" s="57" t="s">
        <v>235</v>
      </c>
      <c r="E23" s="68" t="s">
        <v>415</v>
      </c>
      <c r="F23" s="69"/>
    </row>
    <row r="24" spans="1:6" x14ac:dyDescent="0.25">
      <c r="A24" s="54" t="str">
        <f>IF(COMPILDATA!A14="","",COMPILDATA!A14)</f>
        <v>0053903A</v>
      </c>
      <c r="B24" s="55" t="s">
        <v>371</v>
      </c>
      <c r="C24" s="55" t="s">
        <v>372</v>
      </c>
      <c r="D24" s="57" t="s">
        <v>235</v>
      </c>
      <c r="E24" s="68" t="s">
        <v>415</v>
      </c>
      <c r="F24" s="69"/>
    </row>
    <row r="25" spans="1:6" x14ac:dyDescent="0.25">
      <c r="A25" s="54" t="str">
        <f>IF(COMPILDATA!A15="","",COMPILDATA!A15)</f>
        <v>0054312N</v>
      </c>
      <c r="B25" s="55" t="s">
        <v>372</v>
      </c>
      <c r="C25" s="55" t="s">
        <v>372</v>
      </c>
      <c r="D25" s="57" t="s">
        <v>235</v>
      </c>
      <c r="E25" s="69"/>
      <c r="F25" s="69"/>
    </row>
    <row r="26" spans="1:6" x14ac:dyDescent="0.25">
      <c r="A26" s="54" t="str">
        <f>IF(COMPILDATA!A21="","",COMPILDATA!A21)</f>
        <v>0063788F</v>
      </c>
      <c r="B26" s="55" t="s">
        <v>372</v>
      </c>
      <c r="C26" s="55" t="s">
        <v>372</v>
      </c>
      <c r="D26" s="57" t="s">
        <v>235</v>
      </c>
      <c r="E26" s="69"/>
      <c r="F26" s="69"/>
    </row>
    <row r="27" spans="1:6" x14ac:dyDescent="0.25">
      <c r="A27" s="54" t="str">
        <f>IF(COMPILDATA!A26="","",COMPILDATA!A26)</f>
        <v>0093016P</v>
      </c>
      <c r="B27" s="55" t="s">
        <v>371</v>
      </c>
      <c r="C27" s="55" t="s">
        <v>371</v>
      </c>
      <c r="D27" s="57" t="s">
        <v>235</v>
      </c>
      <c r="E27" s="68" t="s">
        <v>418</v>
      </c>
      <c r="F27" s="69"/>
    </row>
    <row r="28" spans="1:6" x14ac:dyDescent="0.25">
      <c r="A28" s="54" t="str">
        <f>IF(COMPILDATA!A27="","",COMPILDATA!A27)</f>
        <v>0097858K</v>
      </c>
      <c r="B28" s="55" t="s">
        <v>371</v>
      </c>
      <c r="C28" s="55" t="s">
        <v>372</v>
      </c>
      <c r="D28" s="57" t="s">
        <v>235</v>
      </c>
      <c r="E28" s="68" t="s">
        <v>415</v>
      </c>
      <c r="F28" s="69"/>
    </row>
    <row r="29" spans="1:6" x14ac:dyDescent="0.25">
      <c r="A29" s="54" t="str">
        <f>IF(COMPILDATA!A28="","",COMPILDATA!A28)</f>
        <v>0097889B</v>
      </c>
      <c r="B29" s="55" t="s">
        <v>371</v>
      </c>
      <c r="C29" s="55" t="s">
        <v>372</v>
      </c>
      <c r="D29" s="57" t="s">
        <v>235</v>
      </c>
      <c r="E29" s="68" t="s">
        <v>415</v>
      </c>
      <c r="F29" s="69"/>
    </row>
    <row r="30" spans="1:6" x14ac:dyDescent="0.25">
      <c r="A30" s="54" t="str">
        <f>IF(COMPILDATA!A30="","",COMPILDATA!A30)</f>
        <v>0105811A</v>
      </c>
      <c r="B30" s="55" t="s">
        <v>371</v>
      </c>
      <c r="C30" s="55" t="s">
        <v>372</v>
      </c>
      <c r="D30" s="57" t="s">
        <v>235</v>
      </c>
      <c r="E30" s="68" t="s">
        <v>415</v>
      </c>
      <c r="F30" s="69"/>
    </row>
    <row r="31" spans="1:6" x14ac:dyDescent="0.25">
      <c r="A31" s="54" t="str">
        <f>IF(COMPILDATA!A34="","",COMPILDATA!A34)</f>
        <v>3013975F</v>
      </c>
      <c r="B31" s="55" t="s">
        <v>371</v>
      </c>
      <c r="C31" s="55" t="s">
        <v>372</v>
      </c>
      <c r="D31" s="57" t="s">
        <v>235</v>
      </c>
      <c r="E31" s="68" t="s">
        <v>415</v>
      </c>
      <c r="F31" s="69"/>
    </row>
    <row r="32" spans="1:6" x14ac:dyDescent="0.25">
      <c r="A32" s="54" t="str">
        <f>IF(COMPILDATA!A37="","",COMPILDATA!A37)</f>
        <v>3017154P</v>
      </c>
      <c r="B32" s="55" t="s">
        <v>371</v>
      </c>
      <c r="C32" s="55" t="s">
        <v>372</v>
      </c>
      <c r="D32" s="57" t="s">
        <v>235</v>
      </c>
      <c r="E32" s="68" t="s">
        <v>415</v>
      </c>
      <c r="F32" s="69"/>
    </row>
    <row r="33" spans="1:6" x14ac:dyDescent="0.25">
      <c r="A33" s="48" t="str">
        <f>IF(COMPILDATA!A48="","",COMPILDATA!A48)</f>
        <v>3033576Y</v>
      </c>
      <c r="B33" s="49" t="s">
        <v>372</v>
      </c>
      <c r="C33" s="49" t="s">
        <v>372</v>
      </c>
      <c r="D33" s="57" t="s">
        <v>235</v>
      </c>
      <c r="E33" s="63"/>
      <c r="F33" s="63"/>
    </row>
    <row r="34" spans="1:6" x14ac:dyDescent="0.25">
      <c r="A34" s="56" t="str">
        <f>IF(COMPILDATA!A51="","",COMPILDATA!A51)</f>
        <v>3036853J</v>
      </c>
      <c r="B34" s="55" t="s">
        <v>371</v>
      </c>
      <c r="C34" s="55" t="s">
        <v>372</v>
      </c>
      <c r="D34" s="57" t="s">
        <v>235</v>
      </c>
      <c r="E34" s="68" t="s">
        <v>415</v>
      </c>
      <c r="F34" s="69"/>
    </row>
    <row r="35" spans="1:6" x14ac:dyDescent="0.25">
      <c r="A35" s="48" t="str">
        <f>IF(COMPILDATA!A44="","",COMPILDATA!A44)</f>
        <v>3026041H</v>
      </c>
      <c r="B35" s="49" t="s">
        <v>371</v>
      </c>
      <c r="C35" s="49" t="s">
        <v>372</v>
      </c>
      <c r="D35" s="57" t="s">
        <v>412</v>
      </c>
      <c r="E35" s="65" t="s">
        <v>415</v>
      </c>
      <c r="F35" s="63"/>
    </row>
    <row r="36" spans="1:6" x14ac:dyDescent="0.25">
      <c r="A36" s="48" t="str">
        <f>IF(COMPILDATA!A40="","",COMPILDATA!A40)</f>
        <v>3018469W</v>
      </c>
      <c r="B36" s="49" t="s">
        <v>371</v>
      </c>
      <c r="C36" s="49" t="s">
        <v>372</v>
      </c>
      <c r="D36" s="58" t="s">
        <v>411</v>
      </c>
      <c r="E36" s="65" t="s">
        <v>415</v>
      </c>
      <c r="F36" s="67"/>
    </row>
    <row r="37" spans="1:6" x14ac:dyDescent="0.25">
      <c r="A37" s="48" t="str">
        <f>IF(COMPILDATA!A43="","",COMPILDATA!A43)</f>
        <v>3021161L</v>
      </c>
      <c r="B37" s="49" t="s">
        <v>371</v>
      </c>
      <c r="C37" s="49" t="s">
        <v>372</v>
      </c>
      <c r="D37" s="58" t="s">
        <v>411</v>
      </c>
      <c r="E37" s="65" t="s">
        <v>415</v>
      </c>
      <c r="F37" s="63"/>
    </row>
    <row r="38" spans="1:6" x14ac:dyDescent="0.25">
      <c r="A38" s="48" t="str">
        <f>IF(COMPILDATA!A24="","",COMPILDATA!A24)</f>
        <v>0082193Z</v>
      </c>
      <c r="B38" s="49" t="s">
        <v>371</v>
      </c>
      <c r="C38" s="49" t="s">
        <v>371</v>
      </c>
      <c r="D38" s="58" t="s">
        <v>410</v>
      </c>
      <c r="E38" s="80" t="s">
        <v>415</v>
      </c>
      <c r="F38" s="65" t="s">
        <v>420</v>
      </c>
    </row>
    <row r="39" spans="1:6" x14ac:dyDescent="0.25">
      <c r="A39" s="48" t="str">
        <f>IF(COMPILDATA!A41="","",COMPILDATA!A41)</f>
        <v>3020982B</v>
      </c>
      <c r="B39" s="49" t="s">
        <v>371</v>
      </c>
      <c r="C39" s="49" t="s">
        <v>372</v>
      </c>
      <c r="D39" s="58" t="s">
        <v>410</v>
      </c>
      <c r="E39" s="79" t="s">
        <v>415</v>
      </c>
      <c r="F39" s="63"/>
    </row>
    <row r="40" spans="1:6" x14ac:dyDescent="0.25">
      <c r="A40" s="48" t="str">
        <f>IF(COMPILDATA!A5="","",COMPILDATA!A5)</f>
        <v>0051892D</v>
      </c>
      <c r="B40" s="49" t="s">
        <v>371</v>
      </c>
      <c r="C40" s="49" t="s">
        <v>371</v>
      </c>
      <c r="D40" s="58" t="s">
        <v>237</v>
      </c>
      <c r="E40" s="65" t="s">
        <v>416</v>
      </c>
      <c r="F40" s="63"/>
    </row>
    <row r="41" spans="1:6" x14ac:dyDescent="0.25">
      <c r="A41" s="48" t="str">
        <f>IF(COMPILDATA!A23="","",COMPILDATA!A23)</f>
        <v>0080931N</v>
      </c>
      <c r="B41" s="49" t="s">
        <v>371</v>
      </c>
      <c r="C41" s="64" t="s">
        <v>371</v>
      </c>
      <c r="D41" s="58" t="s">
        <v>237</v>
      </c>
      <c r="E41" s="66" t="s">
        <v>418</v>
      </c>
      <c r="F41" s="63"/>
    </row>
    <row r="42" spans="1:6" x14ac:dyDescent="0.25">
      <c r="A42" s="48" t="str">
        <f>IF(COMPILDATA!A35="","",COMPILDATA!A35)</f>
        <v>3014440T</v>
      </c>
      <c r="B42" s="49" t="s">
        <v>371</v>
      </c>
      <c r="C42" s="49" t="s">
        <v>372</v>
      </c>
      <c r="D42" s="58" t="s">
        <v>237</v>
      </c>
      <c r="E42" s="65" t="s">
        <v>415</v>
      </c>
      <c r="F42" s="63"/>
    </row>
    <row r="43" spans="1:6" x14ac:dyDescent="0.25">
      <c r="A43" s="48" t="str">
        <f>IF(COMPILDATA!A45="","",COMPILDATA!A45)</f>
        <v>3027156A</v>
      </c>
      <c r="B43" s="51" t="s">
        <v>372</v>
      </c>
      <c r="C43" s="49" t="s">
        <v>372</v>
      </c>
      <c r="D43" s="58" t="s">
        <v>237</v>
      </c>
      <c r="E43" s="63"/>
      <c r="F43" s="63"/>
    </row>
    <row r="44" spans="1:6" x14ac:dyDescent="0.25">
      <c r="A44" s="54" t="str">
        <f>IF(COMPILDATA!A4="","",COMPILDATA!A4)</f>
        <v>0051746L</v>
      </c>
      <c r="B44" s="55" t="s">
        <v>371</v>
      </c>
      <c r="C44" s="55" t="s">
        <v>372</v>
      </c>
      <c r="D44" s="57" t="s">
        <v>236</v>
      </c>
      <c r="E44" s="68" t="s">
        <v>415</v>
      </c>
      <c r="F44" s="69"/>
    </row>
    <row r="45" spans="1:6" x14ac:dyDescent="0.25">
      <c r="A45" s="54" t="str">
        <f>IF(COMPILDATA!A6="","",COMPILDATA!A6)</f>
        <v>0051940S</v>
      </c>
      <c r="B45" s="55" t="s">
        <v>371</v>
      </c>
      <c r="C45" s="55" t="s">
        <v>372</v>
      </c>
      <c r="D45" s="57" t="s">
        <v>236</v>
      </c>
      <c r="E45" s="68" t="s">
        <v>415</v>
      </c>
      <c r="F45" s="69"/>
    </row>
    <row r="46" spans="1:6" x14ac:dyDescent="0.25">
      <c r="A46" s="54" t="str">
        <f>IF(COMPILDATA!A11="","",COMPILDATA!A11)</f>
        <v>0052680R</v>
      </c>
      <c r="B46" s="55" t="s">
        <v>371</v>
      </c>
      <c r="C46" s="55" t="s">
        <v>371</v>
      </c>
      <c r="D46" s="57" t="s">
        <v>236</v>
      </c>
      <c r="E46" s="68" t="s">
        <v>418</v>
      </c>
      <c r="F46" s="69"/>
    </row>
    <row r="47" spans="1:6" x14ac:dyDescent="0.25">
      <c r="A47" s="54" t="str">
        <f>IF(COMPILDATA!A12="","",COMPILDATA!A12)</f>
        <v>0053626K</v>
      </c>
      <c r="B47" s="55" t="s">
        <v>371</v>
      </c>
      <c r="C47" s="55" t="s">
        <v>371</v>
      </c>
      <c r="D47" s="57" t="s">
        <v>236</v>
      </c>
      <c r="E47" s="68" t="s">
        <v>418</v>
      </c>
      <c r="F47" s="69"/>
    </row>
    <row r="48" spans="1:6" x14ac:dyDescent="0.25">
      <c r="A48" s="54" t="str">
        <f>IF(COMPILDATA!A18="","",COMPILDATA!A18)</f>
        <v>0059114F</v>
      </c>
      <c r="B48" s="55" t="s">
        <v>371</v>
      </c>
      <c r="C48" s="55" t="s">
        <v>371</v>
      </c>
      <c r="D48" s="57" t="s">
        <v>236</v>
      </c>
      <c r="E48" s="68" t="s">
        <v>415</v>
      </c>
      <c r="F48" s="68" t="s">
        <v>417</v>
      </c>
    </row>
    <row r="49" spans="1:6" x14ac:dyDescent="0.25">
      <c r="A49" s="54" t="str">
        <f>IF(COMPILDATA!A19="","",COMPILDATA!A19)</f>
        <v>0059137L</v>
      </c>
      <c r="B49" s="55" t="s">
        <v>372</v>
      </c>
      <c r="C49" s="55" t="s">
        <v>372</v>
      </c>
      <c r="D49" s="57" t="s">
        <v>236</v>
      </c>
      <c r="E49" s="69"/>
      <c r="F49" s="69"/>
    </row>
    <row r="50" spans="1:6" x14ac:dyDescent="0.25">
      <c r="A50" s="54" t="str">
        <f>IF(COMPILDATA!A20="","",COMPILDATA!A20)</f>
        <v>0063399W</v>
      </c>
      <c r="B50" s="55" t="s">
        <v>371</v>
      </c>
      <c r="C50" s="55" t="s">
        <v>372</v>
      </c>
      <c r="D50" s="57" t="s">
        <v>236</v>
      </c>
      <c r="E50" s="68" t="s">
        <v>415</v>
      </c>
      <c r="F50" s="69"/>
    </row>
    <row r="51" spans="1:6" x14ac:dyDescent="0.25">
      <c r="A51" s="86" t="str">
        <f>IF(COMPILDATA!A29="","",COMPILDATA!A29)</f>
        <v>0101895Y</v>
      </c>
      <c r="B51" s="84" t="s">
        <v>371</v>
      </c>
      <c r="C51" s="84" t="s">
        <v>372</v>
      </c>
      <c r="D51" s="59" t="s">
        <v>236</v>
      </c>
      <c r="E51" s="85" t="s">
        <v>415</v>
      </c>
      <c r="F51" s="85" t="s">
        <v>419</v>
      </c>
    </row>
  </sheetData>
  <autoFilter ref="A1:F1">
    <sortState ref="A2:F51">
      <sortCondition ref="D1"/>
    </sortState>
  </autoFilter>
  <hyperlinks>
    <hyperlink ref="E18" r:id="rId1"/>
    <hyperlink ref="E44" r:id="rId2"/>
    <hyperlink ref="E40" r:id="rId3"/>
    <hyperlink ref="E45" r:id="rId4"/>
    <hyperlink ref="E19" r:id="rId5"/>
    <hyperlink ref="E21" r:id="rId6"/>
    <hyperlink ref="E22" r:id="rId7"/>
    <hyperlink ref="E46" r:id="rId8"/>
    <hyperlink ref="E47" r:id="rId9"/>
    <hyperlink ref="E23" r:id="rId10"/>
    <hyperlink ref="E24" r:id="rId11"/>
    <hyperlink ref="E3" r:id="rId12"/>
    <hyperlink ref="E7" r:id="rId13"/>
    <hyperlink ref="E50" r:id="rId14"/>
    <hyperlink ref="E4" r:id="rId15"/>
    <hyperlink ref="E41" r:id="rId16" display="Contrat"/>
    <hyperlink ref="E38" r:id="rId17"/>
    <hyperlink ref="F38" r:id="rId18" display="Avenant 2"/>
    <hyperlink ref="E9" r:id="rId19"/>
    <hyperlink ref="E27" r:id="rId20"/>
    <hyperlink ref="E28" r:id="rId21"/>
    <hyperlink ref="E29" r:id="rId22"/>
    <hyperlink ref="E51" r:id="rId23"/>
    <hyperlink ref="F51" r:id="rId24"/>
    <hyperlink ref="E30" r:id="rId25"/>
    <hyperlink ref="E5" r:id="rId26"/>
    <hyperlink ref="E6" r:id="rId27"/>
    <hyperlink ref="E31" r:id="rId28"/>
    <hyperlink ref="E42" r:id="rId29"/>
    <hyperlink ref="E13" r:id="rId30"/>
    <hyperlink ref="F13" r:id="rId31"/>
    <hyperlink ref="E32" r:id="rId32"/>
    <hyperlink ref="E36" r:id="rId33"/>
    <hyperlink ref="E39" r:id="rId34"/>
    <hyperlink ref="E16" r:id="rId35"/>
    <hyperlink ref="E37" r:id="rId36"/>
    <hyperlink ref="E35" r:id="rId37"/>
    <hyperlink ref="E11" r:id="rId38"/>
    <hyperlink ref="E17" r:id="rId39"/>
    <hyperlink ref="E8" r:id="rId40"/>
    <hyperlink ref="E34" r:id="rId41"/>
    <hyperlink ref="E14" r:id="rId42"/>
    <hyperlink ref="E15" r:id="rId43"/>
    <hyperlink ref="F4" r:id="rId44"/>
    <hyperlink ref="F48" r:id="rId45"/>
    <hyperlink ref="E48" r:id="rId46"/>
  </hyperlinks>
  <pageMargins left="0.7" right="0.7" top="0.75" bottom="0.75" header="0.3" footer="0.3"/>
  <pageSetup paperSize="9" orientation="portrait" horizontalDpi="4294967293" verticalDpi="0" r:id="rId47"/>
  <drawing r:id="rId48"/>
  <legacyDrawing r:id="rId4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LISTE_CONTRATS</vt:lpstr>
      <vt:lpstr>FEUILLE_CONTRAT</vt:lpstr>
      <vt:lpstr>COMPILDATA</vt:lpstr>
      <vt:lpstr>PIECES_CONTRACTUELLES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Lorraine Durand</dc:creator>
  <cp:lastModifiedBy>Antonin Durand</cp:lastModifiedBy>
  <dcterms:created xsi:type="dcterms:W3CDTF">2017-05-10T06:51:10Z</dcterms:created>
  <dcterms:modified xsi:type="dcterms:W3CDTF">2017-05-15T13:38:30Z</dcterms:modified>
</cp:coreProperties>
</file>