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 activeTab="1"/>
  </bookViews>
  <sheets>
    <sheet name="Var" sheetId="31" r:id="rId1"/>
    <sheet name="FORMULAIRE" sheetId="27" r:id="rId2"/>
    <sheet name="Base" sheetId="26" r:id="rId3"/>
    <sheet name="SYNTHESE" sheetId="29" r:id="rId4"/>
  </sheets>
  <functionGroups builtInGroupCount="17"/>
  <definedNames>
    <definedName name="_xlnm._FilterDatabase" localSheetId="2" hidden="1">Base!$E$1:$Q$1</definedName>
    <definedName name="ETABLISSEMENTS">OFFSET(Var!$O$2,0,0,COUNTA(Var!$O:$O)-1,1)</definedName>
    <definedName name="_xlnm.Print_Area" localSheetId="2">Base!$A$1:$H$1</definedName>
  </definedNames>
  <calcPr calcId="145621" fullPrecision="0"/>
</workbook>
</file>

<file path=xl/calcChain.xml><?xml version="1.0" encoding="utf-8"?>
<calcChain xmlns="http://schemas.openxmlformats.org/spreadsheetml/2006/main">
  <c r="J7" i="26" l="1"/>
  <c r="J5" i="26"/>
  <c r="J2" i="26"/>
  <c r="J3" i="26"/>
  <c r="J4" i="26"/>
  <c r="J6" i="26"/>
  <c r="G7" i="26"/>
  <c r="AI10" i="29" l="1"/>
  <c r="AI9" i="29"/>
  <c r="AI8" i="29"/>
  <c r="AI7" i="29"/>
  <c r="AI6" i="29"/>
  <c r="AI5" i="29"/>
  <c r="AK10" i="29"/>
  <c r="AK9" i="29"/>
  <c r="AK8" i="29"/>
  <c r="AK7" i="29"/>
  <c r="AK6" i="29"/>
  <c r="AK5" i="29"/>
  <c r="AJ10" i="29"/>
  <c r="AJ9" i="29"/>
  <c r="AJ8" i="29"/>
  <c r="AJ7" i="29"/>
  <c r="AJ6" i="29"/>
  <c r="AJ5" i="29"/>
  <c r="AH10" i="29"/>
  <c r="AH9" i="29"/>
  <c r="AH8" i="29"/>
  <c r="AH7" i="29"/>
  <c r="AH6" i="29"/>
  <c r="AH4" i="29"/>
  <c r="AH3" i="29"/>
  <c r="AG10" i="29"/>
  <c r="AG9" i="29"/>
  <c r="AG8" i="29"/>
  <c r="AG7" i="29"/>
  <c r="AG6" i="29"/>
  <c r="AG4" i="29"/>
  <c r="AG3" i="29"/>
  <c r="AF10" i="29"/>
  <c r="AF9" i="29"/>
  <c r="AF8" i="29"/>
  <c r="AF7" i="29"/>
  <c r="AF6" i="29"/>
  <c r="AF4" i="29"/>
  <c r="AF3" i="29"/>
  <c r="AE10" i="29"/>
  <c r="AE9" i="29"/>
  <c r="AE8" i="29"/>
  <c r="AE7" i="29"/>
  <c r="AE6" i="29"/>
  <c r="AE5" i="29"/>
  <c r="AE4" i="29"/>
  <c r="AE3" i="29"/>
  <c r="AE2" i="29"/>
  <c r="AD10" i="29"/>
  <c r="AD9" i="29"/>
  <c r="AD8" i="29"/>
  <c r="AD7" i="29"/>
  <c r="AD6" i="29"/>
  <c r="AD5" i="29"/>
  <c r="AD4" i="29"/>
  <c r="AD3" i="29"/>
  <c r="AD2" i="29"/>
  <c r="AC10" i="29"/>
  <c r="AC9" i="29"/>
  <c r="AC8" i="29"/>
  <c r="AC7" i="29"/>
  <c r="AC6" i="29"/>
  <c r="AC5" i="29"/>
  <c r="AC4" i="29"/>
  <c r="AC3" i="29"/>
  <c r="AC2" i="29"/>
  <c r="AB10" i="29"/>
  <c r="AB9" i="29"/>
  <c r="AB8" i="29"/>
  <c r="AB7" i="29"/>
  <c r="AB6" i="29"/>
  <c r="AB5" i="29"/>
  <c r="AB4" i="29"/>
  <c r="AB3" i="29"/>
  <c r="AB2" i="29"/>
  <c r="AA10" i="29"/>
  <c r="AA9" i="29"/>
  <c r="AA8" i="29"/>
  <c r="AA7" i="29"/>
  <c r="AA6" i="29"/>
  <c r="AA5" i="29"/>
  <c r="AA4" i="29"/>
  <c r="AA3" i="29"/>
  <c r="AA2" i="29"/>
  <c r="Z10" i="29"/>
  <c r="Z9" i="29"/>
  <c r="Z8" i="29"/>
  <c r="Z7" i="29"/>
  <c r="Z6" i="29"/>
  <c r="Z5" i="29"/>
  <c r="Z4" i="29"/>
  <c r="Z3" i="29"/>
  <c r="Z2" i="29"/>
  <c r="Y10" i="29"/>
  <c r="Y9" i="29"/>
  <c r="Y8" i="29"/>
  <c r="Y7" i="29"/>
  <c r="Y6" i="29"/>
  <c r="Y5" i="29"/>
  <c r="Y4" i="29"/>
  <c r="Y3" i="29"/>
  <c r="Y2" i="29"/>
  <c r="X10" i="29"/>
  <c r="X9" i="29"/>
  <c r="X8" i="29"/>
  <c r="X7" i="29"/>
  <c r="X6" i="29"/>
  <c r="X5" i="29"/>
  <c r="X4" i="29"/>
  <c r="X3" i="29"/>
  <c r="X2" i="29"/>
  <c r="W10" i="29"/>
  <c r="W9" i="29"/>
  <c r="W8" i="29"/>
  <c r="W7" i="29"/>
  <c r="W6" i="29"/>
  <c r="W5" i="29"/>
  <c r="W4" i="29"/>
  <c r="W3" i="29"/>
  <c r="W2" i="29"/>
  <c r="V10" i="29"/>
  <c r="V9" i="29"/>
  <c r="V8" i="29"/>
  <c r="V7" i="29"/>
  <c r="V6" i="29"/>
  <c r="V5" i="29"/>
  <c r="V4" i="29"/>
  <c r="V3" i="29"/>
  <c r="V2" i="29"/>
  <c r="U10" i="29"/>
  <c r="U9" i="29"/>
  <c r="U8" i="29"/>
  <c r="U7" i="29"/>
  <c r="U6" i="29"/>
  <c r="U5" i="29"/>
  <c r="U4" i="29"/>
  <c r="U3" i="29"/>
  <c r="U2" i="29"/>
  <c r="T10" i="29"/>
  <c r="T9" i="29"/>
  <c r="T8" i="29"/>
  <c r="T7" i="29"/>
  <c r="T6" i="29"/>
  <c r="T4" i="29"/>
  <c r="T3" i="29"/>
  <c r="S10" i="29"/>
  <c r="S9" i="29"/>
  <c r="S8" i="29"/>
  <c r="S7" i="29"/>
  <c r="S6" i="29"/>
  <c r="S5" i="29"/>
  <c r="S4" i="29"/>
  <c r="S2" i="29"/>
  <c r="R10" i="29"/>
  <c r="R9" i="29"/>
  <c r="R8" i="29"/>
  <c r="R7" i="29"/>
  <c r="R6" i="29"/>
  <c r="R5" i="29"/>
  <c r="R4" i="29"/>
  <c r="R3" i="29"/>
  <c r="R2" i="29"/>
  <c r="AK3" i="29" l="1"/>
  <c r="AJ3" i="29"/>
  <c r="S3" i="29"/>
  <c r="AI3" i="29"/>
  <c r="AH5" i="29"/>
  <c r="AG5" i="29"/>
  <c r="AF5" i="29"/>
  <c r="T5" i="29"/>
  <c r="AG2" i="29"/>
  <c r="AG11" i="29" s="1"/>
  <c r="AF2" i="29"/>
  <c r="AH2" i="29"/>
  <c r="AJ4" i="29"/>
  <c r="AI4" i="29"/>
  <c r="AK4" i="29"/>
  <c r="AI2" i="29"/>
  <c r="AK2" i="29"/>
  <c r="AK11" i="29" s="1"/>
  <c r="T2" i="29"/>
  <c r="AJ2" i="29"/>
  <c r="Q2" i="29"/>
  <c r="Q10" i="29"/>
  <c r="Q9" i="29"/>
  <c r="Q8" i="29"/>
  <c r="Q7" i="29"/>
  <c r="Q6" i="29"/>
  <c r="Q5" i="29"/>
  <c r="Q4" i="29"/>
  <c r="Q3" i="29"/>
  <c r="P10" i="29"/>
  <c r="P9" i="29"/>
  <c r="P8" i="29"/>
  <c r="P7" i="29"/>
  <c r="P6" i="29"/>
  <c r="P5" i="29"/>
  <c r="P4" i="29"/>
  <c r="P3" i="29"/>
  <c r="P2" i="29"/>
  <c r="O10" i="29"/>
  <c r="O9" i="29"/>
  <c r="O8" i="29"/>
  <c r="O7" i="29"/>
  <c r="O6" i="29"/>
  <c r="O5" i="29"/>
  <c r="O4" i="29"/>
  <c r="O3" i="29"/>
  <c r="O2" i="29"/>
  <c r="N10" i="29"/>
  <c r="N9" i="29"/>
  <c r="N8" i="29"/>
  <c r="N7" i="29"/>
  <c r="N6" i="29"/>
  <c r="N5" i="29"/>
  <c r="N4" i="29"/>
  <c r="N3" i="29"/>
  <c r="N2" i="29"/>
  <c r="M10" i="29"/>
  <c r="M9" i="29"/>
  <c r="M8" i="29"/>
  <c r="M7" i="29"/>
  <c r="M6" i="29"/>
  <c r="M5" i="29"/>
  <c r="M4" i="29"/>
  <c r="M3" i="29"/>
  <c r="M2" i="29"/>
  <c r="L10" i="29"/>
  <c r="L9" i="29"/>
  <c r="L8" i="29"/>
  <c r="L7" i="29"/>
  <c r="L6" i="29"/>
  <c r="L5" i="29"/>
  <c r="L4" i="29"/>
  <c r="L3" i="29"/>
  <c r="L2" i="29"/>
  <c r="K10" i="29"/>
  <c r="K9" i="29"/>
  <c r="K8" i="29"/>
  <c r="K7" i="29"/>
  <c r="K6" i="29"/>
  <c r="K5" i="29"/>
  <c r="K4" i="29"/>
  <c r="K3" i="29"/>
  <c r="K2" i="29"/>
  <c r="R11" i="29"/>
  <c r="S11" i="29"/>
  <c r="U11" i="29"/>
  <c r="V11" i="29"/>
  <c r="W11" i="29"/>
  <c r="X11" i="29"/>
  <c r="Y11" i="29"/>
  <c r="Z11" i="29"/>
  <c r="AA11" i="29"/>
  <c r="AB11" i="29"/>
  <c r="AC11" i="29"/>
  <c r="AD11" i="29"/>
  <c r="AE11" i="29"/>
  <c r="AF11" i="29"/>
  <c r="J10" i="29"/>
  <c r="J9" i="29"/>
  <c r="J8" i="29"/>
  <c r="J7" i="29"/>
  <c r="J6" i="29"/>
  <c r="J5" i="29"/>
  <c r="J4" i="29"/>
  <c r="J3" i="29"/>
  <c r="J2" i="29"/>
  <c r="I10" i="29"/>
  <c r="I9" i="29"/>
  <c r="I8" i="29"/>
  <c r="I7" i="29"/>
  <c r="I6" i="29"/>
  <c r="I5" i="29"/>
  <c r="I4" i="29"/>
  <c r="I3" i="29"/>
  <c r="I2" i="29"/>
  <c r="G10" i="29"/>
  <c r="G9" i="29"/>
  <c r="G8" i="29"/>
  <c r="G7" i="29"/>
  <c r="G6" i="29"/>
  <c r="G5" i="29"/>
  <c r="G4" i="29"/>
  <c r="G3" i="29"/>
  <c r="H2" i="29"/>
  <c r="H3" i="29"/>
  <c r="H4" i="29"/>
  <c r="H5" i="29"/>
  <c r="H6" i="29"/>
  <c r="H7" i="29"/>
  <c r="H8" i="29"/>
  <c r="H9" i="29"/>
  <c r="G2" i="29"/>
  <c r="H10" i="29"/>
  <c r="AI11" i="29" l="1"/>
  <c r="T11" i="29"/>
  <c r="AJ11" i="29"/>
  <c r="I11" i="29"/>
  <c r="AH11" i="29"/>
  <c r="J11" i="29"/>
  <c r="Q11" i="29"/>
  <c r="P11" i="29"/>
  <c r="O11" i="29"/>
  <c r="N11" i="29"/>
  <c r="M11" i="29"/>
  <c r="L11" i="29"/>
  <c r="K11" i="29"/>
  <c r="H11" i="29"/>
  <c r="G11" i="29"/>
  <c r="F10" i="29"/>
  <c r="F9" i="29"/>
  <c r="F8" i="29"/>
  <c r="F7" i="29"/>
  <c r="F6" i="29"/>
  <c r="F5" i="29"/>
  <c r="F4" i="29"/>
  <c r="F3" i="29"/>
  <c r="F2" i="29"/>
  <c r="F11" i="29" s="1"/>
  <c r="E10" i="29"/>
  <c r="E9" i="29"/>
  <c r="E8" i="29"/>
  <c r="E7" i="29"/>
  <c r="E6" i="29"/>
  <c r="E5" i="29"/>
  <c r="E4" i="29"/>
  <c r="E3" i="29"/>
  <c r="E2" i="29"/>
  <c r="C10" i="29"/>
  <c r="C9" i="29"/>
  <c r="C8" i="29"/>
  <c r="C7" i="29"/>
  <c r="C6" i="29"/>
  <c r="C5" i="29"/>
  <c r="C4" i="29"/>
  <c r="C3" i="29"/>
  <c r="C2" i="29"/>
  <c r="C11" i="29" l="1"/>
  <c r="E11" i="29"/>
  <c r="B10" i="29"/>
  <c r="D10" i="29" s="1"/>
  <c r="B9" i="29"/>
  <c r="D9" i="29" s="1"/>
  <c r="B8" i="29"/>
  <c r="D8" i="29" s="1"/>
  <c r="B7" i="29"/>
  <c r="D7" i="29" s="1"/>
  <c r="B6" i="29"/>
  <c r="D6" i="29" s="1"/>
  <c r="B5" i="29"/>
  <c r="D5" i="29" s="1"/>
  <c r="B4" i="29"/>
  <c r="D4" i="29" s="1"/>
  <c r="B3" i="29"/>
  <c r="D3" i="29" s="1"/>
  <c r="B2" i="29"/>
  <c r="D2" i="29" s="1"/>
  <c r="G3" i="26"/>
  <c r="G2" i="26"/>
  <c r="D11" i="29" l="1"/>
  <c r="B11" i="29"/>
  <c r="A1" i="27"/>
</calcChain>
</file>

<file path=xl/sharedStrings.xml><?xml version="1.0" encoding="utf-8"?>
<sst xmlns="http://schemas.openxmlformats.org/spreadsheetml/2006/main" count="179" uniqueCount="97">
  <si>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</si>
  <si>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</si>
  <si>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</si>
  <si>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</si>
  <si>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</si>
  <si>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</si>
  <si>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</si>
  <si>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</si>
  <si>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</si>
  <si>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</si>
  <si>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ADHESION 2016-2017</t>
  </si>
  <si>
    <t>MONTANT MENSUEL</t>
  </si>
  <si>
    <t>RESERVATION</t>
  </si>
  <si>
    <t>ABRI.MAT</t>
  </si>
  <si>
    <t>SALARIE</t>
  </si>
  <si>
    <t>ADHESION 2017-2018</t>
  </si>
  <si>
    <t>ETABLISSEMENT 1</t>
  </si>
  <si>
    <t>ETABLISSEMENT</t>
  </si>
  <si>
    <t>fgh</t>
  </si>
  <si>
    <t>sdfsdf</t>
  </si>
  <si>
    <t>bjkl</t>
  </si>
  <si>
    <t>hkjk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</si>
  <si>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</si>
  <si>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</si>
  <si>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</si>
  <si>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</si>
  <si>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</si>
  <si>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</si>
  <si>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</si>
  <si>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</si>
  <si>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toto</t>
  </si>
  <si>
    <t>popo</t>
  </si>
  <si>
    <t>C</t>
  </si>
  <si>
    <t>S</t>
  </si>
  <si>
    <t>R</t>
  </si>
  <si>
    <t>D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</si>
  <si>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</si>
  <si>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</si>
  <si>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</si>
  <si>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</si>
  <si>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</si>
  <si>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</si>
  <si>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</si>
  <si>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</si>
  <si>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</si>
  <si>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</si>
  <si>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</si>
  <si>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</si>
  <si>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</si>
  <si>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</si>
  <si>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</si>
  <si>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</si>
  <si>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ACCEUIL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</si>
  <si>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</si>
  <si>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</si>
  <si>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</si>
  <si>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</si>
  <si>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</si>
  <si>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</si>
  <si>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</si>
  <si>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</si>
  <si>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</si>
  <si>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</si>
  <si>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</si>
  <si>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pour les label voir onglet VAR colonne 2</t>
  </si>
  <si>
    <t>Mour les ETABLISSEMENT voir onglet VAR colonne 15</t>
  </si>
  <si>
    <t>F</t>
  </si>
  <si>
    <t>REGULIER</t>
  </si>
  <si>
    <t>X</t>
  </si>
  <si>
    <t xml:space="preserve">DATE D'ENTREE </t>
  </si>
  <si>
    <t>GENERAL</t>
  </si>
  <si>
    <t>inscrits</t>
  </si>
  <si>
    <t>sortis</t>
  </si>
  <si>
    <t>present</t>
  </si>
  <si>
    <t>30/09/2017</t>
  </si>
  <si>
    <t>ETABLISSEMENTS</t>
  </si>
  <si>
    <t>GENERALE</t>
  </si>
  <si>
    <t>desistement</t>
  </si>
  <si>
    <t>fratrie</t>
  </si>
  <si>
    <t>reservation</t>
  </si>
  <si>
    <t>abri mat</t>
  </si>
  <si>
    <t>salarie</t>
  </si>
  <si>
    <t>adhesion n-1</t>
  </si>
  <si>
    <t>adhesion</t>
  </si>
  <si>
    <t>reguliers</t>
  </si>
  <si>
    <t>periscolaire</t>
  </si>
  <si>
    <t>occasionnel</t>
  </si>
  <si>
    <t>1 jour</t>
  </si>
  <si>
    <t>heures</t>
  </si>
  <si>
    <t>montant</t>
  </si>
  <si>
    <t>2 jours</t>
  </si>
  <si>
    <t>3 jours</t>
  </si>
  <si>
    <t>4 jours</t>
  </si>
  <si>
    <t>5 jours</t>
  </si>
  <si>
    <t>adhesion manquante</t>
  </si>
  <si>
    <t>desistement adhesion</t>
  </si>
  <si>
    <t>irreccup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</si>
</sst>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23">
    <xf numFmtId="0" fontId="0" fillId="0" borderId="0" xfId="0"/>
    <xf numFmtId="0" fontId="0" fillId="2" borderId="4" xfId="0" applyNumberFormat="1" applyFill="1" applyBorder="1" applyAlignment="1">
      <alignment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4" fillId="2" borderId="5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center" vertical="center" textRotation="90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6" fillId="2" borderId="6" xfId="0" applyNumberFormat="1" applyFont="1" applyFill="1" applyBorder="1" applyAlignment="1">
      <alignment horizontal="center" vertical="center" textRotation="90"/>
    </xf>
    <xf numFmtId="0" fontId="0" fillId="2" borderId="6" xfId="0" applyNumberForma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/>
    <xf numFmtId="14" fontId="0" fillId="2" borderId="4" xfId="0" applyNumberFormat="1" applyFill="1" applyBorder="1" applyAlignment="1">
      <alignment vertical="center"/>
    </xf>
    <xf numFmtId="0" fontId="0" fillId="0" borderId="0" xfId="0" applyNumberForma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57DFFF"/>
      <color rgb="FFFF99FF"/>
      <color rgb="FFFFCCFF"/>
      <color rgb="FFCC99FF"/>
      <color rgb="FFFFFF99"/>
      <color rgb="FF33D8FF"/>
      <color rgb="FF47DCFF"/>
      <color rgb="FF1DD4FF"/>
      <color rgb="FF00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285750</xdr:colOff>
      <xdr:row>2</xdr:row>
      <xdr:rowOff>28575</xdr:rowOff>
    </xdr:from>
    <xdr:to>
      <xdr:col>10</xdr:col>
      <xdr:colOff>285750</xdr:colOff>
      <xdr:row>30</xdr:row>
      <xdr:rowOff>28575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2571750" y="409575"/>
          <a:ext cx="5334000" cy="5334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742950</xdr:colOff>
          <xdr:row>1</xdr:row>
          <xdr:rowOff>19050</xdr:rowOff>
        </xdr:from>
        <xdr:to>
          <xdr:col>13</xdr:col>
          <xdr:colOff>38100</xdr:colOff>
          <xdr:row>3</xdr:row>
          <xdr:rowOff>133350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P23"/>
  <sheetViews>
    <sheetView topLeftCell="D1" workbookViewId="0">
      <selection activeCell="P3" sqref="P3"/>
    </sheetView>
  </sheetViews>
  <sheetFormatPr baseColWidth="10" defaultColWidth="11.42578125" defaultRowHeight="15" x14ac:dyDescent="0.25"/>
  <cols>
    <col min="1" max="1" width="11.42578125" style="13"/>
    <col min="2" max="2" width="21.7109375" style="13" bestFit="1" customWidth="1"/>
    <col min="3" max="3" width="4.28515625" style="13" bestFit="1" customWidth="1"/>
    <col min="4" max="4" width="11.42578125" style="14"/>
    <col min="5" max="5" width="21.7109375" style="13" bestFit="1" customWidth="1"/>
    <col min="6" max="6" width="24.7109375" style="13" bestFit="1" customWidth="1"/>
    <col min="7" max="7" width="20" style="13" bestFit="1" customWidth="1"/>
    <col min="8" max="14" width="11.42578125" style="13"/>
    <col min="15" max="15" width="16.5703125" style="13" bestFit="1" customWidth="1"/>
    <col min="16" max="16384" width="11.42578125" style="13"/>
  </cols>
  <sheetData>
    <row r="1" spans="2:16" x14ac:dyDescent="0.25">
      <c r="B1" s="17" t="s">
        <v>36</v>
      </c>
      <c r="C1" s="17" t="s">
        <v>40</v>
      </c>
      <c r="D1" s="18" t="s">
        <v>41</v>
      </c>
      <c r="E1" s="17" t="s">
        <v>43</v>
      </c>
      <c r="F1" s="17" t="s">
        <v>44</v>
      </c>
      <c r="O1" s="17" t="s">
        <v>75</v>
      </c>
    </row>
    <row r="2" spans="2:16" x14ac:dyDescent="0.25">
      <c r="B2" s="13" t="s">
        <v>37</v>
      </c>
      <c r="C2" s="13">
        <v>20</v>
      </c>
      <c r="E2" s="13" t="s">
        <v>37</v>
      </c>
      <c r="O2" s="19" t="s">
        <v>76</v>
      </c>
      <c r="P2" s="13">
        <v>11</v>
      </c>
    </row>
    <row r="3" spans="2:16" x14ac:dyDescent="0.25">
      <c r="B3" s="13" t="s">
        <v>45</v>
      </c>
      <c r="C3" s="13">
        <v>20</v>
      </c>
      <c r="E3" s="13" t="s">
        <v>45</v>
      </c>
      <c r="O3" s="19" t="s">
        <v>16</v>
      </c>
      <c r="P3" s="13">
        <v>2</v>
      </c>
    </row>
    <row r="4" spans="2:16" x14ac:dyDescent="0.25">
      <c r="B4" s="13" t="s">
        <v>46</v>
      </c>
      <c r="C4" s="13">
        <v>20</v>
      </c>
      <c r="E4" s="13" t="s">
        <v>46</v>
      </c>
      <c r="O4" s="19" t="s">
        <v>22</v>
      </c>
      <c r="P4" s="19">
        <v>3</v>
      </c>
    </row>
    <row r="5" spans="2:16" x14ac:dyDescent="0.25">
      <c r="B5" s="13" t="s">
        <v>47</v>
      </c>
      <c r="C5" s="13">
        <v>20</v>
      </c>
      <c r="E5" s="13" t="s">
        <v>47</v>
      </c>
      <c r="O5" s="19" t="s">
        <v>23</v>
      </c>
      <c r="P5" s="19">
        <v>4</v>
      </c>
    </row>
    <row r="6" spans="2:16" x14ac:dyDescent="0.25">
      <c r="B6" s="13" t="s">
        <v>48</v>
      </c>
      <c r="C6" s="13">
        <v>50</v>
      </c>
      <c r="D6" s="14" t="s">
        <v>42</v>
      </c>
      <c r="E6" s="13" t="s">
        <v>48</v>
      </c>
      <c r="F6" s="13" t="s">
        <v>62</v>
      </c>
      <c r="O6" s="19" t="s">
        <v>24</v>
      </c>
      <c r="P6" s="19">
        <v>5</v>
      </c>
    </row>
    <row r="7" spans="2:16" x14ac:dyDescent="0.25">
      <c r="B7" s="13" t="s">
        <v>49</v>
      </c>
      <c r="C7" s="13">
        <v>50</v>
      </c>
      <c r="D7" s="14" t="s">
        <v>42</v>
      </c>
      <c r="E7" s="13" t="s">
        <v>49</v>
      </c>
      <c r="F7" s="13" t="s">
        <v>49</v>
      </c>
      <c r="O7" s="19" t="s">
        <v>25</v>
      </c>
      <c r="P7" s="19">
        <v>6</v>
      </c>
    </row>
    <row r="8" spans="2:16" x14ac:dyDescent="0.25">
      <c r="B8" s="13" t="s">
        <v>1</v>
      </c>
      <c r="C8" s="13">
        <v>80</v>
      </c>
      <c r="D8" s="14" t="s">
        <v>42</v>
      </c>
      <c r="E8" s="13" t="s">
        <v>1</v>
      </c>
      <c r="F8" s="13" t="s">
        <v>1</v>
      </c>
      <c r="O8" s="19" t="s">
        <v>26</v>
      </c>
      <c r="P8" s="19">
        <v>7</v>
      </c>
    </row>
    <row r="9" spans="2:16" x14ac:dyDescent="0.25">
      <c r="B9" s="13" t="s">
        <v>69</v>
      </c>
      <c r="C9" s="13">
        <v>80</v>
      </c>
      <c r="D9" s="14" t="s">
        <v>42</v>
      </c>
      <c r="E9" s="13" t="s">
        <v>38</v>
      </c>
      <c r="F9" s="13" t="s">
        <v>38</v>
      </c>
      <c r="O9" s="19" t="s">
        <v>27</v>
      </c>
      <c r="P9" s="19">
        <v>8</v>
      </c>
    </row>
    <row r="10" spans="2:16" x14ac:dyDescent="0.25">
      <c r="B10" s="13" t="s">
        <v>50</v>
      </c>
      <c r="C10" s="13">
        <v>80</v>
      </c>
      <c r="D10" s="14" t="s">
        <v>42</v>
      </c>
      <c r="E10" s="13" t="s">
        <v>50</v>
      </c>
      <c r="F10" s="13" t="s">
        <v>50</v>
      </c>
      <c r="O10" s="19" t="s">
        <v>28</v>
      </c>
      <c r="P10" s="19">
        <v>9</v>
      </c>
    </row>
    <row r="11" spans="2:16" x14ac:dyDescent="0.25">
      <c r="B11" s="13" t="s">
        <v>51</v>
      </c>
      <c r="C11" s="13">
        <v>150</v>
      </c>
      <c r="D11" s="14" t="s">
        <v>42</v>
      </c>
      <c r="E11" s="13" t="s">
        <v>51</v>
      </c>
      <c r="F11" s="13" t="s">
        <v>51</v>
      </c>
      <c r="O11" s="19" t="s">
        <v>29</v>
      </c>
      <c r="P11" s="19">
        <v>10</v>
      </c>
    </row>
    <row r="12" spans="2:16" x14ac:dyDescent="0.25">
      <c r="B12" s="13" t="s">
        <v>52</v>
      </c>
      <c r="C12" s="13">
        <v>180</v>
      </c>
      <c r="E12" s="13" t="s">
        <v>52</v>
      </c>
    </row>
    <row r="13" spans="2:16" x14ac:dyDescent="0.25">
      <c r="B13" s="13" t="s">
        <v>53</v>
      </c>
      <c r="C13" s="13">
        <v>210</v>
      </c>
      <c r="E13" s="13" t="s">
        <v>53</v>
      </c>
    </row>
    <row r="14" spans="2:16" x14ac:dyDescent="0.25">
      <c r="B14" s="13" t="s">
        <v>54</v>
      </c>
      <c r="C14" s="13">
        <v>240</v>
      </c>
      <c r="E14" s="13" t="s">
        <v>54</v>
      </c>
    </row>
    <row r="15" spans="2:16" x14ac:dyDescent="0.25">
      <c r="B15" s="13" t="s">
        <v>55</v>
      </c>
      <c r="C15" s="13">
        <v>270</v>
      </c>
      <c r="E15" s="13" t="s">
        <v>55</v>
      </c>
    </row>
    <row r="16" spans="2:16" x14ac:dyDescent="0.25">
      <c r="B16" s="13" t="s">
        <v>56</v>
      </c>
      <c r="C16" s="13">
        <v>300</v>
      </c>
      <c r="E16" s="13" t="s">
        <v>56</v>
      </c>
    </row>
    <row r="17" spans="2:6" x14ac:dyDescent="0.25">
      <c r="B17" s="13" t="s">
        <v>57</v>
      </c>
      <c r="C17" s="13">
        <v>120</v>
      </c>
      <c r="E17" s="13" t="s">
        <v>57</v>
      </c>
    </row>
    <row r="18" spans="2:6" x14ac:dyDescent="0.25">
      <c r="B18" s="13" t="s">
        <v>58</v>
      </c>
      <c r="C18" s="13">
        <v>150</v>
      </c>
      <c r="E18" s="13" t="s">
        <v>58</v>
      </c>
    </row>
    <row r="19" spans="2:6" x14ac:dyDescent="0.25">
      <c r="B19" s="13" t="s">
        <v>59</v>
      </c>
      <c r="C19" s="13">
        <v>180</v>
      </c>
      <c r="E19" s="13" t="s">
        <v>59</v>
      </c>
    </row>
    <row r="20" spans="2:6" x14ac:dyDescent="0.25">
      <c r="B20" s="13" t="s">
        <v>60</v>
      </c>
      <c r="C20" s="13">
        <v>210</v>
      </c>
      <c r="E20" s="13" t="s">
        <v>60</v>
      </c>
    </row>
    <row r="21" spans="2:6" x14ac:dyDescent="0.25">
      <c r="B21" s="13" t="s">
        <v>14</v>
      </c>
      <c r="C21" s="13">
        <v>240</v>
      </c>
      <c r="E21" s="13" t="s">
        <v>14</v>
      </c>
    </row>
    <row r="22" spans="2:6" x14ac:dyDescent="0.25">
      <c r="B22" s="13" t="s">
        <v>61</v>
      </c>
      <c r="C22" s="13">
        <v>270</v>
      </c>
      <c r="E22" s="13" t="s">
        <v>61</v>
      </c>
    </row>
    <row r="23" spans="2:6" x14ac:dyDescent="0.25">
      <c r="B23" s="13" t="s">
        <v>17</v>
      </c>
      <c r="C23" s="13">
        <v>300</v>
      </c>
      <c r="D23" s="14" t="s">
        <v>42</v>
      </c>
      <c r="E23" s="13" t="s">
        <v>17</v>
      </c>
      <c r="F23" s="13" t="s">
        <v>63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A1:O7"/>
  <sheetViews>
    <sheetView tabSelected="1" workbookViewId="0">
      <selection activeCell="M13" sqref="M13"/>
    </sheetView>
  </sheetViews>
  <sheetFormatPr baseColWidth="10" defaultColWidth="11.42578125" defaultRowHeight="15" x14ac:dyDescent="0.25"/>
  <sheetData>
    <row r="1" spans="1:15" x14ac:dyDescent="0.25">
      <c r="A1" s="16">
        <f ca="1">TODAY()</f>
        <v>43035</v>
      </c>
    </row>
    <row r="5" spans="1:15" x14ac:dyDescent="0.25">
      <c r="O5" t="s">
        <v>64</v>
      </c>
    </row>
    <row r="7" spans="1:15" x14ac:dyDescent="0.25">
      <c r="O7" t="s">
        <v>65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Synth">
                <anchor moveWithCells="1" sizeWithCells="1">
                  <from>
                    <xdr:col>10</xdr:col>
                    <xdr:colOff>742950</xdr:colOff>
                    <xdr:row>1</xdr:row>
                    <xdr:rowOff>19050</xdr:rowOff>
                  </from>
                  <to>
                    <xdr:col>13</xdr:col>
                    <xdr:colOff>38100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7"/>
  <sheetViews>
    <sheetView zoomScaleNormal="100" workbookViewId="0">
      <pane xSplit="5" ySplit="1" topLeftCell="F3" activePane="bottomRight" state="frozen"/>
      <selection pane="topRight" activeCell="F1" sqref="F1"/>
      <selection pane="bottomLeft" activeCell="A5" sqref="A5"/>
      <selection pane="bottomRight" activeCell="E4" sqref="E4"/>
    </sheetView>
  </sheetViews>
  <sheetFormatPr baseColWidth="10" defaultColWidth="11.42578125" defaultRowHeight="15" x14ac:dyDescent="0.25"/>
  <cols>
    <col min="1" max="4" width="2" style="9" customWidth="1"/>
    <col min="5" max="5" width="38.28515625" style="9" customWidth="1"/>
    <col min="6" max="6" width="11.42578125" style="10"/>
    <col min="7" max="7" width="16.140625" style="10" customWidth="1"/>
    <col min="8" max="9" width="11.42578125" style="10"/>
    <col min="10" max="10" width="11.42578125" style="9"/>
    <col min="11" max="11" width="14.42578125" style="9" customWidth="1"/>
    <col min="12" max="12" width="11.42578125" style="9"/>
    <col min="13" max="13" width="12.140625" style="9" bestFit="1" customWidth="1"/>
    <col min="14" max="14" width="11.42578125" style="9"/>
    <col min="15" max="15" width="11.5703125" style="9" customWidth="1"/>
    <col min="16" max="16" width="11.42578125" style="10"/>
    <col min="17" max="17" width="11.42578125" style="9"/>
    <col min="18" max="21" width="4.42578125" style="9" customWidth="1"/>
    <col min="22" max="22" width="16.5703125" style="9" customWidth="1"/>
    <col min="23" max="16384" width="11.42578125" style="9"/>
  </cols>
  <sheetData>
    <row r="1" spans="1:22" ht="48.75" customHeight="1" x14ac:dyDescent="0.25">
      <c r="A1" s="21">
        <v>43035</v>
      </c>
      <c r="B1" s="1"/>
      <c r="C1" s="1"/>
      <c r="D1" s="1"/>
      <c r="E1" s="2" t="s">
        <v>0</v>
      </c>
      <c r="F1" s="2" t="s">
        <v>6</v>
      </c>
      <c r="G1" s="2" t="s">
        <v>1</v>
      </c>
      <c r="H1" s="2" t="s">
        <v>2</v>
      </c>
      <c r="I1" s="2" t="s">
        <v>3</v>
      </c>
      <c r="J1" s="2" t="s">
        <v>7</v>
      </c>
      <c r="K1" s="2" t="s">
        <v>4</v>
      </c>
      <c r="L1" s="2" t="s">
        <v>8</v>
      </c>
      <c r="M1" s="2" t="s">
        <v>9</v>
      </c>
      <c r="N1" s="2" t="s">
        <v>5</v>
      </c>
      <c r="O1" s="3" t="s">
        <v>11</v>
      </c>
      <c r="P1" s="4" t="s">
        <v>10</v>
      </c>
      <c r="Q1" s="5" t="s">
        <v>15</v>
      </c>
      <c r="R1" s="6" t="s">
        <v>12</v>
      </c>
      <c r="S1" s="7" t="s">
        <v>13</v>
      </c>
      <c r="T1" s="8" t="s">
        <v>14</v>
      </c>
      <c r="U1" s="11" t="s">
        <v>39</v>
      </c>
      <c r="V1" s="12" t="s">
        <v>17</v>
      </c>
    </row>
    <row r="2" spans="1:22" x14ac:dyDescent="0.25">
      <c r="A2" s="9" t="s">
        <v>32</v>
      </c>
      <c r="B2" s="9" t="s">
        <v>33</v>
      </c>
      <c r="C2" s="9" t="s">
        <v>34</v>
      </c>
      <c r="E2" s="9" t="s">
        <v>18</v>
      </c>
      <c r="F2" s="15">
        <v>42461</v>
      </c>
      <c r="G2" s="10" t="str">
        <f>AgeMois(F2)</f>
        <v xml:space="preserve">1 an(s) 6 mois </v>
      </c>
      <c r="H2" s="15">
        <v>42744</v>
      </c>
      <c r="I2" s="15">
        <v>43311</v>
      </c>
      <c r="J2" s="9">
        <f t="shared" ref="J2:J6" si="0">IF(I2="","",I2-$A$1)</f>
        <v>276</v>
      </c>
      <c r="K2" s="9" t="s">
        <v>67</v>
      </c>
      <c r="L2" s="9">
        <v>5</v>
      </c>
      <c r="M2" s="9">
        <v>150</v>
      </c>
      <c r="N2" s="9">
        <v>2</v>
      </c>
      <c r="O2" s="9">
        <v>300</v>
      </c>
      <c r="P2" s="10">
        <v>50</v>
      </c>
      <c r="Q2" s="9">
        <v>50</v>
      </c>
      <c r="T2" s="9" t="s">
        <v>68</v>
      </c>
      <c r="V2" s="9" t="s">
        <v>16</v>
      </c>
    </row>
    <row r="3" spans="1:22" x14ac:dyDescent="0.25">
      <c r="A3" s="9" t="s">
        <v>32</v>
      </c>
      <c r="B3" s="9" t="s">
        <v>33</v>
      </c>
      <c r="C3" s="9" t="s">
        <v>34</v>
      </c>
      <c r="D3" s="9" t="s">
        <v>66</v>
      </c>
      <c r="E3" s="9" t="s">
        <v>19</v>
      </c>
      <c r="F3" s="15">
        <v>42287</v>
      </c>
      <c r="G3" s="10" t="str">
        <f>AgeMois(F3)</f>
        <v xml:space="preserve">2 an(s) 0 mois </v>
      </c>
      <c r="H3" s="15">
        <v>42378</v>
      </c>
      <c r="I3" s="15">
        <v>43107</v>
      </c>
      <c r="J3" s="9">
        <f t="shared" si="0"/>
        <v>72</v>
      </c>
      <c r="K3" s="9" t="s">
        <v>67</v>
      </c>
      <c r="L3" s="9">
        <v>4</v>
      </c>
      <c r="M3" s="9">
        <v>200</v>
      </c>
      <c r="N3" s="9">
        <v>1.5</v>
      </c>
      <c r="O3" s="9">
        <v>300</v>
      </c>
      <c r="P3" s="10" t="s">
        <v>68</v>
      </c>
      <c r="Q3" s="9">
        <v>0</v>
      </c>
      <c r="R3" s="9" t="s">
        <v>68</v>
      </c>
      <c r="V3" s="9" t="s">
        <v>16</v>
      </c>
    </row>
    <row r="4" spans="1:22" x14ac:dyDescent="0.25">
      <c r="A4" s="9" t="s">
        <v>32</v>
      </c>
      <c r="B4" s="9" t="s">
        <v>33</v>
      </c>
      <c r="C4" s="9" t="s">
        <v>34</v>
      </c>
      <c r="D4" s="9" t="s">
        <v>35</v>
      </c>
      <c r="E4" s="9" t="s">
        <v>20</v>
      </c>
      <c r="H4" s="15">
        <v>42744</v>
      </c>
      <c r="I4" s="10" t="s">
        <v>74</v>
      </c>
      <c r="J4" s="9">
        <f t="shared" si="0"/>
        <v>-27</v>
      </c>
      <c r="L4" s="9">
        <v>0</v>
      </c>
      <c r="M4" s="9">
        <v>0</v>
      </c>
      <c r="N4" s="9">
        <v>0</v>
      </c>
      <c r="O4" s="9">
        <v>0</v>
      </c>
      <c r="P4" s="10">
        <v>0</v>
      </c>
      <c r="Q4" s="9">
        <v>0</v>
      </c>
      <c r="V4" s="9" t="s">
        <v>16</v>
      </c>
    </row>
    <row r="5" spans="1:22" x14ac:dyDescent="0.25">
      <c r="E5" s="9" t="s">
        <v>21</v>
      </c>
      <c r="H5" s="15">
        <v>42744</v>
      </c>
      <c r="I5" s="15">
        <v>43311</v>
      </c>
      <c r="J5" s="9">
        <f>IF(I5="","",I5-$A$1)</f>
        <v>276</v>
      </c>
      <c r="L5" s="9">
        <v>5</v>
      </c>
      <c r="M5" s="9">
        <v>0</v>
      </c>
      <c r="N5" s="9">
        <v>0</v>
      </c>
      <c r="O5" s="9">
        <v>0</v>
      </c>
      <c r="P5" s="10">
        <v>0</v>
      </c>
      <c r="V5" s="9" t="s">
        <v>22</v>
      </c>
    </row>
    <row r="6" spans="1:22" x14ac:dyDescent="0.25">
      <c r="A6" s="9" t="s">
        <v>32</v>
      </c>
      <c r="B6" s="9" t="s">
        <v>33</v>
      </c>
      <c r="C6" s="9" t="s">
        <v>34</v>
      </c>
      <c r="D6" s="9" t="s">
        <v>35</v>
      </c>
      <c r="E6" s="9" t="s">
        <v>30</v>
      </c>
      <c r="J6" s="9" t="str">
        <f t="shared" si="0"/>
        <v/>
      </c>
      <c r="L6" s="9">
        <v>5</v>
      </c>
      <c r="M6" s="9">
        <v>0</v>
      </c>
      <c r="N6" s="9">
        <v>0</v>
      </c>
      <c r="O6" s="9">
        <v>0</v>
      </c>
      <c r="P6" s="10">
        <v>0</v>
      </c>
      <c r="Q6" s="9">
        <v>50</v>
      </c>
      <c r="V6" s="9" t="s">
        <v>23</v>
      </c>
    </row>
    <row r="7" spans="1:22" x14ac:dyDescent="0.25">
      <c r="A7" s="9" t="s">
        <v>32</v>
      </c>
      <c r="B7" s="9" t="s">
        <v>33</v>
      </c>
      <c r="C7" s="9" t="s">
        <v>34</v>
      </c>
      <c r="D7" s="9" t="s">
        <v>66</v>
      </c>
      <c r="E7" s="9" t="s">
        <v>31</v>
      </c>
      <c r="F7" s="15">
        <v>42740</v>
      </c>
      <c r="G7" s="10" t="str">
        <f>AgeMois(F7)</f>
        <v xml:space="preserve">0 an(s) 9 mois </v>
      </c>
      <c r="H7" s="15">
        <v>42834</v>
      </c>
      <c r="I7" s="15">
        <v>43035</v>
      </c>
      <c r="J7" s="9">
        <f>IF(I7="","",I7-$A$1)</f>
        <v>0</v>
      </c>
      <c r="K7" s="9" t="s">
        <v>67</v>
      </c>
      <c r="L7" s="9">
        <v>4</v>
      </c>
      <c r="M7" s="9">
        <v>160</v>
      </c>
      <c r="N7" s="9">
        <v>1.5</v>
      </c>
      <c r="O7" s="9">
        <v>240</v>
      </c>
      <c r="P7" s="10">
        <v>50</v>
      </c>
      <c r="Q7" s="9">
        <v>50</v>
      </c>
      <c r="T7" s="9" t="s">
        <v>68</v>
      </c>
      <c r="V7" s="9" t="s">
        <v>24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AK16"/>
  <sheetViews>
    <sheetView topLeftCell="Y1" workbookViewId="0">
      <selection activeCell="AM13" sqref="AM13"/>
    </sheetView>
  </sheetViews>
  <sheetFormatPr baseColWidth="10" defaultColWidth="11.42578125" defaultRowHeight="15" x14ac:dyDescent="0.25"/>
  <cols>
    <col min="1" max="1" width="22.85546875" customWidth="1"/>
    <col min="17" max="17" width="9.85546875" customWidth="1"/>
  </cols>
  <sheetData>
    <row r="1" spans="1:37" x14ac:dyDescent="0.25">
      <c r="B1" t="s">
        <v>71</v>
      </c>
      <c r="C1" t="s">
        <v>72</v>
      </c>
      <c r="D1" t="s">
        <v>73</v>
      </c>
      <c r="E1" t="s">
        <v>77</v>
      </c>
      <c r="F1" t="s">
        <v>78</v>
      </c>
      <c r="G1" t="s">
        <v>79</v>
      </c>
      <c r="H1" t="s">
        <v>73</v>
      </c>
      <c r="I1" t="s">
        <v>80</v>
      </c>
      <c r="J1" t="s">
        <v>73</v>
      </c>
      <c r="K1" t="s">
        <v>81</v>
      </c>
      <c r="L1" t="s">
        <v>73</v>
      </c>
      <c r="M1" t="s">
        <v>39</v>
      </c>
      <c r="N1" t="s">
        <v>73</v>
      </c>
      <c r="O1" t="s">
        <v>82</v>
      </c>
      <c r="P1" t="s">
        <v>83</v>
      </c>
      <c r="Q1" t="s">
        <v>94</v>
      </c>
      <c r="R1" t="s">
        <v>95</v>
      </c>
      <c r="S1" t="s">
        <v>96</v>
      </c>
      <c r="T1" t="s">
        <v>84</v>
      </c>
      <c r="U1" t="s">
        <v>85</v>
      </c>
      <c r="V1" t="s">
        <v>86</v>
      </c>
      <c r="W1" t="s">
        <v>87</v>
      </c>
      <c r="X1" t="s">
        <v>88</v>
      </c>
      <c r="Y1" t="s">
        <v>89</v>
      </c>
      <c r="Z1" t="s">
        <v>90</v>
      </c>
      <c r="AA1" t="s">
        <v>88</v>
      </c>
      <c r="AB1" t="s">
        <v>89</v>
      </c>
      <c r="AC1" t="s">
        <v>91</v>
      </c>
      <c r="AD1" t="s">
        <v>88</v>
      </c>
      <c r="AE1" t="s">
        <v>89</v>
      </c>
      <c r="AF1" t="s">
        <v>92</v>
      </c>
      <c r="AG1" t="s">
        <v>88</v>
      </c>
      <c r="AH1" t="s">
        <v>89</v>
      </c>
      <c r="AI1" t="s">
        <v>93</v>
      </c>
      <c r="AJ1" t="s">
        <v>88</v>
      </c>
      <c r="AK1" t="s">
        <v>89</v>
      </c>
    </row>
    <row r="2" spans="1:37" x14ac:dyDescent="0.25">
      <c r="A2" t="s">
        <v>16</v>
      </c>
      <c r="B2">
        <f>COUNTIFS(Base!V:V,"ETABLISSEMENT 1")</f>
        <v>3</v>
      </c>
      <c r="C2">
        <f>COUNTIFS(Base!V:V,"ETABLISSEMENT 1",Base!J:J,"0")</f>
        <v>0</v>
      </c>
      <c r="D2">
        <f>B2-C2</f>
        <v>3</v>
      </c>
      <c r="E2">
        <f>COUNTIFS(Base!V:V,"ETABLISSEMENT 1",Base!D:D,"D")</f>
        <v>1</v>
      </c>
      <c r="F2">
        <f>COUNTIFS(Base!V:V,"ETABLISSEMENT 1",Base!D:D,"F")</f>
        <v>1</v>
      </c>
      <c r="G2">
        <f>COUNTIFS(Base!V:V,"ETABLISSEMENT 1",Base!R:R,"X")</f>
        <v>1</v>
      </c>
      <c r="H2">
        <f>COUNTIFS(Base!V:V,"ETABLISSEMENT 1",Base!R:R,"X",Base!L:L,"&gt;0")</f>
        <v>1</v>
      </c>
      <c r="I2">
        <f>COUNTIFS(Base!V:V,"ETABLISSEMENT 1",Base!S:S,"X")</f>
        <v>0</v>
      </c>
      <c r="J2">
        <f>COUNTIFS(Base!V:V,"ETABLISSEMENT 1",Base!S:S,"X",Base!J:J,"&gt;0")</f>
        <v>0</v>
      </c>
      <c r="K2">
        <f>COUNTIFS(Base!V:V,"ETABLISSEMENT 1",Base!T:T,"X")</f>
        <v>1</v>
      </c>
      <c r="L2">
        <f>COUNTIFS(Base!V:V,"ETABLISSEMENT 1",Base!T:T,"X",Base!J:J,"&gt;0")</f>
        <v>1</v>
      </c>
      <c r="M2">
        <f>COUNTIFS(Base!V:V,"ETABLISSEMENT 1",Base!U:U,"X")</f>
        <v>0</v>
      </c>
      <c r="N2">
        <f>COUNTIFS(Base!V:V,"ETABLISSEMENT 1",Base!U:U,"X",Base!J:J,"&gt;0")</f>
        <v>0</v>
      </c>
      <c r="O2">
        <f>SUMIFS(Base!P:P,Base!V:V,"ETABLISSEMENT 1")</f>
        <v>50</v>
      </c>
      <c r="P2">
        <f>SUMIFS(Base!Q:Q,Base!V:V,"ETABLISSEMENT 1")</f>
        <v>50</v>
      </c>
      <c r="Q2">
        <f>COUNTIFS(Base!V:V,"ETABLISSEMENT 1",Base!Q:Q,"",Base!J:J,"&gt;0")</f>
        <v>0</v>
      </c>
      <c r="R2">
        <f>COUNTIFS(Base!V:V,"ETABLISSEMENT 1",Base!D:D,"D")</f>
        <v>1</v>
      </c>
      <c r="S2">
        <f>COUNTIFS(Base!V:V,"ETABLISSEMENT 1",Base!Q:Q,"",Base!J:J,"0")</f>
        <v>0</v>
      </c>
      <c r="T2">
        <f>COUNTIFS(Base!V:V,"ETABLISSEMENT 1",Base!K:K,"REGULIER",Base!J:J,"&gt;0")</f>
        <v>2</v>
      </c>
      <c r="U2">
        <f>COUNTIFS(Base!V:V,"ETABLISSEMENT 1",Base!K:K,"PERISCOLAIRE",Base!J:J,"&gt;0")</f>
        <v>0</v>
      </c>
      <c r="V2">
        <f>COUNTIFS(Base!V:V,"ETABLISSEMENT 1",Base!K:K,"OCCASIONNEL",Base!J:J,"&gt;0")</f>
        <v>0</v>
      </c>
      <c r="W2">
        <f>COUNTIFS(Base!V:V,"ETABLISSEMENT 1",Base!L:L,"1",Base!J:J,"&gt;0")</f>
        <v>0</v>
      </c>
      <c r="X2">
        <f>SUMIFS(Base!M:M,Base!V:V,"ETABLISSEMENT 1",Base!L:L,"1",Base!J:J,"&gt;0")</f>
        <v>0</v>
      </c>
      <c r="Y2">
        <f>SUMIFS(Base!O:O,Base!V:V,"ETABLISSEMENT 1",Base!L:L,"1",Base!J:J,"&gt;0")</f>
        <v>0</v>
      </c>
      <c r="Z2">
        <f>COUNTIFS(Base!V:V,"ETABLISSEMENT 1",Base!L:L,"2",Base!J:J,"&gt;0")</f>
        <v>0</v>
      </c>
      <c r="AA2">
        <f>SUMIFS(Base!M:M,Base!V:V,"ETABLISSEMENT 1",Base!L:L,"2",Base!J:J,"&gt;0")</f>
        <v>0</v>
      </c>
      <c r="AB2">
        <f>SUMIFS(Base!O:O,Base!V:V,"ETABLISSEMENT 1",Base!L:L,"2",Base!J:J,"&gt;0")</f>
        <v>0</v>
      </c>
      <c r="AC2">
        <f>COUNTIFS(Base!V:V,"ETABLISSEMENT 1",Base!L:L,"3",Base!J:J,"&gt;0")</f>
        <v>0</v>
      </c>
      <c r="AD2">
        <f>SUMIFS(Base!M:M,Base!V:V,"ETABLISSEMENT 1",Base!L:L,"3",Base!J:J,"&gt;0")</f>
        <v>0</v>
      </c>
      <c r="AE2">
        <f>SUMIFS(Base!O:O,Base!V:V,"ETABLISSEMENT 1",Base!L:L,"3",Base!J:J,"&gt;0")</f>
        <v>0</v>
      </c>
      <c r="AF2">
        <f>COUNTIFS(Base!V:V,"ETABLISSEMENT 1",Base!L:L,"4",Base!J:J,"&gt;0")</f>
        <v>1</v>
      </c>
      <c r="AG2">
        <f>SUMIFS(Base!M:M,Base!V:V,"ETABLISSEMENT 1",Base!L:L,"4",Base!J:J,"&gt;0")</f>
        <v>200</v>
      </c>
      <c r="AH2">
        <f>SUMIFS(Base!O:O,Base!V:V,"ETABLISSEMENT 1",Base!L:L,"4",Base!J:J,"&gt;0")</f>
        <v>300</v>
      </c>
      <c r="AI2">
        <f>COUNTIFS(Base!V:V,"ETABLISSEMENT 1",Base!L:L,"5",Base!J:J,"&gt;0")</f>
        <v>1</v>
      </c>
      <c r="AJ2">
        <f>SUMIFS(Base!M:M,Base!V:V,"ETABLISSEMENT 1",Base!L:L,"5",Base!J:J,"&gt;0")</f>
        <v>150</v>
      </c>
      <c r="AK2">
        <f>SUMIFS(Base!O:O,Base!V:V,"ETABLISSEMENT 1",Base!L:L,"5",Base!J:J,"&gt;0")</f>
        <v>300</v>
      </c>
    </row>
    <row r="3" spans="1:37" x14ac:dyDescent="0.25">
      <c r="A3" t="s">
        <v>22</v>
      </c>
      <c r="B3">
        <f>COUNTIFS(Base!V:V,"ETABLISSEMENT 2")</f>
        <v>1</v>
      </c>
      <c r="C3">
        <f>COUNTIFS(Base!V:V,"ETABLISSEMENT 2",Base!J:J,"0")</f>
        <v>0</v>
      </c>
      <c r="D3">
        <f t="shared" ref="D3:D10" si="0">B3-C3</f>
        <v>1</v>
      </c>
      <c r="E3">
        <f>COUNTIFS(Base!V:V,"ETABLISSEMENT 2",Base!D:D,"D")</f>
        <v>0</v>
      </c>
      <c r="F3">
        <f>COUNTIFS(Base!V:V,"ETABLISSEMENT 2",Base!D:D,"F")</f>
        <v>0</v>
      </c>
      <c r="G3">
        <f>COUNTIFS(Base!V:V,"ETABLISSEMENT 2",Base!R:R,"X")</f>
        <v>0</v>
      </c>
      <c r="H3">
        <f>COUNTIFS(Base!V:V,"ETABLISSEMENT 2",Base!R:R,"X",Base!L:L,"&gt;0")</f>
        <v>0</v>
      </c>
      <c r="I3">
        <f>COUNTIFS(Base!V:V,"ETABLISSEMENT 2",Base!S:S,"X")</f>
        <v>0</v>
      </c>
      <c r="J3">
        <f>COUNTIFS(Base!V:V,"ETABLISSEMENT 2",Base!S:S,"X",Base!J:J,"&gt;0")</f>
        <v>0</v>
      </c>
      <c r="K3">
        <f>COUNTIFS(Base!V:V,"ETABLISSEMENT 2",Base!T:T,"X")</f>
        <v>0</v>
      </c>
      <c r="L3">
        <f>COUNTIFS(Base!V:V,"ETABLISSEMENT 2",Base!T:T,"X",Base!J:J,"&gt;0")</f>
        <v>0</v>
      </c>
      <c r="M3">
        <f>COUNTIFS(Base!V:V,"ETABLISSEMENT 2",Base!U:U,"X")</f>
        <v>0</v>
      </c>
      <c r="N3">
        <f>COUNTIFS(Base!V:V,"ETABLISSEMENT 2",Base!U:U,"X",Base!J:J,"&gt;0")</f>
        <v>0</v>
      </c>
      <c r="O3">
        <f>SUMIFS(Base!P:P,Base!V:V,"ETABLISSEMENT 2")</f>
        <v>0</v>
      </c>
      <c r="P3">
        <f>SUMIFS(Base!Q:Q,Base!V:V,"ETABLISSEMENT 2")</f>
        <v>0</v>
      </c>
      <c r="Q3">
        <f>COUNTIFS(Base!V:V,"ETABLISSEMENT 2",Base!Q:Q,"",Base!J:J,"&gt;0")</f>
        <v>1</v>
      </c>
      <c r="R3">
        <f>COUNTIFS(Base!V:V,"ETABLISSEMENT 2",Base!D:D,"D")</f>
        <v>0</v>
      </c>
      <c r="S3">
        <f>COUNTIFS(Base!V:V,"ETABLISSEMENT 2",Base!Q:Q,"",Base!J:J,"0")</f>
        <v>0</v>
      </c>
      <c r="T3">
        <f>COUNTIFS(Base!V:V,"ETABLISSEMENT 2",Base!K:K,"REGULIER",Base!J:J,"&gt;0")</f>
        <v>0</v>
      </c>
      <c r="U3">
        <f>COUNTIFS(Base!V:V,"ETABLISSEMENT 2",Base!K:K,"PERISCOLAIRE",Base!J:J,"&gt;0")</f>
        <v>0</v>
      </c>
      <c r="V3">
        <f>COUNTIFS(Base!V:V,"ETABLISSEMENT 2",Base!K:K,"OCCASIONNEL",Base!J:J,"&gt;0")</f>
        <v>0</v>
      </c>
      <c r="W3">
        <f>COUNTIFS(Base!V:V,"ETABLISSEMENT 2",Base!L:L,"1",Base!J:J,"&gt;0")</f>
        <v>0</v>
      </c>
      <c r="X3">
        <f>SUMIFS(Base!M:M,Base!V:V,"ETABLISSEMENT 2",Base!L:L,"1",Base!J:J,"&gt;0")</f>
        <v>0</v>
      </c>
      <c r="Y3">
        <f>SUMIFS(Base!O:O,Base!V:V,"ETABLISSEMENT 2",Base!L:L,"1",Base!J:J,"&gt;0")</f>
        <v>0</v>
      </c>
      <c r="Z3">
        <f>COUNTIFS(Base!V:V,"ETABLISSEMENT 2",Base!L:L,"2",Base!J:J,"&gt;0")</f>
        <v>0</v>
      </c>
      <c r="AA3">
        <f>SUMIFS(Base!M:M,Base!V:V,"ETABLISSEMENT 2",Base!L:L,"2",Base!J:J,"&gt;0")</f>
        <v>0</v>
      </c>
      <c r="AB3">
        <f>SUMIFS(Base!O:O,Base!V:V,"ETABLISSEMENT 2",Base!L:L,"2",Base!J:J,"&gt;0")</f>
        <v>0</v>
      </c>
      <c r="AC3">
        <f>COUNTIFS(Base!V:V,"ETABLISSEMENT 2",Base!L:L,"3",Base!J:J,"&gt;0")</f>
        <v>0</v>
      </c>
      <c r="AD3">
        <f>SUMIFS(Base!M:M,Base!V:V,"ETABLISSEMENT 2",Base!L:L,"3",Base!J:J,"&gt;0")</f>
        <v>0</v>
      </c>
      <c r="AE3">
        <f>SUMIFS(Base!O:O,Base!V:V,"ETABLISSEMENT 2",Base!L:L,"3",Base!J:J,"&gt;0")</f>
        <v>0</v>
      </c>
      <c r="AF3">
        <f>COUNTIFS(Base!V:V,"ETABLISSEMENT 2",Base!L:L,"4",Base!J:J,"&gt;0")</f>
        <v>0</v>
      </c>
      <c r="AG3">
        <f>SUMIFS(Base!M:M,Base!V:V,"ETABLISSEMENT 2",Base!L:L,"4",Base!J:J,"&gt;0")</f>
        <v>0</v>
      </c>
      <c r="AH3">
        <f>SUMIFS(Base!O:O,Base!V:V,"ETABLISSEMENT 2",Base!L:L,"4",Base!J:J,"&gt;0")</f>
        <v>0</v>
      </c>
      <c r="AI3">
        <f>COUNTIFS(Base!V:V,"ETABLISSEMENT 2",Base!L:L,"5",Base!J:J,"&gt;0")</f>
        <v>1</v>
      </c>
      <c r="AJ3">
        <f>SUMIFS(Base!M:M,Base!V:V,"ETABLISSEMENT 2",Base!L:L,"5",Base!J:J,"&gt;0")</f>
        <v>0</v>
      </c>
      <c r="AK3">
        <f>SUMIFS(Base!O:O,Base!V:V,"ETABLISSEMENT 2",Base!L:L,"5",Base!J:J,"&gt;0")</f>
        <v>0</v>
      </c>
    </row>
    <row r="4" spans="1:37" x14ac:dyDescent="0.25">
      <c r="A4" t="s">
        <v>23</v>
      </c>
      <c r="B4">
        <f>COUNTIFS(Base!V:V,"ETABLISSEMENT 3")</f>
        <v>1</v>
      </c>
      <c r="C4">
        <f>COUNTIFS(Base!V:V,"ETABLISSEMENT 3",Base!J:J,"0")</f>
        <v>0</v>
      </c>
      <c r="D4">
        <f t="shared" si="0"/>
        <v>1</v>
      </c>
      <c r="E4">
        <f>COUNTIFS(Base!V:V,"ETABLISSEMENT 3",Base!D:D,"D")</f>
        <v>1</v>
      </c>
      <c r="F4">
        <f>COUNTIFS(Base!V:V,"ETABLISSEMENT 3",Base!D:D,"F")</f>
        <v>0</v>
      </c>
      <c r="G4">
        <f>COUNTIFS(Base!V:V,"ETABLISSEMENT 3",Base!R:R,"X")</f>
        <v>0</v>
      </c>
      <c r="H4">
        <f>COUNTIFS(Base!V:V,"ETABLISSEMENT 3",Base!R:R,"X",Base!L:L,"&gt;0")</f>
        <v>0</v>
      </c>
      <c r="I4">
        <f>COUNTIFS(Base!V:V,"ETABLISSEMENT 3",Base!S:S,"X")</f>
        <v>0</v>
      </c>
      <c r="J4">
        <f>COUNTIFS(Base!V:V,"ETABLISSEMENT 3",Base!S:S,"X",Base!J:J,"&gt;0")</f>
        <v>0</v>
      </c>
      <c r="K4">
        <f>COUNTIFS(Base!V:V,"ETABLISSEMENT 3",Base!T:T,"X")</f>
        <v>0</v>
      </c>
      <c r="L4">
        <f>COUNTIFS(Base!V:V,"ETABLISSEMENT 3",Base!T:T,"X",Base!J:J,"&gt;0")</f>
        <v>0</v>
      </c>
      <c r="M4">
        <f>COUNTIFS(Base!V:V,"ETABLISSEMENT 3",Base!U:U,"X")</f>
        <v>0</v>
      </c>
      <c r="N4">
        <f>COUNTIFS(Base!V:V,"ETABLISSEMENT 3",Base!U:U,"X",Base!J:J,"&gt;0")</f>
        <v>0</v>
      </c>
      <c r="O4">
        <f>SUMIFS(Base!P:P,Base!V:V,"ETABLISSEMENT 3")</f>
        <v>0</v>
      </c>
      <c r="P4">
        <f>SUMIFS(Base!Q:Q,Base!V:V,"ETABLISSEMENT 3")</f>
        <v>50</v>
      </c>
      <c r="Q4">
        <f>COUNTIFS(Base!V:V,"ETABLISSEMENT 3",Base!Q:Q,"",Base!J:J,"&gt;0")</f>
        <v>0</v>
      </c>
      <c r="R4">
        <f>COUNTIFS(Base!V:V,"ETABLISSEMENT 3",Base!D:D,"D")</f>
        <v>1</v>
      </c>
      <c r="S4">
        <f>COUNTIFS(Base!V:V,"ETABLISSEMENT 3",Base!Q:Q,"",Base!J:J,"0")</f>
        <v>0</v>
      </c>
      <c r="T4">
        <f>COUNTIFS(Base!V:V,"ETABLISSEMENT 3",Base!K:K,"REGULIER",Base!J:J,"&gt;0")</f>
        <v>0</v>
      </c>
      <c r="U4">
        <f>COUNTIFS(Base!V:V,"ETABLISSEMENT 3",Base!K:K,"PERISCOLAIRE",Base!J:J,"&gt;0")</f>
        <v>0</v>
      </c>
      <c r="V4">
        <f>COUNTIFS(Base!V:V,"ETABLISSEMENT 3",Base!K:K,"OCCASIONNEL",Base!J:J,"&gt;0")</f>
        <v>0</v>
      </c>
      <c r="W4">
        <f>COUNTIFS(Base!V:V,"ETABLISSEMENT 3",Base!L:L,"1",Base!J:J,"&gt;0")</f>
        <v>0</v>
      </c>
      <c r="X4">
        <f>SUMIFS(Base!M:M,Base!V:V,"ETABLISSEMENT 3",Base!L:L,"1",Base!J:J,"&gt;0")</f>
        <v>0</v>
      </c>
      <c r="Y4">
        <f>SUMIFS(Base!O:O,Base!V:V,"ETABLISSEMENT 3",Base!L:L,"1",Base!J:J,"&gt;0")</f>
        <v>0</v>
      </c>
      <c r="Z4">
        <f>COUNTIFS(Base!V:V,"ETABLISSEMENT 3",Base!L:L,"2",Base!J:J,"&gt;0")</f>
        <v>0</v>
      </c>
      <c r="AA4">
        <f>SUMIFS(Base!M:M,Base!V:V,"ETABLISSEMENT 3",Base!L:L,"2",Base!J:J,"&gt;0")</f>
        <v>0</v>
      </c>
      <c r="AB4">
        <f>SUMIFS(Base!O:O,Base!V:V,"ETABLISSEMENT 3",Base!L:L,"2",Base!J:J,"&gt;0")</f>
        <v>0</v>
      </c>
      <c r="AC4">
        <f>COUNTIFS(Base!V:V,"ETABLISSEMENT 3",Base!L:L,"3",Base!J:J,"&gt;0")</f>
        <v>0</v>
      </c>
      <c r="AD4">
        <f>SUMIFS(Base!M:M,Base!V:V,"ETABLISSEMENT 3",Base!L:L,"3",Base!J:J,"&gt;0")</f>
        <v>0</v>
      </c>
      <c r="AE4">
        <f>SUMIFS(Base!O:O,Base!V:V,"ETABLISSEMENT 3",Base!L:L,"3",Base!J:J,"&gt;0")</f>
        <v>0</v>
      </c>
      <c r="AF4">
        <f>COUNTIFS(Base!V:V,"ETABLISSEMENT 3",Base!L:L,"4",Base!J:J,"&gt;0")</f>
        <v>0</v>
      </c>
      <c r="AG4">
        <f>SUMIFS(Base!M:M,Base!V:V,"ETABLISSEMENT 3",Base!L:L,"4",Base!J:J,"&gt;0")</f>
        <v>0</v>
      </c>
      <c r="AH4">
        <f>SUMIFS(Base!O:O,Base!V:V,"ETABLISSEMENT 3",Base!L:L,"4",Base!J:J,"&gt;0")</f>
        <v>0</v>
      </c>
      <c r="AI4">
        <f>COUNTIFS(Base!V:V,"ETABLISSEMENT 3",Base!L:L,"5",Base!J:J,"&gt;0")</f>
        <v>0</v>
      </c>
      <c r="AJ4">
        <f>SUMIFS(Base!M:M,Base!V:V,"ETABLISSEMENT 3",Base!L:L,"5",Base!J:J,"&gt;0")</f>
        <v>0</v>
      </c>
      <c r="AK4">
        <f>SUMIFS(Base!O:O,Base!V:V,"ETABLISSEMENT 3",Base!L:L,"5",Base!J:J,"&gt;0")</f>
        <v>0</v>
      </c>
    </row>
    <row r="5" spans="1:37" x14ac:dyDescent="0.25">
      <c r="A5" t="s">
        <v>24</v>
      </c>
      <c r="B5">
        <f>COUNTIFS(Base!V:V,"ETABLISSEMENT 4")</f>
        <v>1</v>
      </c>
      <c r="C5">
        <f>COUNTIFS(Base!V:V,"ETABLISSEMENT 4",Base!J:J,"0")</f>
        <v>1</v>
      </c>
      <c r="D5">
        <f t="shared" si="0"/>
        <v>0</v>
      </c>
      <c r="E5">
        <f>COUNTIFS(Base!V:V,"ETABLISSEMENT 4",Base!D:D,"D")</f>
        <v>0</v>
      </c>
      <c r="F5">
        <f>COUNTIFS(Base!V:V,"ETABLISSEMENT 4",Base!D:D,"F")</f>
        <v>1</v>
      </c>
      <c r="G5">
        <f>COUNTIFS(Base!V:V,"ETABLISSEMENT 4",Base!R:R,"X")</f>
        <v>0</v>
      </c>
      <c r="H5">
        <f>COUNTIFS(Base!V:V,"ETABLISSEMENT 4",Base!R:R,"X",Base!L:L,"&gt;0")</f>
        <v>0</v>
      </c>
      <c r="I5">
        <f>COUNTIFS(Base!V:V,"ETABLISSEMENT 4",Base!S:S,"X")</f>
        <v>0</v>
      </c>
      <c r="J5">
        <f>COUNTIFS(Base!V:V,"ETABLISSEMENT 4",Base!S:S,"X",Base!J:J,"&gt;0")</f>
        <v>0</v>
      </c>
      <c r="K5">
        <f>COUNTIFS(Base!V:V,"ETABLISSEMENT 4",Base!T:T,"X")</f>
        <v>1</v>
      </c>
      <c r="L5">
        <f>COUNTIFS(Base!V:V,"ETABLISSEMENT 4",Base!T:T,"X",Base!J:J,"&gt;0")</f>
        <v>0</v>
      </c>
      <c r="M5">
        <f>COUNTIFS(Base!V:V,"ETABLISSEMENT 4",Base!U:U,"X")</f>
        <v>0</v>
      </c>
      <c r="N5">
        <f>COUNTIFS(Base!V:V,"ETABLISSEMENT 4",Base!U:U,"X",Base!J:J,"&gt;0")</f>
        <v>0</v>
      </c>
      <c r="O5">
        <f>SUMIFS(Base!P:P,Base!V:V,"ETABLISSEMENT 4")</f>
        <v>50</v>
      </c>
      <c r="P5">
        <f>SUMIFS(Base!Q:Q,Base!V:V,"ETABLISSEMENT 4")</f>
        <v>50</v>
      </c>
      <c r="Q5">
        <f>COUNTIFS(Base!V:V,"ETABLISSEMENT 4",Base!Q:Q,"",Base!J:J,"&gt;0")</f>
        <v>0</v>
      </c>
      <c r="R5">
        <f>COUNTIFS(Base!V:V,"ETABLISSEMENT 4",Base!D:D,"D")</f>
        <v>0</v>
      </c>
      <c r="S5">
        <f>COUNTIFS(Base!V:V,"ETABLISSEMENT 4",Base!Q:Q,"",Base!J:J,"0")</f>
        <v>0</v>
      </c>
      <c r="T5">
        <f>COUNTIFS(Base!V:V,"ETABLISSEMENT 4",Base!K:K,"REGULIER",Base!J:J,"&gt;0")</f>
        <v>0</v>
      </c>
      <c r="U5">
        <f>COUNTIFS(Base!V:V,"ETABLISSEMENT 4",Base!K:K,"PERISCOLAIRE",Base!J:J,"&gt;0")</f>
        <v>0</v>
      </c>
      <c r="V5">
        <f>COUNTIFS(Base!V:V,"ETABLISSEMENT 4",Base!K:K,"OCCASIONNEL",Base!J:J,"&gt;0")</f>
        <v>0</v>
      </c>
      <c r="W5">
        <f>COUNTIFS(Base!V:V,"ETABLISSEMENT 4",Base!L:L,"1",Base!J:J,"&gt;0")</f>
        <v>0</v>
      </c>
      <c r="X5">
        <f>SUMIFS(Base!M:M,Base!V:V,"ETABLISSEMENT 4",Base!L:L,"1",Base!J:J,"&gt;0")</f>
        <v>0</v>
      </c>
      <c r="Y5">
        <f>SUMIFS(Base!O:O,Base!V:V,"ETABLISSEMENT 4",Base!L:L,"1",Base!J:J,"&gt;0")</f>
        <v>0</v>
      </c>
      <c r="Z5">
        <f>COUNTIFS(Base!V:V,"ETABLISSEMENT 4",Base!L:L,"2",Base!J:J,"&gt;0")</f>
        <v>0</v>
      </c>
      <c r="AA5">
        <f>SUMIFS(Base!M:M,Base!V:V,"ETABLISSEMENT 4",Base!L:L,"2",Base!J:J,"&gt;0")</f>
        <v>0</v>
      </c>
      <c r="AB5">
        <f>SUMIFS(Base!O:O,Base!V:V,"ETABLISSEMENT 4",Base!L:L,"2",Base!J:J,"&gt;0")</f>
        <v>0</v>
      </c>
      <c r="AC5">
        <f>COUNTIFS(Base!V:V,"ETABLISSEMENT 4",Base!L:L,"3",Base!J:J,"&gt;0")</f>
        <v>0</v>
      </c>
      <c r="AD5">
        <f>SUMIFS(Base!M:M,Base!V:V,"ETABLISSEMENT 4",Base!L:L,"3",Base!J:J,"&gt;0")</f>
        <v>0</v>
      </c>
      <c r="AE5">
        <f>SUMIFS(Base!O:O,Base!V:V,"ETABLISSEMENT 4",Base!L:L,"3",Base!J:J,"&gt;0")</f>
        <v>0</v>
      </c>
      <c r="AF5">
        <f>COUNTIFS(Base!V:V,"ETABLISSEMENT 4",Base!L:L,"4",Base!J:J,"&gt;0")</f>
        <v>0</v>
      </c>
      <c r="AG5">
        <f>SUMIFS(Base!M:M,Base!V:V,"ETABLISSEMENT 4",Base!L:L,"4",Base!J:J,"&gt;0")</f>
        <v>0</v>
      </c>
      <c r="AH5">
        <f>SUMIFS(Base!O:O,Base!V:V,"ETABLISSEMENT 4",Base!L:L,"4",Base!J:J,"&gt;0")</f>
        <v>0</v>
      </c>
      <c r="AI5">
        <f>COUNTIFS(Base!V:V,"ETABLISSEMENT 4",Base!L:L,"5",Base!J:J,"&gt;0")</f>
        <v>0</v>
      </c>
      <c r="AJ5">
        <f>SUMIFS(Base!M:M,Base!V:V,"ETABLISSEMENT 4",Base!L:L,"5",Base!J:J,"&gt;0")</f>
        <v>0</v>
      </c>
      <c r="AK5">
        <f>SUMIFS(Base!O:O,Base!V:V,"ETABLISSEMENT 4",Base!L:L,"5",Base!J:J,"&gt;0")</f>
        <v>0</v>
      </c>
    </row>
    <row r="6" spans="1:37" x14ac:dyDescent="0.25">
      <c r="A6" t="s">
        <v>25</v>
      </c>
      <c r="B6">
        <f>COUNTIFS(Base!V:V,"ETABLISSEMENT 5")</f>
        <v>0</v>
      </c>
      <c r="C6">
        <f>COUNTIFS(Base!V:V,"ETABLISSEMENT 5",Base!J:J,"0")</f>
        <v>0</v>
      </c>
      <c r="D6">
        <f t="shared" si="0"/>
        <v>0</v>
      </c>
      <c r="E6">
        <f>COUNTIFS(Base!V:V,"ETABLISSEMENT 5",Base!D:D,"D")</f>
        <v>0</v>
      </c>
      <c r="F6">
        <f>COUNTIFS(Base!V:V,"ETABLISSEMENT 5",Base!D:D,"F")</f>
        <v>0</v>
      </c>
      <c r="G6">
        <f>COUNTIFS(Base!V:V,"ETABLISSEMENT 5",Base!R:R,"X")</f>
        <v>0</v>
      </c>
      <c r="H6">
        <f>COUNTIFS(Base!V:V,"ETABLISSEMENT 5",Base!R:R,"X",Base!L:L,"&gt;0")</f>
        <v>0</v>
      </c>
      <c r="I6">
        <f>COUNTIFS(Base!V:V,"ETABLISSEMENT 5",Base!S:S,"X")</f>
        <v>0</v>
      </c>
      <c r="J6">
        <f>COUNTIFS(Base!V:V,"ETABLISSEMENT 5",Base!S:S,"X",Base!J:J,"&gt;0")</f>
        <v>0</v>
      </c>
      <c r="K6">
        <f>COUNTIFS(Base!V:V,"ETABLISSEMENT 5",Base!T:T,"X")</f>
        <v>0</v>
      </c>
      <c r="L6">
        <f>COUNTIFS(Base!V:V,"ETABLISSEMENT 5",Base!T:T,"X",Base!J:J,"&gt;0")</f>
        <v>0</v>
      </c>
      <c r="M6">
        <f>COUNTIFS(Base!V:V,"ETABLISSEMENT 5",Base!U:U,"X")</f>
        <v>0</v>
      </c>
      <c r="N6">
        <f>COUNTIFS(Base!V:V,"ETABLISSEMENT 5",Base!U:U,"X",Base!J:J,"&gt;0")</f>
        <v>0</v>
      </c>
      <c r="O6">
        <f>SUMIFS(Base!P:P,Base!V:V,"ETABLISSEMENT 5")</f>
        <v>0</v>
      </c>
      <c r="P6">
        <f>SUMIFS(Base!Q:Q,Base!V:V,"ETABLISSEMENT 5")</f>
        <v>0</v>
      </c>
      <c r="Q6">
        <f>COUNTIFS(Base!V:V,"ETABLISSEMENT 5",Base!Q:Q,"",Base!J:J,"&gt;0")</f>
        <v>0</v>
      </c>
      <c r="R6">
        <f>COUNTIFS(Base!V:V,"ETABLISSEMENT 5",Base!D:D,"D")</f>
        <v>0</v>
      </c>
      <c r="S6">
        <f>COUNTIFS(Base!V:V,"ETABLISSEMENT 5",Base!Q:Q,"",Base!J:J,"0")</f>
        <v>0</v>
      </c>
      <c r="T6">
        <f>COUNTIFS(Base!V:V,"ETABLISSEMENT 5",Base!K:K,"REGULIER",Base!J:J,"&gt;0")</f>
        <v>0</v>
      </c>
      <c r="U6">
        <f>COUNTIFS(Base!V:V,"ETABLISSEMENT 5",Base!K:K,"PERISCOLAIRE",Base!J:J,"&gt;0")</f>
        <v>0</v>
      </c>
      <c r="V6">
        <f>COUNTIFS(Base!V:V,"ETABLISSEMENT 5",Base!K:K,"OCCASIONNEL",Base!J:J,"&gt;0")</f>
        <v>0</v>
      </c>
      <c r="W6">
        <f>COUNTIFS(Base!V:V,"ETABLISSEMENT 5",Base!L:L,"1",Base!J:J,"&gt;0")</f>
        <v>0</v>
      </c>
      <c r="X6">
        <f>SUMIFS(Base!M:M,Base!V:V,"ETABLISSEMENT 5",Base!L:L,"1",Base!J:J,"&gt;0")</f>
        <v>0</v>
      </c>
      <c r="Y6">
        <f>SUMIFS(Base!O:O,Base!V:V,"ETABLISSEMENT 5",Base!L:L,"1",Base!J:J,"&gt;0")</f>
        <v>0</v>
      </c>
      <c r="Z6">
        <f>COUNTIFS(Base!V:V,"ETABLISSEMENT 5",Base!L:L,"2",Base!J:J,"&gt;0")</f>
        <v>0</v>
      </c>
      <c r="AA6">
        <f>SUMIFS(Base!M:M,Base!V:V,"ETABLISSEMENT 5",Base!L:L,"2",Base!J:J,"&gt;0")</f>
        <v>0</v>
      </c>
      <c r="AB6">
        <f>SUMIFS(Base!O:O,Base!V:V,"ETABLISSEMENT 5",Base!L:L,"2",Base!J:J,"&gt;0")</f>
        <v>0</v>
      </c>
      <c r="AC6">
        <f>COUNTIFS(Base!V:V,"ETABLISSEMENT 5",Base!L:L,"3",Base!J:J,"&gt;0")</f>
        <v>0</v>
      </c>
      <c r="AD6">
        <f>SUMIFS(Base!M:M,Base!V:V,"ETABLISSEMENT 5",Base!L:L,"3",Base!J:J,"&gt;0")</f>
        <v>0</v>
      </c>
      <c r="AE6">
        <f>SUMIFS(Base!O:O,Base!V:V,"ETABLISSEMENT 5",Base!L:L,"3",Base!J:J,"&gt;0")</f>
        <v>0</v>
      </c>
      <c r="AF6">
        <f>COUNTIFS(Base!V:V,"ETABLISSEMENT 5",Base!L:L,"4",Base!J:J,"&gt;0")</f>
        <v>0</v>
      </c>
      <c r="AG6">
        <f>SUMIFS(Base!M:M,Base!V:V,"ETABLISSEMENT 5",Base!L:L,"4",Base!J:J,"&gt;0")</f>
        <v>0</v>
      </c>
      <c r="AH6">
        <f>SUMIFS(Base!O:O,Base!V:V,"ETABLISSEMENT 5",Base!L:L,"4",Base!J:J,"&gt;0")</f>
        <v>0</v>
      </c>
      <c r="AI6">
        <f>COUNTIFS(Base!V:V,"ETABLISSEMENT 5",Base!L:L,"5",Base!J:J,"&gt;0")</f>
        <v>0</v>
      </c>
      <c r="AJ6">
        <f>SUMIFS(Base!M:M,Base!V:V,"ETABLISSEMENT 5",Base!L:L,"5",Base!J:J,"&gt;0")</f>
        <v>0</v>
      </c>
      <c r="AK6">
        <f>SUMIFS(Base!O:O,Base!V:V,"ETABLISSEMENT 5",Base!L:L,"5",Base!J:J,"&gt;0")</f>
        <v>0</v>
      </c>
    </row>
    <row r="7" spans="1:37" x14ac:dyDescent="0.25">
      <c r="A7" t="s">
        <v>26</v>
      </c>
      <c r="B7">
        <f>COUNTIFS(Base!V:V,"ETABLISSEMENT 6")</f>
        <v>0</v>
      </c>
      <c r="C7">
        <f>COUNTIFS(Base!V:V,"ETABLISSEMENT 6",Base!J:J,"0")</f>
        <v>0</v>
      </c>
      <c r="D7">
        <f t="shared" si="0"/>
        <v>0</v>
      </c>
      <c r="E7">
        <f>COUNTIFS(Base!V:V,"ETABLISSEMENT 6",Base!D:D,"D")</f>
        <v>0</v>
      </c>
      <c r="F7">
        <f>COUNTIFS(Base!V:V,"ETABLISSEMENT 6",Base!D:D,"F")</f>
        <v>0</v>
      </c>
      <c r="G7">
        <f>COUNTIFS(Base!V:V,"ETABLISSEMENT 6",Base!R:R,"X")</f>
        <v>0</v>
      </c>
      <c r="H7">
        <f>COUNTIFS(Base!V:V,"ETABLISSEMENT 6",Base!R:R,"X",Base!L:L,"&gt;0")</f>
        <v>0</v>
      </c>
      <c r="I7">
        <f>COUNTIFS(Base!V:V,"ETABLISSEMENT 6",Base!S:S,"X")</f>
        <v>0</v>
      </c>
      <c r="J7">
        <f>COUNTIFS(Base!V:V,"ETABLISSEMENT 6",Base!S:S,"X",Base!J:J,"&gt;0")</f>
        <v>0</v>
      </c>
      <c r="K7">
        <f>COUNTIFS(Base!V:V,"ETABLISSEMENT 6",Base!T:T,"X")</f>
        <v>0</v>
      </c>
      <c r="L7">
        <f>COUNTIFS(Base!V:V,"ETABLISSEMENT 6",Base!T:T,"X",Base!J:J,"&gt;0")</f>
        <v>0</v>
      </c>
      <c r="M7">
        <f>COUNTIFS(Base!V:V,"ETABLISSEMENT 6",Base!U:U,"X")</f>
        <v>0</v>
      </c>
      <c r="N7">
        <f>COUNTIFS(Base!V:V,"ETABLISSEMENT 6",Base!U:U,"X",Base!J:J,"&gt;0")</f>
        <v>0</v>
      </c>
      <c r="O7">
        <f>SUMIFS(Base!P:P,Base!V:V,"ETABLISSEMENT 6")</f>
        <v>0</v>
      </c>
      <c r="P7">
        <f>SUMIFS(Base!Q:Q,Base!V:V,"ETABLISSEMENT 6")</f>
        <v>0</v>
      </c>
      <c r="Q7">
        <f>COUNTIFS(Base!V:V,"ETABLISSEMENT 6",Base!Q:Q,"",Base!J:J,"&gt;0")</f>
        <v>0</v>
      </c>
      <c r="R7">
        <f>COUNTIFS(Base!V:V,"ETABLISSEMENT 6",Base!D:D,"D")</f>
        <v>0</v>
      </c>
      <c r="S7">
        <f>COUNTIFS(Base!V:V,"ETABLISSEMENT 6",Base!Q:Q,"",Base!J:J,"0")</f>
        <v>0</v>
      </c>
      <c r="T7">
        <f>COUNTIFS(Base!V:V,"ETABLISSEMENT 6",Base!K:K,"REGULIER",Base!J:J,"&gt;0")</f>
        <v>0</v>
      </c>
      <c r="U7">
        <f>COUNTIFS(Base!V:V,"ETABLISSEMENT 6",Base!K:K,"PERISCOLAIRE",Base!J:J,"&gt;0")</f>
        <v>0</v>
      </c>
      <c r="V7">
        <f>COUNTIFS(Base!V:V,"ETABLISSEMENT 6",Base!K:K,"OCCASIONNEL",Base!J:J,"&gt;0")</f>
        <v>0</v>
      </c>
      <c r="W7">
        <f>COUNTIFS(Base!V:V,"ETABLISSEMENT 6",Base!L:L,"1",Base!J:J,"&gt;0")</f>
        <v>0</v>
      </c>
      <c r="X7">
        <f>SUMIFS(Base!M:M,Base!V:V,"ETABLISSEMENT 6",Base!L:L,"1",Base!J:J,"&gt;0")</f>
        <v>0</v>
      </c>
      <c r="Y7">
        <f>SUMIFS(Base!O:O,Base!V:V,"ETABLISSEMENT 6",Base!L:L,"1",Base!J:J,"&gt;0")</f>
        <v>0</v>
      </c>
      <c r="Z7">
        <f>COUNTIFS(Base!V:V,"ETABLISSEMENT 6",Base!L:L,"2",Base!J:J,"&gt;0")</f>
        <v>0</v>
      </c>
      <c r="AA7">
        <f>SUMIFS(Base!M:M,Base!V:V,"ETABLISSEMENT 6",Base!L:L,"2",Base!J:J,"&gt;0")</f>
        <v>0</v>
      </c>
      <c r="AB7">
        <f>SUMIFS(Base!O:O,Base!V:V,"ETABLISSEMENT 6",Base!L:L,"2",Base!J:J,"&gt;0")</f>
        <v>0</v>
      </c>
      <c r="AC7">
        <f>COUNTIFS(Base!V:V,"ETABLISSEMENT 6",Base!L:L,"3",Base!J:J,"&gt;0")</f>
        <v>0</v>
      </c>
      <c r="AD7">
        <f>SUMIFS(Base!M:M,Base!V:V,"ETABLISSEMENT 6",Base!L:L,"3",Base!J:J,"&gt;0")</f>
        <v>0</v>
      </c>
      <c r="AE7">
        <f>SUMIFS(Base!O:O,Base!V:V,"ETABLISSEMENT 6",Base!L:L,"3",Base!J:J,"&gt;0")</f>
        <v>0</v>
      </c>
      <c r="AF7">
        <f>COUNTIFS(Base!V:V,"ETABLISSEMENT 6",Base!L:L,"4",Base!J:J,"&gt;0")</f>
        <v>0</v>
      </c>
      <c r="AG7">
        <f>SUMIFS(Base!M:M,Base!V:V,"ETABLISSEMENT 6",Base!L:L,"4",Base!J:J,"&gt;0")</f>
        <v>0</v>
      </c>
      <c r="AH7">
        <f>SUMIFS(Base!O:O,Base!V:V,"ETABLISSEMENT 6",Base!L:L,"4",Base!J:J,"&gt;0")</f>
        <v>0</v>
      </c>
      <c r="AI7">
        <f>COUNTIFS(Base!V:V,"ETABLISSEMENT 6",Base!L:L,"5",Base!J:J,"&gt;0")</f>
        <v>0</v>
      </c>
      <c r="AJ7">
        <f>SUMIFS(Base!M:M,Base!V:V,"ETABLISSEMENT 6",Base!L:L,"5",Base!J:J,"&gt;0")</f>
        <v>0</v>
      </c>
      <c r="AK7">
        <f>SUMIFS(Base!O:O,Base!V:V,"ETABLISSEMENT 6",Base!L:L,"5",Base!J:J,"&gt;0")</f>
        <v>0</v>
      </c>
    </row>
    <row r="8" spans="1:37" x14ac:dyDescent="0.25">
      <c r="A8" t="s">
        <v>27</v>
      </c>
      <c r="B8">
        <f>COUNTIFS(Base!V:V,"ETABLISSEMENT 7")</f>
        <v>0</v>
      </c>
      <c r="C8">
        <f>COUNTIFS(Base!V:V,"ETABLISSEMENT 7",Base!J:J,"0")</f>
        <v>0</v>
      </c>
      <c r="D8">
        <f t="shared" si="0"/>
        <v>0</v>
      </c>
      <c r="E8">
        <f>COUNTIFS(Base!V:V,"ETABLISSEMENT 7",Base!D:D,"D")</f>
        <v>0</v>
      </c>
      <c r="F8">
        <f>COUNTIFS(Base!V:V,"ETABLISSEMENT 7",Base!D:D,"F")</f>
        <v>0</v>
      </c>
      <c r="G8">
        <f>COUNTIFS(Base!V:V,"ETABLISSEMENT 7",Base!R:R,"X")</f>
        <v>0</v>
      </c>
      <c r="H8">
        <f>COUNTIFS(Base!V:V,"ETABLISSEMENT 7",Base!R:R,"X",Base!L:L,"&gt;0")</f>
        <v>0</v>
      </c>
      <c r="I8">
        <f>COUNTIFS(Base!V:V,"ETABLISSEMENT 7",Base!S:S,"X")</f>
        <v>0</v>
      </c>
      <c r="J8">
        <f>COUNTIFS(Base!V:V,"ETABLISSEMENT 7",Base!S:S,"X",Base!J:J,"&gt;0")</f>
        <v>0</v>
      </c>
      <c r="K8">
        <f>COUNTIFS(Base!V:V,"ETABLISSEMENT 7",Base!T:T,"X")</f>
        <v>0</v>
      </c>
      <c r="L8">
        <f>COUNTIFS(Base!V:V,"ETABLISSEMENT 7",Base!T:T,"X",Base!J:J,"&gt;0")</f>
        <v>0</v>
      </c>
      <c r="M8">
        <f>COUNTIFS(Base!V:V,"ETABLISSEMENT 7",Base!U:U,"X")</f>
        <v>0</v>
      </c>
      <c r="N8">
        <f>COUNTIFS(Base!V:V,"ETABLISSEMENT 7",Base!U:U,"X",Base!J:J,"&gt;0")</f>
        <v>0</v>
      </c>
      <c r="O8">
        <f>SUMIFS(Base!P:P,Base!V:V,"ETABLISSEMENT 7")</f>
        <v>0</v>
      </c>
      <c r="P8">
        <f>SUMIFS(Base!Q:Q,Base!V:V,"ETABLISSEMENT 7")</f>
        <v>0</v>
      </c>
      <c r="Q8">
        <f>COUNTIFS(Base!V:V,"ETABLISSEMENT 7",Base!Q:Q,"",Base!J:J,"&gt;0")</f>
        <v>0</v>
      </c>
      <c r="R8">
        <f>COUNTIFS(Base!V:V,"ETABLISSEMENT 7",Base!D:D,"D")</f>
        <v>0</v>
      </c>
      <c r="S8">
        <f>COUNTIFS(Base!V:V,"ETABLISSEMENT 7",Base!Q:Q,"",Base!J:J,"0")</f>
        <v>0</v>
      </c>
      <c r="T8">
        <f>COUNTIFS(Base!V:V,"ETABLISSEMENT 7",Base!K:K,"REGULIER",Base!J:J,"&gt;0")</f>
        <v>0</v>
      </c>
      <c r="U8">
        <f>COUNTIFS(Base!V:V,"ETABLISSEMENT 7",Base!K:K,"PERISCOLAIRE",Base!J:J,"&gt;0")</f>
        <v>0</v>
      </c>
      <c r="V8">
        <f>COUNTIFS(Base!V:V,"ETABLISSEMENT 7",Base!K:K,"OCCASIONNEL",Base!J:J,"&gt;0")</f>
        <v>0</v>
      </c>
      <c r="W8">
        <f>COUNTIFS(Base!V:V,"ETABLISSEMENT 7",Base!L:L,"1",Base!J:J,"&gt;0")</f>
        <v>0</v>
      </c>
      <c r="X8">
        <f>SUMIFS(Base!M:M,Base!V:V,"ETABLISSEMENT 7",Base!L:L,"1",Base!J:J,"&gt;0")</f>
        <v>0</v>
      </c>
      <c r="Y8">
        <f>SUMIFS(Base!O:O,Base!V:V,"ETABLISSEMENT 7",Base!L:L,"1",Base!J:J,"&gt;0")</f>
        <v>0</v>
      </c>
      <c r="Z8">
        <f>COUNTIFS(Base!V:V,"ETABLISSEMENT 7",Base!L:L,"2",Base!J:J,"&gt;0")</f>
        <v>0</v>
      </c>
      <c r="AA8">
        <f>SUMIFS(Base!M:M,Base!V:V,"ETABLISSEMENT 7",Base!L:L,"2",Base!J:J,"&gt;0")</f>
        <v>0</v>
      </c>
      <c r="AB8">
        <f>SUMIFS(Base!O:O,Base!V:V,"ETABLISSEMENT 7",Base!L:L,"2",Base!J:J,"&gt;0")</f>
        <v>0</v>
      </c>
      <c r="AC8">
        <f>COUNTIFS(Base!V:V,"ETABLISSEMENT 7",Base!L:L,"3",Base!J:J,"&gt;0")</f>
        <v>0</v>
      </c>
      <c r="AD8">
        <f>SUMIFS(Base!M:M,Base!V:V,"ETABLISSEMENT 7",Base!L:L,"3",Base!J:J,"&gt;0")</f>
        <v>0</v>
      </c>
      <c r="AE8">
        <f>SUMIFS(Base!O:O,Base!V:V,"ETABLISSEMENT 7",Base!L:L,"3",Base!J:J,"&gt;0")</f>
        <v>0</v>
      </c>
      <c r="AF8">
        <f>COUNTIFS(Base!V:V,"ETABLISSEMENT 7",Base!L:L,"4",Base!J:J,"&gt;0")</f>
        <v>0</v>
      </c>
      <c r="AG8">
        <f>SUMIFS(Base!M:M,Base!V:V,"ETABLISSEMENT 7",Base!L:L,"4",Base!J:J,"&gt;0")</f>
        <v>0</v>
      </c>
      <c r="AH8">
        <f>SUMIFS(Base!O:O,Base!V:V,"ETABLISSEMENT 7",Base!L:L,"4",Base!J:J,"&gt;0")</f>
        <v>0</v>
      </c>
      <c r="AI8">
        <f>COUNTIFS(Base!V:V,"ETABLISSEMENT 7",Base!L:L,"5",Base!J:J,"&gt;0")</f>
        <v>0</v>
      </c>
      <c r="AJ8">
        <f>SUMIFS(Base!M:M,Base!V:V,"ETABLISSEMENT 7",Base!L:L,"5",Base!J:J,"&gt;0")</f>
        <v>0</v>
      </c>
      <c r="AK8">
        <f>SUMIFS(Base!O:O,Base!V:V,"ETABLISSEMENT 7",Base!L:L,"5",Base!J:J,"&gt;0")</f>
        <v>0</v>
      </c>
    </row>
    <row r="9" spans="1:37" x14ac:dyDescent="0.25">
      <c r="A9" t="s">
        <v>28</v>
      </c>
      <c r="B9">
        <f>COUNTIFS(Base!V:V,"ETABLISSEMENT 8")</f>
        <v>0</v>
      </c>
      <c r="C9">
        <f>COUNTIFS(Base!V:V,"ETABLISSEMENT 8",Base!J:J,"0")</f>
        <v>0</v>
      </c>
      <c r="D9">
        <f t="shared" si="0"/>
        <v>0</v>
      </c>
      <c r="E9">
        <f>COUNTIFS(Base!V:V,"ETABLISSEMENT 8",Base!D:D,"D")</f>
        <v>0</v>
      </c>
      <c r="F9">
        <f>COUNTIFS(Base!V:V,"ETABLISSEMENT 8",Base!D:D,"F")</f>
        <v>0</v>
      </c>
      <c r="G9">
        <f>COUNTIFS(Base!V:V,"ETABLISSEMENT 8",Base!R:R,"X")</f>
        <v>0</v>
      </c>
      <c r="H9">
        <f>COUNTIFS(Base!V:V,"ETABLISSEMENT 8",Base!R:R,"X",Base!L:L,"&gt;0")</f>
        <v>0</v>
      </c>
      <c r="I9">
        <f>COUNTIFS(Base!V:V,"ETABLISSEMENT 8",Base!S:S,"X")</f>
        <v>0</v>
      </c>
      <c r="J9">
        <f>COUNTIFS(Base!V:V,"ETABLISSEMENT 8",Base!S:S,"X",Base!J:J,"&gt;0")</f>
        <v>0</v>
      </c>
      <c r="K9">
        <f>COUNTIFS(Base!V:V,"ETABLISSEMENT 8",Base!T:T,"X")</f>
        <v>0</v>
      </c>
      <c r="L9">
        <f>COUNTIFS(Base!V:V,"ETABLISSEMENT 8",Base!T:T,"X",Base!J:J,"&gt;0")</f>
        <v>0</v>
      </c>
      <c r="M9">
        <f>COUNTIFS(Base!V:V,"ETABLISSEMENT 8",Base!U:U,"X")</f>
        <v>0</v>
      </c>
      <c r="N9">
        <f>COUNTIFS(Base!V:V,"ETABLISSEMENT 8",Base!U:U,"X",Base!J:J,"&gt;0")</f>
        <v>0</v>
      </c>
      <c r="O9">
        <f>SUMIFS(Base!P:P,Base!V:V,"ETABLISSEMENT 8")</f>
        <v>0</v>
      </c>
      <c r="P9">
        <f>SUMIFS(Base!Q:Q,Base!V:V,"ETABLISSEMENT 8")</f>
        <v>0</v>
      </c>
      <c r="Q9">
        <f>COUNTIFS(Base!V:V,"ETABLISSEMENT 8",Base!Q:Q,"",Base!J:J,"&gt;0")</f>
        <v>0</v>
      </c>
      <c r="R9">
        <f>COUNTIFS(Base!V:V,"ETABLISSEMENT 8",Base!D:D,"D")</f>
        <v>0</v>
      </c>
      <c r="S9">
        <f>COUNTIFS(Base!V:V,"ETABLISSEMENT 8",Base!Q:Q,"",Base!J:J,"0")</f>
        <v>0</v>
      </c>
      <c r="T9">
        <f>COUNTIFS(Base!V:V,"ETABLISSEMENT 8",Base!K:K,"REGULIER",Base!J:J,"&gt;0")</f>
        <v>0</v>
      </c>
      <c r="U9">
        <f>COUNTIFS(Base!V:V,"ETABLISSEMENT 8",Base!K:K,"PERISCOLAIRE",Base!J:J,"&gt;0")</f>
        <v>0</v>
      </c>
      <c r="V9">
        <f>COUNTIFS(Base!V:V,"ETABLISSEMENT 8",Base!K:K,"OCCASIONNEL",Base!J:J,"&gt;0")</f>
        <v>0</v>
      </c>
      <c r="W9">
        <f>COUNTIFS(Base!V:V,"ETABLISSEMENT 8",Base!L:L,"1",Base!J:J,"&gt;0")</f>
        <v>0</v>
      </c>
      <c r="X9">
        <f>SUMIFS(Base!M:M,Base!V:V,"ETABLISSEMENT 8",Base!L:L,"1",Base!J:J,"&gt;0")</f>
        <v>0</v>
      </c>
      <c r="Y9">
        <f>SUMIFS(Base!O:O,Base!V:V,"ETABLISSEMENT 8",Base!L:L,"1",Base!J:J,"&gt;0")</f>
        <v>0</v>
      </c>
      <c r="Z9">
        <f>COUNTIFS(Base!V:V,"ETABLISSEMENT 8",Base!L:L,"2",Base!J:J,"&gt;0")</f>
        <v>0</v>
      </c>
      <c r="AA9">
        <f>SUMIFS(Base!M:M,Base!V:V,"ETABLISSEMENT 8",Base!L:L,"2",Base!J:J,"&gt;0")</f>
        <v>0</v>
      </c>
      <c r="AB9">
        <f>SUMIFS(Base!O:O,Base!V:V,"ETABLISSEMENT 8",Base!L:L,"2",Base!J:J,"&gt;0")</f>
        <v>0</v>
      </c>
      <c r="AC9">
        <f>COUNTIFS(Base!V:V,"ETABLISSEMENT 8",Base!L:L,"3",Base!J:J,"&gt;0")</f>
        <v>0</v>
      </c>
      <c r="AD9">
        <f>SUMIFS(Base!M:M,Base!V:V,"ETABLISSEMENT 8",Base!L:L,"3",Base!J:J,"&gt;0")</f>
        <v>0</v>
      </c>
      <c r="AE9">
        <f>SUMIFS(Base!O:O,Base!V:V,"ETABLISSEMENT 8",Base!L:L,"3",Base!J:J,"&gt;0")</f>
        <v>0</v>
      </c>
      <c r="AF9">
        <f>COUNTIFS(Base!V:V,"ETABLISSEMENT 8",Base!L:L,"4",Base!J:J,"&gt;0")</f>
        <v>0</v>
      </c>
      <c r="AG9">
        <f>SUMIFS(Base!M:M,Base!V:V,"ETABLISSEMENT 8",Base!L:L,"4",Base!J:J,"&gt;0")</f>
        <v>0</v>
      </c>
      <c r="AH9">
        <f>SUMIFS(Base!O:O,Base!V:V,"ETABLISSEMENT 8",Base!L:L,"4",Base!J:J,"&gt;0")</f>
        <v>0</v>
      </c>
      <c r="AI9">
        <f>COUNTIFS(Base!V:V,"ETABLISSEMENT 8",Base!L:L,"5",Base!J:J,"&gt;0")</f>
        <v>0</v>
      </c>
      <c r="AJ9">
        <f>SUMIFS(Base!M:M,Base!V:V,"ETABLISSEMENT 8",Base!L:L,"5",Base!J:J,"&gt;0")</f>
        <v>0</v>
      </c>
      <c r="AK9">
        <f>SUMIFS(Base!O:O,Base!V:V,"ETABLISSEMENT 8",Base!L:L,"5",Base!J:J,"&gt;0")</f>
        <v>0</v>
      </c>
    </row>
    <row r="10" spans="1:37" x14ac:dyDescent="0.25">
      <c r="A10" t="s">
        <v>29</v>
      </c>
      <c r="B10">
        <f>COUNTIFS(Base!V:V,"ETABLISSEMENT 9")</f>
        <v>0</v>
      </c>
      <c r="C10">
        <f>COUNTIFS(Base!V:V,"ETABLISSEMENT 9",Base!J:J,"0")</f>
        <v>0</v>
      </c>
      <c r="D10">
        <f t="shared" si="0"/>
        <v>0</v>
      </c>
      <c r="E10">
        <f>COUNTIFS(Base!V:V,"ETABLISSEMENT 9",Base!D:D,"D")</f>
        <v>0</v>
      </c>
      <c r="F10">
        <f>COUNTIFS(Base!V:V,"ETABLISSEMENT 9",Base!D:D,"F")</f>
        <v>0</v>
      </c>
      <c r="G10">
        <f>COUNTIFS(Base!V:V,"ETABLISSEMENT 9",Base!R:R,"X")</f>
        <v>0</v>
      </c>
      <c r="H10">
        <f>COUNTIFS(Base!V:V,"ETABLISSEMENT 9",Base!R:R,"X",Base!L:L,"&gt;0")</f>
        <v>0</v>
      </c>
      <c r="I10">
        <f>COUNTIFS(Base!V:V,"ETABLISSEMENT 9",Base!S:S,"X")</f>
        <v>0</v>
      </c>
      <c r="J10">
        <f>COUNTIFS(Base!V:V,"ETABLISSEMENT 9",Base!S:S,"X",Base!J:J,"&gt;0")</f>
        <v>0</v>
      </c>
      <c r="K10">
        <f>COUNTIFS(Base!V:V,"ETABLISSEMENT 9",Base!T:T,"X")</f>
        <v>0</v>
      </c>
      <c r="L10">
        <f>COUNTIFS(Base!V:V,"ETABLISSEMENT 9",Base!T:T,"X",Base!J:J,"&gt;0")</f>
        <v>0</v>
      </c>
      <c r="M10">
        <f>COUNTIFS(Base!V:V,"ETABLISSEMENT 9",Base!U:U,"X")</f>
        <v>0</v>
      </c>
      <c r="N10">
        <f>COUNTIFS(Base!V:V,"ETABLISSEMENT 9",Base!U:U,"X",Base!J:J,"&gt;0")</f>
        <v>0</v>
      </c>
      <c r="O10">
        <f>SUMIFS(Base!P:P,Base!V:V,"ETABLISSEMENT 9")</f>
        <v>0</v>
      </c>
      <c r="P10">
        <f>SUMIFS(Base!Q:Q,Base!V:V,"ETABLISSEMENT 9")</f>
        <v>0</v>
      </c>
      <c r="Q10">
        <f>COUNTIFS(Base!V:V,"ETABLISSEMENT 9",Base!Q:Q,"",Base!J:J,"&gt;0")</f>
        <v>0</v>
      </c>
      <c r="R10">
        <f>COUNTIFS(Base!V:V,"ETABLISSEMENT 9",Base!D:D,"D")</f>
        <v>0</v>
      </c>
      <c r="S10">
        <f>COUNTIFS(Base!V:V,"ETABLISSEMENT 9",Base!Q:Q,"",Base!J:J,"0")</f>
        <v>0</v>
      </c>
      <c r="T10">
        <f>COUNTIFS(Base!V:V,"ETABLISSEMENT 9",Base!K:K,"REGULIER",Base!J:J,"&gt;0")</f>
        <v>0</v>
      </c>
      <c r="U10">
        <f>COUNTIFS(Base!V:V,"ETABLISSEMENT 9",Base!K:K,"PERISCOLAIRE",Base!J:J,"&gt;0")</f>
        <v>0</v>
      </c>
      <c r="V10">
        <f>COUNTIFS(Base!V:V,"ETABLISSEMENT 9",Base!K:K,"OCCASIONNEL",Base!J:J,"&gt;0")</f>
        <v>0</v>
      </c>
      <c r="W10">
        <f>COUNTIFS(Base!V:V,"ETABLISSEMENT 9",Base!L:L,"1",Base!J:J,"&gt;0")</f>
        <v>0</v>
      </c>
      <c r="X10">
        <f>SUMIFS(Base!M:M,Base!V:V,"ETABLISSEMENT 9",Base!L:L,"1",Base!J:J,"&gt;0")</f>
        <v>0</v>
      </c>
      <c r="Y10">
        <f>SUMIFS(Base!O:O,Base!V:V,"ETABLISSEMENT 9",Base!L:L,"1",Base!J:J,"&gt;0")</f>
        <v>0</v>
      </c>
      <c r="Z10">
        <f>COUNTIFS(Base!V:V,"ETABLISSEMENT 9",Base!L:L,"2",Base!J:J,"&gt;0")</f>
        <v>0</v>
      </c>
      <c r="AA10">
        <f>SUMIFS(Base!M:M,Base!V:V,"ETABLISSEMENT 9",Base!L:L,"2",Base!J:J,"&gt;0")</f>
        <v>0</v>
      </c>
      <c r="AB10">
        <f>SUMIFS(Base!O:O,Base!V:V,"ETABLISSEMENT 9",Base!L:L,"2",Base!J:J,"&gt;0")</f>
        <v>0</v>
      </c>
      <c r="AC10">
        <f>COUNTIFS(Base!V:V,"ETABLISSEMENT 9",Base!L:L,"3",Base!J:J,"&gt;0")</f>
        <v>0</v>
      </c>
      <c r="AD10">
        <f>SUMIFS(Base!M:M,Base!V:V,"ETABLISSEMENT 9",Base!L:L,"3",Base!J:J,"&gt;0")</f>
        <v>0</v>
      </c>
      <c r="AE10">
        <f>SUMIFS(Base!O:O,Base!V:V,"ETABLISSEMENT 9",Base!L:L,"3",Base!J:J,"&gt;0")</f>
        <v>0</v>
      </c>
      <c r="AF10">
        <f>COUNTIFS(Base!V:V,"ETABLISSEMENT 9",Base!L:L,"4",Base!J:J,"&gt;0")</f>
        <v>0</v>
      </c>
      <c r="AG10">
        <f>SUMIFS(Base!M:M,Base!V:V,"ETABLISSEMENT 9",Base!L:L,"4",Base!J:J,"&gt;0")</f>
        <v>0</v>
      </c>
      <c r="AH10">
        <f>SUMIFS(Base!O:O,Base!V:V,"ETABLISSEMENT 9",Base!L:L,"4",Base!J:J,"&gt;0")</f>
        <v>0</v>
      </c>
      <c r="AI10">
        <f>COUNTIFS(Base!V:V,"ETABLISSEMENT 9",Base!L:L,"5",Base!J:J,"&gt;0")</f>
        <v>0</v>
      </c>
      <c r="AJ10">
        <f>SUMIFS(Base!M:M,Base!V:V,"ETABLISSEMENT 9",Base!L:L,"5",Base!J:J,"&gt;0")</f>
        <v>0</v>
      </c>
      <c r="AK10">
        <f>SUMIFS(Base!O:O,Base!V:V,"ETABLISSEMENT 9",Base!L:L,"5",Base!J:J,"&gt;0")</f>
        <v>0</v>
      </c>
    </row>
    <row r="11" spans="1:37" x14ac:dyDescent="0.25">
      <c r="A11" t="s">
        <v>70</v>
      </c>
      <c r="B11" s="20">
        <f>SUM(B2:B10)</f>
        <v>6</v>
      </c>
      <c r="C11" s="20">
        <f>SUM(C2:C10)</f>
        <v>1</v>
      </c>
      <c r="D11" s="20">
        <f>SUM(D2:D10)</f>
        <v>5</v>
      </c>
      <c r="E11" s="20">
        <f>SUM(E2:E10)</f>
        <v>2</v>
      </c>
      <c r="F11" s="20">
        <f>SUM(F2:F10)</f>
        <v>2</v>
      </c>
      <c r="G11" s="20">
        <f t="shared" ref="G11:J11" si="1">SUM(G2:G10)</f>
        <v>1</v>
      </c>
      <c r="H11" s="20">
        <f t="shared" si="1"/>
        <v>1</v>
      </c>
      <c r="I11" s="20">
        <f t="shared" si="1"/>
        <v>0</v>
      </c>
      <c r="J11" s="20">
        <f t="shared" si="1"/>
        <v>0</v>
      </c>
      <c r="K11" s="20">
        <f t="shared" ref="K11" si="2">SUM(K2:K10)</f>
        <v>2</v>
      </c>
      <c r="L11" s="20">
        <f t="shared" ref="L11" si="3">SUM(L2:L10)</f>
        <v>1</v>
      </c>
      <c r="M11" s="20">
        <f t="shared" ref="M11" si="4">SUM(M2:M10)</f>
        <v>0</v>
      </c>
      <c r="N11" s="20">
        <f t="shared" ref="N11" si="5">SUM(N2:N10)</f>
        <v>0</v>
      </c>
      <c r="O11" s="20">
        <f t="shared" ref="O11" si="6">SUM(O2:O10)</f>
        <v>100</v>
      </c>
      <c r="P11" s="20">
        <f t="shared" ref="P11" si="7">SUM(P2:P10)</f>
        <v>150</v>
      </c>
      <c r="Q11" s="20">
        <f t="shared" ref="Q11" si="8">SUM(Q2:Q10)</f>
        <v>1</v>
      </c>
      <c r="R11" s="20">
        <f t="shared" ref="R11" si="9">SUM(R2:R10)</f>
        <v>2</v>
      </c>
      <c r="S11" s="20">
        <f t="shared" ref="S11" si="10">SUM(S2:S10)</f>
        <v>0</v>
      </c>
      <c r="T11" s="20">
        <f t="shared" ref="T11" si="11">SUM(T2:T10)</f>
        <v>2</v>
      </c>
      <c r="U11" s="20">
        <f t="shared" ref="U11" si="12">SUM(U2:U10)</f>
        <v>0</v>
      </c>
      <c r="V11" s="20">
        <f t="shared" ref="V11" si="13">SUM(V2:V10)</f>
        <v>0</v>
      </c>
      <c r="W11" s="20">
        <f t="shared" ref="W11" si="14">SUM(W2:W10)</f>
        <v>0</v>
      </c>
      <c r="X11" s="20">
        <f t="shared" ref="X11" si="15">SUM(X2:X10)</f>
        <v>0</v>
      </c>
      <c r="Y11" s="20">
        <f t="shared" ref="Y11" si="16">SUM(Y2:Y10)</f>
        <v>0</v>
      </c>
      <c r="Z11" s="20">
        <f t="shared" ref="Z11" si="17">SUM(Z2:Z10)</f>
        <v>0</v>
      </c>
      <c r="AA11" s="20">
        <f t="shared" ref="AA11" si="18">SUM(AA2:AA10)</f>
        <v>0</v>
      </c>
      <c r="AB11" s="20">
        <f t="shared" ref="AB11" si="19">SUM(AB2:AB10)</f>
        <v>0</v>
      </c>
      <c r="AC11" s="20">
        <f t="shared" ref="AC11" si="20">SUM(AC2:AC10)</f>
        <v>0</v>
      </c>
      <c r="AD11" s="20">
        <f t="shared" ref="AD11" si="21">SUM(AD2:AD10)</f>
        <v>0</v>
      </c>
      <c r="AE11" s="20">
        <f t="shared" ref="AE11" si="22">SUM(AE2:AE10)</f>
        <v>0</v>
      </c>
      <c r="AF11" s="20">
        <f t="shared" ref="AF11" si="23">SUM(AF2:AF10)</f>
        <v>1</v>
      </c>
      <c r="AG11" s="20">
        <f t="shared" ref="AG11" si="24">SUM(AG2:AG10)</f>
        <v>200</v>
      </c>
      <c r="AH11" s="20">
        <f t="shared" ref="AH11" si="25">SUM(AH2:AH10)</f>
        <v>300</v>
      </c>
      <c r="AI11" s="20">
        <f t="shared" ref="AI11" si="26">SUM(AI2:AI10)</f>
        <v>2</v>
      </c>
      <c r="AJ11" s="20">
        <f t="shared" ref="AJ11" si="27">SUM(AJ2:AJ10)</f>
        <v>150</v>
      </c>
      <c r="AK11" s="20">
        <f t="shared" ref="AK11" si="28">SUM(AK2:AK10)</f>
        <v>300</v>
      </c>
    </row>
    <row r="16" spans="1:37" x14ac:dyDescent="0.25">
      <c r="L16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Var</vt:lpstr>
      <vt:lpstr>FORMULAIRE</vt:lpstr>
      <vt:lpstr>Base</vt:lpstr>
      <vt:lpstr>SYNTHESE</vt:lpstr>
      <vt:lpstr>Base!Zone_d_impression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CLAUZIN Maurice</cp:lastModifiedBy>
  <cp:lastPrinted>2017-10-24T17:07:59Z</cp:lastPrinted>
  <dcterms:created xsi:type="dcterms:W3CDTF">2015-08-01T17:38:13Z</dcterms:created>
  <dcterms:modified xsi:type="dcterms:W3CDTF">2017-10-27T17:09:15Z</dcterms:modified>
</cp:coreProperties>
</file>