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trlProps/ctrlProp3.xml" ContentType="application/vnd.ms-excel.controlproperties+xml"/>
  <Override PartName="/xl/drawings/drawing4.xml" ContentType="application/vnd.openxmlformats-officedocument.drawing+xml"/>
  <Override PartName="/xl/ctrlProps/ctrlProp4.xml" ContentType="application/vnd.ms-excel.controlproperties+xml"/>
  <Override PartName="/xl/ctrlProps/ctrlProp5.xml" ContentType="application/vnd.ms-excel.controlproperties+xml"/>
  <Override PartName="/xl/ink/ink1.xml" ContentType="application/inkml+xml"/>
  <Override PartName="/xl/drawings/drawing5.xml" ContentType="application/vnd.openxmlformats-officedocument.drawing+xml"/>
  <Override PartName="/xl/ctrlProps/ctrlProp6.xml" ContentType="application/vnd.ms-excel.controlproperties+xml"/>
  <Override PartName="/xl/ctrlProps/ctrlProp7.xml" ContentType="application/vnd.ms-excel.controlpropertie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drawings/drawing6.xml" ContentType="application/vnd.openxmlformats-officedocument.drawing+xml"/>
  <Override PartName="/xl/ctrlProps/ctrlProp8.xml" ContentType="application/vnd.ms-excel.controlpropertie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8625" codeName="{EAAD5824-E589-9196-6FC8-2F1B51211585}"/>
  <workbookPr codeName="ThisWorkbook" defaultThemeVersion="124226"/>
  <mc:AlternateContent xmlns:mc="http://schemas.openxmlformats.org/markup-compatibility/2006">
    <mc:Choice Requires="x15">
      <x15ac:absPath xmlns:x15ac="http://schemas.microsoft.com/office/spreadsheetml/2010/11/ac" url="C:\Users\psm\Desktop\"/>
    </mc:Choice>
  </mc:AlternateContent>
  <bookViews>
    <workbookView xWindow="120" yWindow="105" windowWidth="23715" windowHeight="9525" tabRatio="812" activeTab="3" xr2:uid="{00000000-000D-0000-FFFF-FFFF00000000}"/>
  </bookViews>
  <sheets>
    <sheet name="INFO G" sheetId="1" r:id="rId1"/>
    <sheet name="INFO BULL" sheetId="2" r:id="rId2"/>
    <sheet name="Récap Bulletin" sheetId="8" r:id="rId3"/>
    <sheet name="Bulletin Mois" sheetId="10" r:id="rId4"/>
    <sheet name="COPIE" sheetId="20" r:id="rId5"/>
    <sheet name="FILLON" sheetId="14" r:id="rId6"/>
    <sheet name="REGUL PLAFOND" sheetId="15" r:id="rId7"/>
    <sheet name="H SUP" sheetId="5" r:id="rId8"/>
    <sheet name="Abs_NR" sheetId="7" r:id="rId9"/>
    <sheet name="Abs_CP" sheetId="9" r:id="rId10"/>
    <sheet name="CP" sheetId="11" r:id="rId11"/>
    <sheet name="AN" sheetId="12" r:id="rId12"/>
    <sheet name="SAISIE" sheetId="13" r:id="rId13"/>
    <sheet name="Calendrier" sheetId="6" r:id="rId14"/>
    <sheet name="Liste déroulante" sheetId="3" r:id="rId15"/>
  </sheets>
  <definedNames>
    <definedName name="ABO_TR">AN!$B$58</definedName>
    <definedName name="ABS_CP">Abs_CP!$D$18</definedName>
    <definedName name="Abs_NR_M">Abs_NR!$D$19</definedName>
    <definedName name="ABSENCE_NON_REMUNEREE">'INFO BULL'!$B$27</definedName>
    <definedName name="ABSNR" localSheetId="8">Abs_NR!$D$19</definedName>
    <definedName name="AN_EF">AN!$E$20</definedName>
    <definedName name="AN_LOG">AN!$E$27</definedName>
    <definedName name="AN_TR">AN!$E$11</definedName>
    <definedName name="AN_VEH_HA">AN!$B$50</definedName>
    <definedName name="AN_VEH_LOA">AN!$E$45</definedName>
    <definedName name="ANLOGEMENT">AN!$A$23</definedName>
    <definedName name="ANREPAS">AN!$A$13</definedName>
    <definedName name="ANTR">AN!$A$1</definedName>
    <definedName name="ANVEHICULE">AN!$A$34</definedName>
    <definedName name="BAREMES">SAISIE!$L$5:$L$15</definedName>
    <definedName name="BASE_SMIC">'INFO G'!$B$41</definedName>
    <definedName name="BASECOT">'INFO G'!$B$76</definedName>
    <definedName name="BASECOTAPP">'INFO G'!$B$77</definedName>
    <definedName name="BASECOTPRO">'INFO G'!$B$78</definedName>
    <definedName name="BRUTDEP">AN!$B$89</definedName>
    <definedName name="BRUTREPAS">AN!$B$70</definedName>
    <definedName name="C_GMP">'INFO G'!$D$144</definedName>
    <definedName name="C_TRA">'INFO G'!$B$143</definedName>
    <definedName name="C_TRB">'INFO G'!$B$144</definedName>
    <definedName name="C_TRC">'INFO G'!$D$143</definedName>
    <definedName name="cODES">SAISIE!$J$5:$J$15</definedName>
    <definedName name="CONGE_PAYE">'INFO BULL'!$A$40</definedName>
    <definedName name="COTISATIONS">'INFO G'!$A$73</definedName>
    <definedName name="COTPAT">'Bulletin Mois'!$I$83</definedName>
    <definedName name="COTSAL">'Bulletin Mois'!$F$83</definedName>
    <definedName name="CP">CP!$A$1</definedName>
    <definedName name="CPLT_SMIC">'INFO G'!$D$42</definedName>
    <definedName name="D_ENTREE">'INFO G'!$B$32</definedName>
    <definedName name="D_SORTIE">'INFO G'!$B$33</definedName>
    <definedName name="Début_ABSNR">'INFO BULL'!$B$28</definedName>
    <definedName name="DEPLACEMENT">'INFO BULL'!$A$113</definedName>
    <definedName name="DUREE_CT">'INFO G'!$D$39</definedName>
    <definedName name="DUREELEGALE">'INFO G'!$B$39</definedName>
    <definedName name="EF_SAL">AN!$E$19</definedName>
    <definedName name="EFFECTIF">'INFO G'!$B$13</definedName>
    <definedName name="FERIES" localSheetId="13">Calendrier!$P$4:$P$16</definedName>
    <definedName name="FILLON">FILLON!$A$1</definedName>
    <definedName name="Fin_ABSNR">'INFO BULL'!$B$29</definedName>
    <definedName name="Forfait_GMP">'INFO G'!$C$68</definedName>
    <definedName name="Forfait_GMP_BULL">'INFO G'!$C$70</definedName>
    <definedName name="Forfait_GMP_Tpspartiel">'INFO G'!$C$69</definedName>
    <definedName name="FRAIS_DE_REPAS">'INFO BULL'!$A$108</definedName>
    <definedName name="H_SEM">'INFO G'!$B$38</definedName>
    <definedName name="H_SUP_TOTAL">'H SUP'!$D$6</definedName>
    <definedName name="Heure_ABSNR">'INFO BULL'!$D$28</definedName>
    <definedName name="Heures_RéèllesMois">'INFO BULL'!$D$29</definedName>
    <definedName name="HS">'H SUP'!$A$1</definedName>
    <definedName name="HSUP10">'INFO BULL'!$B$19</definedName>
    <definedName name="HSUP25">'INFO BULL'!$B$20</definedName>
    <definedName name="HSUP50">'INFO BULL'!$B$21</definedName>
    <definedName name="ICCP">CP!$E$11</definedName>
    <definedName name="ICCPFRACT">CP!$E$35</definedName>
    <definedName name="INDDEP">AN!$B$88</definedName>
    <definedName name="INDREPAS">AN!$B$68</definedName>
    <definedName name="INFO_BULL">'INFO BULL'!$A$1</definedName>
    <definedName name="INFO_GENERALE">'INFO G'!$A$1</definedName>
    <definedName name="J_CP">Abs_CP!$E$12</definedName>
    <definedName name="J_PAQUES" localSheetId="13">Calendrier!$P$5</definedName>
    <definedName name="J_SEM">'INFO G'!$D$38</definedName>
    <definedName name="LIMITE_FILLON">FILLON!$L$18</definedName>
    <definedName name="LOGEMENT">'INFO BULL'!$A$86</definedName>
    <definedName name="MOIS_BULLETIN">'INFO BULL'!$B$10</definedName>
    <definedName name="NC_TR1">'INFO G'!$B$139</definedName>
    <definedName name="NC_TR2">'INFO G'!$D$139</definedName>
    <definedName name="Plafond_Ch_GMP">'INFO G'!$C$64</definedName>
    <definedName name="Plafond_GMP_BULLETIN">'INFO G'!$C$66</definedName>
    <definedName name="Plafond_Pro_GMP">'INFO G'!$C$65</definedName>
    <definedName name="Plafond_Sécu_MOIS">'INFO G'!$C$57</definedName>
    <definedName name="PRIMES">'INFO BULL'!$A$34</definedName>
    <definedName name="PRORATISATION">'INFO G'!$A$55</definedName>
    <definedName name="PSS_BULLETIN">'INFO G'!$C$62</definedName>
    <definedName name="PSS_Proratisé_Tpspartiel">'INFO G'!$C$58</definedName>
    <definedName name="qs">SAISIE!$B$8</definedName>
    <definedName name="qsp">SAISIE!$I$13</definedName>
    <definedName name="Rèf_Année" localSheetId="13">Calendrier!$C$1</definedName>
    <definedName name="REGUL_PLAFOND">'REGUL PLAFOND'!$A$1</definedName>
    <definedName name="REPAS">'INFO BULL'!$A$81</definedName>
    <definedName name="rmi">'INFO BULL'!$B$126</definedName>
    <definedName name="RSA_Calcule">SAISIE!$N$5:$N$15</definedName>
    <definedName name="rsa_Insaisissable">SAISIE!$C$5</definedName>
    <definedName name="RTT">'INFO BULL'!$A$128</definedName>
    <definedName name="SAISIE">SAISIE!$A$3</definedName>
    <definedName name="SAISIE_SAL">SAISIE!$I$15</definedName>
    <definedName name="SAISIE_SALAIRE">'INFO BULL'!$A$122</definedName>
    <definedName name="SALARIE">'INFO G'!$A$22</definedName>
    <definedName name="salmensu">SAISIE!$B$4</definedName>
    <definedName name="SBASE">'INFO G'!$B$42</definedName>
    <definedName name="SBASEAPP">'INFO G'!$B$47</definedName>
    <definedName name="SBASECPRO">'INFO G'!$B$51</definedName>
    <definedName name="SBRUT">'Bulletin Mois'!$F$37</definedName>
    <definedName name="SMIC_H">'INFO G'!$D$40</definedName>
    <definedName name="SMIC_M">'INFO G'!$B$40</definedName>
    <definedName name="SNAP">'Bulletin Mois'!$F$102</definedName>
    <definedName name="SNET">'Bulletin Mois'!$H$106</definedName>
    <definedName name="SNETCOT">'Bulletin Mois'!$F$84</definedName>
    <definedName name="SoldeICCPMaintien">CP!$C$29</definedName>
    <definedName name="SoldeICCPN">CP!$E$29</definedName>
    <definedName name="SoldeICCPN1">CP!$B$20</definedName>
    <definedName name="SoldeICCPNR10">CP!$B$29</definedName>
    <definedName name="Taux_Horaire">'INFO G'!$B$43</definedName>
    <definedName name="TECHNOLOGIE">'INFO BULL'!$A$118</definedName>
    <definedName name="TICKET_RESTO">'INFO BULL'!$A$74</definedName>
    <definedName name="TOT_HSUP">'INFO BULL'!$B$22</definedName>
    <definedName name="Total_RETENUE">'Bulletin Mois'!$F$100</definedName>
    <definedName name="TotMajo">SAISIE!$C$6</definedName>
    <definedName name="TR_CADRE">'INFO G'!$A$141</definedName>
    <definedName name="TR_NONCADRE">'INFO G'!$A$137</definedName>
    <definedName name="TR_SAL">AN!$E$10</definedName>
    <definedName name="TRANSPORT">'INFO BULL'!$A$104</definedName>
    <definedName name="TRBRUT">AN!$B$59</definedName>
    <definedName name="Tx_AT_Ets">'INFO G'!$B$14</definedName>
    <definedName name="Tx_AT_Moy">'INFO G'!$D$14</definedName>
    <definedName name="Tx_FILLON">FILLON!$E$20</definedName>
    <definedName name="Tx_FILLON_MAX">FILLON!$L$16</definedName>
    <definedName name="Tx_FILLON_MINI">FILLON!$L$15</definedName>
    <definedName name="TXAPP">'INFO G'!$B$46</definedName>
    <definedName name="TXDEDUCAPP">'INFO G'!$D$46</definedName>
    <definedName name="TXH_10">'INFO BULL'!$D$19</definedName>
    <definedName name="TXH_25">'INFO BULL'!$D$20</definedName>
    <definedName name="TXH_50">'INFO BULL'!$D$21</definedName>
    <definedName name="VEHICULE">'INFO BULL'!$A$91</definedName>
  </definedNames>
  <calcPr calcId="171027"/>
  <fileRecoveryPr autoRecover="0"/>
</workbook>
</file>

<file path=xl/calcChain.xml><?xml version="1.0" encoding="utf-8"?>
<calcChain xmlns="http://schemas.openxmlformats.org/spreadsheetml/2006/main">
  <c r="F16" i="8" l="1"/>
  <c r="B77" i="1"/>
  <c r="B48" i="2"/>
  <c r="B47" i="1"/>
  <c r="D14" i="8"/>
  <c r="D15" i="8"/>
  <c r="D16" i="8"/>
  <c r="B23" i="8"/>
  <c r="D132" i="1"/>
  <c r="D129" i="1"/>
  <c r="G28" i="8" l="1"/>
  <c r="G29" i="8"/>
  <c r="G30" i="8"/>
  <c r="G31" i="8"/>
  <c r="G32" i="8"/>
  <c r="G33" i="8"/>
  <c r="G34" i="8"/>
  <c r="G35" i="8"/>
  <c r="G36" i="8"/>
  <c r="G37" i="8"/>
  <c r="G38" i="8"/>
  <c r="G39" i="8"/>
  <c r="G40" i="8"/>
  <c r="G41" i="8"/>
  <c r="G42" i="8"/>
  <c r="G43" i="8"/>
  <c r="G44" i="8"/>
  <c r="G45" i="8"/>
  <c r="G46" i="8"/>
  <c r="G47" i="8"/>
  <c r="G48" i="8"/>
  <c r="G49" i="8"/>
  <c r="B22" i="2"/>
  <c r="D5" i="8"/>
  <c r="B5" i="8"/>
  <c r="H81" i="10"/>
  <c r="D77" i="10" l="1"/>
  <c r="D121" i="1"/>
  <c r="D126" i="1"/>
  <c r="H75" i="10" s="1"/>
  <c r="B34" i="1"/>
  <c r="C58" i="1" l="1"/>
  <c r="C62" i="1" s="1"/>
  <c r="C59" i="1"/>
  <c r="B130" i="2" l="1"/>
  <c r="D6" i="8" s="1"/>
  <c r="O3" i="8"/>
  <c r="B125" i="2"/>
  <c r="B16" i="1"/>
  <c r="B130" i="1"/>
  <c r="B50" i="1" l="1"/>
  <c r="B51" i="1" s="1"/>
  <c r="B118" i="1" l="1"/>
  <c r="H78" i="10"/>
  <c r="H79" i="10"/>
  <c r="H80" i="10"/>
  <c r="H72" i="10"/>
  <c r="H71" i="10"/>
  <c r="E74" i="10"/>
  <c r="E73" i="10"/>
  <c r="E52" i="10"/>
  <c r="H44" i="10"/>
  <c r="H45" i="10"/>
  <c r="H43" i="10"/>
  <c r="E44" i="10"/>
  <c r="E45" i="10"/>
  <c r="E43" i="10"/>
  <c r="E40" i="10"/>
  <c r="B46" i="1"/>
  <c r="B3" i="8" l="1"/>
  <c r="R24" i="15"/>
  <c r="B3" i="15"/>
  <c r="A65" i="10"/>
  <c r="A64" i="10"/>
  <c r="A63" i="10"/>
  <c r="A62" i="10"/>
  <c r="A61" i="10"/>
  <c r="R10" i="15" l="1"/>
  <c r="R11" i="15" s="1"/>
  <c r="R12" i="15" s="1"/>
  <c r="R13" i="15" s="1"/>
  <c r="R14" i="15" s="1"/>
  <c r="R15" i="15" s="1"/>
  <c r="R16" i="15" s="1"/>
  <c r="R17" i="15" s="1"/>
  <c r="R18" i="15" s="1"/>
  <c r="R19" i="15" s="1"/>
  <c r="R20" i="15" s="1"/>
  <c r="R21" i="15" s="1"/>
  <c r="L10" i="15"/>
  <c r="L11" i="15" s="1"/>
  <c r="L12" i="15" s="1"/>
  <c r="L13" i="15" s="1"/>
  <c r="L14" i="15" s="1"/>
  <c r="L15" i="15" s="1"/>
  <c r="L16" i="15" s="1"/>
  <c r="L17" i="15" s="1"/>
  <c r="L18" i="15" s="1"/>
  <c r="L19" i="15" s="1"/>
  <c r="L20" i="15" s="1"/>
  <c r="L21" i="15" s="1"/>
  <c r="R9" i="15"/>
  <c r="P9" i="15"/>
  <c r="Q9" i="15"/>
  <c r="O9" i="15"/>
  <c r="N9" i="15"/>
  <c r="M9" i="15"/>
  <c r="L9" i="15"/>
  <c r="K9" i="15"/>
  <c r="I9" i="15"/>
  <c r="H9" i="15"/>
  <c r="G9" i="15"/>
  <c r="J9" i="15"/>
  <c r="F3" i="15"/>
  <c r="L4" i="15"/>
  <c r="K4" i="15"/>
  <c r="J4" i="15"/>
  <c r="I4" i="15"/>
  <c r="E5" i="15"/>
  <c r="D5" i="15"/>
  <c r="I10" i="15"/>
  <c r="I11" i="15" s="1"/>
  <c r="I12" i="15" s="1"/>
  <c r="I13" i="15" s="1"/>
  <c r="I14" i="15" s="1"/>
  <c r="I15" i="15" s="1"/>
  <c r="I16" i="15" s="1"/>
  <c r="I17" i="15" s="1"/>
  <c r="I18" i="15" s="1"/>
  <c r="I19" i="15" s="1"/>
  <c r="I20" i="15" s="1"/>
  <c r="I21" i="15" s="1"/>
  <c r="F10" i="15"/>
  <c r="B70" i="14"/>
  <c r="B71" i="14"/>
  <c r="B72" i="14"/>
  <c r="B73" i="14"/>
  <c r="B74" i="14"/>
  <c r="B75" i="14"/>
  <c r="B76" i="14"/>
  <c r="B77" i="14"/>
  <c r="B78" i="14"/>
  <c r="B79" i="14"/>
  <c r="B80" i="14"/>
  <c r="B81" i="14"/>
  <c r="B82" i="14"/>
  <c r="B83" i="14"/>
  <c r="B84" i="14"/>
  <c r="B85" i="14"/>
  <c r="B86" i="14"/>
  <c r="B87" i="14"/>
  <c r="B88" i="14"/>
  <c r="B89" i="14"/>
  <c r="B90" i="14"/>
  <c r="B91" i="14"/>
  <c r="B92" i="14"/>
  <c r="B93" i="14"/>
  <c r="B94" i="14"/>
  <c r="B95" i="14"/>
  <c r="B96" i="14"/>
  <c r="F5" i="14"/>
  <c r="O24" i="15" l="1"/>
  <c r="I23" i="15"/>
  <c r="I24" i="15"/>
  <c r="L23" i="15"/>
  <c r="J10" i="15"/>
  <c r="P10" i="15" s="1"/>
  <c r="Q10" i="15" s="1"/>
  <c r="L5" i="15" s="1"/>
  <c r="G10" i="15"/>
  <c r="F11" i="15"/>
  <c r="L24" i="15"/>
  <c r="H10" i="15" l="1"/>
  <c r="I5" i="15" s="1"/>
  <c r="O10" i="15"/>
  <c r="K10" i="15"/>
  <c r="J5" i="15" s="1"/>
  <c r="F12" i="15"/>
  <c r="G11" i="15"/>
  <c r="H11" i="15" s="1"/>
  <c r="J11" i="15"/>
  <c r="P11" i="15" s="1"/>
  <c r="Q11" i="15" s="1"/>
  <c r="O11" i="15" l="1"/>
  <c r="M10" i="15"/>
  <c r="N10" i="15" s="1"/>
  <c r="K5" i="15" s="1"/>
  <c r="K11" i="15"/>
  <c r="F13" i="15"/>
  <c r="G12" i="15"/>
  <c r="H12" i="15" s="1"/>
  <c r="J12" i="15"/>
  <c r="P12" i="15" s="1"/>
  <c r="Q12" i="15" s="1"/>
  <c r="B139" i="1" l="1"/>
  <c r="B143" i="1"/>
  <c r="J12" i="8" s="1"/>
  <c r="D144" i="1"/>
  <c r="J15" i="8" s="1"/>
  <c r="O12" i="15"/>
  <c r="M11" i="15"/>
  <c r="N11" i="15" s="1"/>
  <c r="J13" i="15"/>
  <c r="P13" i="15" s="1"/>
  <c r="Q13" i="15" s="1"/>
  <c r="F14" i="15"/>
  <c r="G13" i="15"/>
  <c r="H13" i="15" s="1"/>
  <c r="K12" i="15"/>
  <c r="B86" i="1" l="1"/>
  <c r="J9" i="8"/>
  <c r="D139" i="1"/>
  <c r="B102" i="1" s="1"/>
  <c r="B144" i="1"/>
  <c r="J13" i="8" s="1"/>
  <c r="D143" i="1"/>
  <c r="J14" i="8" s="1"/>
  <c r="O13" i="15"/>
  <c r="M12" i="15"/>
  <c r="N12" i="15" s="1"/>
  <c r="J14" i="15"/>
  <c r="P14" i="15" s="1"/>
  <c r="Q14" i="15" s="1"/>
  <c r="F15" i="15"/>
  <c r="G14" i="15"/>
  <c r="H14" i="15" s="1"/>
  <c r="K13" i="15"/>
  <c r="J10" i="8" l="1"/>
  <c r="B101" i="1"/>
  <c r="O14" i="15"/>
  <c r="M13" i="15"/>
  <c r="N13" i="15" s="1"/>
  <c r="F16" i="15"/>
  <c r="G15" i="15"/>
  <c r="H15" i="15" s="1"/>
  <c r="J15" i="15"/>
  <c r="P15" i="15" s="1"/>
  <c r="Q15" i="15" s="1"/>
  <c r="K14" i="15"/>
  <c r="O15" i="15" l="1"/>
  <c r="M14" i="15"/>
  <c r="N14" i="15" s="1"/>
  <c r="K15" i="15"/>
  <c r="F17" i="15"/>
  <c r="G16" i="15"/>
  <c r="H16" i="15" s="1"/>
  <c r="J16" i="15"/>
  <c r="P16" i="15" s="1"/>
  <c r="Q16" i="15" s="1"/>
  <c r="O16" i="15" l="1"/>
  <c r="M15" i="15"/>
  <c r="N15" i="15" s="1"/>
  <c r="J17" i="15"/>
  <c r="P17" i="15" s="1"/>
  <c r="Q17" i="15" s="1"/>
  <c r="F18" i="15"/>
  <c r="G17" i="15"/>
  <c r="H17" i="15" s="1"/>
  <c r="K16" i="15"/>
  <c r="O17" i="15" l="1"/>
  <c r="M16" i="15"/>
  <c r="N16" i="15" s="1"/>
  <c r="F19" i="15"/>
  <c r="G18" i="15"/>
  <c r="H18" i="15" s="1"/>
  <c r="J18" i="15"/>
  <c r="P18" i="15" s="1"/>
  <c r="Q18" i="15" s="1"/>
  <c r="K17" i="15"/>
  <c r="O18" i="15" l="1"/>
  <c r="M17" i="15"/>
  <c r="N17" i="15" s="1"/>
  <c r="K18" i="15"/>
  <c r="F20" i="15"/>
  <c r="G19" i="15"/>
  <c r="H19" i="15" s="1"/>
  <c r="J19" i="15"/>
  <c r="P19" i="15" s="1"/>
  <c r="Q19" i="15" s="1"/>
  <c r="O19" i="15" l="1"/>
  <c r="M18" i="15"/>
  <c r="N18" i="15" s="1"/>
  <c r="F21" i="15"/>
  <c r="G20" i="15"/>
  <c r="H20" i="15" s="1"/>
  <c r="J20" i="15"/>
  <c r="P20" i="15" s="1"/>
  <c r="Q20" i="15" s="1"/>
  <c r="K19" i="15"/>
  <c r="O20" i="15" l="1"/>
  <c r="M19" i="15"/>
  <c r="N19" i="15" s="1"/>
  <c r="K20" i="15"/>
  <c r="J21" i="15"/>
  <c r="P21" i="15" s="1"/>
  <c r="Q21" i="15" s="1"/>
  <c r="G21" i="15"/>
  <c r="H21" i="15" s="1"/>
  <c r="O21" i="15" l="1"/>
  <c r="M21" i="15" s="1"/>
  <c r="M20" i="15"/>
  <c r="K21" i="15"/>
  <c r="N21" i="15" l="1"/>
  <c r="N20" i="15"/>
  <c r="L13" i="14"/>
  <c r="E5" i="14"/>
  <c r="D5" i="14"/>
  <c r="B69" i="14"/>
  <c r="I46" i="14"/>
  <c r="H46" i="14"/>
  <c r="G46" i="14"/>
  <c r="F46" i="14"/>
  <c r="E46" i="14"/>
  <c r="D46" i="14"/>
  <c r="J46" i="14" s="1"/>
  <c r="C46" i="14"/>
  <c r="B46" i="14"/>
  <c r="I44" i="14"/>
  <c r="H44" i="14"/>
  <c r="G44" i="14"/>
  <c r="F44" i="14"/>
  <c r="E44" i="14"/>
  <c r="D44" i="14"/>
  <c r="J44" i="14" s="1"/>
  <c r="C44" i="14"/>
  <c r="B44" i="14"/>
  <c r="I42" i="14"/>
  <c r="H42" i="14"/>
  <c r="G42" i="14"/>
  <c r="F42" i="14"/>
  <c r="E42" i="14"/>
  <c r="D42" i="14"/>
  <c r="J42" i="14" s="1"/>
  <c r="C42" i="14"/>
  <c r="B42" i="14"/>
  <c r="I40" i="14"/>
  <c r="H40" i="14"/>
  <c r="G40" i="14"/>
  <c r="F40" i="14"/>
  <c r="E40" i="14"/>
  <c r="D40" i="14"/>
  <c r="J40" i="14" s="1"/>
  <c r="C40" i="14"/>
  <c r="B40" i="14"/>
  <c r="I38" i="14"/>
  <c r="H38" i="14"/>
  <c r="G38" i="14"/>
  <c r="F38" i="14"/>
  <c r="E38" i="14"/>
  <c r="D38" i="14"/>
  <c r="J38" i="14" s="1"/>
  <c r="C38" i="14"/>
  <c r="B38" i="14"/>
  <c r="I36" i="14"/>
  <c r="H36" i="14"/>
  <c r="G36" i="14"/>
  <c r="F36" i="14"/>
  <c r="E36" i="14"/>
  <c r="D36" i="14"/>
  <c r="J36" i="14" s="1"/>
  <c r="C36" i="14"/>
  <c r="B36" i="14"/>
  <c r="I34" i="14"/>
  <c r="H34" i="14"/>
  <c r="G34" i="14"/>
  <c r="F34" i="14"/>
  <c r="E34" i="14"/>
  <c r="D34" i="14"/>
  <c r="J34" i="14" s="1"/>
  <c r="C34" i="14"/>
  <c r="B34" i="14"/>
  <c r="I32" i="14"/>
  <c r="H32" i="14"/>
  <c r="G32" i="14"/>
  <c r="F32" i="14"/>
  <c r="E32" i="14"/>
  <c r="D32" i="14"/>
  <c r="J32" i="14" s="1"/>
  <c r="C32" i="14"/>
  <c r="B32" i="14"/>
  <c r="I30" i="14"/>
  <c r="H30" i="14"/>
  <c r="G30" i="14"/>
  <c r="F30" i="14"/>
  <c r="E30" i="14"/>
  <c r="D30" i="14"/>
  <c r="J30" i="14" s="1"/>
  <c r="C30" i="14"/>
  <c r="B30" i="14"/>
  <c r="I28" i="14"/>
  <c r="H28" i="14"/>
  <c r="G28" i="14"/>
  <c r="F28" i="14"/>
  <c r="E28" i="14"/>
  <c r="D28" i="14"/>
  <c r="J28" i="14" s="1"/>
  <c r="C28" i="14"/>
  <c r="B28" i="14"/>
  <c r="I26" i="14"/>
  <c r="H26" i="14"/>
  <c r="G26" i="14"/>
  <c r="F26" i="14"/>
  <c r="E26" i="14"/>
  <c r="D26" i="14"/>
  <c r="J26" i="14" s="1"/>
  <c r="C26" i="14"/>
  <c r="B26" i="14"/>
  <c r="I24" i="14"/>
  <c r="I25" i="14" s="1"/>
  <c r="H24" i="14"/>
  <c r="H25" i="14" s="1"/>
  <c r="G24" i="14"/>
  <c r="F24" i="14"/>
  <c r="F25" i="14" s="1"/>
  <c r="E24" i="14"/>
  <c r="E25" i="14" s="1"/>
  <c r="D24" i="14"/>
  <c r="J24" i="14" s="1"/>
  <c r="C24" i="14"/>
  <c r="B24" i="14"/>
  <c r="M9" i="14"/>
  <c r="M10" i="14" s="1"/>
  <c r="G25" i="14" l="1"/>
  <c r="G27" i="14" s="1"/>
  <c r="G29" i="14" s="1"/>
  <c r="G31" i="14" s="1"/>
  <c r="G33" i="14" s="1"/>
  <c r="G35" i="14" s="1"/>
  <c r="G37" i="14" s="1"/>
  <c r="G39" i="14" s="1"/>
  <c r="G41" i="14" s="1"/>
  <c r="G43" i="14" s="1"/>
  <c r="G45" i="14" s="1"/>
  <c r="G47" i="14" s="1"/>
  <c r="F27" i="14"/>
  <c r="F29" i="14" s="1"/>
  <c r="E27" i="14"/>
  <c r="E29" i="14" s="1"/>
  <c r="E31" i="14" s="1"/>
  <c r="E33" i="14" s="1"/>
  <c r="E35" i="14" s="1"/>
  <c r="E37" i="14" s="1"/>
  <c r="E39" i="14" s="1"/>
  <c r="E41" i="14" s="1"/>
  <c r="E43" i="14" s="1"/>
  <c r="E45" i="14" s="1"/>
  <c r="E47" i="14" s="1"/>
  <c r="I27" i="14"/>
  <c r="I29" i="14" s="1"/>
  <c r="I31" i="14" s="1"/>
  <c r="I33" i="14" s="1"/>
  <c r="I35" i="14" s="1"/>
  <c r="I37" i="14" s="1"/>
  <c r="I39" i="14" s="1"/>
  <c r="I41" i="14" s="1"/>
  <c r="I43" i="14" s="1"/>
  <c r="I45" i="14" s="1"/>
  <c r="I47" i="14" s="1"/>
  <c r="H27" i="14"/>
  <c r="H29" i="14" s="1"/>
  <c r="H31" i="14" s="1"/>
  <c r="H33" i="14" s="1"/>
  <c r="H35" i="14" s="1"/>
  <c r="H37" i="14" s="1"/>
  <c r="H39" i="14" s="1"/>
  <c r="H41" i="14" s="1"/>
  <c r="H43" i="14" s="1"/>
  <c r="H45" i="14" s="1"/>
  <c r="H47" i="14" s="1"/>
  <c r="F31" i="14" l="1"/>
  <c r="F33" i="14" l="1"/>
  <c r="F35" i="14" l="1"/>
  <c r="F37" i="14" s="1"/>
  <c r="F39" i="14" l="1"/>
  <c r="F41" i="14" l="1"/>
  <c r="F43" i="14" l="1"/>
  <c r="F45" i="14" l="1"/>
  <c r="F47" i="14" l="1"/>
  <c r="B13" i="13"/>
  <c r="B12" i="13"/>
  <c r="B6" i="13"/>
  <c r="G10" i="13"/>
  <c r="D10" i="13"/>
  <c r="D9" i="13"/>
  <c r="D8" i="13"/>
  <c r="D7" i="13"/>
  <c r="D6" i="13"/>
  <c r="D5" i="13"/>
  <c r="F4" i="13"/>
  <c r="H62" i="10"/>
  <c r="H63" i="10"/>
  <c r="H64" i="10"/>
  <c r="H61" i="10"/>
  <c r="D79" i="10"/>
  <c r="A59" i="10"/>
  <c r="E59" i="10" s="1"/>
  <c r="A60" i="10"/>
  <c r="A58" i="10"/>
  <c r="E58" i="10" s="1"/>
  <c r="A57" i="10"/>
  <c r="E57" i="10" s="1"/>
  <c r="H54" i="10"/>
  <c r="H48" i="10"/>
  <c r="H49" i="10"/>
  <c r="B114" i="1"/>
  <c r="B112" i="1"/>
  <c r="B111" i="1"/>
  <c r="B110" i="1"/>
  <c r="B109" i="1"/>
  <c r="B108" i="1"/>
  <c r="D44" i="10"/>
  <c r="H70" i="10"/>
  <c r="D87" i="10"/>
  <c r="D88" i="10"/>
  <c r="F88" i="10"/>
  <c r="D89" i="10"/>
  <c r="F89" i="10"/>
  <c r="D90" i="10"/>
  <c r="F90" i="10"/>
  <c r="D91" i="10"/>
  <c r="F91" i="10"/>
  <c r="D92" i="10"/>
  <c r="F92" i="10"/>
  <c r="D93" i="10"/>
  <c r="F93" i="10"/>
  <c r="D94" i="10"/>
  <c r="F94" i="10"/>
  <c r="D95" i="10"/>
  <c r="F95" i="10"/>
  <c r="D96" i="10"/>
  <c r="F96" i="10"/>
  <c r="D97" i="10"/>
  <c r="F97" i="10"/>
  <c r="D98" i="10"/>
  <c r="F98" i="10"/>
  <c r="N11" i="8"/>
  <c r="D21" i="8"/>
  <c r="N10" i="8"/>
  <c r="N9" i="8"/>
  <c r="N8" i="8"/>
  <c r="D20" i="8"/>
  <c r="D86" i="10"/>
  <c r="B94" i="12"/>
  <c r="B96" i="12" s="1"/>
  <c r="D120" i="2" s="1"/>
  <c r="B93" i="12"/>
  <c r="B95" i="12" s="1"/>
  <c r="F19" i="8" s="1"/>
  <c r="B86" i="12"/>
  <c r="B81" i="12"/>
  <c r="B82" i="12" s="1"/>
  <c r="B80" i="12"/>
  <c r="B65" i="12"/>
  <c r="B64" i="12"/>
  <c r="B63" i="12"/>
  <c r="B56" i="12"/>
  <c r="C56" i="12" s="1"/>
  <c r="B55" i="12"/>
  <c r="B48" i="12"/>
  <c r="B47" i="12"/>
  <c r="E37" i="12"/>
  <c r="E38" i="12"/>
  <c r="E39" i="12"/>
  <c r="E36" i="12"/>
  <c r="D43" i="12"/>
  <c r="A43" i="12"/>
  <c r="B37" i="12"/>
  <c r="B38" i="12"/>
  <c r="B39" i="12"/>
  <c r="B36" i="12"/>
  <c r="C118" i="1"/>
  <c r="D119" i="1"/>
  <c r="H67" i="10" s="1"/>
  <c r="C119" i="1"/>
  <c r="E67" i="10" s="1"/>
  <c r="E66" i="10" l="1"/>
  <c r="D118" i="1"/>
  <c r="H60" i="10"/>
  <c r="E60" i="10"/>
  <c r="I79" i="10"/>
  <c r="F44" i="10"/>
  <c r="G5" i="13"/>
  <c r="F6" i="13" s="1"/>
  <c r="D66" i="10"/>
  <c r="H65" i="10"/>
  <c r="E64" i="10"/>
  <c r="D63" i="10"/>
  <c r="I63" i="10" s="1"/>
  <c r="E63" i="10"/>
  <c r="D61" i="10"/>
  <c r="I61" i="10" s="1"/>
  <c r="E62" i="10"/>
  <c r="E61" i="10"/>
  <c r="O16" i="8"/>
  <c r="G4" i="13"/>
  <c r="G9" i="13"/>
  <c r="F10" i="13" s="1"/>
  <c r="G8" i="13"/>
  <c r="F9" i="13" s="1"/>
  <c r="G6" i="13"/>
  <c r="G7" i="13"/>
  <c r="H59" i="10"/>
  <c r="D60" i="10"/>
  <c r="H57" i="10"/>
  <c r="H58" i="10"/>
  <c r="D59" i="10"/>
  <c r="F59" i="10" s="1"/>
  <c r="D119" i="2"/>
  <c r="B68" i="12"/>
  <c r="O10" i="8" s="1"/>
  <c r="B66" i="12"/>
  <c r="B69" i="12" s="1"/>
  <c r="C58" i="12"/>
  <c r="F66" i="10" l="1"/>
  <c r="I60" i="10"/>
  <c r="H66" i="10"/>
  <c r="I66" i="10" s="1"/>
  <c r="F60" i="10"/>
  <c r="I59" i="10"/>
  <c r="F61" i="10"/>
  <c r="F63" i="10"/>
  <c r="F5" i="13"/>
  <c r="F7" i="13"/>
  <c r="F8" i="13"/>
  <c r="D110" i="2"/>
  <c r="O18" i="8" l="1"/>
  <c r="F86" i="10" s="1"/>
  <c r="C27" i="12"/>
  <c r="C88" i="2"/>
  <c r="B89" i="2" s="1"/>
  <c r="A27" i="12" s="1"/>
  <c r="B27" i="12" s="1"/>
  <c r="N7" i="8"/>
  <c r="N6" i="8"/>
  <c r="B17" i="12"/>
  <c r="B16" i="12"/>
  <c r="B15" i="12"/>
  <c r="N5" i="8"/>
  <c r="N4" i="8"/>
  <c r="B7" i="12"/>
  <c r="B6" i="12"/>
  <c r="B5" i="12"/>
  <c r="B4" i="12"/>
  <c r="B58" i="12"/>
  <c r="E43" i="12"/>
  <c r="B43" i="12"/>
  <c r="D78" i="2"/>
  <c r="E7" i="12" s="1"/>
  <c r="D69" i="2"/>
  <c r="B34" i="11"/>
  <c r="B33" i="11"/>
  <c r="E3" i="11"/>
  <c r="D105" i="2" l="1"/>
  <c r="O12" i="8"/>
  <c r="B59" i="12"/>
  <c r="F22" i="8" s="1"/>
  <c r="E8" i="12"/>
  <c r="E19" i="12"/>
  <c r="D83" i="2" s="1"/>
  <c r="O6" i="8" s="1"/>
  <c r="E10" i="12"/>
  <c r="B70" i="12"/>
  <c r="F21" i="8" s="1"/>
  <c r="E45" i="12"/>
  <c r="D102" i="2" s="1"/>
  <c r="E20" i="12"/>
  <c r="D84" i="2" s="1"/>
  <c r="B45" i="12"/>
  <c r="B50" i="12" s="1"/>
  <c r="F18" i="8" s="1"/>
  <c r="G18" i="8" s="1"/>
  <c r="B85" i="12"/>
  <c r="B88" i="12" s="1"/>
  <c r="O8" i="8" l="1"/>
  <c r="D115" i="2"/>
  <c r="O11" i="8"/>
  <c r="G20" i="8"/>
  <c r="D111" i="2"/>
  <c r="G21" i="8"/>
  <c r="O13" i="8"/>
  <c r="D106" i="2"/>
  <c r="O15" i="8"/>
  <c r="D97" i="2"/>
  <c r="O7" i="8"/>
  <c r="B79" i="2"/>
  <c r="O4" i="8"/>
  <c r="E11" i="12"/>
  <c r="F15" i="8" s="1"/>
  <c r="G15" i="8" s="1"/>
  <c r="B89" i="12"/>
  <c r="F20" i="8" s="1"/>
  <c r="O9" i="8" l="1"/>
  <c r="G19" i="8"/>
  <c r="D116" i="2"/>
  <c r="D79" i="2"/>
  <c r="O5" i="8"/>
  <c r="D27" i="12" l="1"/>
  <c r="E27" i="12" s="1"/>
  <c r="D89" i="2" l="1"/>
  <c r="O14" i="8"/>
  <c r="G16" i="8" l="1"/>
  <c r="F17" i="8"/>
  <c r="G17" i="8" s="1"/>
  <c r="B27" i="11"/>
  <c r="C23" i="11"/>
  <c r="C24" i="11"/>
  <c r="B24" i="11"/>
  <c r="B25" i="11" s="1"/>
  <c r="E17" i="11"/>
  <c r="E16" i="11"/>
  <c r="B17" i="11"/>
  <c r="B16" i="11"/>
  <c r="B7" i="11"/>
  <c r="B35" i="11" s="1"/>
  <c r="E7" i="11"/>
  <c r="E4" i="11"/>
  <c r="B11" i="11"/>
  <c r="B10" i="11"/>
  <c r="B6" i="11"/>
  <c r="D51" i="2"/>
  <c r="B4" i="11" s="1"/>
  <c r="B51" i="2"/>
  <c r="B3" i="11" s="1"/>
  <c r="B28" i="11" s="1"/>
  <c r="E35" i="11" l="1"/>
  <c r="D71" i="2" s="1"/>
  <c r="F27" i="8" s="1"/>
  <c r="C25" i="11"/>
  <c r="C29" i="11" s="1"/>
  <c r="B29" i="11"/>
  <c r="E29" i="11" s="1"/>
  <c r="F26" i="8" s="1"/>
  <c r="G26" i="8" s="1"/>
  <c r="B19" i="11"/>
  <c r="B18" i="11"/>
  <c r="D66" i="2" l="1"/>
  <c r="B20" i="11"/>
  <c r="F25" i="8" s="1"/>
  <c r="G25" i="8" s="1"/>
  <c r="B7" i="7"/>
  <c r="B7" i="9"/>
  <c r="B9" i="10"/>
  <c r="I13" i="10"/>
  <c r="F13" i="10"/>
  <c r="F12" i="10"/>
  <c r="H11" i="10"/>
  <c r="F11" i="10"/>
  <c r="G7" i="10"/>
  <c r="H6" i="10"/>
  <c r="F6" i="10"/>
  <c r="F5" i="10"/>
  <c r="I4" i="10"/>
  <c r="F4" i="10"/>
  <c r="F3" i="10"/>
  <c r="F2" i="10"/>
  <c r="B5" i="10"/>
  <c r="B12" i="10"/>
  <c r="B11" i="10"/>
  <c r="B10" i="10"/>
  <c r="B8" i="10"/>
  <c r="B7" i="10"/>
  <c r="B13" i="10"/>
  <c r="D57" i="1"/>
  <c r="D17" i="9"/>
  <c r="F4" i="9"/>
  <c r="C13" i="9" s="1"/>
  <c r="F3" i="9"/>
  <c r="B8" i="9"/>
  <c r="B3" i="9"/>
  <c r="F4" i="7"/>
  <c r="D13" i="7" s="1"/>
  <c r="B12" i="7"/>
  <c r="D26" i="1"/>
  <c r="D68" i="1"/>
  <c r="D64" i="1"/>
  <c r="B10" i="8"/>
  <c r="B9" i="8"/>
  <c r="B8" i="8"/>
  <c r="B7" i="8"/>
  <c r="F10" i="8"/>
  <c r="G10" i="8" s="1"/>
  <c r="F9" i="8"/>
  <c r="G9" i="8" s="1"/>
  <c r="F8" i="8"/>
  <c r="G8" i="8" s="1"/>
  <c r="F7" i="8"/>
  <c r="G7" i="8" s="1"/>
  <c r="D13" i="8"/>
  <c r="D12" i="8"/>
  <c r="D11" i="8"/>
  <c r="J5" i="14"/>
  <c r="P4" i="8"/>
  <c r="P5" i="8"/>
  <c r="P6" i="8"/>
  <c r="P7" i="8"/>
  <c r="P8" i="8"/>
  <c r="P9" i="8"/>
  <c r="P10" i="8"/>
  <c r="P11" i="8"/>
  <c r="P12" i="8"/>
  <c r="P13" i="8"/>
  <c r="P14" i="8"/>
  <c r="P15" i="8"/>
  <c r="P16" i="8"/>
  <c r="P18" i="8"/>
  <c r="P19" i="8"/>
  <c r="P20" i="8"/>
  <c r="P21" i="8"/>
  <c r="P22" i="8"/>
  <c r="P23" i="8"/>
  <c r="P24" i="8"/>
  <c r="P25" i="8"/>
  <c r="P26" i="8"/>
  <c r="P27" i="8"/>
  <c r="P28" i="8"/>
  <c r="P29" i="8"/>
  <c r="P30" i="8"/>
  <c r="P31" i="8"/>
  <c r="P32" i="8"/>
  <c r="P33" i="8"/>
  <c r="P34" i="8"/>
  <c r="P35" i="8"/>
  <c r="P36" i="8"/>
  <c r="P37" i="8"/>
  <c r="P38" i="8"/>
  <c r="P39" i="8"/>
  <c r="P40" i="8"/>
  <c r="P41" i="8"/>
  <c r="P42" i="8"/>
  <c r="P43" i="8"/>
  <c r="P44" i="8"/>
  <c r="P45" i="8"/>
  <c r="P46" i="8"/>
  <c r="P47" i="8"/>
  <c r="P48" i="8"/>
  <c r="P49" i="8"/>
  <c r="J3" i="8"/>
  <c r="J2" i="8"/>
  <c r="F3" i="7"/>
  <c r="B13" i="7" s="1"/>
  <c r="D18" i="7"/>
  <c r="B11" i="7"/>
  <c r="B8" i="7"/>
  <c r="B3" i="7"/>
  <c r="P3" i="6"/>
  <c r="D11" i="2"/>
  <c r="D10" i="2"/>
  <c r="D26" i="2"/>
  <c r="B26" i="2"/>
  <c r="C60" i="5"/>
  <c r="C61" i="5" s="1"/>
  <c r="B58" i="5"/>
  <c r="B57" i="5"/>
  <c r="A33" i="5"/>
  <c r="G31" i="5"/>
  <c r="H31" i="5" s="1"/>
  <c r="F31" i="5"/>
  <c r="G30" i="5"/>
  <c r="H30" i="5" s="1"/>
  <c r="F30" i="5"/>
  <c r="G29" i="5"/>
  <c r="H29" i="5" s="1"/>
  <c r="F29" i="5"/>
  <c r="G28" i="5"/>
  <c r="H28" i="5" s="1"/>
  <c r="F28" i="5"/>
  <c r="M27" i="5"/>
  <c r="L27" i="5"/>
  <c r="K27" i="5"/>
  <c r="G27" i="5"/>
  <c r="H27" i="5" s="1"/>
  <c r="F27" i="5"/>
  <c r="M26" i="5"/>
  <c r="L26" i="5"/>
  <c r="K26" i="5"/>
  <c r="G26" i="5"/>
  <c r="H26" i="5" s="1"/>
  <c r="F26" i="5"/>
  <c r="M25" i="5"/>
  <c r="L25" i="5"/>
  <c r="K25" i="5"/>
  <c r="G25" i="5"/>
  <c r="F25" i="5"/>
  <c r="M24" i="5"/>
  <c r="L24" i="5"/>
  <c r="K24" i="5"/>
  <c r="G24" i="5"/>
  <c r="F24" i="5"/>
  <c r="H24" i="5" s="1"/>
  <c r="M23" i="5"/>
  <c r="L23" i="5"/>
  <c r="K23" i="5"/>
  <c r="G23" i="5"/>
  <c r="F23" i="5"/>
  <c r="H23" i="5" s="1"/>
  <c r="M22" i="5"/>
  <c r="L22" i="5"/>
  <c r="K22" i="5"/>
  <c r="H22" i="5"/>
  <c r="G22" i="5"/>
  <c r="F22" i="5"/>
  <c r="M21" i="5"/>
  <c r="L21" i="5"/>
  <c r="K21" i="5"/>
  <c r="G21" i="5"/>
  <c r="F21" i="5"/>
  <c r="H21" i="5" s="1"/>
  <c r="M20" i="5"/>
  <c r="L20" i="5"/>
  <c r="K20" i="5"/>
  <c r="G20" i="5"/>
  <c r="H20" i="5" s="1"/>
  <c r="F20" i="5"/>
  <c r="M19" i="5"/>
  <c r="L19" i="5"/>
  <c r="K19" i="5"/>
  <c r="G19" i="5"/>
  <c r="F19" i="5"/>
  <c r="M18" i="5"/>
  <c r="L18" i="5"/>
  <c r="K18" i="5"/>
  <c r="G18" i="5"/>
  <c r="H18" i="5" s="1"/>
  <c r="F18" i="5"/>
  <c r="M17" i="5"/>
  <c r="L17" i="5"/>
  <c r="K17" i="5"/>
  <c r="G17" i="5"/>
  <c r="H17" i="5" s="1"/>
  <c r="F17" i="5"/>
  <c r="M16" i="5"/>
  <c r="L16" i="5"/>
  <c r="K16" i="5"/>
  <c r="G16" i="5"/>
  <c r="F16" i="5"/>
  <c r="H16" i="5" s="1"/>
  <c r="M15" i="5"/>
  <c r="L15" i="5"/>
  <c r="K15" i="5"/>
  <c r="G15" i="5"/>
  <c r="F15" i="5"/>
  <c r="M14" i="5"/>
  <c r="L14" i="5"/>
  <c r="K14" i="5"/>
  <c r="H14" i="5"/>
  <c r="G14" i="5"/>
  <c r="F14" i="5"/>
  <c r="K13" i="5"/>
  <c r="G13" i="5"/>
  <c r="H13" i="5" s="1"/>
  <c r="F13" i="5"/>
  <c r="K12" i="5"/>
  <c r="L12" i="5" s="1"/>
  <c r="G12" i="5"/>
  <c r="H12" i="5" s="1"/>
  <c r="F12" i="5"/>
  <c r="K11" i="5"/>
  <c r="L11" i="5" s="1"/>
  <c r="G11" i="5"/>
  <c r="H11" i="5" s="1"/>
  <c r="F11" i="5"/>
  <c r="G10" i="5"/>
  <c r="F10" i="5"/>
  <c r="H10" i="5" s="1"/>
  <c r="H9" i="5"/>
  <c r="G9" i="5"/>
  <c r="F9" i="5"/>
  <c r="D6" i="5"/>
  <c r="D94" i="1"/>
  <c r="H52" i="10" s="1"/>
  <c r="B15" i="1"/>
  <c r="H47" i="10" l="1"/>
  <c r="D89" i="1"/>
  <c r="L15" i="10"/>
  <c r="H15" i="5"/>
  <c r="F33" i="5"/>
  <c r="H19" i="5"/>
  <c r="G33" i="5"/>
  <c r="H25" i="5"/>
  <c r="D19" i="7"/>
  <c r="C60" i="1"/>
  <c r="C61" i="1" s="1"/>
  <c r="C18" i="10"/>
  <c r="K5" i="14"/>
  <c r="I77" i="10"/>
  <c r="D19" i="10"/>
  <c r="C19" i="10"/>
  <c r="D60" i="2"/>
  <c r="D7" i="7"/>
  <c r="D8" i="7" s="1"/>
  <c r="F3" i="11"/>
  <c r="F4" i="11" s="1"/>
  <c r="D35" i="10"/>
  <c r="D34" i="10"/>
  <c r="D33" i="10"/>
  <c r="D32" i="10"/>
  <c r="D31" i="10"/>
  <c r="D30" i="10"/>
  <c r="D29" i="10"/>
  <c r="D28" i="10"/>
  <c r="D27" i="10"/>
  <c r="D26" i="10"/>
  <c r="D25" i="10"/>
  <c r="D24" i="10"/>
  <c r="D23" i="10"/>
  <c r="D22" i="10"/>
  <c r="D21" i="10"/>
  <c r="D20" i="10"/>
  <c r="E35" i="10"/>
  <c r="E33" i="10"/>
  <c r="E31" i="10"/>
  <c r="E29" i="10"/>
  <c r="E27" i="10"/>
  <c r="E25" i="10"/>
  <c r="C35" i="10"/>
  <c r="C34" i="10"/>
  <c r="C33" i="10"/>
  <c r="C32" i="10"/>
  <c r="C31" i="10"/>
  <c r="C30" i="10"/>
  <c r="C29" i="10"/>
  <c r="C28" i="10"/>
  <c r="C27" i="10"/>
  <c r="C26" i="10"/>
  <c r="C25" i="10"/>
  <c r="C24" i="10"/>
  <c r="C23" i="10"/>
  <c r="C22" i="10"/>
  <c r="C21" i="10"/>
  <c r="C20" i="10"/>
  <c r="E34" i="10"/>
  <c r="E32" i="10"/>
  <c r="E30" i="10"/>
  <c r="E28" i="10"/>
  <c r="E26" i="10"/>
  <c r="E24" i="10"/>
  <c r="E23" i="10"/>
  <c r="E21" i="10"/>
  <c r="F35" i="10"/>
  <c r="F34" i="10"/>
  <c r="F33" i="10"/>
  <c r="F32" i="10"/>
  <c r="F31" i="10"/>
  <c r="F30" i="10"/>
  <c r="F29" i="10"/>
  <c r="F28" i="10"/>
  <c r="F27" i="10"/>
  <c r="F26" i="10"/>
  <c r="F25" i="10"/>
  <c r="F24" i="10"/>
  <c r="F23" i="10"/>
  <c r="F21" i="10"/>
  <c r="B13" i="9"/>
  <c r="D7" i="9"/>
  <c r="D8" i="9" s="1"/>
  <c r="C11" i="9"/>
  <c r="B19" i="9" s="1"/>
  <c r="C13" i="7"/>
  <c r="B17" i="7"/>
  <c r="E11" i="7"/>
  <c r="E13" i="7"/>
  <c r="D11" i="7"/>
  <c r="C1" i="6"/>
  <c r="A4" i="6" s="1" a="1"/>
  <c r="E31" i="6" s="1"/>
  <c r="B16" i="7"/>
  <c r="D31" i="2" s="1"/>
  <c r="F5" i="8" s="1"/>
  <c r="G5" i="8" s="1"/>
  <c r="P5" i="6"/>
  <c r="P16" i="6"/>
  <c r="P12" i="6"/>
  <c r="P8" i="6"/>
  <c r="P4" i="6"/>
  <c r="P15" i="6"/>
  <c r="P7" i="6"/>
  <c r="P14" i="6"/>
  <c r="P13" i="6"/>
  <c r="M11" i="5"/>
  <c r="H33" i="5"/>
  <c r="H35" i="5" s="1"/>
  <c r="M12" i="5"/>
  <c r="L13" i="5"/>
  <c r="M13" i="5" s="1"/>
  <c r="M28" i="5" s="1"/>
  <c r="M30" i="5" s="1"/>
  <c r="B14" i="2" l="1"/>
  <c r="F3" i="8" s="1"/>
  <c r="B78" i="1"/>
  <c r="C12" i="7"/>
  <c r="C12" i="9"/>
  <c r="B18" i="9" s="1"/>
  <c r="B12" i="9"/>
  <c r="I5" i="14"/>
  <c r="I5" i="6"/>
  <c r="L8" i="6"/>
  <c r="D14" i="6"/>
  <c r="H19" i="6"/>
  <c r="F32" i="6"/>
  <c r="B22" i="6"/>
  <c r="B13" i="6"/>
  <c r="C6" i="6"/>
  <c r="D15" i="6"/>
  <c r="K10" i="6"/>
  <c r="C16" i="6"/>
  <c r="G21" i="6"/>
  <c r="K26" i="6"/>
  <c r="C32" i="6"/>
  <c r="L27" i="6"/>
  <c r="D33" i="6"/>
  <c r="E11" i="6"/>
  <c r="I16" i="6"/>
  <c r="A22" i="6"/>
  <c r="I32" i="6"/>
  <c r="H6" i="6"/>
  <c r="I4" i="6"/>
  <c r="A6" i="6"/>
  <c r="E7" i="6"/>
  <c r="H9" i="6"/>
  <c r="D12" i="6"/>
  <c r="L14" i="6"/>
  <c r="H17" i="6"/>
  <c r="L20" i="6"/>
  <c r="L24" i="6"/>
  <c r="L6" i="6"/>
  <c r="B14" i="6"/>
  <c r="J24" i="6"/>
  <c r="F6" i="6"/>
  <c r="J15" i="6"/>
  <c r="F27" i="6"/>
  <c r="G7" i="6"/>
  <c r="L17" i="6"/>
  <c r="J31" i="6"/>
  <c r="C12" i="6"/>
  <c r="G17" i="6"/>
  <c r="K22" i="6"/>
  <c r="C28" i="6"/>
  <c r="G33" i="6"/>
  <c r="D29" i="6"/>
  <c r="H34" i="6"/>
  <c r="I12" i="6"/>
  <c r="A18" i="6"/>
  <c r="E23" i="6"/>
  <c r="I28" i="6"/>
  <c r="A34" i="6"/>
  <c r="D5" i="6"/>
  <c r="A5" i="6"/>
  <c r="E6" i="6"/>
  <c r="I7" i="6"/>
  <c r="D10" i="6"/>
  <c r="L12" i="6"/>
  <c r="H15" i="6"/>
  <c r="D18" i="6"/>
  <c r="H21" i="6"/>
  <c r="B27" i="6"/>
  <c r="H7" i="6"/>
  <c r="J16" i="6"/>
  <c r="F29" i="6"/>
  <c r="J7" i="6"/>
  <c r="F18" i="6"/>
  <c r="J32" i="6"/>
  <c r="L9" i="6"/>
  <c r="H20" i="6"/>
  <c r="C8" i="6"/>
  <c r="G13" i="6"/>
  <c r="K18" i="6"/>
  <c r="C24" i="6"/>
  <c r="G29" i="6"/>
  <c r="K34" i="6"/>
  <c r="H30" i="6"/>
  <c r="I8" i="6"/>
  <c r="A14" i="6"/>
  <c r="E19" i="6"/>
  <c r="I24" i="6"/>
  <c r="A30" i="6"/>
  <c r="L5" i="6"/>
  <c r="E4" i="6"/>
  <c r="A7" i="6"/>
  <c r="H11" i="6"/>
  <c r="L16" i="6"/>
  <c r="H23" i="6"/>
  <c r="F11" i="6"/>
  <c r="B5" i="6"/>
  <c r="J23" i="6"/>
  <c r="F26" i="6"/>
  <c r="E27" i="6"/>
  <c r="A4" i="6"/>
  <c r="E5" i="6"/>
  <c r="I6" i="6"/>
  <c r="D8" i="6"/>
  <c r="L10" i="6"/>
  <c r="H13" i="6"/>
  <c r="D16" i="6"/>
  <c r="L18" i="6"/>
  <c r="D22" i="6"/>
  <c r="J29" i="6"/>
  <c r="J8" i="6"/>
  <c r="F19" i="6"/>
  <c r="J34" i="6"/>
  <c r="F10" i="6"/>
  <c r="B21" i="6"/>
  <c r="K4" i="6"/>
  <c r="H12" i="6"/>
  <c r="D23" i="6"/>
  <c r="G9" i="6"/>
  <c r="K14" i="6"/>
  <c r="C20" i="6"/>
  <c r="G25" i="6"/>
  <c r="K30" i="6"/>
  <c r="H26" i="6"/>
  <c r="L31" i="6"/>
  <c r="A10" i="6"/>
  <c r="E15" i="6"/>
  <c r="I20" i="6"/>
  <c r="A26" i="6"/>
  <c r="D6" i="6"/>
  <c r="D4" i="6"/>
  <c r="L4" i="6"/>
  <c r="I33" i="6"/>
  <c r="E32" i="6"/>
  <c r="A31" i="6"/>
  <c r="I29" i="6"/>
  <c r="E28" i="6"/>
  <c r="A27" i="6"/>
  <c r="I25" i="6"/>
  <c r="E24" i="6"/>
  <c r="A23" i="6"/>
  <c r="I21" i="6"/>
  <c r="E20" i="6"/>
  <c r="A19" i="6"/>
  <c r="I17" i="6"/>
  <c r="E16" i="6"/>
  <c r="A15" i="6"/>
  <c r="I13" i="6"/>
  <c r="E12" i="6"/>
  <c r="A11" i="6"/>
  <c r="I9" i="6"/>
  <c r="E8" i="6"/>
  <c r="D34" i="6"/>
  <c r="L32" i="6"/>
  <c r="H31" i="6"/>
  <c r="D30" i="6"/>
  <c r="L28" i="6"/>
  <c r="H27" i="6"/>
  <c r="D26" i="6"/>
  <c r="G34" i="6"/>
  <c r="C33" i="6"/>
  <c r="K31" i="6"/>
  <c r="G30" i="6"/>
  <c r="C29" i="6"/>
  <c r="K27" i="6"/>
  <c r="G26" i="6"/>
  <c r="C25" i="6"/>
  <c r="K23" i="6"/>
  <c r="G22" i="6"/>
  <c r="C21" i="6"/>
  <c r="K19" i="6"/>
  <c r="G18" i="6"/>
  <c r="C17" i="6"/>
  <c r="K15" i="6"/>
  <c r="G14" i="6"/>
  <c r="C13" i="6"/>
  <c r="K11" i="6"/>
  <c r="G10" i="6"/>
  <c r="C9" i="6"/>
  <c r="K7" i="6"/>
  <c r="F30" i="6"/>
  <c r="D25" i="6"/>
  <c r="H22" i="6"/>
  <c r="L19" i="6"/>
  <c r="D17" i="6"/>
  <c r="H14" i="6"/>
  <c r="L11" i="6"/>
  <c r="D9" i="6"/>
  <c r="C7" i="6"/>
  <c r="K5" i="6"/>
  <c r="G4" i="6"/>
  <c r="F31" i="6"/>
  <c r="B26" i="6"/>
  <c r="B23" i="6"/>
  <c r="F20" i="6"/>
  <c r="J17" i="6"/>
  <c r="B15" i="6"/>
  <c r="F12" i="6"/>
  <c r="J9" i="6"/>
  <c r="F7" i="6"/>
  <c r="B6" i="6"/>
  <c r="J4" i="6"/>
  <c r="F33" i="6"/>
  <c r="B28" i="6"/>
  <c r="B24" i="6"/>
  <c r="F21" i="6"/>
  <c r="J18" i="6"/>
  <c r="B16" i="6"/>
  <c r="F13" i="6"/>
  <c r="J10" i="6"/>
  <c r="B8" i="6"/>
  <c r="J33" i="6"/>
  <c r="F28" i="6"/>
  <c r="D24" i="6"/>
  <c r="H5" i="6"/>
  <c r="I34" i="6"/>
  <c r="E33" i="6"/>
  <c r="A32" i="6"/>
  <c r="I30" i="6"/>
  <c r="E29" i="6"/>
  <c r="A28" i="6"/>
  <c r="I26" i="6"/>
  <c r="E25" i="6"/>
  <c r="A24" i="6"/>
  <c r="I22" i="6"/>
  <c r="E21" i="6"/>
  <c r="A20" i="6"/>
  <c r="I18" i="6"/>
  <c r="E17" i="6"/>
  <c r="A16" i="6"/>
  <c r="I14" i="6"/>
  <c r="E13" i="6"/>
  <c r="A12" i="6"/>
  <c r="I10" i="6"/>
  <c r="E9" i="6"/>
  <c r="A8" i="6"/>
  <c r="L33" i="6"/>
  <c r="H32" i="6"/>
  <c r="D31" i="6"/>
  <c r="L29" i="6"/>
  <c r="H28" i="6"/>
  <c r="D27" i="6"/>
  <c r="L25" i="6"/>
  <c r="C34" i="6"/>
  <c r="K32" i="6"/>
  <c r="G31" i="6"/>
  <c r="C30" i="6"/>
  <c r="K28" i="6"/>
  <c r="G27" i="6"/>
  <c r="C26" i="6"/>
  <c r="K24" i="6"/>
  <c r="G23" i="6"/>
  <c r="C22" i="6"/>
  <c r="K20" i="6"/>
  <c r="G19" i="6"/>
  <c r="C18" i="6"/>
  <c r="K16" i="6"/>
  <c r="G15" i="6"/>
  <c r="C14" i="6"/>
  <c r="K12" i="6"/>
  <c r="G11" i="6"/>
  <c r="C10" i="6"/>
  <c r="K8" i="6"/>
  <c r="F34" i="6"/>
  <c r="B29" i="6"/>
  <c r="H24" i="6"/>
  <c r="L21" i="6"/>
  <c r="D19" i="6"/>
  <c r="H16" i="6"/>
  <c r="L13" i="6"/>
  <c r="D11" i="6"/>
  <c r="H8" i="6"/>
  <c r="K6" i="6"/>
  <c r="G5" i="6"/>
  <c r="C4" i="6"/>
  <c r="B30" i="6"/>
  <c r="B25" i="6"/>
  <c r="F22" i="6"/>
  <c r="J19" i="6"/>
  <c r="B17" i="6"/>
  <c r="F14" i="6"/>
  <c r="J11" i="6"/>
  <c r="B9" i="6"/>
  <c r="B7" i="6"/>
  <c r="J5" i="6"/>
  <c r="F4" i="6"/>
  <c r="B32" i="6"/>
  <c r="J26" i="6"/>
  <c r="F23" i="6"/>
  <c r="J20" i="6"/>
  <c r="B18" i="6"/>
  <c r="F15" i="6"/>
  <c r="J12" i="6"/>
  <c r="B10" i="6"/>
  <c r="H4" i="6"/>
  <c r="E34" i="6"/>
  <c r="A33" i="6"/>
  <c r="I31" i="6"/>
  <c r="E30" i="6"/>
  <c r="A29" i="6"/>
  <c r="I27" i="6"/>
  <c r="E26" i="6"/>
  <c r="A25" i="6"/>
  <c r="I23" i="6"/>
  <c r="E22" i="6"/>
  <c r="A21" i="6"/>
  <c r="I19" i="6"/>
  <c r="E18" i="6"/>
  <c r="A17" i="6"/>
  <c r="I15" i="6"/>
  <c r="E14" i="6"/>
  <c r="A13" i="6"/>
  <c r="I11" i="6"/>
  <c r="E10" i="6"/>
  <c r="A9" i="6"/>
  <c r="L34" i="6"/>
  <c r="H33" i="6"/>
  <c r="D32" i="6"/>
  <c r="L30" i="6"/>
  <c r="H29" i="6"/>
  <c r="D28" i="6"/>
  <c r="L26" i="6"/>
  <c r="H25" i="6"/>
  <c r="K33" i="6"/>
  <c r="G32" i="6"/>
  <c r="C31" i="6"/>
  <c r="K29" i="6"/>
  <c r="G28" i="6"/>
  <c r="C27" i="6"/>
  <c r="K25" i="6"/>
  <c r="G24" i="6"/>
  <c r="C23" i="6"/>
  <c r="K21" i="6"/>
  <c r="G20" i="6"/>
  <c r="C19" i="6"/>
  <c r="K17" i="6"/>
  <c r="G16" i="6"/>
  <c r="C15" i="6"/>
  <c r="K13" i="6"/>
  <c r="G12" i="6"/>
  <c r="C11" i="6"/>
  <c r="K9" i="6"/>
  <c r="G8" i="6"/>
  <c r="B33" i="6"/>
  <c r="J27" i="6"/>
  <c r="L23" i="6"/>
  <c r="D21" i="6"/>
  <c r="H18" i="6"/>
  <c r="L15" i="6"/>
  <c r="D13" i="6"/>
  <c r="H10" i="6"/>
  <c r="L7" i="6"/>
  <c r="G6" i="6"/>
  <c r="C5" i="6"/>
  <c r="B34" i="6"/>
  <c r="J28" i="6"/>
  <c r="F24" i="6"/>
  <c r="J21" i="6"/>
  <c r="B19" i="6"/>
  <c r="F16" i="6"/>
  <c r="J13" i="6"/>
  <c r="B11" i="6"/>
  <c r="F8" i="6"/>
  <c r="J6" i="6"/>
  <c r="F5" i="6"/>
  <c r="B4" i="6"/>
  <c r="J30" i="6"/>
  <c r="F25" i="6"/>
  <c r="J22" i="6"/>
  <c r="B20" i="6"/>
  <c r="F17" i="6"/>
  <c r="J14" i="6"/>
  <c r="B12" i="6"/>
  <c r="F9" i="6"/>
  <c r="D7" i="6"/>
  <c r="B31" i="6"/>
  <c r="J25" i="6"/>
  <c r="L22" i="6"/>
  <c r="D20" i="6"/>
  <c r="B23" i="7"/>
  <c r="D12" i="7"/>
  <c r="B20" i="7" s="1"/>
  <c r="E12" i="7"/>
  <c r="B22" i="7" s="1"/>
  <c r="B21" i="7"/>
  <c r="P11" i="6"/>
  <c r="P10" i="6"/>
  <c r="P6" i="6"/>
  <c r="P9" i="6"/>
  <c r="L28" i="5"/>
  <c r="L30" i="5" s="1"/>
  <c r="L9" i="14" l="1"/>
  <c r="G3" i="8"/>
  <c r="F18" i="10"/>
  <c r="B8" i="11"/>
  <c r="H4" i="9"/>
  <c r="B11" i="9"/>
  <c r="B17" i="9" s="1"/>
  <c r="D18" i="9" s="1"/>
  <c r="F23" i="8" s="1"/>
  <c r="C11" i="7"/>
  <c r="B18" i="7" s="1"/>
  <c r="B9" i="11"/>
  <c r="E12" i="9"/>
  <c r="B46" i="2" s="1"/>
  <c r="D40" i="1"/>
  <c r="D39" i="1"/>
  <c r="B52" i="1" s="1"/>
  <c r="L12" i="14" l="1"/>
  <c r="K25" i="14"/>
  <c r="L25" i="14" s="1"/>
  <c r="M25" i="14" s="1"/>
  <c r="N25" i="14" s="1"/>
  <c r="O24" i="14" s="1"/>
  <c r="I9" i="14" s="1"/>
  <c r="K27" i="14"/>
  <c r="L27" i="14" s="1"/>
  <c r="M27" i="14" s="1"/>
  <c r="N27" i="14" s="1"/>
  <c r="K29" i="14"/>
  <c r="L29" i="14" s="1"/>
  <c r="M29" i="14" s="1"/>
  <c r="N29" i="14" s="1"/>
  <c r="K31" i="14"/>
  <c r="L31" i="14" s="1"/>
  <c r="M31" i="14" s="1"/>
  <c r="N31" i="14" s="1"/>
  <c r="K33" i="14"/>
  <c r="L33" i="14" s="1"/>
  <c r="M33" i="14" s="1"/>
  <c r="N33" i="14" s="1"/>
  <c r="K37" i="14"/>
  <c r="L37" i="14" s="1"/>
  <c r="M37" i="14" s="1"/>
  <c r="N37" i="14" s="1"/>
  <c r="K35" i="14"/>
  <c r="L35" i="14" s="1"/>
  <c r="M35" i="14" s="1"/>
  <c r="N35" i="14" s="1"/>
  <c r="K39" i="14"/>
  <c r="L39" i="14" s="1"/>
  <c r="M39" i="14" s="1"/>
  <c r="N39" i="14" s="1"/>
  <c r="K41" i="14"/>
  <c r="L41" i="14" s="1"/>
  <c r="M41" i="14" s="1"/>
  <c r="N41" i="14" s="1"/>
  <c r="K43" i="14"/>
  <c r="L43" i="14" s="1"/>
  <c r="M43" i="14" s="1"/>
  <c r="N43" i="14" s="1"/>
  <c r="K45" i="14"/>
  <c r="L45" i="14" s="1"/>
  <c r="M45" i="14" s="1"/>
  <c r="N45" i="14" s="1"/>
  <c r="K47" i="14"/>
  <c r="L47" i="14" s="1"/>
  <c r="M47" i="14" s="1"/>
  <c r="N47" i="14" s="1"/>
  <c r="D69" i="1"/>
  <c r="B16" i="9"/>
  <c r="B19" i="7"/>
  <c r="D23" i="8"/>
  <c r="D46" i="2"/>
  <c r="G22" i="8"/>
  <c r="C69" i="1"/>
  <c r="C70" i="1" s="1"/>
  <c r="H5" i="15" s="1"/>
  <c r="C65" i="1"/>
  <c r="C66" i="1" s="1"/>
  <c r="D58" i="1"/>
  <c r="D65" i="1"/>
  <c r="D3" i="8"/>
  <c r="D18" i="10" s="1"/>
  <c r="D37" i="10" s="1"/>
  <c r="H5" i="14" s="1"/>
  <c r="B13" i="2"/>
  <c r="B41" i="1"/>
  <c r="D78" i="1" l="1"/>
  <c r="I44" i="10" s="1"/>
  <c r="O44" i="14"/>
  <c r="O28" i="14"/>
  <c r="O40" i="14"/>
  <c r="O32" i="14"/>
  <c r="O38" i="14"/>
  <c r="O34" i="14"/>
  <c r="O42" i="14"/>
  <c r="O36" i="14"/>
  <c r="O26" i="14"/>
  <c r="O46" i="14"/>
  <c r="O30" i="14"/>
  <c r="D42" i="1"/>
  <c r="B43" i="1" s="1"/>
  <c r="B16" i="2" s="1"/>
  <c r="E14" i="8" s="1"/>
  <c r="F14" i="8" s="1"/>
  <c r="G14" i="8" s="1"/>
  <c r="B5" i="11"/>
  <c r="E9" i="11" s="1"/>
  <c r="D53" i="2"/>
  <c r="I11" i="14" l="1"/>
  <c r="E6" i="8"/>
  <c r="F6" i="8" s="1"/>
  <c r="G6" i="8" s="1"/>
  <c r="G27" i="8"/>
  <c r="D18" i="2"/>
  <c r="L5" i="14"/>
  <c r="D127" i="1" s="1"/>
  <c r="I76" i="10" s="1"/>
  <c r="I10" i="14"/>
  <c r="I12" i="14"/>
  <c r="B100" i="1"/>
  <c r="D58" i="10" s="1"/>
  <c r="B99" i="1"/>
  <c r="D57" i="10" s="1"/>
  <c r="I17" i="14"/>
  <c r="I20" i="14"/>
  <c r="I14" i="14"/>
  <c r="I16" i="14"/>
  <c r="I18" i="14"/>
  <c r="I15" i="14"/>
  <c r="I19" i="14"/>
  <c r="I13" i="14"/>
  <c r="D21" i="2"/>
  <c r="E13" i="8" s="1"/>
  <c r="B15" i="2"/>
  <c r="B14" i="10"/>
  <c r="G5" i="15"/>
  <c r="F4" i="8"/>
  <c r="G4" i="8" s="1"/>
  <c r="L10" i="14"/>
  <c r="D13" i="2"/>
  <c r="E10" i="11"/>
  <c r="E11" i="11" s="1"/>
  <c r="F24" i="8" s="1"/>
  <c r="G24" i="8" s="1"/>
  <c r="J5" i="8"/>
  <c r="I57" i="10" l="1"/>
  <c r="F57" i="10"/>
  <c r="F58" i="10"/>
  <c r="I58" i="10"/>
  <c r="E3" i="8"/>
  <c r="E18" i="10" s="1"/>
  <c r="D20" i="2"/>
  <c r="E12" i="8" s="1"/>
  <c r="F12" i="8" s="1"/>
  <c r="G12" i="8" s="1"/>
  <c r="D19" i="2"/>
  <c r="E11" i="8" s="1"/>
  <c r="E19" i="10"/>
  <c r="F13" i="8"/>
  <c r="G13" i="8" s="1"/>
  <c r="F19" i="10"/>
  <c r="E22" i="10"/>
  <c r="D54" i="2"/>
  <c r="G23" i="8"/>
  <c r="F11" i="8" l="1"/>
  <c r="E20" i="10"/>
  <c r="F22" i="10"/>
  <c r="G11" i="8" l="1"/>
  <c r="F1" i="8" s="1"/>
  <c r="F20" i="10"/>
  <c r="F37" i="10" s="1"/>
  <c r="B76" i="1" l="1"/>
  <c r="B129" i="1" s="1"/>
  <c r="D78" i="10" s="1"/>
  <c r="I78" i="10" s="1"/>
  <c r="B115" i="1"/>
  <c r="B113" i="1"/>
  <c r="B96" i="1"/>
  <c r="B94" i="1"/>
  <c r="B119" i="1"/>
  <c r="C78" i="1" s="1"/>
  <c r="D88" i="1"/>
  <c r="H46" i="10" s="1"/>
  <c r="L1" i="10"/>
  <c r="J17" i="8" s="1"/>
  <c r="B126" i="1" l="1"/>
  <c r="B116" i="1"/>
  <c r="B131" i="1"/>
  <c r="B85" i="1"/>
  <c r="D43" i="10" s="1"/>
  <c r="I43" i="10" s="1"/>
  <c r="B87" i="1"/>
  <c r="D45" i="10" s="1"/>
  <c r="I45" i="10" s="1"/>
  <c r="B88" i="1"/>
  <c r="D46" i="10" s="1"/>
  <c r="I46" i="10" s="1"/>
  <c r="C76" i="1"/>
  <c r="B82" i="1" s="1"/>
  <c r="B121" i="1"/>
  <c r="D70" i="10" s="1"/>
  <c r="I70" i="10" s="1"/>
  <c r="B89" i="1"/>
  <c r="D47" i="10" s="1"/>
  <c r="I47" i="10" s="1"/>
  <c r="B91" i="1"/>
  <c r="D49" i="10" s="1"/>
  <c r="I49" i="10" s="1"/>
  <c r="B122" i="1"/>
  <c r="D71" i="10" s="1"/>
  <c r="I71" i="10" s="1"/>
  <c r="B123" i="1"/>
  <c r="D72" i="10" s="1"/>
  <c r="I72" i="10" s="1"/>
  <c r="B132" i="1"/>
  <c r="D81" i="10" s="1"/>
  <c r="I81" i="10" s="1"/>
  <c r="B90" i="1"/>
  <c r="D48" i="10" s="1"/>
  <c r="I48" i="10" s="1"/>
  <c r="D64" i="10"/>
  <c r="F64" i="10" s="1"/>
  <c r="D62" i="10"/>
  <c r="I62" i="10" s="1"/>
  <c r="D54" i="10"/>
  <c r="I54" i="10" s="1"/>
  <c r="D52" i="10"/>
  <c r="I52" i="10" s="1"/>
  <c r="D65" i="10"/>
  <c r="I65" i="10" s="1"/>
  <c r="D80" i="10"/>
  <c r="I80" i="10" s="1"/>
  <c r="D75" i="10"/>
  <c r="I75" i="10" s="1"/>
  <c r="D67" i="10"/>
  <c r="I67" i="10" s="1"/>
  <c r="F5" i="15"/>
  <c r="G5" i="14"/>
  <c r="F62" i="10" l="1"/>
  <c r="F45" i="10"/>
  <c r="I64" i="10"/>
  <c r="I83" i="10" s="1"/>
  <c r="I100" i="10" s="1"/>
  <c r="F52" i="10"/>
  <c r="F43" i="10"/>
  <c r="F67" i="10"/>
  <c r="B125" i="1"/>
  <c r="D74" i="10" s="1"/>
  <c r="F74" i="10" s="1"/>
  <c r="B124" i="1"/>
  <c r="D73" i="10" s="1"/>
  <c r="F73" i="10" s="1"/>
  <c r="D40" i="10"/>
  <c r="F40" i="10" s="1"/>
  <c r="F83" i="10" l="1"/>
  <c r="F84" i="10" s="1"/>
  <c r="O17" i="8" s="1"/>
  <c r="P17" i="8" s="1"/>
  <c r="L3" i="10"/>
  <c r="J19" i="8" s="1"/>
  <c r="B4" i="13"/>
  <c r="P3" i="8"/>
  <c r="F87" i="10"/>
  <c r="F100" i="10" s="1"/>
  <c r="L4" i="10" l="1"/>
  <c r="L2" i="10"/>
  <c r="J18" i="8" s="1"/>
  <c r="O1" i="8"/>
  <c r="B8" i="13"/>
  <c r="I12" i="13" s="1"/>
  <c r="I9" i="13"/>
  <c r="I4" i="13"/>
  <c r="K6" i="13"/>
  <c r="K10" i="13"/>
  <c r="K9" i="13"/>
  <c r="I10" i="13"/>
  <c r="I6" i="13"/>
  <c r="K8" i="13"/>
  <c r="K5" i="13"/>
  <c r="I7" i="13"/>
  <c r="K7" i="13"/>
  <c r="I8" i="13"/>
  <c r="I5" i="13"/>
  <c r="F102" i="10"/>
  <c r="I114" i="10" s="1"/>
  <c r="L5" i="10"/>
  <c r="I13" i="13" l="1"/>
  <c r="B9" i="13" s="1"/>
  <c r="K4" i="13"/>
  <c r="I11" i="13"/>
  <c r="I15" i="13" s="1"/>
  <c r="D126" i="2" s="1"/>
  <c r="L6" i="10"/>
  <c r="J20" i="8" s="1"/>
  <c r="L7" i="10"/>
  <c r="J21" i="8" s="1"/>
  <c r="H106" i="10"/>
  <c r="H114" i="10"/>
  <c r="B10" i="13"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A16" authorId="0" shapeId="0" xr:uid="{00000000-0006-0000-0000-000001000000}">
      <text>
        <r>
          <rPr>
            <b/>
            <sz val="9"/>
            <color indexed="81"/>
            <rFont val="Tahoma"/>
            <family val="2"/>
          </rPr>
          <t>Sandrine MORALES:</t>
        </r>
        <r>
          <rPr>
            <sz val="9"/>
            <color indexed="81"/>
            <rFont val="Tahoma"/>
            <family val="2"/>
          </rPr>
          <t xml:space="preserve">
En fonction du type contrat CDD/CDI</t>
        </r>
      </text>
    </comment>
    <comment ref="A19" authorId="0" shapeId="0" xr:uid="{00000000-0006-0000-0000-000002000000}">
      <text>
        <r>
          <rPr>
            <b/>
            <sz val="9"/>
            <color indexed="81"/>
            <rFont val="Tahoma"/>
            <family val="2"/>
          </rPr>
          <t>Sandrine MORALES:</t>
        </r>
        <r>
          <rPr>
            <sz val="9"/>
            <color indexed="81"/>
            <rFont val="Tahoma"/>
            <family val="2"/>
          </rPr>
          <t xml:space="preserve">
Montant de la cotisation en €uros </t>
        </r>
      </text>
    </comment>
    <comment ref="A86" authorId="1" shapeId="0" xr:uid="{00000000-0006-0000-0000-000003000000}">
      <text>
        <r>
          <rPr>
            <b/>
            <sz val="9"/>
            <color indexed="81"/>
            <rFont val="Tahoma"/>
            <family val="2"/>
          </rPr>
          <t>cl104188:</t>
        </r>
        <r>
          <rPr>
            <sz val="9"/>
            <color indexed="81"/>
            <rFont val="Tahoma"/>
            <family val="2"/>
          </rPr>
          <t xml:space="preserve">
Limité à la tranche 1 </t>
        </r>
      </text>
    </comment>
    <comment ref="A90" authorId="1" shapeId="0" xr:uid="{00000000-0006-0000-0000-000004000000}">
      <text>
        <r>
          <rPr>
            <b/>
            <sz val="9"/>
            <color indexed="81"/>
            <rFont val="Tahoma"/>
            <family val="2"/>
          </rPr>
          <t>cl104188:</t>
        </r>
        <r>
          <rPr>
            <sz val="9"/>
            <color indexed="81"/>
            <rFont val="Tahoma"/>
            <family val="2"/>
          </rPr>
          <t xml:space="preserve">
Cotisation patronale de la complémentaire santé + Cotisation patronale de la complémentaire décés 
</t>
        </r>
      </text>
    </comment>
    <comment ref="A94" authorId="1" shapeId="0" xr:uid="{00000000-0006-0000-0000-000005000000}">
      <text>
        <r>
          <rPr>
            <b/>
            <sz val="9"/>
            <color indexed="81"/>
            <rFont val="Tahoma"/>
            <family val="2"/>
          </rPr>
          <t>cl104188:</t>
        </r>
        <r>
          <rPr>
            <sz val="9"/>
            <color indexed="81"/>
            <rFont val="Tahoma"/>
            <family val="2"/>
          </rPr>
          <t xml:space="preserve">
Limité à 4 PPS ou sup à 100% du SBRUT
</t>
        </r>
      </text>
    </comment>
    <comment ref="A99" authorId="1" shapeId="0" xr:uid="{00000000-0006-0000-0000-000006000000}">
      <text>
        <r>
          <rPr>
            <b/>
            <sz val="9"/>
            <color indexed="81"/>
            <rFont val="Tahoma"/>
            <family val="2"/>
          </rPr>
          <t>cl104188:</t>
        </r>
        <r>
          <rPr>
            <sz val="9"/>
            <color indexed="81"/>
            <rFont val="Tahoma"/>
            <family val="2"/>
          </rPr>
          <t xml:space="preserve">
Limité à 1*PSS</t>
        </r>
      </text>
    </comment>
    <comment ref="A108" authorId="1" shapeId="0" xr:uid="{00000000-0006-0000-0000-000007000000}">
      <text>
        <r>
          <rPr>
            <b/>
            <sz val="9"/>
            <color indexed="81"/>
            <rFont val="Tahoma"/>
            <family val="2"/>
          </rPr>
          <t>cl104188:</t>
        </r>
        <r>
          <rPr>
            <sz val="9"/>
            <color indexed="81"/>
            <rFont val="Tahoma"/>
            <family val="2"/>
          </rPr>
          <t xml:space="preserve">
Limité à 1*PSS</t>
        </r>
      </text>
    </comment>
    <comment ref="A121" authorId="1" shapeId="0" xr:uid="{00000000-0006-0000-0000-000008000000}">
      <text>
        <r>
          <rPr>
            <b/>
            <sz val="9"/>
            <color indexed="81"/>
            <rFont val="Tahoma"/>
            <family val="2"/>
          </rPr>
          <t>cl104188:</t>
        </r>
        <r>
          <rPr>
            <sz val="9"/>
            <color indexed="81"/>
            <rFont val="Tahoma"/>
            <family val="2"/>
          </rPr>
          <t xml:space="preserve">
2 taux en fonction du nbre de salariés</t>
        </r>
      </text>
    </comment>
    <comment ref="A130" authorId="1" shapeId="0" xr:uid="{00000000-0006-0000-0000-000009000000}">
      <text>
        <r>
          <rPr>
            <b/>
            <sz val="9"/>
            <color indexed="81"/>
            <rFont val="Tahoma"/>
            <family val="2"/>
          </rPr>
          <t>cl104188:</t>
        </r>
        <r>
          <rPr>
            <sz val="9"/>
            <color indexed="81"/>
            <rFont val="Tahoma"/>
            <family val="2"/>
          </rPr>
          <t xml:space="preserve">
Ets non assujetis à la TVA</t>
        </r>
      </text>
    </comment>
    <comment ref="A131" authorId="1" shapeId="0" xr:uid="{00000000-0006-0000-0000-00000A000000}">
      <text>
        <r>
          <rPr>
            <b/>
            <sz val="9"/>
            <color indexed="81"/>
            <rFont val="Tahoma"/>
            <family val="2"/>
          </rPr>
          <t>cl104188:</t>
        </r>
        <r>
          <rPr>
            <sz val="9"/>
            <color indexed="81"/>
            <rFont val="Tahoma"/>
            <family val="2"/>
          </rPr>
          <t xml:space="preserve">
Peut etre versé tous les trimestres ou annuelles
</t>
        </r>
      </text>
    </comment>
    <comment ref="A132" authorId="1" shapeId="0" xr:uid="{00000000-0006-0000-0000-00000B000000}">
      <text>
        <r>
          <rPr>
            <b/>
            <sz val="9"/>
            <color indexed="81"/>
            <rFont val="Tahoma"/>
            <family val="2"/>
          </rPr>
          <t>cl104188:</t>
        </r>
        <r>
          <rPr>
            <sz val="9"/>
            <color indexed="81"/>
            <rFont val="Tahoma"/>
            <family val="2"/>
          </rPr>
          <t xml:space="preserve">
Peut etre versé au trimestre ou annuelle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Sandrine MORALES</author>
  </authors>
  <commentList>
    <comment ref="A52" authorId="0" shapeId="0" xr:uid="{00000000-0006-0000-0100-00000100000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 ref="A59" authorId="0" shapeId="0" xr:uid="{00000000-0006-0000-0100-000002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A65" authorId="0" shapeId="0" xr:uid="{00000000-0006-0000-0100-000003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A66" authorId="0" shapeId="0" xr:uid="{00000000-0006-0000-0100-000004000000}">
      <text>
        <r>
          <rPr>
            <b/>
            <sz val="9"/>
            <color indexed="81"/>
            <rFont val="Tahoma"/>
            <family val="2"/>
          </rPr>
          <t>Sandrine MORALES:</t>
        </r>
        <r>
          <rPr>
            <sz val="9"/>
            <color indexed="81"/>
            <rFont val="Tahoma"/>
            <family val="2"/>
          </rPr>
          <t xml:space="preserve">
L'Ets peut parfois offrir 1 ou 2 jours de plus aux salariés, il faut donc recalculer l'ICCP </t>
        </r>
      </text>
    </comment>
    <comment ref="A69" authorId="0" shapeId="0" xr:uid="{00000000-0006-0000-0100-000005000000}">
      <text>
        <r>
          <rPr>
            <b/>
            <sz val="9"/>
            <color indexed="81"/>
            <rFont val="Tahoma"/>
            <family val="2"/>
          </rPr>
          <t>Sandrine MORALES:</t>
        </r>
        <r>
          <rPr>
            <sz val="9"/>
            <color indexed="81"/>
            <rFont val="Tahoma"/>
            <family val="2"/>
          </rPr>
          <t xml:space="preserve">
1ou 2 jours de fractionnement
</t>
        </r>
      </text>
    </comment>
    <comment ref="C69" authorId="0" shapeId="0" xr:uid="{00000000-0006-0000-0100-00000600000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C10" authorId="0" shapeId="0" xr:uid="{00000000-0006-0000-0800-000001000000}">
      <text>
        <r>
          <rPr>
            <b/>
            <sz val="9"/>
            <color indexed="81"/>
            <rFont val="Tahoma"/>
            <family val="2"/>
          </rPr>
          <t>cl104188:</t>
        </r>
        <r>
          <rPr>
            <sz val="9"/>
            <color indexed="81"/>
            <rFont val="Tahoma"/>
            <family val="2"/>
          </rPr>
          <t xml:space="preserve">
Si jour férié dans la période on le compte</t>
        </r>
      </text>
    </comment>
    <comment ref="B12" authorId="1" shapeId="0" xr:uid="{00000000-0006-0000-0800-000002000000}">
      <text>
        <r>
          <rPr>
            <b/>
            <sz val="9"/>
            <color indexed="81"/>
            <rFont val="Tahoma"/>
            <family val="2"/>
          </rPr>
          <t>Sandrine MORALES:</t>
        </r>
        <r>
          <rPr>
            <sz val="9"/>
            <color indexed="81"/>
            <rFont val="Tahoma"/>
            <family val="2"/>
          </rPr>
          <t xml:space="preserve">
Nbre de jours ouvrés * Nbre d'heures de travail effectif
On compte aussi les jours fériés</t>
        </r>
      </text>
    </comment>
    <comment ref="A16" authorId="1" shapeId="0" xr:uid="{00000000-0006-0000-0800-000003000000}">
      <text>
        <r>
          <rPr>
            <b/>
            <sz val="9"/>
            <color indexed="81"/>
            <rFont val="Tahoma"/>
            <family val="2"/>
          </rPr>
          <t>Sandrine MORALES:</t>
        </r>
        <r>
          <rPr>
            <sz val="9"/>
            <color indexed="81"/>
            <rFont val="Tahoma"/>
            <family val="2"/>
          </rPr>
          <t xml:space="preserve">
Méthode qui a fait JURISPRUDENCE3
(h ABS * SB ) / h réèlles</t>
        </r>
      </text>
    </comment>
    <comment ref="D16" authorId="1" shapeId="0" xr:uid="{00000000-0006-0000-0800-000004000000}">
      <text>
        <r>
          <rPr>
            <b/>
            <sz val="9"/>
            <color indexed="81"/>
            <rFont val="Tahoma"/>
            <family val="2"/>
          </rPr>
          <t>Sandrine MORALES:</t>
        </r>
        <r>
          <rPr>
            <sz val="9"/>
            <color indexed="81"/>
            <rFont val="Tahoma"/>
            <family val="2"/>
          </rPr>
          <t xml:space="preserve">
( J ABS/ J Mois ( ouvrés ou ouvrables - réèls ou moyen ) ) * salaire Brut </t>
        </r>
      </text>
    </comment>
    <comment ref="A17" authorId="0" shapeId="0" xr:uid="{00000000-0006-0000-0800-000005000000}">
      <text>
        <r>
          <rPr>
            <b/>
            <sz val="9"/>
            <color indexed="81"/>
            <rFont val="Tahoma"/>
            <family val="2"/>
          </rPr>
          <t>cl104188:</t>
        </r>
        <r>
          <rPr>
            <sz val="9"/>
            <color indexed="81"/>
            <rFont val="Tahoma"/>
            <family val="2"/>
          </rPr>
          <t xml:space="preserve">
(h abs * SB ) / h mensuel moyen -&gt; 35h =151,67)</t>
        </r>
      </text>
    </comment>
    <comment ref="A18" authorId="0" shapeId="0" xr:uid="{00000000-0006-0000-0800-000006000000}">
      <text>
        <r>
          <rPr>
            <b/>
            <sz val="9"/>
            <color indexed="81"/>
            <rFont val="Tahoma"/>
            <family val="2"/>
          </rPr>
          <t>cl104188:</t>
        </r>
        <r>
          <rPr>
            <sz val="9"/>
            <color indexed="81"/>
            <rFont val="Tahoma"/>
            <family val="2"/>
          </rPr>
          <t xml:space="preserve">
(j abs * SB ) / nbre jours réèls</t>
        </r>
      </text>
    </comment>
    <comment ref="A19" authorId="0" shapeId="0" xr:uid="{00000000-0006-0000-0800-000007000000}">
      <text>
        <r>
          <rPr>
            <b/>
            <sz val="9"/>
            <color indexed="81"/>
            <rFont val="Tahoma"/>
            <family val="2"/>
          </rPr>
          <t>cl104188:</t>
        </r>
        <r>
          <rPr>
            <sz val="9"/>
            <color indexed="81"/>
            <rFont val="Tahoma"/>
            <family val="2"/>
          </rPr>
          <t xml:space="preserve">
(j abs * SB) / nbre jours moyen (35h-&gt;21,67)
</t>
        </r>
      </text>
    </comment>
    <comment ref="A20" authorId="0" shapeId="0" xr:uid="{00000000-0006-0000-0800-000008000000}">
      <text>
        <r>
          <rPr>
            <b/>
            <sz val="9"/>
            <color indexed="81"/>
            <rFont val="Tahoma"/>
            <family val="2"/>
          </rPr>
          <t>cl104188:</t>
        </r>
        <r>
          <rPr>
            <sz val="9"/>
            <color indexed="81"/>
            <rFont val="Tahoma"/>
            <family val="2"/>
          </rPr>
          <t xml:space="preserve">
( J abs * SB ) / j ouvrables réèls</t>
        </r>
      </text>
    </comment>
    <comment ref="A21" authorId="0" shapeId="0" xr:uid="{00000000-0006-0000-0800-000009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10" authorId="0" shapeId="0" xr:uid="{00000000-0006-0000-0900-000001000000}">
      <text>
        <r>
          <rPr>
            <b/>
            <sz val="9"/>
            <color indexed="81"/>
            <rFont val="Tahoma"/>
            <family val="2"/>
          </rPr>
          <t>cl104188:</t>
        </r>
        <r>
          <rPr>
            <sz val="9"/>
            <color indexed="81"/>
            <rFont val="Tahoma"/>
            <family val="2"/>
          </rPr>
          <t xml:space="preserve">
Si jour férié dans la période on le compte</t>
        </r>
      </text>
    </comment>
    <comment ref="D15" authorId="1" shapeId="0" xr:uid="{00000000-0006-0000-0900-000002000000}">
      <text>
        <r>
          <rPr>
            <b/>
            <sz val="9"/>
            <color indexed="81"/>
            <rFont val="Tahoma"/>
            <family val="2"/>
          </rPr>
          <t>Sandrine MORALES:</t>
        </r>
        <r>
          <rPr>
            <sz val="9"/>
            <color indexed="81"/>
            <rFont val="Tahoma"/>
            <family val="2"/>
          </rPr>
          <t xml:space="preserve">
( J ABS/ J Mois ( ouvrés ou ouvrables - réèls ou moyen ) ) * salaire Brut </t>
        </r>
      </text>
    </comment>
    <comment ref="A16" authorId="0" shapeId="0" xr:uid="{00000000-0006-0000-0900-000003000000}">
      <text>
        <r>
          <rPr>
            <b/>
            <sz val="9"/>
            <color indexed="81"/>
            <rFont val="Tahoma"/>
            <family val="2"/>
          </rPr>
          <t>cl104188:</t>
        </r>
        <r>
          <rPr>
            <sz val="9"/>
            <color indexed="81"/>
            <rFont val="Tahoma"/>
            <family val="2"/>
          </rPr>
          <t xml:space="preserve">
(j abs * SB ) / nbre jours réèls</t>
        </r>
      </text>
    </comment>
    <comment ref="A17" authorId="0" shapeId="0" xr:uid="{00000000-0006-0000-0900-000004000000}">
      <text>
        <r>
          <rPr>
            <b/>
            <sz val="9"/>
            <color indexed="81"/>
            <rFont val="Tahoma"/>
            <family val="2"/>
          </rPr>
          <t>cl104188:</t>
        </r>
        <r>
          <rPr>
            <sz val="9"/>
            <color indexed="81"/>
            <rFont val="Tahoma"/>
            <family val="2"/>
          </rPr>
          <t xml:space="preserve">
(j abs * SB) / nbre jours moyen (35h-&gt;21,67)
</t>
        </r>
      </text>
    </comment>
    <comment ref="A18" authorId="0" shapeId="0" xr:uid="{00000000-0006-0000-0900-000005000000}">
      <text>
        <r>
          <rPr>
            <b/>
            <sz val="9"/>
            <color indexed="81"/>
            <rFont val="Tahoma"/>
            <family val="2"/>
          </rPr>
          <t>cl104188:</t>
        </r>
        <r>
          <rPr>
            <sz val="9"/>
            <color indexed="81"/>
            <rFont val="Tahoma"/>
            <family val="2"/>
          </rPr>
          <t xml:space="preserve">
( J abs * SB ) / j ouvrables réèls</t>
        </r>
      </text>
    </comment>
    <comment ref="A19" authorId="0" shapeId="0" xr:uid="{00000000-0006-0000-09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A1" authorId="0" shapeId="0" xr:uid="{00000000-0006-0000-0A00-000001000000}">
      <text>
        <r>
          <rPr>
            <b/>
            <sz val="9"/>
            <color indexed="81"/>
            <rFont val="Tahoma"/>
            <family val="2"/>
          </rPr>
          <t>Sandrine MORALES:</t>
        </r>
        <r>
          <rPr>
            <sz val="9"/>
            <color indexed="81"/>
            <rFont val="Tahoma"/>
            <family val="2"/>
          </rPr>
          <t xml:space="preserve">
Période acquisition : 01/06 -&gt; 31/05
Règle générale de calcul : Ouvrables moyen</t>
        </r>
      </text>
    </comment>
    <comment ref="D9" authorId="0" shapeId="0" xr:uid="{00000000-0006-0000-0A00-000002000000}">
      <text>
        <r>
          <rPr>
            <b/>
            <sz val="9"/>
            <color indexed="81"/>
            <rFont val="Tahoma"/>
            <family val="2"/>
          </rPr>
          <t>Sandrine MORALES:</t>
        </r>
        <r>
          <rPr>
            <sz val="9"/>
            <color indexed="81"/>
            <rFont val="Tahoma"/>
            <family val="2"/>
          </rPr>
          <t xml:space="preserve">
( J ABS CP / J Mois ( ouvrés ou ouvrables - réèls ou moyen ) ) * salaire Brut </t>
        </r>
      </text>
    </comment>
    <comment ref="B16" authorId="1" shapeId="0" xr:uid="{00000000-0006-0000-0A00-000003000000}">
      <text>
        <r>
          <rPr>
            <b/>
            <sz val="9"/>
            <color indexed="81"/>
            <rFont val="Tahoma"/>
            <family val="2"/>
          </rPr>
          <t>cl104188:</t>
        </r>
        <r>
          <rPr>
            <sz val="9"/>
            <color indexed="81"/>
            <rFont val="Tahoma"/>
            <family val="2"/>
          </rPr>
          <t xml:space="preserve">
ICCP déjà percus</t>
        </r>
      </text>
    </comment>
    <comment ref="B17" authorId="1" shapeId="0" xr:uid="{00000000-0006-0000-0A00-000004000000}">
      <text>
        <r>
          <rPr>
            <b/>
            <sz val="9"/>
            <color indexed="81"/>
            <rFont val="Tahoma"/>
            <family val="2"/>
          </rPr>
          <t>cl104188:</t>
        </r>
        <r>
          <rPr>
            <sz val="9"/>
            <color indexed="81"/>
            <rFont val="Tahoma"/>
            <family val="2"/>
          </rPr>
          <t xml:space="preserve">
Nbre de jours de CP restant</t>
        </r>
      </text>
    </comment>
    <comment ref="A24" authorId="0" shapeId="0" xr:uid="{00000000-0006-0000-0A00-000005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C24" authorId="1" shapeId="0" xr:uid="{00000000-0006-0000-0A00-000006000000}">
      <text>
        <r>
          <rPr>
            <b/>
            <sz val="9"/>
            <color indexed="81"/>
            <rFont val="Tahoma"/>
            <family val="2"/>
          </rPr>
          <t>cl104188:</t>
        </r>
        <r>
          <rPr>
            <sz val="9"/>
            <color indexed="81"/>
            <rFont val="Tahoma"/>
            <family val="2"/>
          </rPr>
          <t xml:space="preserve">
Prendre le salaire brut de M-1 </t>
        </r>
      </text>
    </comment>
    <comment ref="B28" authorId="1" shapeId="0" xr:uid="{00000000-0006-0000-0A00-000007000000}">
      <text>
        <r>
          <rPr>
            <b/>
            <sz val="9"/>
            <color indexed="81"/>
            <rFont val="Tahoma"/>
            <family val="2"/>
          </rPr>
          <t>cl104188:</t>
        </r>
        <r>
          <rPr>
            <sz val="9"/>
            <color indexed="81"/>
            <rFont val="Tahoma"/>
            <family val="2"/>
          </rPr>
          <t xml:space="preserve">
Si ouvrés alors 25 ; si ouvrables alors 30
</t>
        </r>
      </text>
    </comment>
    <comment ref="A31" authorId="0" shapeId="0" xr:uid="{00000000-0006-0000-0A00-000008000000}">
      <text>
        <r>
          <rPr>
            <b/>
            <sz val="9"/>
            <color indexed="81"/>
            <rFont val="Tahoma"/>
            <family val="2"/>
          </rPr>
          <t>Sandrine MORALES:</t>
        </r>
        <r>
          <rPr>
            <sz val="9"/>
            <color indexed="81"/>
            <rFont val="Tahoma"/>
            <family val="2"/>
          </rPr>
          <t xml:space="preserve">
Droit au jours de fractionnement : 
- 12 jours consécutifs pendant la période du 01/05/N au 31/10/N
- prise de cp pendant période du 01/11/N au 30/04/N+1 : si 6 jours consécutifs alors + 2 jours : si 3 à 5 jours consécutifs alors + 1 jour</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5" authorId="0" shapeId="0" xr:uid="{00000000-0006-0000-0B00-000001000000}">
      <text>
        <r>
          <rPr>
            <b/>
            <sz val="9"/>
            <color indexed="81"/>
            <rFont val="Tahoma"/>
            <family val="2"/>
          </rPr>
          <t>cl104188:</t>
        </r>
        <r>
          <rPr>
            <sz val="9"/>
            <color indexed="81"/>
            <rFont val="Tahoma"/>
            <family val="2"/>
          </rPr>
          <t xml:space="preserve">
Valeur en € du ticket resto donné par l'employeur</t>
        </r>
      </text>
    </comment>
    <comment ref="B6" authorId="0" shapeId="0" xr:uid="{00000000-0006-0000-0B00-000002000000}">
      <text>
        <r>
          <rPr>
            <b/>
            <sz val="9"/>
            <color indexed="81"/>
            <rFont val="Tahoma"/>
            <family val="2"/>
          </rPr>
          <t>cl104188:</t>
        </r>
        <r>
          <rPr>
            <sz val="9"/>
            <color indexed="81"/>
            <rFont val="Tahoma"/>
            <family val="2"/>
          </rPr>
          <t xml:space="preserve">
Valeur transmis par les Impôts</t>
        </r>
      </text>
    </comment>
    <comment ref="B7" authorId="0" shapeId="0" xr:uid="{00000000-0006-0000-0B00-000003000000}">
      <text>
        <r>
          <rPr>
            <b/>
            <sz val="9"/>
            <color indexed="81"/>
            <rFont val="Tahoma"/>
            <family val="2"/>
          </rPr>
          <t>cl104188:</t>
        </r>
        <r>
          <rPr>
            <sz val="9"/>
            <color indexed="81"/>
            <rFont val="Tahoma"/>
            <family val="2"/>
          </rPr>
          <t xml:space="preserve">
En règle générale 40% pour la part salariale et 60% pour la part patronale</t>
        </r>
      </text>
    </comment>
    <comment ref="E8" authorId="1" shapeId="0" xr:uid="{00000000-0006-0000-0B00-000004000000}">
      <text>
        <r>
          <rPr>
            <b/>
            <sz val="9"/>
            <color indexed="81"/>
            <rFont val="Tahoma"/>
            <family val="2"/>
          </rPr>
          <t>Sandrine MORALES:</t>
        </r>
        <r>
          <rPr>
            <sz val="9"/>
            <color indexed="81"/>
            <rFont val="Tahoma"/>
            <family val="2"/>
          </rPr>
          <t xml:space="preserve">
si % de PP &gt; Valeur maxi de la PP du TR ALORS  on doit remonter en haut du bulletin la différence entre : 60 % VALEUR FACIALE - VALEUR MAXI DE LA PP DU TR</t>
        </r>
      </text>
    </comment>
    <comment ref="A10" authorId="0" shapeId="0" xr:uid="{00000000-0006-0000-0B00-000005000000}">
      <text>
        <r>
          <rPr>
            <b/>
            <sz val="9"/>
            <color indexed="81"/>
            <rFont val="Tahoma"/>
            <family val="2"/>
          </rPr>
          <t>cl104188:</t>
        </r>
        <r>
          <rPr>
            <sz val="9"/>
            <color indexed="81"/>
            <rFont val="Tahoma"/>
            <family val="2"/>
          </rPr>
          <t xml:space="preserve">
Nbre de jours * Valeur faciale * Part salariale en %
</t>
        </r>
      </text>
    </comment>
    <comment ref="B16" authorId="0" shapeId="0" xr:uid="{00000000-0006-0000-0B00-000006000000}">
      <text>
        <r>
          <rPr>
            <b/>
            <sz val="9"/>
            <color indexed="81"/>
            <rFont val="Tahoma"/>
            <family val="2"/>
          </rPr>
          <t>cl104188:</t>
        </r>
        <r>
          <rPr>
            <sz val="9"/>
            <color indexed="81"/>
            <rFont val="Tahoma"/>
            <family val="2"/>
          </rPr>
          <t xml:space="preserve">
Valeur transmise par les impôts</t>
        </r>
      </text>
    </comment>
    <comment ref="A19" authorId="0" shapeId="0" xr:uid="{00000000-0006-0000-0B00-000007000000}">
      <text>
        <r>
          <rPr>
            <b/>
            <sz val="9"/>
            <color indexed="81"/>
            <rFont val="Tahoma"/>
            <family val="2"/>
          </rPr>
          <t>cl104188:</t>
        </r>
        <r>
          <rPr>
            <sz val="9"/>
            <color indexed="81"/>
            <rFont val="Tahoma"/>
            <family val="2"/>
          </rPr>
          <t xml:space="preserve">
nbre de jours * part salariale
</t>
        </r>
      </text>
    </comment>
    <comment ref="A20" authorId="1" shapeId="0" xr:uid="{00000000-0006-0000-0B00-000008000000}">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A26" authorId="0" shapeId="0" xr:uid="{00000000-0006-0000-0B00-000009000000}">
      <text>
        <r>
          <rPr>
            <b/>
            <sz val="9"/>
            <color indexed="81"/>
            <rFont val="Tahoma"/>
            <family val="2"/>
          </rPr>
          <t>cl104188:</t>
        </r>
        <r>
          <rPr>
            <sz val="9"/>
            <color indexed="81"/>
            <rFont val="Tahoma"/>
            <family val="2"/>
          </rPr>
          <t xml:space="preserve">
Déduire les absences , rajouter les ICCP, primes …  soit le salaire brut total avant avantage en nature logement et autres avantages en nature ( repas )
</t>
        </r>
      </text>
    </comment>
    <comment ref="H36" authorId="1" shapeId="0" xr:uid="{00000000-0006-0000-0B00-00000A000000}">
      <text>
        <r>
          <rPr>
            <b/>
            <sz val="9"/>
            <color indexed="81"/>
            <rFont val="Tahoma"/>
            <family val="2"/>
          </rPr>
          <t>Sandrine MORALES:</t>
        </r>
        <r>
          <rPr>
            <sz val="9"/>
            <color indexed="81"/>
            <rFont val="Tahoma"/>
            <family val="2"/>
          </rPr>
          <t xml:space="preserve">
REEL on prends en compte l'assurance et les frais divers
</t>
        </r>
      </text>
    </comment>
    <comment ref="H38" authorId="1" shapeId="0" xr:uid="{00000000-0006-0000-0B00-00000B000000}">
      <text>
        <r>
          <rPr>
            <b/>
            <sz val="9"/>
            <color indexed="81"/>
            <rFont val="Tahoma"/>
            <family val="2"/>
          </rPr>
          <t>Sandrine MORALES:</t>
        </r>
        <r>
          <rPr>
            <sz val="9"/>
            <color indexed="81"/>
            <rFont val="Tahoma"/>
            <family val="2"/>
          </rPr>
          <t xml:space="preserve">
Pour le forfait on ne prends que le prix d'achat du véhicule</t>
        </r>
      </text>
    </comment>
    <comment ref="A43" authorId="1" shapeId="0" xr:uid="{00000000-0006-0000-0B00-00000C000000}">
      <text>
        <r>
          <rPr>
            <b/>
            <sz val="9"/>
            <color indexed="81"/>
            <rFont val="Tahoma"/>
            <family val="2"/>
          </rPr>
          <t>Sandrine MORALES:</t>
        </r>
        <r>
          <rPr>
            <sz val="9"/>
            <color indexed="81"/>
            <rFont val="Tahoma"/>
            <family val="2"/>
          </rPr>
          <t xml:space="preserve">
Choisir sur liste déroulante</t>
        </r>
      </text>
    </comment>
    <comment ref="D43" authorId="1" shapeId="0" xr:uid="{00000000-0006-0000-0B00-00000D000000}">
      <text>
        <r>
          <rPr>
            <b/>
            <sz val="9"/>
            <color indexed="81"/>
            <rFont val="Tahoma"/>
            <family val="2"/>
          </rPr>
          <t>Sandrine MORALES:</t>
        </r>
        <r>
          <rPr>
            <sz val="9"/>
            <color indexed="81"/>
            <rFont val="Tahoma"/>
            <family val="2"/>
          </rPr>
          <t xml:space="preserve">
Choisir sur liste déroulante</t>
        </r>
      </text>
    </comment>
    <comment ref="H43" authorId="1" shapeId="0" xr:uid="{00000000-0006-0000-0B00-00000E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H44" authorId="1" shapeId="0" xr:uid="{00000000-0006-0000-0B00-00000F000000}">
      <text>
        <r>
          <rPr>
            <b/>
            <sz val="9"/>
            <color indexed="81"/>
            <rFont val="Tahoma"/>
            <family val="2"/>
          </rPr>
          <t>Sandrine MORALES:</t>
        </r>
        <r>
          <rPr>
            <sz val="9"/>
            <color indexed="81"/>
            <rFont val="Tahoma"/>
            <family val="2"/>
          </rPr>
          <t xml:space="preserve">
On prends un % du cout global ( loc + assuance + frais ) que l'on ramène au mois
</t>
        </r>
      </text>
    </comment>
    <comment ref="A47" authorId="0" shapeId="0" xr:uid="{00000000-0006-0000-0B00-000010000000}">
      <text>
        <r>
          <rPr>
            <b/>
            <sz val="9"/>
            <color indexed="81"/>
            <rFont val="Tahoma"/>
            <family val="2"/>
          </rPr>
          <t>cl104188:</t>
        </r>
        <r>
          <rPr>
            <sz val="9"/>
            <color indexed="81"/>
            <rFont val="Tahoma"/>
            <family val="2"/>
          </rPr>
          <t xml:space="preserve">
UNIQUEMENT SUR LA METHODE AU REEL </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Sandrine MORALES</author>
  </authors>
  <commentList>
    <comment ref="O11" authorId="0" shapeId="0" xr:uid="{00000000-0006-0000-0D00-000001000000}">
      <text>
        <r>
          <rPr>
            <b/>
            <sz val="9"/>
            <color indexed="81"/>
            <rFont val="Tahoma"/>
            <family val="2"/>
          </rPr>
          <t>Sandrine MORALES:</t>
        </r>
        <r>
          <rPr>
            <sz val="9"/>
            <color indexed="81"/>
            <rFont val="Tahoma"/>
            <family val="2"/>
          </rPr>
          <t xml:space="preserve">
Attention si Lundi de Pentecôte travaillé , il ne faut pas le compter en férié</t>
        </r>
      </text>
    </comment>
  </commentList>
</comments>
</file>

<file path=xl/comments8.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B34" authorId="0" shapeId="0" xr:uid="{00000000-0006-0000-0E00-000001000000}">
      <text>
        <r>
          <rPr>
            <b/>
            <sz val="9"/>
            <color indexed="81"/>
            <rFont val="Tahoma"/>
            <family val="2"/>
          </rPr>
          <t>Sandrine MORALES:</t>
        </r>
        <r>
          <rPr>
            <sz val="9"/>
            <color indexed="81"/>
            <rFont val="Tahoma"/>
            <family val="2"/>
          </rPr>
          <t xml:space="preserve">
Méthode qui a fait JURISPRUDENCE3
(h ABS * SB ) / h réèlles</t>
        </r>
      </text>
    </comment>
    <comment ref="B35" authorId="1" shapeId="0" xr:uid="{00000000-0006-0000-0E00-000002000000}">
      <text>
        <r>
          <rPr>
            <b/>
            <sz val="9"/>
            <color indexed="81"/>
            <rFont val="Tahoma"/>
            <family val="2"/>
          </rPr>
          <t>cl104188:</t>
        </r>
        <r>
          <rPr>
            <sz val="9"/>
            <color indexed="81"/>
            <rFont val="Tahoma"/>
            <family val="2"/>
          </rPr>
          <t xml:space="preserve">
(h abs * SB ) / h mensuel moyen -&gt; 35h =151,67)</t>
        </r>
      </text>
    </comment>
    <comment ref="B36" authorId="1" shapeId="0" xr:uid="{00000000-0006-0000-0E00-000003000000}">
      <text>
        <r>
          <rPr>
            <b/>
            <sz val="9"/>
            <color indexed="81"/>
            <rFont val="Tahoma"/>
            <family val="2"/>
          </rPr>
          <t>cl104188:</t>
        </r>
        <r>
          <rPr>
            <sz val="9"/>
            <color indexed="81"/>
            <rFont val="Tahoma"/>
            <family val="2"/>
          </rPr>
          <t xml:space="preserve">
(j abs * SB ) / nbre jours réèls</t>
        </r>
      </text>
    </comment>
    <comment ref="B37" authorId="1" shapeId="0" xr:uid="{00000000-0006-0000-0E00-000004000000}">
      <text>
        <r>
          <rPr>
            <b/>
            <sz val="9"/>
            <color indexed="81"/>
            <rFont val="Tahoma"/>
            <family val="2"/>
          </rPr>
          <t>cl104188:</t>
        </r>
        <r>
          <rPr>
            <sz val="9"/>
            <color indexed="81"/>
            <rFont val="Tahoma"/>
            <family val="2"/>
          </rPr>
          <t xml:space="preserve">
(j abs * SB) / nbre jours moyen (35h-&gt;21,67)
</t>
        </r>
      </text>
    </comment>
    <comment ref="B38" authorId="1" shapeId="0" xr:uid="{00000000-0006-0000-0E00-000005000000}">
      <text>
        <r>
          <rPr>
            <b/>
            <sz val="9"/>
            <color indexed="81"/>
            <rFont val="Tahoma"/>
            <family val="2"/>
          </rPr>
          <t>cl104188:</t>
        </r>
        <r>
          <rPr>
            <sz val="9"/>
            <color indexed="81"/>
            <rFont val="Tahoma"/>
            <family val="2"/>
          </rPr>
          <t xml:space="preserve">
( J abs * SB ) / j ouvrables réèls</t>
        </r>
      </text>
    </comment>
    <comment ref="B39" authorId="1" shapeId="0" xr:uid="{00000000-0006-0000-0E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 ref="B53" authorId="0" shapeId="0" xr:uid="{00000000-0006-0000-0E00-000007000000}">
      <text>
        <r>
          <rPr>
            <b/>
            <sz val="9"/>
            <color indexed="81"/>
            <rFont val="Tahoma"/>
            <family val="2"/>
          </rPr>
          <t>Sandrine MORALES:</t>
        </r>
        <r>
          <rPr>
            <sz val="9"/>
            <color indexed="81"/>
            <rFont val="Tahoma"/>
            <family val="2"/>
          </rPr>
          <t xml:space="preserve">
REEL on prends en compte l'assurance et les frais divers
</t>
        </r>
      </text>
    </comment>
    <comment ref="B55" authorId="0" shapeId="0" xr:uid="{00000000-0006-0000-0E00-000008000000}">
      <text>
        <r>
          <rPr>
            <b/>
            <sz val="9"/>
            <color indexed="81"/>
            <rFont val="Tahoma"/>
            <family val="2"/>
          </rPr>
          <t>Sandrine MORALES:</t>
        </r>
        <r>
          <rPr>
            <sz val="9"/>
            <color indexed="81"/>
            <rFont val="Tahoma"/>
            <family val="2"/>
          </rPr>
          <t xml:space="preserve">
Pour le forfait on ne prends que le prix d'achat du véhicule</t>
        </r>
      </text>
    </comment>
    <comment ref="B60" authorId="0" shapeId="0" xr:uid="{00000000-0006-0000-0E00-000009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B61" authorId="0" shapeId="0" xr:uid="{00000000-0006-0000-0E00-00000A000000}">
      <text>
        <r>
          <rPr>
            <b/>
            <sz val="9"/>
            <color indexed="81"/>
            <rFont val="Tahoma"/>
            <family val="2"/>
          </rPr>
          <t>Sandrine MORALES:</t>
        </r>
        <r>
          <rPr>
            <sz val="9"/>
            <color indexed="81"/>
            <rFont val="Tahoma"/>
            <family val="2"/>
          </rPr>
          <t xml:space="preserve">
On prends un % du cout global ( loc + assuance + frais ) que l'on ramène au mois
</t>
        </r>
      </text>
    </comment>
  </commentList>
</comments>
</file>

<file path=xl/sharedStrings.xml><?xml version="1.0" encoding="utf-8"?>
<sst xmlns="http://schemas.openxmlformats.org/spreadsheetml/2006/main" count="1043" uniqueCount="710">
  <si>
    <t>ENTREPRISE</t>
  </si>
  <si>
    <t>SALARIE</t>
  </si>
  <si>
    <t>Matricule</t>
  </si>
  <si>
    <t>NOM</t>
  </si>
  <si>
    <t>N° Sécurité sociale</t>
  </si>
  <si>
    <t>Adresse</t>
  </si>
  <si>
    <t xml:space="preserve">Emploi : </t>
  </si>
  <si>
    <t>URSAAF (N° et Lieu)</t>
  </si>
  <si>
    <t>Code postal</t>
  </si>
  <si>
    <t xml:space="preserve">Qualification </t>
  </si>
  <si>
    <t>NAF</t>
  </si>
  <si>
    <t>Ville</t>
  </si>
  <si>
    <t xml:space="preserve">Convention Collective (nom complet + IDCC) </t>
  </si>
  <si>
    <t>Date de naissance</t>
  </si>
  <si>
    <t>Date d'entrée</t>
  </si>
  <si>
    <t>SIRET</t>
  </si>
  <si>
    <t>Nbre de personnes à charge</t>
  </si>
  <si>
    <t>Date de sortie</t>
  </si>
  <si>
    <t xml:space="preserve">Type de contrat </t>
  </si>
  <si>
    <t>Cadre</t>
  </si>
  <si>
    <t>Non cadre</t>
  </si>
  <si>
    <t xml:space="preserve">Contrat Pro </t>
  </si>
  <si>
    <t>Contrat Apprentissage</t>
  </si>
  <si>
    <t>Stagiaire</t>
  </si>
  <si>
    <t>Temps de travail</t>
  </si>
  <si>
    <t>Temps Complet</t>
  </si>
  <si>
    <t>Temps partiel</t>
  </si>
  <si>
    <t>Age</t>
  </si>
  <si>
    <t xml:space="preserve">Bulletin du mois de </t>
  </si>
  <si>
    <t xml:space="preserve">NOM </t>
  </si>
  <si>
    <t>Prénom</t>
  </si>
  <si>
    <t>Coefficient</t>
  </si>
  <si>
    <t>Statut</t>
  </si>
  <si>
    <t>Etam</t>
  </si>
  <si>
    <t>Ouvrier</t>
  </si>
  <si>
    <t>Niveau</t>
  </si>
  <si>
    <t>Contrat de travail</t>
  </si>
  <si>
    <t>Heure par semaine</t>
  </si>
  <si>
    <t>Nbre de jours par semaine</t>
  </si>
  <si>
    <t>Temps de durée légale*</t>
  </si>
  <si>
    <t>SMIC Mensuel*</t>
  </si>
  <si>
    <t>SMIC Horaire*</t>
  </si>
  <si>
    <t>Durée du contrat</t>
  </si>
  <si>
    <t>Ancienneté</t>
  </si>
  <si>
    <t>Salaire de base</t>
  </si>
  <si>
    <t xml:space="preserve">Complément de salaire </t>
  </si>
  <si>
    <t>Base SMIC</t>
  </si>
  <si>
    <t>Taux horaire</t>
  </si>
  <si>
    <t>Nbre salariés</t>
  </si>
  <si>
    <t>Taux AT Moyen</t>
  </si>
  <si>
    <t>Taux AT Donné</t>
  </si>
  <si>
    <t>Taux AT Applicable</t>
  </si>
  <si>
    <t>CDI</t>
  </si>
  <si>
    <r>
      <t>CDI de - 26 ans Ets de - 20 salariés</t>
    </r>
    <r>
      <rPr>
        <b/>
        <sz val="9"/>
        <color rgb="FFFF0000"/>
        <rFont val="Calibri"/>
        <family val="2"/>
        <scheme val="minor"/>
      </rPr>
      <t xml:space="preserve"> embauche après le 01/10/2017 -&gt; EXO P Pat CHOMAGE pendant 3 mois </t>
    </r>
  </si>
  <si>
    <r>
      <t xml:space="preserve">CDI de - 26 ans Ets de + 20 salariés </t>
    </r>
    <r>
      <rPr>
        <b/>
        <sz val="9"/>
        <color rgb="FFFF0000"/>
        <rFont val="Calibri"/>
        <family val="2"/>
        <scheme val="minor"/>
      </rPr>
      <t xml:space="preserve">embauche après le 01/10/217 -&gt; EXO P Pat CHOMAGE pendant 4 mois </t>
    </r>
  </si>
  <si>
    <r>
      <t xml:space="preserve">CDD </t>
    </r>
    <r>
      <rPr>
        <b/>
        <sz val="9"/>
        <color rgb="FFFF0000"/>
        <rFont val="Calibri"/>
        <family val="2"/>
        <scheme val="minor"/>
      </rPr>
      <t>embauche après le 01/10/217</t>
    </r>
  </si>
  <si>
    <r>
      <t xml:space="preserve">CDD &lt; =1 mois </t>
    </r>
    <r>
      <rPr>
        <b/>
        <sz val="9"/>
        <color rgb="FFFF0000"/>
        <rFont val="Calibri"/>
        <family val="2"/>
        <scheme val="minor"/>
      </rPr>
      <t>* accroissement avant 01/10/2017</t>
    </r>
  </si>
  <si>
    <r>
      <t xml:space="preserve">CDD Compris entre 1 mois et 3 mois </t>
    </r>
    <r>
      <rPr>
        <b/>
        <sz val="9"/>
        <color rgb="FFFF0000"/>
        <rFont val="Calibri"/>
        <family val="2"/>
        <scheme val="minor"/>
      </rPr>
      <t>* accroissement avant 01/10/2017</t>
    </r>
  </si>
  <si>
    <r>
      <t xml:space="preserve">CDD &gt; 3 mois </t>
    </r>
    <r>
      <rPr>
        <b/>
        <sz val="9"/>
        <color rgb="FFFF0000"/>
        <rFont val="Calibri"/>
        <family val="2"/>
        <scheme val="minor"/>
      </rPr>
      <t>* accroissement avant 01/10/2017</t>
    </r>
  </si>
  <si>
    <r>
      <t>CDD d'usage &lt;= 3 Mois</t>
    </r>
    <r>
      <rPr>
        <b/>
        <sz val="9"/>
        <color rgb="FFFF0000"/>
        <rFont val="Calibri"/>
        <family val="2"/>
        <scheme val="minor"/>
      </rPr>
      <t xml:space="preserve"> jusqu'au 01/04/2019</t>
    </r>
  </si>
  <si>
    <r>
      <t xml:space="preserve">CDD </t>
    </r>
    <r>
      <rPr>
        <b/>
        <sz val="9"/>
        <color rgb="FFFF0000"/>
        <rFont val="Calibri"/>
        <family val="2"/>
        <scheme val="minor"/>
      </rPr>
      <t xml:space="preserve">remplacement , saisonnier ; intérim </t>
    </r>
  </si>
  <si>
    <t xml:space="preserve">Passage d'un CDD à un CDI , - 26 ans sur 12 mois </t>
  </si>
  <si>
    <t>Type CDD / CDI</t>
  </si>
  <si>
    <t>Taux Applicable chômage</t>
  </si>
  <si>
    <t>Versement transport</t>
  </si>
  <si>
    <t>Part SALARIAL Mutuelle</t>
  </si>
  <si>
    <t>Prévoyance DC Part salariale</t>
  </si>
  <si>
    <t>Prévoyance Mutuelle Montant SAL + PAT</t>
  </si>
  <si>
    <t>COTISATIONS</t>
  </si>
  <si>
    <t>CSG Déductible</t>
  </si>
  <si>
    <t>Maladie, Maternité, Invalidité, Décés</t>
  </si>
  <si>
    <t>Vieillesse plafonnée TR A</t>
  </si>
  <si>
    <t>Vieillesse déplafonnée</t>
  </si>
  <si>
    <t>Allocations familiales</t>
  </si>
  <si>
    <t>Accident du travail</t>
  </si>
  <si>
    <t>Forfait Social</t>
  </si>
  <si>
    <t>Contribution de Solidarité pour l'Autonomie</t>
  </si>
  <si>
    <t>SECURITE SOCIALE</t>
  </si>
  <si>
    <t>POLE EMPLOI</t>
  </si>
  <si>
    <t>Assurance chômage Tr A + Tr B</t>
  </si>
  <si>
    <t>Reprise chômage pour embauche CDI</t>
  </si>
  <si>
    <t xml:space="preserve">AGS( FNGC) </t>
  </si>
  <si>
    <t>RETRAITE ET PREVOYANCE COMPLEMENTAIRE</t>
  </si>
  <si>
    <t>ARRCO Tr1</t>
  </si>
  <si>
    <t>AGFF Tr1</t>
  </si>
  <si>
    <t>ARRCO Tr2</t>
  </si>
  <si>
    <t>AGGF Tr2</t>
  </si>
  <si>
    <t xml:space="preserve">Prévoyance Complémentaire Santé ( mutuelle) </t>
  </si>
  <si>
    <t>AUTRES CONTRIBUTIONS</t>
  </si>
  <si>
    <t>FNAL</t>
  </si>
  <si>
    <t>Cotisation pénibilité de base</t>
  </si>
  <si>
    <t>Financement des organisations syndicales</t>
  </si>
  <si>
    <t>CSG Non déductibles</t>
  </si>
  <si>
    <t>CRDS Non déductibles</t>
  </si>
  <si>
    <t>Versement Transport</t>
  </si>
  <si>
    <t>Réduction FILLON</t>
  </si>
  <si>
    <t>Réduction TEPA</t>
  </si>
  <si>
    <t>Participation Construction</t>
  </si>
  <si>
    <t>Taxe sur les salaires</t>
  </si>
  <si>
    <t>Taxe d'apprentissage</t>
  </si>
  <si>
    <t>Taxe sur la Formation Continue</t>
  </si>
  <si>
    <t>NON CADRE</t>
  </si>
  <si>
    <t>BASE</t>
  </si>
  <si>
    <t>TAUX SALARIAL</t>
  </si>
  <si>
    <t>TAUX PATRONAL</t>
  </si>
  <si>
    <t>ARRCO Tr A</t>
  </si>
  <si>
    <t>AGFF Tr A</t>
  </si>
  <si>
    <t>AGIRC Tr B</t>
  </si>
  <si>
    <t>GMP</t>
  </si>
  <si>
    <t>AGFF Tr B</t>
  </si>
  <si>
    <t>APEC</t>
  </si>
  <si>
    <t>AGIRC Tr C</t>
  </si>
  <si>
    <t>CET</t>
  </si>
  <si>
    <t>Prévoyance Décés Obligatoire Tr A</t>
  </si>
  <si>
    <t>Prévoyance Complémentaire Décés</t>
  </si>
  <si>
    <t>CADRE</t>
  </si>
  <si>
    <t>Numéro de bulletin</t>
  </si>
  <si>
    <t>Informations générales</t>
  </si>
  <si>
    <t>Nbre heures 10%</t>
  </si>
  <si>
    <t>Nbre heures 25%</t>
  </si>
  <si>
    <t>Nbre heures 50%</t>
  </si>
  <si>
    <t>HEURES SUPPLEMENTAIRES</t>
  </si>
  <si>
    <t>BULLETIN</t>
  </si>
  <si>
    <t>INFO</t>
  </si>
  <si>
    <t>en centièmes</t>
  </si>
  <si>
    <t>HEURES SUPPLEMENTAIRES 25%</t>
  </si>
  <si>
    <t>HEURES SUPPLEMENTAIRES 50%</t>
  </si>
  <si>
    <t>total</t>
  </si>
  <si>
    <t>Calcul d'heures</t>
  </si>
  <si>
    <t>matin</t>
  </si>
  <si>
    <t>debut</t>
  </si>
  <si>
    <t>fin</t>
  </si>
  <si>
    <t>depart</t>
  </si>
  <si>
    <t>am</t>
  </si>
  <si>
    <t>Contrat semaine</t>
  </si>
  <si>
    <t>W Réalisé</t>
  </si>
  <si>
    <t>H SUP</t>
  </si>
  <si>
    <t>H SUP 25%</t>
  </si>
  <si>
    <t>H SUP 50%</t>
  </si>
  <si>
    <t xml:space="preserve">TOTAL </t>
  </si>
  <si>
    <t>Centièmes</t>
  </si>
  <si>
    <t>36eme à 43eme</t>
  </si>
  <si>
    <t>Soit les 8 premières heures</t>
  </si>
  <si>
    <t>Pour le cacul du taux horaire des heures supplémentaires</t>
  </si>
  <si>
    <t xml:space="preserve"> + de la 44eme </t>
  </si>
  <si>
    <t xml:space="preserve">il faut prendre tout ce qui est lier au travail ( AN + PRIME ) </t>
  </si>
  <si>
    <t>Si heures structurelles</t>
  </si>
  <si>
    <t>Quelles primes inclure dans la base de calcul de la majoration pour heure supplémentaire ?</t>
  </si>
  <si>
    <t>Au-delà des H structurelles à la 43eme</t>
  </si>
  <si>
    <t>Le code du travail ne précise pas les éléments à prendre en compte dans la base de calcul des heures supplémentaires. Selon la jurisprudence, entrent dans cette assiette, le salaire horaire effectif et les primes et indemnités ayant le caractère d’un salaire.</t>
  </si>
  <si>
    <t>Sont ainsi visées les sommes qui constituent la contrepartie directe du travail effectué ou inhérentes à la nature du travail :</t>
  </si>
  <si>
    <t>– les primes pour travail du dimanche et des jours fériés</t>
  </si>
  <si>
    <t>Attention aux semaines à cheval sur 2 mois, les heures sup du mois précédent basculent sur le mois M</t>
  </si>
  <si>
    <t>– les primes de danger, de froid, d’insalubrité, de pénibilité</t>
  </si>
  <si>
    <t>– les primes de rendement directement liées au travail individuel ou collectif du salarié</t>
  </si>
  <si>
    <t xml:space="preserve">On assimile à du travail effectif les repos compensateur et congés pour évènements familiaux. </t>
  </si>
  <si>
    <t>– les primes d’assiduité</t>
  </si>
  <si>
    <t xml:space="preserve">Est exclus les CP, les congés maladies, et les jours fériés ( sf 1er mai) </t>
  </si>
  <si>
    <r>
      <t>– les gratifications annuelles (13</t>
    </r>
    <r>
      <rPr>
        <vertAlign val="superscript"/>
        <sz val="11"/>
        <color theme="1"/>
        <rFont val="Calibri"/>
        <family val="2"/>
        <scheme val="minor"/>
      </rPr>
      <t>e</t>
    </r>
    <r>
      <rPr>
        <sz val="11"/>
        <color theme="1"/>
        <rFont val="Calibri"/>
        <family val="2"/>
        <scheme val="minor"/>
      </rPr>
      <t xml:space="preserve"> mois, prime de vacances) si leur versement est lié au fait que le contrat soit en cours d’exécution.</t>
    </r>
  </si>
  <si>
    <t>Sont en revanche exclues :</t>
  </si>
  <si>
    <t>– les primes représentatives de frais professionnels (panier, outillage, déplacement…)</t>
  </si>
  <si>
    <t>TEMPS PARTIEL</t>
  </si>
  <si>
    <t>– les primes d’ancienneté, liées à la durée de présence et non au travail fourni</t>
  </si>
  <si>
    <t>Les heures complémentaires réalisés à hauteur de 1/10 du contrat de travail sont majorés à 10%</t>
  </si>
  <si>
    <t>– les primes de rendement liées à la productivité générale de l’entreprise.</t>
  </si>
  <si>
    <t>les heures complémentaires réalisés entre le 1/10 et le 1/3 du contrat de travail sont majorés à 25 %</t>
  </si>
  <si>
    <t>Contrat</t>
  </si>
  <si>
    <t>1/10 HC</t>
  </si>
  <si>
    <t>1/3 MAX HC</t>
  </si>
  <si>
    <t>Nbre total d'heures</t>
  </si>
  <si>
    <t>Nbre d'heures à 10%</t>
  </si>
  <si>
    <t>Nbre d'heures à 25%</t>
  </si>
  <si>
    <t xml:space="preserve">Total des heures </t>
  </si>
  <si>
    <t>Taux Horaire 10%</t>
  </si>
  <si>
    <t>Taux Horaire 25%</t>
  </si>
  <si>
    <t>Taux horaire 50%</t>
  </si>
  <si>
    <t>HEURES COMPLEMENTAIRES 10%</t>
  </si>
  <si>
    <t>Calcul de l'absence suite à l'entrée / sortie du salarié / Absence totale sur le mois</t>
  </si>
  <si>
    <t>Situation du salarié</t>
  </si>
  <si>
    <t xml:space="preserve">Absence non rémunérée du </t>
  </si>
  <si>
    <t xml:space="preserve">Absence compléte du mois de </t>
  </si>
  <si>
    <t xml:space="preserve">Retenue Entrée le </t>
  </si>
  <si>
    <t xml:space="preserve">Retenue Sortie le </t>
  </si>
  <si>
    <t>Pas d'entrée sortie</t>
  </si>
  <si>
    <t>Retenue pour absence NR</t>
  </si>
  <si>
    <t>Date d'entrée du salarié</t>
  </si>
  <si>
    <t>Date de sortie du salarié</t>
  </si>
  <si>
    <t>Début de l'absence</t>
  </si>
  <si>
    <t>Fin de l'absence</t>
  </si>
  <si>
    <t>Nbre heures absence réèlles</t>
  </si>
  <si>
    <t>Nbre heures réèlles du mois</t>
  </si>
  <si>
    <t xml:space="preserve"> de M-1</t>
  </si>
  <si>
    <t xml:space="preserve">Salaire brut pour calcul = </t>
  </si>
  <si>
    <t xml:space="preserve">Nbre de jours Absence </t>
  </si>
  <si>
    <t>Nbre de jours du mois</t>
  </si>
  <si>
    <t>Nbre de jours de présence</t>
  </si>
  <si>
    <t>Salaire du mois</t>
  </si>
  <si>
    <t>ANNEE</t>
  </si>
  <si>
    <t>Janvier</t>
  </si>
  <si>
    <t>Février</t>
  </si>
  <si>
    <t>Mars</t>
  </si>
  <si>
    <t>Avril</t>
  </si>
  <si>
    <t>Mai</t>
  </si>
  <si>
    <t>Juin</t>
  </si>
  <si>
    <t>Juillet</t>
  </si>
  <si>
    <t>Août</t>
  </si>
  <si>
    <t>Septembre</t>
  </si>
  <si>
    <t>Octobre</t>
  </si>
  <si>
    <t>Novembre</t>
  </si>
  <si>
    <t>Décembre</t>
  </si>
  <si>
    <t>Liste des jours fériés de l'année</t>
  </si>
  <si>
    <t>Jour de l'an</t>
  </si>
  <si>
    <t>Pâques</t>
  </si>
  <si>
    <t>Lundi de Pâques</t>
  </si>
  <si>
    <t>Fête du travail</t>
  </si>
  <si>
    <t>Victoire 1945</t>
  </si>
  <si>
    <t>Ascension</t>
  </si>
  <si>
    <t>Pentecôte</t>
  </si>
  <si>
    <t>Lundi de pentecôte</t>
  </si>
  <si>
    <t>Fete nationale</t>
  </si>
  <si>
    <t>Assomption</t>
  </si>
  <si>
    <t>Toussaint</t>
  </si>
  <si>
    <t>Armistice</t>
  </si>
  <si>
    <t>Noêl</t>
  </si>
  <si>
    <t>Calcul des ABSENCES Non Rémunérées</t>
  </si>
  <si>
    <r>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r>
    <r>
      <rPr>
        <sz val="11"/>
        <color rgb="FFFF0000"/>
        <rFont val="Calibri"/>
        <family val="2"/>
        <scheme val="minor"/>
      </rPr>
      <t>* Cour de cassation :</t>
    </r>
    <r>
      <rPr>
        <sz val="11"/>
        <color theme="1"/>
        <rFont val="Calibri"/>
        <family val="2"/>
        <scheme val="minor"/>
      </rPr>
      <t xml:space="preserve"> On ne prends pas les jours fériés dans le décompte de l'absence réèlle ni dans le décompte des heures réèlles du mois . Si on prends les jours fériés dans le décompte de l'absence ( ou le salarié est présent dans l'entreprise ) on prends aussi dans le décompte des heures réèlles du mois . </t>
    </r>
  </si>
  <si>
    <t>SALAIRE BRUT</t>
  </si>
  <si>
    <t>Nbre heures de travail par semaine</t>
  </si>
  <si>
    <t>Nbre jours de travail par semaine</t>
  </si>
  <si>
    <t>Calcul de l'absence</t>
  </si>
  <si>
    <t>Mois de</t>
  </si>
  <si>
    <t>Heures</t>
  </si>
  <si>
    <t>Ouvrés réèls</t>
  </si>
  <si>
    <t>Ouvrables réèls</t>
  </si>
  <si>
    <t>Calendaires</t>
  </si>
  <si>
    <t>Absence</t>
  </si>
  <si>
    <t>Jour Mois REELS</t>
  </si>
  <si>
    <t xml:space="preserve"> Jours Mois MOYEN</t>
  </si>
  <si>
    <t xml:space="preserve">Choix de l'absence </t>
  </si>
  <si>
    <t>Horaire réèl</t>
  </si>
  <si>
    <t>Mensuel Moyen</t>
  </si>
  <si>
    <t xml:space="preserve">Choix de l'Absence </t>
  </si>
  <si>
    <t>J ouvrés réèls</t>
  </si>
  <si>
    <t>J ouvrés moyen</t>
  </si>
  <si>
    <t>J ouvrables réèls</t>
  </si>
  <si>
    <t>J ouvrables moyen</t>
  </si>
  <si>
    <t>Calendaires réèls</t>
  </si>
  <si>
    <t>Du 30eme</t>
  </si>
  <si>
    <t>OUVRES</t>
  </si>
  <si>
    <t>REELS</t>
  </si>
  <si>
    <t>MOYEN</t>
  </si>
  <si>
    <t>OUVRABLES</t>
  </si>
  <si>
    <t>CALCUL DE L'ABSENCE NON REMUNEREE</t>
  </si>
  <si>
    <t>Méthode du calcul choisi pour le calcul de l'absence</t>
  </si>
  <si>
    <t>Montant de l'absence Non rémunérée</t>
  </si>
  <si>
    <t>Calcul du Plafond de Sécurité Sociale Mensuel</t>
  </si>
  <si>
    <t>Montant actuel</t>
  </si>
  <si>
    <t>Proratisation si temps partiel</t>
  </si>
  <si>
    <t xml:space="preserve">PRORATISATION </t>
  </si>
  <si>
    <t>INFORMATIONS BULLETIN</t>
  </si>
  <si>
    <t>Informations paie du mois heures supplémentaires ou complémentaires</t>
  </si>
  <si>
    <t>RUBRIQUES DU BRUT</t>
  </si>
  <si>
    <t>Nbre de lignes</t>
  </si>
  <si>
    <t>TRANCHES</t>
  </si>
  <si>
    <t>RUBRIQUES DU NET</t>
  </si>
  <si>
    <t>SALAIRE</t>
  </si>
  <si>
    <t>Salaire de Base</t>
  </si>
  <si>
    <t>h</t>
  </si>
  <si>
    <t>Tranche A</t>
  </si>
  <si>
    <t>SAISIE</t>
  </si>
  <si>
    <t>Saisie sur salaire</t>
  </si>
  <si>
    <t>Complément SMIC</t>
  </si>
  <si>
    <t>Tranche B</t>
  </si>
  <si>
    <t>AN</t>
  </si>
  <si>
    <t>TICKETS RESTO</t>
  </si>
  <si>
    <t>ABS NR</t>
  </si>
  <si>
    <t>Tranche C</t>
  </si>
  <si>
    <t>Avantage en nature TICKET RESTO</t>
  </si>
  <si>
    <t>RTT</t>
  </si>
  <si>
    <t>Solde de RTT</t>
  </si>
  <si>
    <t>Participation salarié repas</t>
  </si>
  <si>
    <t>PRIME</t>
  </si>
  <si>
    <t>PSS</t>
  </si>
  <si>
    <t>Avantage en nature Participation repas</t>
  </si>
  <si>
    <t>Prime d'anciènneté</t>
  </si>
  <si>
    <t>Remboursement Frais de déplacement</t>
  </si>
  <si>
    <t>Prime de rendement</t>
  </si>
  <si>
    <t>RESULTAT</t>
  </si>
  <si>
    <t>Avantage en nature Frais de déplacement</t>
  </si>
  <si>
    <t>Prime exceptionnelle</t>
  </si>
  <si>
    <t>Frais de repas</t>
  </si>
  <si>
    <t>Heures complémentaires à 10%</t>
  </si>
  <si>
    <t>Bulletin n°</t>
  </si>
  <si>
    <t>Avantage en nature Frais de repas</t>
  </si>
  <si>
    <t>Heures supplémentaires à 25%</t>
  </si>
  <si>
    <t>Remboursement Transport</t>
  </si>
  <si>
    <t>Heures supplémentaires à 50%</t>
  </si>
  <si>
    <t>Avantage en nature Frais de Transport</t>
  </si>
  <si>
    <t>BRUT</t>
  </si>
  <si>
    <t>Avantage en nature logement</t>
  </si>
  <si>
    <t>Cot Sal</t>
  </si>
  <si>
    <t>Avantage en nature véhicule</t>
  </si>
  <si>
    <t>Cot Pat</t>
  </si>
  <si>
    <t>Avantage en nature NVELLE TECHNOLOGIE</t>
  </si>
  <si>
    <t xml:space="preserve">NAP </t>
  </si>
  <si>
    <t>AVANCE</t>
  </si>
  <si>
    <t>Avance sur salaire 10% du net après retenue</t>
  </si>
  <si>
    <t>Net I</t>
  </si>
  <si>
    <t>ACOMPTE</t>
  </si>
  <si>
    <t>Acompte</t>
  </si>
  <si>
    <t>Avantage en nature frais de déplacement</t>
  </si>
  <si>
    <t>CP</t>
  </si>
  <si>
    <t>J</t>
  </si>
  <si>
    <t>ICCP</t>
  </si>
  <si>
    <t>Solde CP N-1 / ICCP</t>
  </si>
  <si>
    <t>Solde CP N / ICCP</t>
  </si>
  <si>
    <t>Régul ICCP (Fractionnement)</t>
  </si>
  <si>
    <t>Primes mensuelles</t>
  </si>
  <si>
    <t xml:space="preserve">Le titre des primes peut être modifié ainsi que le montant </t>
  </si>
  <si>
    <t>GMP Forfait</t>
  </si>
  <si>
    <t xml:space="preserve">Calcul du Pafond Charnière GMP </t>
  </si>
  <si>
    <t>Montant Charnière du Plafond GMP</t>
  </si>
  <si>
    <t>Proratisation Entrée/Sortie/Absence total</t>
  </si>
  <si>
    <t>Proratisation Plafond Charnière GMP Entrée/Sortie/Absence total</t>
  </si>
  <si>
    <t>Proratisation GMP Entrée/Sortie/Absence totale</t>
  </si>
  <si>
    <t xml:space="preserve">Calcul GMP </t>
  </si>
  <si>
    <t>Code Postal</t>
  </si>
  <si>
    <t>Congé Payé</t>
  </si>
  <si>
    <t xml:space="preserve">Montant salaire pour calcul </t>
  </si>
  <si>
    <t>Nbre de jours selon méthode</t>
  </si>
  <si>
    <t>Montant de la retenue CP</t>
  </si>
  <si>
    <t xml:space="preserve">Calcul de l'absence de Congé Payés Pris </t>
  </si>
  <si>
    <t>Méthode pour le calcul de l'absence de CP</t>
  </si>
  <si>
    <t>Calcul des ABSENCES CP</t>
  </si>
  <si>
    <t>Ouvrables réels en comptant les jours fériés</t>
  </si>
  <si>
    <t xml:space="preserve">Nbre jours CP </t>
  </si>
  <si>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</si>
  <si>
    <t xml:space="preserve">BULLETIN DE PAIE </t>
  </si>
  <si>
    <t>Nom</t>
  </si>
  <si>
    <t>Paye du :</t>
  </si>
  <si>
    <t>Matricule :</t>
  </si>
  <si>
    <t>N° Sécurité sociale :</t>
  </si>
  <si>
    <t>Qualification :</t>
  </si>
  <si>
    <t>Nom Prénom</t>
  </si>
  <si>
    <t>Coeffcient :</t>
  </si>
  <si>
    <t>Date d'entrée :</t>
  </si>
  <si>
    <t>Plafond Sécu:</t>
  </si>
  <si>
    <t>RUBRIQUES</t>
  </si>
  <si>
    <t>Montant</t>
  </si>
  <si>
    <t>TOTAL BRUT</t>
  </si>
  <si>
    <t>Taux salarial</t>
  </si>
  <si>
    <t>Cotisations salariales</t>
  </si>
  <si>
    <t>Taux Patronal</t>
  </si>
  <si>
    <t>Cotisations patronales</t>
  </si>
  <si>
    <t>Total Cot SAL</t>
  </si>
  <si>
    <t>Tot Cot PAT</t>
  </si>
  <si>
    <t>Salaire Net Après Cotisations</t>
  </si>
  <si>
    <t>Total</t>
  </si>
  <si>
    <t>SALAIRE NET A PAYER</t>
  </si>
  <si>
    <t>SALAIRE NET</t>
  </si>
  <si>
    <t>DEDUCTIONS ET RETENUES</t>
  </si>
  <si>
    <t>INDEMNITES NON SOUMISES A COTISATIONS</t>
  </si>
  <si>
    <t xml:space="preserve">Mode de Règlement : </t>
  </si>
  <si>
    <t>NET A PAYER</t>
  </si>
  <si>
    <t>NET IMPOSABLE</t>
  </si>
  <si>
    <t xml:space="preserve">Payé le : </t>
  </si>
  <si>
    <t xml:space="preserve">CALCUL DES CP </t>
  </si>
  <si>
    <t>CHOIX / JOURS</t>
  </si>
  <si>
    <t>Date de début CP</t>
  </si>
  <si>
    <t>Réèls ou Moyen</t>
  </si>
  <si>
    <t>Date de fin CP</t>
  </si>
  <si>
    <t xml:space="preserve">Nbre de jours CP </t>
  </si>
  <si>
    <t>Salaire BRUT M-1</t>
  </si>
  <si>
    <t>Salaire de ref</t>
  </si>
  <si>
    <t>Nbre de mois de ref</t>
  </si>
  <si>
    <t>Jours ouvrables réèl du mois</t>
  </si>
  <si>
    <t>Jours ouvrés réèls du mois</t>
  </si>
  <si>
    <t>Calcul du maintien</t>
  </si>
  <si>
    <t xml:space="preserve">quotient maintien </t>
  </si>
  <si>
    <t>Règle du 10eme</t>
  </si>
  <si>
    <t>quotien R10</t>
  </si>
  <si>
    <t>SOLDE DES CP</t>
  </si>
  <si>
    <t xml:space="preserve">Si pas d'ICCP sur les CP N-1 pris il faut réguler l'ICCP au solde </t>
  </si>
  <si>
    <t xml:space="preserve">Cumul des ICP </t>
  </si>
  <si>
    <t>Solde de CP N-1</t>
  </si>
  <si>
    <t>Maintien</t>
  </si>
  <si>
    <t>ICCP N-1</t>
  </si>
  <si>
    <t>règle du 10eme</t>
  </si>
  <si>
    <t>maintien</t>
  </si>
  <si>
    <t>Solde de CP N</t>
  </si>
  <si>
    <t>Salaire de ref N</t>
  </si>
  <si>
    <t>Nbre de jours cp acquis sur l'année</t>
  </si>
  <si>
    <t>Nbre de jours cp sur l'année normale</t>
  </si>
  <si>
    <t>ICCP DE SOLDE CP N</t>
  </si>
  <si>
    <t>ICCPN</t>
  </si>
  <si>
    <t>FRACTIONNEMENT</t>
  </si>
  <si>
    <t>Nbre de jours de fractionnement</t>
  </si>
  <si>
    <t>Cumul des ICP</t>
  </si>
  <si>
    <t>ICCP Annuel</t>
  </si>
  <si>
    <t>Régul ICCP</t>
  </si>
  <si>
    <t>Salaire brut M-1 pour calcul</t>
  </si>
  <si>
    <t>Salaire de référence pour calcul</t>
  </si>
  <si>
    <t>Nombre de mois de référence</t>
  </si>
  <si>
    <t xml:space="preserve">Nbre de jours de CP </t>
  </si>
  <si>
    <t>Montant ICCP</t>
  </si>
  <si>
    <t>Solde de CP N-1 à payer * jours</t>
  </si>
  <si>
    <t>Salaire de ref N pour règle du 10eme</t>
  </si>
  <si>
    <t>Cumul des ICCP percus * montant</t>
  </si>
  <si>
    <t>Montant solde ICCP N-1</t>
  </si>
  <si>
    <t>Solde de CP N à payer * jours</t>
  </si>
  <si>
    <t>Salaire M-1 pour maintien</t>
  </si>
  <si>
    <t>Nbre de jours CP donné par l'Ets sur 12 mois</t>
  </si>
  <si>
    <t>Montant solde ICCP N</t>
  </si>
  <si>
    <t>Cumul ICCP percus</t>
  </si>
  <si>
    <t>Régul ICCP fractionnement</t>
  </si>
  <si>
    <t>Calcul de l'ICCP des congés pris</t>
  </si>
  <si>
    <t>MAINTIEN</t>
  </si>
  <si>
    <t>R10</t>
  </si>
  <si>
    <t>Calcul de l'ICCP des CP de N-1</t>
  </si>
  <si>
    <t>Calcul de l'ICCP des CP de N</t>
  </si>
  <si>
    <t>Calcul de l'ICCP des jours de fractionnement</t>
  </si>
  <si>
    <t>Avantages en nature</t>
  </si>
  <si>
    <t>Nbre de jours donnant droit au TR</t>
  </si>
  <si>
    <t>Valeur faciale</t>
  </si>
  <si>
    <t>Valeur maxi de la PP du TR</t>
  </si>
  <si>
    <t>Part salariale</t>
  </si>
  <si>
    <t>Part Patronale</t>
  </si>
  <si>
    <t>Tickets Resto Part salariale</t>
  </si>
  <si>
    <t xml:space="preserve">Part salariale </t>
  </si>
  <si>
    <t>Evaluation forfaitaire</t>
  </si>
  <si>
    <t>Nbre de jours</t>
  </si>
  <si>
    <t>Participation Salarié repas</t>
  </si>
  <si>
    <t>Tickets Restaurant</t>
  </si>
  <si>
    <t>AVANTAGE EN NATURE - TR</t>
  </si>
  <si>
    <t xml:space="preserve"> *  Si dirigeant on fait tout au réèl.                                                                                                                                                  * Conditions des TR: Valeur faciale supèrieure à  5,38 € ( valeur transmise ) et Part patronale comprise entre 50% et 60%, au delà de  60% on prends la totalité de la part patronale par le nbre de jour , soumis à cotisations</t>
  </si>
  <si>
    <t>Valeur faciale TR</t>
  </si>
  <si>
    <t xml:space="preserve">Montant de la PP </t>
  </si>
  <si>
    <t>AVANTAGE EN NATURE</t>
  </si>
  <si>
    <t>AVANTAGE EN NATURE - Evaluation Forfaitaire nourriture</t>
  </si>
  <si>
    <t>AVANTAGE EN NATURE - Logement forfaitaire</t>
  </si>
  <si>
    <t>LISTE DEROULANTE</t>
  </si>
  <si>
    <t>Rémunération brute</t>
  </si>
  <si>
    <t>Nbre de pièces</t>
  </si>
  <si>
    <t>Plusieurs pièces</t>
  </si>
  <si>
    <t>Infèrieur à 1634,50</t>
  </si>
  <si>
    <t>1 Pièce</t>
  </si>
  <si>
    <t>TOTAL AN</t>
  </si>
  <si>
    <t>De 1634,50 à 1961,39</t>
  </si>
  <si>
    <t>De 1961,40 à 2288,29</t>
  </si>
  <si>
    <t>De 2288,30 à 2942,09</t>
  </si>
  <si>
    <t>De 2942,10 à 3595,89</t>
  </si>
  <si>
    <t>De 3595,90 à 4249,69</t>
  </si>
  <si>
    <t>De 4249,70 à 4903,49</t>
  </si>
  <si>
    <t>Au-delà de 4903,50</t>
  </si>
  <si>
    <t>AVANTAGE EN NATURE - Véhicule</t>
  </si>
  <si>
    <t>Choix de l'AN</t>
  </si>
  <si>
    <t xml:space="preserve">ACHAT </t>
  </si>
  <si>
    <t>Px HA véhicule ou amortissement</t>
  </si>
  <si>
    <t>TTC</t>
  </si>
  <si>
    <t>Location annuelle</t>
  </si>
  <si>
    <t xml:space="preserve"> / An</t>
  </si>
  <si>
    <t>1-Réèl - 5 ans</t>
  </si>
  <si>
    <t>Frais assurance</t>
  </si>
  <si>
    <t>2-Réèl + 5 ans</t>
  </si>
  <si>
    <t>Frais entretien</t>
  </si>
  <si>
    <t>3-Forfait - 5 ans</t>
  </si>
  <si>
    <t>Autres frais</t>
  </si>
  <si>
    <t>4-Forfait + 5 ans</t>
  </si>
  <si>
    <t>5-Forfait / employeur paye le carburant / - 5 ANS</t>
  </si>
  <si>
    <t>6-Forfait / employeur paye le carburant / + 5ANS</t>
  </si>
  <si>
    <t>Choix du calcul de l'AN sur l'achat</t>
  </si>
  <si>
    <t>Choix du calcul de l'AN sur du LOA</t>
  </si>
  <si>
    <t>LOCATION OPTION ACHAT</t>
  </si>
  <si>
    <t>1-Loa réèl</t>
  </si>
  <si>
    <t>2-Forfait LOA / Salarié paye son carburant</t>
  </si>
  <si>
    <t>Avantage en nature mensuel</t>
  </si>
  <si>
    <t>Avantage en nature LOA</t>
  </si>
  <si>
    <t>3-Forfait LOA / Employeur paye le carburant / PRIVE + PERSO</t>
  </si>
  <si>
    <t>4-Forfait LOA / Employeur paye le carburant / PRIVE</t>
  </si>
  <si>
    <t>Km perso</t>
  </si>
  <si>
    <t>Total km</t>
  </si>
  <si>
    <t>Avantage en nature HA</t>
  </si>
  <si>
    <t>Prise en charge abonnement Transport</t>
  </si>
  <si>
    <t>Montant du titre</t>
  </si>
  <si>
    <t>Prise en charge PART PATRONALE</t>
  </si>
  <si>
    <t>Prise en charge transport</t>
  </si>
  <si>
    <t>A remonter dans le brut</t>
  </si>
  <si>
    <t xml:space="preserve">Frais de repas / chantier ou hors des locaux </t>
  </si>
  <si>
    <t xml:space="preserve">Nbre de panier </t>
  </si>
  <si>
    <t>CHOIX</t>
  </si>
  <si>
    <t>Hors locaux</t>
  </si>
  <si>
    <t>FRAIS DE REPAS</t>
  </si>
  <si>
    <t>A REMONTER DANS LE BRUT Chantier</t>
  </si>
  <si>
    <t xml:space="preserve">A REMONTER </t>
  </si>
  <si>
    <t>Frais de déplacement</t>
  </si>
  <si>
    <t>repas</t>
  </si>
  <si>
    <t>Logement / petit dejeuner</t>
  </si>
  <si>
    <t xml:space="preserve">PARIS  et 92 / 93 / 94 </t>
  </si>
  <si>
    <t>Autres départements</t>
  </si>
  <si>
    <t>Pour les 3 premiers mois</t>
  </si>
  <si>
    <t>Du 3eme mois au 24eme mois</t>
  </si>
  <si>
    <t>Au-delà du 24eme mois jusqu'au 72eme</t>
  </si>
  <si>
    <t>Nombre de déplacement</t>
  </si>
  <si>
    <t>Choix</t>
  </si>
  <si>
    <t>Montant déplacement</t>
  </si>
  <si>
    <t>Montant repas</t>
  </si>
  <si>
    <t>MONTANT JOURNALIER</t>
  </si>
  <si>
    <t>Forfait journalier employeur</t>
  </si>
  <si>
    <t>TOTAL INDEMNITE DEPLACEMENT</t>
  </si>
  <si>
    <t>A remonter dans le BRUT</t>
  </si>
  <si>
    <t>Avantage en nature Ticket Resto</t>
  </si>
  <si>
    <t>Avantage en nature Repas</t>
  </si>
  <si>
    <t>Logement</t>
  </si>
  <si>
    <t xml:space="preserve">Nbre de pièces </t>
  </si>
  <si>
    <t>Montant du salaire pour AN logement</t>
  </si>
  <si>
    <t>Fourchette</t>
  </si>
  <si>
    <t>AN LOGEMENT</t>
  </si>
  <si>
    <t>Avantage Logement</t>
  </si>
  <si>
    <t xml:space="preserve">Acompte </t>
  </si>
  <si>
    <t>oui</t>
  </si>
  <si>
    <t>non</t>
  </si>
  <si>
    <t xml:space="preserve">ASSIETTE DE COTISATIONS / TAUX </t>
  </si>
  <si>
    <t>Tranche 1</t>
  </si>
  <si>
    <t>Tranche 2</t>
  </si>
  <si>
    <t>Véhicule</t>
  </si>
  <si>
    <t>HA véhicule / amortissement</t>
  </si>
  <si>
    <t>Choix du calcul HA</t>
  </si>
  <si>
    <t>Choix du calcul LOA</t>
  </si>
  <si>
    <t>VEHICULE ACHAT</t>
  </si>
  <si>
    <t>VEHICULE LOA</t>
  </si>
  <si>
    <t>Avantage Véhicule</t>
  </si>
  <si>
    <t>Avantage Véhicule LOA</t>
  </si>
  <si>
    <t>Type de repas</t>
  </si>
  <si>
    <t>Chantier</t>
  </si>
  <si>
    <t>Restaurant</t>
  </si>
  <si>
    <t>Durant les 3 premiers mois / Paris et hts de Seine</t>
  </si>
  <si>
    <t>Durant les 3 premiers mois / autres départements</t>
  </si>
  <si>
    <t>Du 3eme au 24eme / Paris et hts de Seine</t>
  </si>
  <si>
    <t>Du 3eme au 24eme / autres départements</t>
  </si>
  <si>
    <t>Du 24eme au 72eme / Paris et hts de Seine</t>
  </si>
  <si>
    <t>Du 24eme au 72eme / autres départements</t>
  </si>
  <si>
    <t>deplacement</t>
  </si>
  <si>
    <t>Transport</t>
  </si>
  <si>
    <t>Frais de repas / Chantier - Hors Locaux - Restaurant</t>
  </si>
  <si>
    <t xml:space="preserve">Nbre de repas pris </t>
  </si>
  <si>
    <t xml:space="preserve">Période et dep </t>
  </si>
  <si>
    <t>Forfait employeur</t>
  </si>
  <si>
    <t>Avantage en nature déplacement</t>
  </si>
  <si>
    <t>Nouvelle Technologie</t>
  </si>
  <si>
    <t xml:space="preserve">HA sur l'année </t>
  </si>
  <si>
    <t>Abonnement mensuel</t>
  </si>
  <si>
    <t>AN TECHNO</t>
  </si>
  <si>
    <t>AN ABONNEMENT</t>
  </si>
  <si>
    <t>Avantage en Nature technologie</t>
  </si>
  <si>
    <t>Avantage en Nature Abonnement</t>
  </si>
  <si>
    <t>Repas</t>
  </si>
  <si>
    <t>Absence non rémunérée</t>
  </si>
  <si>
    <t xml:space="preserve">Primes </t>
  </si>
  <si>
    <t>Congé payés</t>
  </si>
  <si>
    <t>Ticket restaurant</t>
  </si>
  <si>
    <t>Frais de repas chantier / hors locaux / resto</t>
  </si>
  <si>
    <t>Déplacement</t>
  </si>
  <si>
    <t>Nvelle Technologie</t>
  </si>
  <si>
    <t>Entreprise soumise à TVA</t>
  </si>
  <si>
    <t>Salaire net après cotisations</t>
  </si>
  <si>
    <t>Total déduction et indemnités</t>
  </si>
  <si>
    <t>Salaire net à payer</t>
  </si>
  <si>
    <t>Net imposable</t>
  </si>
  <si>
    <t>Avance sur salaire</t>
  </si>
  <si>
    <t>BAREME DE SAISIE DES REMUNERATIONS</t>
  </si>
  <si>
    <t>Tranche</t>
  </si>
  <si>
    <t>Tranche personne à charge</t>
  </si>
  <si>
    <t>Quotité saisissable</t>
  </si>
  <si>
    <t>Quotité saisissable par tranche</t>
  </si>
  <si>
    <t>Différence</t>
  </si>
  <si>
    <t>Qtt S</t>
  </si>
  <si>
    <t>Salaire net après retenue</t>
  </si>
  <si>
    <t xml:space="preserve"> 1/20</t>
  </si>
  <si>
    <t xml:space="preserve"> 1/10</t>
  </si>
  <si>
    <t xml:space="preserve"> 1/5</t>
  </si>
  <si>
    <t xml:space="preserve"> 1/4</t>
  </si>
  <si>
    <t>Quotité Insaisissable</t>
  </si>
  <si>
    <t xml:space="preserve"> 1/3</t>
  </si>
  <si>
    <t>Quotité Totalement Saisissable</t>
  </si>
  <si>
    <t xml:space="preserve"> 2/3 </t>
  </si>
  <si>
    <t>Quotité Relativement Saisissable
( Pensions Alimentaires )  (1)</t>
  </si>
  <si>
    <t>100</t>
  </si>
  <si>
    <t>TOTAL SAISISSABLE</t>
  </si>
  <si>
    <t>Personne à charge Montant</t>
  </si>
  <si>
    <t>Plaft.
RMI
(O/N)</t>
  </si>
  <si>
    <t>RMI / RSA</t>
  </si>
  <si>
    <t>Quotité saisissable plafonnée</t>
  </si>
  <si>
    <t>SAISIE A EFFECTUER</t>
  </si>
  <si>
    <t>http://rfpaye.grouperf.com/calcul/?fichier=saisie_sur_salaires</t>
  </si>
  <si>
    <t xml:space="preserve">  </t>
  </si>
  <si>
    <t xml:space="preserve"> </t>
  </si>
  <si>
    <t>RMI/RSA</t>
  </si>
  <si>
    <t>Saisie salaire</t>
  </si>
  <si>
    <t>Proratisation plafond</t>
  </si>
  <si>
    <t>Assiette / cotisations</t>
  </si>
  <si>
    <t>Tranche Non cadre</t>
  </si>
  <si>
    <t>Tranche Cadre</t>
  </si>
  <si>
    <t>INFORMATIONS GENERALES</t>
  </si>
  <si>
    <t>REDUCTION FILLON</t>
  </si>
  <si>
    <t>Mois</t>
  </si>
  <si>
    <t>effectif</t>
  </si>
  <si>
    <t>HEURES</t>
  </si>
  <si>
    <t>Montant de l'absence</t>
  </si>
  <si>
    <t>FILLON DU MOIS</t>
  </si>
  <si>
    <t>FILLON</t>
  </si>
  <si>
    <t>UNIQUEMENT SUR LES SALAIRES &lt; A 1,6 * SMIC</t>
  </si>
  <si>
    <t>SALAIRE DE BASE</t>
  </si>
  <si>
    <t>Smic horaire</t>
  </si>
  <si>
    <t>Smic mensuel</t>
  </si>
  <si>
    <t>TX MINI</t>
  </si>
  <si>
    <t>TX MAXI</t>
  </si>
  <si>
    <t>Limite</t>
  </si>
  <si>
    <t xml:space="preserve">Tx </t>
  </si>
  <si>
    <t>Revalorisation SMIC</t>
  </si>
  <si>
    <t>(SMIC/sal cum)-1</t>
  </si>
  <si>
    <t>Coef</t>
  </si>
  <si>
    <t>Loi FILLON CUMULE</t>
  </si>
  <si>
    <t>Loi FILLON du mois</t>
  </si>
  <si>
    <t>CUMUL</t>
  </si>
  <si>
    <t>REGULARISATION PLAFOND</t>
  </si>
  <si>
    <t>PSS plein</t>
  </si>
  <si>
    <t>NUMERO</t>
  </si>
  <si>
    <t xml:space="preserve">Mois de </t>
  </si>
  <si>
    <t>Salaire BRUT</t>
  </si>
  <si>
    <t>Plafond du mois</t>
  </si>
  <si>
    <t>Plafond GMP</t>
  </si>
  <si>
    <t>TRB</t>
  </si>
  <si>
    <t>TRC</t>
  </si>
  <si>
    <t>BRUT CUMULE</t>
  </si>
  <si>
    <t>Statut du salarié</t>
  </si>
  <si>
    <t>TR 1</t>
  </si>
  <si>
    <t>TR 2</t>
  </si>
  <si>
    <t>TR A</t>
  </si>
  <si>
    <t xml:space="preserve"> -</t>
  </si>
  <si>
    <t xml:space="preserve"> - </t>
  </si>
  <si>
    <t>PROCEDURE DU BULLETIN</t>
  </si>
  <si>
    <t>Renseigner la feuille INFO G</t>
  </si>
  <si>
    <t>Renseigner la feuille INFO BULL</t>
  </si>
  <si>
    <t>Réguler les plafonds</t>
  </si>
  <si>
    <t>Générer FILLON</t>
  </si>
  <si>
    <t>Statut :</t>
  </si>
  <si>
    <t xml:space="preserve">GRILLE DE SALAIRE APPRENTI </t>
  </si>
  <si>
    <t xml:space="preserve">1- -18ans / 1ere année </t>
  </si>
  <si>
    <t xml:space="preserve">2- -18ans / 2eme année </t>
  </si>
  <si>
    <t xml:space="preserve">3- -18ans / 3eme année </t>
  </si>
  <si>
    <t xml:space="preserve">4- 18 à 20 ans / 1ere année </t>
  </si>
  <si>
    <t xml:space="preserve">5-18 à 20 ans / 2eme année </t>
  </si>
  <si>
    <t xml:space="preserve">6-18 à 20 ans / 3eme année </t>
  </si>
  <si>
    <t>7- +21ans / 1ere année</t>
  </si>
  <si>
    <t>8- +21ans / 2eme année</t>
  </si>
  <si>
    <t>9- +21ans / 3eme année</t>
  </si>
  <si>
    <t>Type contrat APPRENTISSAGE</t>
  </si>
  <si>
    <t xml:space="preserve">0- Pas en apprentissage </t>
  </si>
  <si>
    <t>Minimum conventionnel apprentissage</t>
  </si>
  <si>
    <t>Déduction d'assiette de cotisation</t>
  </si>
  <si>
    <t>% Barême Salaire Apprenti</t>
  </si>
  <si>
    <t>Assiette/ Cadre - Non cadre - Tps partiel -Tps Complet</t>
  </si>
  <si>
    <t>Assiette / Apprentissage</t>
  </si>
  <si>
    <t>Salaire de base Apprenti</t>
  </si>
  <si>
    <t>soit 1,6*</t>
  </si>
  <si>
    <t>Salaire brut à prendre pour</t>
  </si>
  <si>
    <t xml:space="preserve">voir josiane si apprenti Cotisation salariale prevoyance decés ?? </t>
  </si>
  <si>
    <t>Cf tableau FILLON</t>
  </si>
  <si>
    <t>En fonction du total des heures sups</t>
  </si>
  <si>
    <t>Type contrat PROFESSIONNEL</t>
  </si>
  <si>
    <t>TAUX APPLICABLE DU CONTRAT PRO</t>
  </si>
  <si>
    <t>1 / - 21 ANS Bac -</t>
  </si>
  <si>
    <t>2 / - 21 ANS Bac +</t>
  </si>
  <si>
    <t xml:space="preserve">3 / 21 à 25 ans  Bac - </t>
  </si>
  <si>
    <t xml:space="preserve">4 / 21 à 25 ans  Bac + </t>
  </si>
  <si>
    <t xml:space="preserve">5/ + 26 ans </t>
  </si>
  <si>
    <t>0 / Pas de contrat pro</t>
  </si>
  <si>
    <t>Minimum conventionnel CT pro</t>
  </si>
  <si>
    <t>% Barême Salaire Contrat Pro</t>
  </si>
  <si>
    <t>Salaire de base Contrat Pro</t>
  </si>
  <si>
    <t>Assiette / Contrat Pro</t>
  </si>
  <si>
    <t>Base CSG</t>
  </si>
  <si>
    <t>Base cot pat ** pour CT PRO si age &gt; 45</t>
  </si>
  <si>
    <t xml:space="preserve"> **</t>
  </si>
  <si>
    <t>APP</t>
  </si>
  <si>
    <t>Taux horaire Contrat Pro</t>
  </si>
  <si>
    <t>Apprenti</t>
  </si>
  <si>
    <t xml:space="preserve">Solde de RTT </t>
  </si>
  <si>
    <t>Nombres de RTT en jours</t>
  </si>
  <si>
    <t>Nombres de RTT en heures</t>
  </si>
  <si>
    <t>Salaire de ref N-1</t>
  </si>
  <si>
    <t>Notifier L'absence NR</t>
  </si>
  <si>
    <t>Congé Payé géré par une CAISSE</t>
  </si>
  <si>
    <t xml:space="preserve">Participation construction </t>
  </si>
  <si>
    <t>Effectif &gt;=11</t>
  </si>
  <si>
    <t>Effectif &lt; 11</t>
  </si>
  <si>
    <t>Effectif &gt;=11 avec CDD</t>
  </si>
  <si>
    <t>Effectif &lt; 11 avec CDD</t>
  </si>
  <si>
    <t>Prime de: xxx</t>
  </si>
  <si>
    <t>Nbre d'heures structurelles</t>
  </si>
  <si>
    <t>Taux normal</t>
  </si>
  <si>
    <t>Heures Structurelles</t>
  </si>
  <si>
    <t xml:space="preserve">Gestion des CP par une CAISSE </t>
  </si>
  <si>
    <t xml:space="preserve">Voir avec Josiane pour le calcul des jours présences de CP </t>
  </si>
  <si>
    <t>Selon méthode ? Calcul du PSS si depend de caisse</t>
  </si>
  <si>
    <t>Nom de l'onglet</t>
  </si>
  <si>
    <t>DURAND</t>
  </si>
  <si>
    <t>PATRICK</t>
  </si>
  <si>
    <t>Prévoyance DC Part patronale</t>
  </si>
  <si>
    <t>XXXXX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</si>
</sst>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43" formatCode="_-* #,##0.00\ _€_-;\-* #,##0.00\ _€_-;_-* &quot;-&quot;??\ _€_-;_-@_-"/>
    <numFmt numFmtId="164" formatCode="[$-40C]mmm\-yy;@"/>
    <numFmt numFmtId="165" formatCode="[h]:mm"/>
    <numFmt numFmtId="166" formatCode="[h]:mm;@"/>
    <numFmt numFmtId="167" formatCode="dd\ ddd"/>
    <numFmt numFmtId="168" formatCode="_-* #,##0.00\ [$€-40C]_-;\-* #,##0.00\ [$€-40C]_-;_-* &quot;-&quot;??\ [$€-40C]_-;_-@_-"/>
    <numFmt numFmtId="169" formatCode="0.000%"/>
    <numFmt numFmtId="170" formatCode="mmmm\ yyyy"/>
    <numFmt numFmtId="171" formatCode="0.0000"/>
  </numFmts>
  <fonts count="55" x14ac:knownFonts="1">
    <font>
      <sz val="11"/>
      <color theme="1"/>
      <name val="Calibri"/>
      <family val="2"/>
      <scheme val="minor"/>
    </font>
    <font>
      <b/>
      <sz val="11"/>
      <color theme="1"/>
      <name val="Calibri"/>
      <family val="2"/>
      <scheme val="minor"/>
    </font>
    <font>
      <i/>
      <sz val="11"/>
      <color theme="1"/>
      <name val="Calibri"/>
      <family val="2"/>
      <scheme val="minor"/>
    </font>
    <font>
      <b/>
      <sz val="16"/>
      <color theme="1"/>
      <name val="Calibri"/>
      <family val="2"/>
      <scheme val="minor"/>
    </font>
    <font>
      <sz val="11"/>
      <color rgb="FF000000"/>
      <name val="Calibri"/>
      <family val="2"/>
    </font>
    <font>
      <sz val="11"/>
      <color theme="1"/>
      <name val="Calibri"/>
      <family val="2"/>
      <scheme val="minor"/>
    </font>
    <font>
      <sz val="9"/>
      <color theme="1"/>
      <name val="Calibri"/>
      <family val="2"/>
      <scheme val="minor"/>
    </font>
    <font>
      <b/>
      <sz val="9"/>
      <color rgb="FFFF0000"/>
      <name val="Calibri"/>
      <family val="2"/>
      <scheme val="minor"/>
    </font>
    <font>
      <sz val="9"/>
      <color indexed="81"/>
      <name val="Tahoma"/>
      <family val="2"/>
    </font>
    <font>
      <b/>
      <sz val="9"/>
      <color indexed="81"/>
      <name val="Tahoma"/>
      <family val="2"/>
    </font>
    <font>
      <sz val="12"/>
      <color theme="1"/>
      <name val="Calibri"/>
      <family val="2"/>
      <scheme val="minor"/>
    </font>
    <font>
      <b/>
      <i/>
      <sz val="11"/>
      <color theme="1"/>
      <name val="Calibri"/>
      <family val="2"/>
      <scheme val="minor"/>
    </font>
    <font>
      <u/>
      <sz val="11"/>
      <color theme="10"/>
      <name val="Calibri"/>
      <family val="2"/>
      <scheme val="minor"/>
    </font>
    <font>
      <b/>
      <u/>
      <sz val="16"/>
      <name val="Calibri"/>
      <family val="2"/>
      <scheme val="minor"/>
    </font>
    <font>
      <sz val="11"/>
      <name val="Calibri"/>
      <family val="2"/>
      <scheme val="minor"/>
    </font>
    <font>
      <b/>
      <sz val="11"/>
      <color rgb="FFFF0000"/>
      <name val="Calibri"/>
      <family val="2"/>
      <scheme val="minor"/>
    </font>
    <font>
      <vertAlign val="superscript"/>
      <sz val="11"/>
      <color theme="1"/>
      <name val="Calibri"/>
      <family val="2"/>
      <scheme val="minor"/>
    </font>
    <font>
      <sz val="11"/>
      <color theme="0"/>
      <name val="Calibri"/>
      <family val="2"/>
      <scheme val="minor"/>
    </font>
    <font>
      <b/>
      <sz val="14"/>
      <color theme="1"/>
      <name val="Calibri"/>
      <family val="2"/>
      <scheme val="minor"/>
    </font>
    <font>
      <b/>
      <u/>
      <sz val="16"/>
      <color rgb="FFFF0000"/>
      <name val="Calibri"/>
      <family val="2"/>
      <scheme val="minor"/>
    </font>
    <font>
      <sz val="11"/>
      <color rgb="FFFF0000"/>
      <name val="Calibri"/>
      <family val="2"/>
      <scheme val="minor"/>
    </font>
    <font>
      <b/>
      <u/>
      <sz val="11"/>
      <color rgb="FFFF0000"/>
      <name val="Calibri"/>
      <family val="2"/>
      <scheme val="minor"/>
    </font>
    <font>
      <sz val="11"/>
      <color rgb="FF141414"/>
      <name val="Calibri"/>
      <family val="2"/>
      <scheme val="minor"/>
    </font>
    <font>
      <sz val="10"/>
      <color theme="1"/>
      <name val="Calibri"/>
      <family val="2"/>
      <scheme val="minor"/>
    </font>
    <font>
      <b/>
      <sz val="12"/>
      <color theme="1"/>
      <name val="Calibri"/>
      <family val="2"/>
      <scheme val="minor"/>
    </font>
    <font>
      <b/>
      <sz val="10"/>
      <color theme="1"/>
      <name val="Calibri"/>
      <family val="2"/>
      <scheme val="minor"/>
    </font>
    <font>
      <b/>
      <sz val="20"/>
      <color rgb="FFFF0000"/>
      <name val="Calibri"/>
      <family val="2"/>
      <scheme val="minor"/>
    </font>
    <font>
      <b/>
      <sz val="16"/>
      <color rgb="FFFF0000"/>
      <name val="Calibri"/>
      <family val="2"/>
      <scheme val="minor"/>
    </font>
    <font>
      <b/>
      <sz val="14"/>
      <color rgb="FFFF0000"/>
      <name val="Calibri"/>
      <family val="2"/>
      <scheme val="minor"/>
    </font>
    <font>
      <b/>
      <sz val="18"/>
      <color theme="1"/>
      <name val="Calibri"/>
      <family val="2"/>
      <scheme val="minor"/>
    </font>
    <font>
      <b/>
      <sz val="9"/>
      <color theme="1"/>
      <name val="Calibri"/>
      <family val="2"/>
      <scheme val="minor"/>
    </font>
    <font>
      <b/>
      <u/>
      <sz val="11"/>
      <color theme="1"/>
      <name val="Calibri"/>
      <family val="2"/>
      <scheme val="minor"/>
    </font>
    <font>
      <b/>
      <sz val="11"/>
      <name val="Calibri"/>
      <family val="2"/>
      <scheme val="minor"/>
    </font>
    <font>
      <b/>
      <sz val="12"/>
      <color rgb="FFFF0000"/>
      <name val="Calibri"/>
      <family val="2"/>
      <scheme val="minor"/>
    </font>
    <font>
      <b/>
      <sz val="10"/>
      <color rgb="FFFF0000"/>
      <name val="Calibri"/>
      <family val="2"/>
      <scheme val="minor"/>
    </font>
    <font>
      <sz val="8"/>
      <color theme="1"/>
      <name val="Calibri"/>
      <family val="2"/>
      <scheme val="minor"/>
    </font>
    <font>
      <sz val="10"/>
      <name val="Calibri"/>
      <family val="2"/>
    </font>
    <font>
      <b/>
      <sz val="16"/>
      <name val="Calibri"/>
      <family val="2"/>
    </font>
    <font>
      <sz val="10"/>
      <color theme="1"/>
      <name val="Calibri"/>
      <family val="2"/>
    </font>
    <font>
      <b/>
      <sz val="10"/>
      <name val="Calibri"/>
      <family val="2"/>
    </font>
    <font>
      <i/>
      <sz val="10"/>
      <name val="Calibri"/>
      <family val="2"/>
    </font>
    <font>
      <sz val="10"/>
      <color indexed="17"/>
      <name val="Calibri"/>
      <family val="2"/>
    </font>
    <font>
      <i/>
      <sz val="10"/>
      <color theme="1"/>
      <name val="Calibri"/>
      <family val="2"/>
    </font>
    <font>
      <sz val="10"/>
      <name val="Calibri"/>
      <family val="2"/>
      <scheme val="minor"/>
    </font>
    <font>
      <b/>
      <sz val="10"/>
      <color rgb="FFFF0000"/>
      <name val="Calibri"/>
      <family val="2"/>
    </font>
    <font>
      <b/>
      <sz val="12"/>
      <color rgb="FFFF0000"/>
      <name val="Calibri"/>
      <family val="2"/>
    </font>
    <font>
      <u/>
      <sz val="10"/>
      <color theme="10"/>
      <name val="Calibri"/>
      <family val="2"/>
      <scheme val="minor"/>
    </font>
    <font>
      <b/>
      <sz val="10"/>
      <name val="Calibri"/>
      <family val="2"/>
      <scheme val="minor"/>
    </font>
    <font>
      <b/>
      <sz val="11"/>
      <color rgb="FFFF0000"/>
      <name val="Calibri"/>
      <family val="2"/>
    </font>
    <font>
      <i/>
      <sz val="11"/>
      <color theme="0" tint="-0.499984740745262"/>
      <name val="Calibri"/>
      <family val="2"/>
      <scheme val="minor"/>
    </font>
    <font>
      <sz val="11"/>
      <color theme="0" tint="-0.499984740745262"/>
      <name val="Calibri"/>
      <family val="2"/>
      <scheme val="minor"/>
    </font>
    <font>
      <b/>
      <sz val="16"/>
      <color theme="0"/>
      <name val="Calibri"/>
      <family val="2"/>
      <scheme val="minor"/>
    </font>
    <font>
      <b/>
      <sz val="16"/>
      <name val="Calibri"/>
      <family val="2"/>
      <scheme val="minor"/>
    </font>
    <font>
      <sz val="12"/>
      <name val="Calibri"/>
      <family val="2"/>
      <scheme val="minor"/>
    </font>
    <font>
      <b/>
      <sz val="11"/>
      <color rgb="FF0000FF"/>
      <name val="Calibri"/>
      <family val="2"/>
    </font>
  </fonts>
  <fills count="35">
    <fill>
      <patternFill patternType="none"/>
    </fill>
    <fill>
      <patternFill patternType="gray125"/>
    </fill>
    <fill>
      <patternFill patternType="solid">
        <fgColor theme="2"/>
        <bgColor indexed="64"/>
      </patternFill>
    </fill>
    <fill>
      <patternFill patternType="solid">
        <fgColor rgb="FFFFC000"/>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theme="0" tint="-0.499984740745262"/>
        <bgColor indexed="64"/>
      </patternFill>
    </fill>
    <fill>
      <patternFill patternType="solid">
        <fgColor theme="4" tint="0.59999389629810485"/>
        <bgColor indexed="64"/>
      </patternFill>
    </fill>
    <fill>
      <patternFill patternType="solid">
        <fgColor theme="6" tint="0.59999389629810485"/>
        <bgColor indexed="64"/>
      </patternFill>
    </fill>
    <fill>
      <patternFill patternType="solid">
        <fgColor theme="4" tint="-0.499984740745262"/>
        <bgColor indexed="64"/>
      </patternFill>
    </fill>
    <fill>
      <patternFill patternType="solid">
        <fgColor rgb="FF00B0F0"/>
        <bgColor indexed="64"/>
      </patternFill>
    </fill>
    <fill>
      <patternFill patternType="solid">
        <fgColor theme="9" tint="0.59999389629810485"/>
        <bgColor indexed="64"/>
      </patternFill>
    </fill>
    <fill>
      <patternFill patternType="solid">
        <fgColor theme="0"/>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FFFFCC"/>
        <bgColor indexed="64"/>
      </patternFill>
    </fill>
    <fill>
      <patternFill patternType="solid">
        <fgColor theme="8" tint="0.59996337778862885"/>
        <bgColor indexed="64"/>
      </patternFill>
    </fill>
    <fill>
      <patternFill patternType="solid">
        <fgColor rgb="FFFF99FF"/>
        <bgColor indexed="64"/>
      </patternFill>
    </fill>
    <fill>
      <patternFill patternType="solid">
        <fgColor indexed="27"/>
        <bgColor indexed="41"/>
      </patternFill>
    </fill>
    <fill>
      <patternFill patternType="solid">
        <fgColor rgb="FFFFCC66"/>
        <bgColor indexed="64"/>
      </patternFill>
    </fill>
    <fill>
      <patternFill patternType="solid">
        <fgColor theme="9" tint="0.59999389629810485"/>
        <bgColor theme="7" tint="0.79998168889431442"/>
      </patternFill>
    </fill>
    <fill>
      <patternFill patternType="solid">
        <fgColor rgb="FFE4D2F2"/>
        <bgColor theme="7" tint="0.79998168889431442"/>
      </patternFill>
    </fill>
    <fill>
      <patternFill patternType="solid">
        <fgColor theme="4" tint="0.59999389629810485"/>
        <bgColor theme="7" tint="0.79998168889431442"/>
      </patternFill>
    </fill>
    <fill>
      <patternFill patternType="solid">
        <fgColor rgb="FFE4D2F2"/>
        <bgColor indexed="64"/>
      </patternFill>
    </fill>
    <fill>
      <patternFill patternType="solid">
        <fgColor theme="6" tint="0.59999389629810485"/>
        <bgColor theme="7" tint="0.79998168889431442"/>
      </patternFill>
    </fill>
    <fill>
      <patternFill patternType="solid">
        <fgColor theme="8" tint="0.79998168889431442"/>
        <bgColor indexed="64"/>
      </patternFill>
    </fill>
    <fill>
      <patternFill patternType="solid">
        <fgColor theme="8" tint="0.79998168889431442"/>
        <bgColor theme="7" tint="0.79998168889431442"/>
      </patternFill>
    </fill>
    <fill>
      <patternFill patternType="solid">
        <fgColor theme="9" tint="0.79998168889431442"/>
        <bgColor theme="7" tint="0.79998168889431442"/>
      </patternFill>
    </fill>
    <fill>
      <patternFill patternType="solid">
        <fgColor theme="6" tint="-0.249977111117893"/>
        <bgColor indexed="64"/>
      </patternFill>
    </fill>
    <fill>
      <patternFill patternType="solid">
        <fgColor theme="9" tint="0.79998168889431442"/>
        <bgColor indexed="64"/>
      </patternFill>
    </fill>
    <fill>
      <patternFill patternType="solid">
        <fgColor theme="9" tint="0.59996337778862885"/>
        <bgColor indexed="64"/>
      </patternFill>
    </fill>
  </fills>
  <borders count="187">
    <border>
      <left/>
      <right/>
      <top/>
      <bottom/>
      <diagonal/>
    </border>
    <border>
      <left style="thin">
        <color auto="1"/>
      </left>
      <right style="thin">
        <color auto="1"/>
      </right>
      <top style="thin">
        <color auto="1"/>
      </top>
      <bottom style="thin">
        <color auto="1"/>
      </bottom>
      <diagonal/>
    </border>
    <border>
      <left style="dotted">
        <color auto="1"/>
      </left>
      <right style="dotted">
        <color auto="1"/>
      </right>
      <top style="dotted">
        <color auto="1"/>
      </top>
      <bottom style="dotted">
        <color auto="1"/>
      </bottom>
      <diagonal/>
    </border>
    <border>
      <left style="dashDotDot">
        <color auto="1"/>
      </left>
      <right style="hair">
        <color auto="1"/>
      </right>
      <top style="dashDotDot">
        <color auto="1"/>
      </top>
      <bottom style="hair">
        <color auto="1"/>
      </bottom>
      <diagonal/>
    </border>
    <border>
      <left style="hair">
        <color auto="1"/>
      </left>
      <right style="dashDotDot">
        <color auto="1"/>
      </right>
      <top style="dashDotDot">
        <color auto="1"/>
      </top>
      <bottom style="hair">
        <color auto="1"/>
      </bottom>
      <diagonal/>
    </border>
    <border>
      <left style="dashDotDot">
        <color auto="1"/>
      </left>
      <right style="hair">
        <color auto="1"/>
      </right>
      <top/>
      <bottom style="hair">
        <color auto="1"/>
      </bottom>
      <diagonal/>
    </border>
    <border>
      <left style="hair">
        <color auto="1"/>
      </left>
      <right style="dashDotDot">
        <color auto="1"/>
      </right>
      <top/>
      <bottom style="hair">
        <color auto="1"/>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right style="dotted">
        <color auto="1"/>
      </right>
      <top/>
      <bottom/>
      <diagonal/>
    </border>
    <border>
      <left/>
      <right/>
      <top style="dotted">
        <color auto="1"/>
      </top>
      <bottom style="dotted">
        <color auto="1"/>
      </bottom>
      <diagonal/>
    </border>
    <border>
      <left style="medium">
        <color indexed="64"/>
      </left>
      <right/>
      <top style="medium">
        <color indexed="64"/>
      </top>
      <bottom style="dotted">
        <color indexed="64"/>
      </bottom>
      <diagonal/>
    </border>
    <border>
      <left style="medium">
        <color indexed="64"/>
      </left>
      <right/>
      <top style="medium">
        <color indexed="64"/>
      </top>
      <bottom/>
      <diagonal/>
    </border>
    <border>
      <left style="medium">
        <color indexed="64"/>
      </left>
      <right/>
      <top style="dotted">
        <color indexed="64"/>
      </top>
      <bottom style="dotted">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top style="medium">
        <color indexed="64"/>
      </top>
      <bottom style="dotted">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top style="medium">
        <color indexed="64"/>
      </top>
      <bottom/>
      <diagonal/>
    </border>
    <border>
      <left style="medium">
        <color indexed="64"/>
      </left>
      <right/>
      <top/>
      <bottom/>
      <diagonal/>
    </border>
    <border>
      <left style="medium">
        <color indexed="64"/>
      </left>
      <right/>
      <top/>
      <bottom style="dotted">
        <color indexed="64"/>
      </bottom>
      <diagonal/>
    </border>
    <border>
      <left/>
      <right/>
      <top/>
      <bottom style="dotted">
        <color indexed="64"/>
      </bottom>
      <diagonal/>
    </border>
    <border>
      <left style="mediumDashDot">
        <color auto="1"/>
      </left>
      <right/>
      <top style="mediumDashDot">
        <color auto="1"/>
      </top>
      <bottom style="mediumDashDot">
        <color auto="1"/>
      </bottom>
      <diagonal/>
    </border>
    <border>
      <left/>
      <right/>
      <top style="mediumDashDot">
        <color auto="1"/>
      </top>
      <bottom style="mediumDashDot">
        <color auto="1"/>
      </bottom>
      <diagonal/>
    </border>
    <border>
      <left/>
      <right style="mediumDashDot">
        <color auto="1"/>
      </right>
      <top style="mediumDashDot">
        <color auto="1"/>
      </top>
      <bottom style="mediumDashDot">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dashDotDot">
        <color auto="1"/>
      </left>
      <right style="hair">
        <color auto="1"/>
      </right>
      <top style="dashDotDot">
        <color auto="1"/>
      </top>
      <bottom style="dashDotDot">
        <color auto="1"/>
      </bottom>
      <diagonal/>
    </border>
    <border>
      <left style="hair">
        <color auto="1"/>
      </left>
      <right style="hair">
        <color auto="1"/>
      </right>
      <top style="dashDotDot">
        <color auto="1"/>
      </top>
      <bottom style="dashDotDot">
        <color auto="1"/>
      </bottom>
      <diagonal/>
    </border>
    <border>
      <left style="hair">
        <color auto="1"/>
      </left>
      <right style="dashDotDot">
        <color auto="1"/>
      </right>
      <top style="dashDotDot">
        <color auto="1"/>
      </top>
      <bottom style="dashDotDot">
        <color auto="1"/>
      </bottom>
      <diagonal/>
    </border>
    <border>
      <left style="hair">
        <color indexed="64"/>
      </left>
      <right style="hair">
        <color indexed="64"/>
      </right>
      <top/>
      <bottom style="hair">
        <color indexed="64"/>
      </bottom>
      <diagonal/>
    </border>
    <border>
      <left style="hair">
        <color auto="1"/>
      </left>
      <right style="hair">
        <color auto="1"/>
      </right>
      <top/>
      <bottom style="dashDotDot">
        <color auto="1"/>
      </bottom>
      <diagonal/>
    </border>
    <border>
      <left style="hair">
        <color auto="1"/>
      </left>
      <right style="dashDotDot">
        <color auto="1"/>
      </right>
      <top/>
      <bottom style="dashDotDot">
        <color auto="1"/>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medium">
        <color indexed="64"/>
      </right>
      <top style="hair">
        <color indexed="64"/>
      </top>
      <bottom style="medium">
        <color indexed="64"/>
      </bottom>
      <diagonal/>
    </border>
    <border>
      <left style="dashDotDot">
        <color auto="1"/>
      </left>
      <right style="dashDotDot">
        <color auto="1"/>
      </right>
      <top style="dashDotDot">
        <color auto="1"/>
      </top>
      <bottom style="hair">
        <color auto="1"/>
      </bottom>
      <diagonal/>
    </border>
    <border>
      <left style="dashDotDot">
        <color auto="1"/>
      </left>
      <right style="dashDotDot">
        <color auto="1"/>
      </right>
      <top/>
      <bottom/>
      <diagonal/>
    </border>
    <border>
      <left style="dashDotDot">
        <color auto="1"/>
      </left>
      <right style="dashDotDot">
        <color auto="1"/>
      </right>
      <top style="hair">
        <color auto="1"/>
      </top>
      <bottom style="dashDotDot">
        <color auto="1"/>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style="medium">
        <color auto="1"/>
      </right>
      <top style="medium">
        <color auto="1"/>
      </top>
      <bottom style="dotted">
        <color auto="1"/>
      </bottom>
      <diagonal/>
    </border>
    <border>
      <left style="thin">
        <color indexed="64"/>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style="medium">
        <color auto="1"/>
      </left>
      <right style="dotted">
        <color auto="1"/>
      </right>
      <top style="dotted">
        <color auto="1"/>
      </top>
      <bottom style="dotted">
        <color auto="1"/>
      </bottom>
      <diagonal/>
    </border>
    <border>
      <left style="dotted">
        <color auto="1"/>
      </left>
      <right style="medium">
        <color auto="1"/>
      </right>
      <top style="dotted">
        <color auto="1"/>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style="medium">
        <color auto="1"/>
      </right>
      <top style="dotted">
        <color auto="1"/>
      </top>
      <bottom style="medium">
        <color auto="1"/>
      </bottom>
      <diagonal/>
    </border>
    <border>
      <left style="thin">
        <color auto="1"/>
      </left>
      <right style="hair">
        <color auto="1"/>
      </right>
      <top/>
      <bottom style="hair">
        <color auto="1"/>
      </bottom>
      <diagonal/>
    </border>
    <border>
      <left style="hair">
        <color auto="1"/>
      </left>
      <right style="thin">
        <color auto="1"/>
      </right>
      <top/>
      <bottom style="hair">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dashDotDot">
        <color indexed="64"/>
      </left>
      <right/>
      <top style="dashDotDot">
        <color indexed="64"/>
      </top>
      <bottom/>
      <diagonal/>
    </border>
    <border>
      <left/>
      <right style="dashDotDot">
        <color indexed="64"/>
      </right>
      <top style="dashDotDot">
        <color indexed="64"/>
      </top>
      <bottom/>
      <diagonal/>
    </border>
    <border>
      <left style="dashDotDot">
        <color auto="1"/>
      </left>
      <right/>
      <top/>
      <bottom/>
      <diagonal/>
    </border>
    <border>
      <left/>
      <right style="dashDotDot">
        <color auto="1"/>
      </right>
      <top/>
      <bottom/>
      <diagonal/>
    </border>
    <border>
      <left style="dashDotDot">
        <color auto="1"/>
      </left>
      <right/>
      <top style="dashDotDot">
        <color auto="1"/>
      </top>
      <bottom style="dashDotDot">
        <color auto="1"/>
      </bottom>
      <diagonal/>
    </border>
    <border>
      <left/>
      <right style="dashDotDot">
        <color auto="1"/>
      </right>
      <top style="dashDotDot">
        <color auto="1"/>
      </top>
      <bottom style="dashDotDot">
        <color auto="1"/>
      </bottom>
      <diagonal/>
    </border>
    <border>
      <left style="dashDotDot">
        <color auto="1"/>
      </left>
      <right/>
      <top style="hair">
        <color auto="1"/>
      </top>
      <bottom style="hair">
        <color auto="1"/>
      </bottom>
      <diagonal/>
    </border>
    <border>
      <left/>
      <right style="dashDotDot">
        <color auto="1"/>
      </right>
      <top style="hair">
        <color auto="1"/>
      </top>
      <bottom style="hair">
        <color auto="1"/>
      </bottom>
      <diagonal/>
    </border>
    <border>
      <left style="dashDotDot">
        <color auto="1"/>
      </left>
      <right/>
      <top style="hair">
        <color auto="1"/>
      </top>
      <bottom style="dashDotDot">
        <color auto="1"/>
      </bottom>
      <diagonal/>
    </border>
    <border>
      <left/>
      <right style="dashDotDot">
        <color auto="1"/>
      </right>
      <top style="hair">
        <color auto="1"/>
      </top>
      <bottom style="dashDotDot">
        <color auto="1"/>
      </bottom>
      <diagonal/>
    </border>
    <border>
      <left style="dashDotDot">
        <color auto="1"/>
      </left>
      <right/>
      <top/>
      <bottom style="dashDotDot">
        <color auto="1"/>
      </bottom>
      <diagonal/>
    </border>
    <border>
      <left/>
      <right style="dashDotDot">
        <color auto="1"/>
      </right>
      <top/>
      <bottom style="dashDotDot">
        <color auto="1"/>
      </bottom>
      <diagonal/>
    </border>
    <border>
      <left style="dashDotDot">
        <color auto="1"/>
      </left>
      <right style="dashDotDot">
        <color auto="1"/>
      </right>
      <top style="hair">
        <color auto="1"/>
      </top>
      <bottom style="hair">
        <color auto="1"/>
      </bottom>
      <diagonal/>
    </border>
    <border>
      <left/>
      <right style="hair">
        <color auto="1"/>
      </right>
      <top style="hair">
        <color auto="1"/>
      </top>
      <bottom style="hair">
        <color auto="1"/>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auto="1"/>
      </left>
      <right style="hair">
        <color auto="1"/>
      </right>
      <top style="thin">
        <color auto="1"/>
      </top>
      <bottom style="thin">
        <color indexed="64"/>
      </bottom>
      <diagonal/>
    </border>
    <border>
      <left style="hair">
        <color indexed="64"/>
      </left>
      <right style="hair">
        <color indexed="64"/>
      </right>
      <top style="hair">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auto="1"/>
      </left>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right style="hair">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hair">
        <color auto="1"/>
      </left>
      <right style="hair">
        <color auto="1"/>
      </right>
      <top style="dashDotDot">
        <color auto="1"/>
      </top>
      <bottom style="hair">
        <color auto="1"/>
      </bottom>
      <diagonal/>
    </border>
    <border>
      <left style="hair">
        <color auto="1"/>
      </left>
      <right style="hair">
        <color auto="1"/>
      </right>
      <top style="hair">
        <color auto="1"/>
      </top>
      <bottom style="dashDotDot">
        <color auto="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medium">
        <color indexed="64"/>
      </right>
      <top style="medium">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style="dotted">
        <color indexed="64"/>
      </top>
      <bottom style="medium">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dotted">
        <color indexed="64"/>
      </bottom>
      <diagonal/>
    </border>
    <border>
      <left style="medium">
        <color indexed="64"/>
      </left>
      <right style="medium">
        <color indexed="64"/>
      </right>
      <top style="medium">
        <color indexed="64"/>
      </top>
      <bottom/>
      <diagonal/>
    </border>
    <border>
      <left/>
      <right/>
      <top style="dotted">
        <color indexed="64"/>
      </top>
      <bottom/>
      <diagonal/>
    </border>
    <border>
      <left style="medium">
        <color indexed="64"/>
      </left>
      <right/>
      <top style="dotted">
        <color indexed="64"/>
      </top>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DashDot">
        <color indexed="64"/>
      </left>
      <right style="thin">
        <color indexed="64"/>
      </right>
      <top style="mediumDashDot">
        <color indexed="64"/>
      </top>
      <bottom style="mediumDashDot">
        <color indexed="64"/>
      </bottom>
      <diagonal/>
    </border>
    <border>
      <left style="thin">
        <color indexed="64"/>
      </left>
      <right style="thin">
        <color indexed="64"/>
      </right>
      <top style="mediumDashDot">
        <color indexed="64"/>
      </top>
      <bottom style="mediumDashDot">
        <color indexed="64"/>
      </bottom>
      <diagonal/>
    </border>
    <border>
      <left style="thin">
        <color indexed="64"/>
      </left>
      <right style="mediumDashDot">
        <color indexed="64"/>
      </right>
      <top style="mediumDashDot">
        <color indexed="64"/>
      </top>
      <bottom style="mediumDashDot">
        <color indexed="64"/>
      </bottom>
      <diagonal/>
    </border>
    <border diagonalUp="1">
      <left style="thin">
        <color indexed="64"/>
      </left>
      <right style="thin">
        <color indexed="64"/>
      </right>
      <top style="thin">
        <color indexed="64"/>
      </top>
      <bottom style="thin">
        <color indexed="64"/>
      </bottom>
      <diagonal style="thin">
        <color indexed="64"/>
      </diagonal>
    </border>
    <border>
      <left/>
      <right/>
      <top style="dashDotDot">
        <color indexed="64"/>
      </top>
      <bottom/>
      <diagonal/>
    </border>
    <border>
      <left/>
      <right/>
      <top/>
      <bottom style="dashDotDot">
        <color auto="1"/>
      </bottom>
      <diagonal/>
    </border>
    <border>
      <left style="thin">
        <color auto="1"/>
      </left>
      <right style="hair">
        <color auto="1"/>
      </right>
      <top style="hair">
        <color auto="1"/>
      </top>
      <bottom/>
      <diagonal/>
    </border>
    <border>
      <left style="hair">
        <color auto="1"/>
      </left>
      <right style="thin">
        <color auto="1"/>
      </right>
      <top style="hair">
        <color auto="1"/>
      </top>
      <bottom/>
      <diagonal/>
    </border>
    <border>
      <left style="dashDotDot">
        <color indexed="64"/>
      </left>
      <right style="dashDotDot">
        <color indexed="64"/>
      </right>
      <top style="dashDotDot">
        <color indexed="64"/>
      </top>
      <bottom/>
      <diagonal/>
    </border>
    <border>
      <left style="dashDotDot">
        <color indexed="64"/>
      </left>
      <right style="dashDotDot">
        <color indexed="64"/>
      </right>
      <top/>
      <bottom style="dashDotDot">
        <color indexed="64"/>
      </bottom>
      <diagonal/>
    </border>
    <border>
      <left/>
      <right/>
      <top style="dashDotDot">
        <color indexed="64"/>
      </top>
      <bottom style="dashDotDot">
        <color indexed="64"/>
      </bottom>
      <diagonal/>
    </border>
    <border>
      <left/>
      <right style="medium">
        <color indexed="64"/>
      </right>
      <top style="dotted">
        <color indexed="64"/>
      </top>
      <bottom/>
      <diagonal/>
    </border>
    <border>
      <left/>
      <right/>
      <top style="mediumDashDot">
        <color auto="1"/>
      </top>
      <bottom/>
      <diagonal/>
    </border>
    <border>
      <left/>
      <right style="thin">
        <color indexed="8"/>
      </right>
      <top/>
      <bottom style="hair">
        <color indexed="8"/>
      </bottom>
      <diagonal/>
    </border>
    <border>
      <left style="thin">
        <color indexed="8"/>
      </left>
      <right style="thin">
        <color indexed="8"/>
      </right>
      <top/>
      <bottom style="hair">
        <color indexed="8"/>
      </bottom>
      <diagonal/>
    </border>
    <border>
      <left/>
      <right style="thin">
        <color indexed="8"/>
      </right>
      <top style="hair">
        <color indexed="8"/>
      </top>
      <bottom style="hair">
        <color indexed="8"/>
      </bottom>
      <diagonal/>
    </border>
    <border>
      <left style="thin">
        <color indexed="8"/>
      </left>
      <right style="thin">
        <color indexed="8"/>
      </right>
      <top style="hair">
        <color indexed="8"/>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right style="thin">
        <color indexed="8"/>
      </right>
      <top style="hair">
        <color indexed="8"/>
      </top>
      <bottom/>
      <diagonal/>
    </border>
    <border>
      <left style="thin">
        <color indexed="64"/>
      </left>
      <right/>
      <top style="thin">
        <color indexed="64"/>
      </top>
      <bottom style="thin">
        <color indexed="8"/>
      </bottom>
      <diagonal/>
    </border>
    <border>
      <left/>
      <right style="thin">
        <color indexed="64"/>
      </right>
      <top style="thin">
        <color indexed="64"/>
      </top>
      <bottom style="thin">
        <color indexed="8"/>
      </bottom>
      <diagonal/>
    </border>
    <border>
      <left style="thin">
        <color indexed="64"/>
      </left>
      <right style="thin">
        <color indexed="64"/>
      </right>
      <top style="thin">
        <color indexed="64"/>
      </top>
      <bottom style="thin">
        <color indexed="64"/>
      </bottom>
      <diagonal/>
    </border>
    <border>
      <left style="thin">
        <color indexed="8"/>
      </left>
      <right style="thin">
        <color indexed="8"/>
      </right>
      <top style="thin">
        <color indexed="8"/>
      </top>
      <bottom/>
      <diagonal/>
    </border>
    <border>
      <left/>
      <right style="thin">
        <color indexed="8"/>
      </right>
      <top style="thin">
        <color indexed="8"/>
      </top>
      <bottom/>
      <diagonal/>
    </border>
    <border>
      <left style="dashDotDot">
        <color auto="1"/>
      </left>
      <right style="dashDotDot">
        <color auto="1"/>
      </right>
      <top style="dashDotDot">
        <color auto="1"/>
      </top>
      <bottom style="dashDotDot">
        <color auto="1"/>
      </bottom>
      <diagonal/>
    </border>
    <border>
      <left style="mediumDashDot">
        <color auto="1"/>
      </left>
      <right style="mediumDashDot">
        <color auto="1"/>
      </right>
      <top style="mediumDashDot">
        <color auto="1"/>
      </top>
      <bottom style="dashDotDot">
        <color auto="1"/>
      </bottom>
      <diagonal/>
    </border>
    <border>
      <left style="dashDotDot">
        <color auto="1"/>
      </left>
      <right style="hair">
        <color auto="1"/>
      </right>
      <top/>
      <bottom style="dashDotDot">
        <color auto="1"/>
      </bottom>
      <diagonal/>
    </border>
    <border>
      <left style="mediumDashDot">
        <color auto="1"/>
      </left>
      <right style="mediumDashDot">
        <color auto="1"/>
      </right>
      <top/>
      <bottom style="mediumDashDot">
        <color auto="1"/>
      </bottom>
      <diagonal/>
    </border>
    <border>
      <left style="dashDotDot">
        <color indexed="64"/>
      </left>
      <right style="dashDotDot">
        <color auto="1"/>
      </right>
      <top/>
      <bottom style="hair">
        <color auto="1"/>
      </bottom>
      <diagonal/>
    </border>
    <border>
      <left style="thin">
        <color auto="1"/>
      </left>
      <right style="thin">
        <color auto="1"/>
      </right>
      <top style="thin">
        <color auto="1"/>
      </top>
      <bottom style="thin">
        <color auto="1"/>
      </bottom>
      <diagonal/>
    </border>
    <border>
      <left style="dashDotDot">
        <color auto="1"/>
      </left>
      <right style="dashDotDot">
        <color auto="1"/>
      </right>
      <top style="hair">
        <color auto="1"/>
      </top>
      <bottom style="hair">
        <color auto="1"/>
      </bottom>
      <diagonal/>
    </border>
    <border>
      <left style="dashDotDot">
        <color auto="1"/>
      </left>
      <right style="dashDotDot">
        <color auto="1"/>
      </right>
      <top style="hair">
        <color auto="1"/>
      </top>
      <bottom style="dashDotDot">
        <color auto="1"/>
      </bottom>
      <diagonal/>
    </border>
    <border>
      <left style="dashDotDot">
        <color auto="1"/>
      </left>
      <right style="hair">
        <color auto="1"/>
      </right>
      <top style="dashDotDot">
        <color auto="1"/>
      </top>
      <bottom/>
      <diagonal/>
    </border>
    <border>
      <left/>
      <right style="hair">
        <color auto="1"/>
      </right>
      <top style="dashDotDot">
        <color auto="1"/>
      </top>
      <bottom/>
      <diagonal/>
    </border>
    <border>
      <left style="hair">
        <color auto="1"/>
      </left>
      <right style="hair">
        <color auto="1"/>
      </right>
      <top style="dashDotDot">
        <color auto="1"/>
      </top>
      <bottom/>
      <diagonal/>
    </border>
    <border>
      <left style="hair">
        <color auto="1"/>
      </left>
      <right/>
      <top style="dashDotDot">
        <color auto="1"/>
      </top>
      <bottom/>
      <diagonal/>
    </border>
    <border>
      <left style="dashDotDot">
        <color auto="1"/>
      </left>
      <right/>
      <top style="dashDotDot">
        <color auto="1"/>
      </top>
      <bottom style="hair">
        <color auto="1"/>
      </bottom>
      <diagonal/>
    </border>
    <border>
      <left/>
      <right style="hair">
        <color auto="1"/>
      </right>
      <top style="dashDotDot">
        <color auto="1"/>
      </top>
      <bottom style="hair">
        <color auto="1"/>
      </bottom>
      <diagonal/>
    </border>
    <border>
      <left style="hair">
        <color auto="1"/>
      </left>
      <right/>
      <top style="dashDotDot">
        <color auto="1"/>
      </top>
      <bottom style="hair">
        <color auto="1"/>
      </bottom>
      <diagonal/>
    </border>
    <border>
      <left style="hair">
        <color auto="1"/>
      </left>
      <right style="hair">
        <color auto="1"/>
      </right>
      <top style="hair">
        <color auto="1"/>
      </top>
      <bottom style="dashDotDot">
        <color auto="1"/>
      </bottom>
      <diagonal/>
    </border>
    <border>
      <left style="dashDotDot">
        <color auto="1"/>
      </left>
      <right/>
      <top style="hair">
        <color auto="1"/>
      </top>
      <bottom style="dashDotDot">
        <color auto="1"/>
      </bottom>
      <diagonal/>
    </border>
    <border>
      <left/>
      <right style="hair">
        <color auto="1"/>
      </right>
      <top style="hair">
        <color auto="1"/>
      </top>
      <bottom style="dashDotDot">
        <color auto="1"/>
      </bottom>
      <diagonal/>
    </border>
    <border>
      <left style="hair">
        <color auto="1"/>
      </left>
      <right/>
      <top style="hair">
        <color auto="1"/>
      </top>
      <bottom style="dashDotDot">
        <color auto="1"/>
      </bottom>
      <diagonal/>
    </border>
    <border>
      <left style="hair">
        <color auto="1"/>
      </left>
      <right style="dashDotDot">
        <color indexed="64"/>
      </right>
      <top style="hair">
        <color auto="1"/>
      </top>
      <bottom/>
      <diagonal/>
    </border>
    <border>
      <left style="dashDotDot">
        <color auto="1"/>
      </left>
      <right/>
      <top style="hair">
        <color auto="1"/>
      </top>
      <bottom/>
      <diagonal/>
    </border>
    <border>
      <left style="hair">
        <color auto="1"/>
      </left>
      <right style="hair">
        <color auto="1"/>
      </right>
      <top style="hair">
        <color auto="1"/>
      </top>
      <bottom/>
      <diagonal/>
    </border>
    <border>
      <left style="hair">
        <color auto="1"/>
      </left>
      <right/>
      <top style="hair">
        <color auto="1"/>
      </top>
      <bottom/>
      <diagonal/>
    </border>
    <border>
      <left style="dashDotDot">
        <color auto="1"/>
      </left>
      <right style="dashDotDot">
        <color auto="1"/>
      </right>
      <top style="hair">
        <color auto="1"/>
      </top>
      <bottom/>
      <diagonal/>
    </border>
    <border>
      <left style="hair">
        <color indexed="64"/>
      </left>
      <right style="hair">
        <color indexed="64"/>
      </right>
      <top style="hair">
        <color indexed="64"/>
      </top>
      <bottom style="hair">
        <color indexed="64"/>
      </bottom>
      <diagonal/>
    </border>
    <border>
      <left/>
      <right/>
      <top style="mediumDashDot">
        <color auto="1"/>
      </top>
      <bottom style="dashDotDot">
        <color auto="1"/>
      </bottom>
      <diagonal/>
    </border>
    <border>
      <left style="dashDotDot">
        <color indexed="64"/>
      </left>
      <right/>
      <top style="hair">
        <color indexed="64"/>
      </top>
      <bottom style="hair">
        <color indexed="64"/>
      </bottom>
      <diagonal/>
    </border>
    <border>
      <left style="hair">
        <color indexed="64"/>
      </left>
      <right/>
      <top style="hair">
        <color indexed="64"/>
      </top>
      <bottom style="hair">
        <color indexed="64"/>
      </bottom>
      <diagonal/>
    </border>
    <border>
      <left/>
      <right/>
      <top style="hair">
        <color auto="1"/>
      </top>
      <bottom style="hair">
        <color auto="1"/>
      </bottom>
      <diagonal/>
    </border>
    <border>
      <left style="hair">
        <color auto="1"/>
      </left>
      <right/>
      <top/>
      <bottom/>
      <diagonal/>
    </border>
    <border>
      <left/>
      <right/>
      <top/>
      <bottom style="hair">
        <color auto="1"/>
      </bottom>
      <diagonal/>
    </border>
    <border>
      <left/>
      <right style="hair">
        <color auto="1"/>
      </right>
      <top/>
      <bottom/>
      <diagonal/>
    </border>
    <border>
      <left style="hair">
        <color auto="1"/>
      </left>
      <right style="hair">
        <color auto="1"/>
      </right>
      <top/>
      <bottom/>
      <diagonal/>
    </border>
    <border>
      <left style="thin">
        <color auto="1"/>
      </left>
      <right style="thin">
        <color indexed="64"/>
      </right>
      <top/>
      <bottom style="hair">
        <color indexed="64"/>
      </bottom>
      <diagonal/>
    </border>
    <border>
      <left/>
      <right style="hair">
        <color auto="1"/>
      </right>
      <top/>
      <bottom style="hair">
        <color auto="1"/>
      </bottom>
      <diagonal/>
    </border>
  </borders>
  <cellStyleXfs count="5">
    <xf numFmtId="0" fontId="0" fillId="0" borderId="0"/>
    <xf numFmtId="43" fontId="5" fillId="0" borderId="0" applyFont="0" applyFill="0" applyBorder="0" applyAlignment="0" applyProtection="0"/>
    <xf numFmtId="9" fontId="5" fillId="0" borderId="0" applyFont="0" applyFill="0" applyBorder="0" applyAlignment="0" applyProtection="0"/>
    <xf numFmtId="0" fontId="12" fillId="0" borderId="0" applyNumberFormat="0" applyFill="0" applyBorder="0" applyAlignment="0" applyProtection="0"/>
    <xf numFmtId="0" fontId="36" fillId="0" borderId="0"/>
  </cellStyleXfs>
  <cellXfs count="1002">
    <xf numFmtId="0" fontId="0" fillId="0" borderId="0" xfId="0"/>
    <xf numFmtId="0" fontId="0" fillId="0" borderId="0" xfId="0" applyFont="1" applyAlignment="1">
      <alignment vertical="center"/>
    </xf>
    <xf numFmtId="0" fontId="1" fillId="2" borderId="0" xfId="0" applyFont="1" applyFill="1" applyBorder="1" applyAlignment="1">
      <alignment vertical="center"/>
    </xf>
    <xf numFmtId="0" fontId="0" fillId="2" borderId="0" xfId="0" applyFont="1" applyFill="1" applyBorder="1" applyAlignment="1">
      <alignment vertical="center"/>
    </xf>
    <xf numFmtId="0" fontId="0" fillId="0" borderId="0" xfId="0" applyFont="1" applyFill="1" applyBorder="1" applyAlignment="1">
      <alignment vertical="center"/>
    </xf>
    <xf numFmtId="0" fontId="1" fillId="2" borderId="0" xfId="0" applyFont="1" applyFill="1" applyBorder="1" applyAlignment="1">
      <alignment horizontal="center" vertical="center"/>
    </xf>
    <xf numFmtId="0" fontId="0" fillId="2" borderId="0" xfId="0" applyFont="1" applyFill="1" applyBorder="1" applyAlignment="1">
      <alignment horizontal="right" vertical="center"/>
    </xf>
    <xf numFmtId="0" fontId="2" fillId="2" borderId="0" xfId="0" applyFont="1" applyFill="1" applyBorder="1" applyAlignment="1">
      <alignment vertical="center"/>
    </xf>
    <xf numFmtId="0" fontId="2" fillId="2" borderId="0" xfId="0" applyFont="1" applyFill="1" applyBorder="1" applyAlignment="1">
      <alignment horizontal="right" vertical="center"/>
    </xf>
    <xf numFmtId="0" fontId="3" fillId="2" borderId="0" xfId="0" applyFont="1" applyFill="1" applyBorder="1" applyAlignment="1">
      <alignment horizontal="center" vertical="center"/>
    </xf>
    <xf numFmtId="0" fontId="6" fillId="0" borderId="3" xfId="0" applyFont="1" applyBorder="1" applyAlignment="1">
      <alignment vertical="center"/>
    </xf>
    <xf numFmtId="10" fontId="6" fillId="0" borderId="4" xfId="0" applyNumberFormat="1" applyFont="1" applyBorder="1" applyAlignment="1">
      <alignment vertical="center"/>
    </xf>
    <xf numFmtId="10" fontId="6" fillId="0" borderId="6" xfId="0" applyNumberFormat="1" applyFont="1" applyBorder="1" applyAlignment="1">
      <alignment vertical="center"/>
    </xf>
    <xf numFmtId="0" fontId="6" fillId="0" borderId="5" xfId="0" applyFont="1" applyBorder="1" applyAlignment="1">
      <alignment vertical="center"/>
    </xf>
    <xf numFmtId="0" fontId="6" fillId="0" borderId="7" xfId="0" applyFont="1" applyBorder="1" applyAlignment="1">
      <alignment vertical="center"/>
    </xf>
    <xf numFmtId="10" fontId="6" fillId="0" borderId="8" xfId="0" applyNumberFormat="1" applyFont="1" applyBorder="1" applyAlignment="1">
      <alignment vertical="center"/>
    </xf>
    <xf numFmtId="0" fontId="6" fillId="0" borderId="9" xfId="0" applyFont="1" applyBorder="1" applyAlignment="1">
      <alignment vertical="center"/>
    </xf>
    <xf numFmtId="10" fontId="6" fillId="0" borderId="10" xfId="0" applyNumberFormat="1" applyFont="1" applyBorder="1" applyAlignment="1">
      <alignment vertical="center"/>
    </xf>
    <xf numFmtId="0" fontId="0" fillId="2" borderId="0" xfId="0" applyFont="1" applyFill="1" applyBorder="1" applyAlignment="1">
      <alignment horizontal="center" vertical="center"/>
    </xf>
    <xf numFmtId="0" fontId="0" fillId="9" borderId="0" xfId="0" applyFont="1" applyFill="1" applyBorder="1" applyAlignment="1">
      <alignment vertical="center"/>
    </xf>
    <xf numFmtId="0" fontId="0" fillId="9" borderId="0" xfId="0" applyFont="1" applyFill="1" applyBorder="1" applyAlignment="1">
      <alignment horizontal="right" vertical="center"/>
    </xf>
    <xf numFmtId="0" fontId="5" fillId="0" borderId="13" xfId="0" applyFont="1" applyBorder="1" applyAlignment="1">
      <alignment vertical="center"/>
    </xf>
    <xf numFmtId="0" fontId="5" fillId="0" borderId="14" xfId="0" applyFont="1" applyBorder="1" applyAlignment="1">
      <alignment vertical="center"/>
    </xf>
    <xf numFmtId="0" fontId="0" fillId="0" borderId="15" xfId="0" applyFont="1" applyBorder="1" applyAlignment="1">
      <alignment vertical="center"/>
    </xf>
    <xf numFmtId="0" fontId="5" fillId="0" borderId="15" xfId="0" applyFont="1" applyBorder="1" applyAlignment="1">
      <alignment vertical="center"/>
    </xf>
    <xf numFmtId="0" fontId="0" fillId="0" borderId="14" xfId="0" applyFont="1" applyBorder="1" applyAlignment="1">
      <alignment vertical="center"/>
    </xf>
    <xf numFmtId="0" fontId="5" fillId="0" borderId="18" xfId="0" applyFont="1" applyBorder="1" applyAlignment="1">
      <alignment vertical="center"/>
    </xf>
    <xf numFmtId="0" fontId="5" fillId="0" borderId="21" xfId="0" applyFont="1" applyBorder="1" applyAlignment="1">
      <alignment vertical="center"/>
    </xf>
    <xf numFmtId="0" fontId="5" fillId="0" borderId="12" xfId="0" applyFont="1" applyBorder="1" applyAlignment="1">
      <alignment vertical="center"/>
    </xf>
    <xf numFmtId="0" fontId="0" fillId="0" borderId="23" xfId="0" applyFont="1" applyBorder="1" applyAlignment="1">
      <alignment vertical="center"/>
    </xf>
    <xf numFmtId="0" fontId="5" fillId="0" borderId="24" xfId="0" applyFont="1" applyBorder="1" applyAlignment="1">
      <alignment vertical="center"/>
    </xf>
    <xf numFmtId="0" fontId="0" fillId="0" borderId="12" xfId="0" applyFont="1" applyBorder="1" applyAlignment="1">
      <alignment vertical="center"/>
    </xf>
    <xf numFmtId="0" fontId="0" fillId="0" borderId="15" xfId="0" applyFont="1" applyBorder="1" applyAlignment="1">
      <alignment horizontal="left" vertical="center"/>
    </xf>
    <xf numFmtId="0" fontId="5" fillId="0" borderId="12" xfId="0" applyFont="1" applyBorder="1" applyAlignment="1">
      <alignment horizontal="left" vertical="center"/>
    </xf>
    <xf numFmtId="0" fontId="3" fillId="2" borderId="0" xfId="0" applyFont="1" applyFill="1" applyBorder="1" applyAlignment="1">
      <alignment horizontal="center" vertical="center" wrapText="1"/>
    </xf>
    <xf numFmtId="0" fontId="5" fillId="0" borderId="20" xfId="0" applyFont="1" applyBorder="1" applyAlignment="1">
      <alignment horizontal="center" vertical="center"/>
    </xf>
    <xf numFmtId="0" fontId="5" fillId="0" borderId="20" xfId="0" applyFont="1" applyBorder="1" applyAlignment="1">
      <alignment vertical="center"/>
    </xf>
    <xf numFmtId="0" fontId="5" fillId="0" borderId="0" xfId="0" applyFont="1" applyBorder="1" applyAlignment="1">
      <alignment horizontal="center" vertical="center"/>
    </xf>
    <xf numFmtId="0" fontId="5" fillId="0" borderId="22" xfId="0" applyFont="1" applyBorder="1" applyAlignment="1">
      <alignment vertical="center"/>
    </xf>
    <xf numFmtId="0" fontId="5" fillId="0" borderId="0" xfId="0" applyFont="1" applyBorder="1" applyAlignment="1">
      <alignment vertical="center"/>
    </xf>
    <xf numFmtId="0" fontId="11" fillId="10" borderId="17" xfId="0" applyFont="1" applyFill="1" applyBorder="1" applyAlignment="1">
      <alignment horizontal="center" vertical="center"/>
    </xf>
    <xf numFmtId="0" fontId="11" fillId="10" borderId="17" xfId="0" applyFont="1" applyFill="1" applyBorder="1" applyAlignment="1">
      <alignment vertical="center"/>
    </xf>
    <xf numFmtId="0" fontId="12" fillId="0" borderId="0" xfId="3" applyFill="1" applyBorder="1" applyAlignment="1" applyProtection="1">
      <alignment horizontal="center" vertical="center"/>
      <protection locked="0"/>
    </xf>
    <xf numFmtId="0" fontId="13" fillId="0" borderId="0" xfId="0" applyFont="1" applyFill="1" applyBorder="1" applyAlignment="1" applyProtection="1">
      <alignment vertical="center"/>
      <protection locked="0"/>
    </xf>
    <xf numFmtId="0" fontId="0" fillId="0" borderId="0" xfId="0" applyAlignment="1" applyProtection="1">
      <alignment vertical="center"/>
      <protection locked="0"/>
    </xf>
    <xf numFmtId="0" fontId="13" fillId="0" borderId="0" xfId="0" applyFont="1" applyFill="1" applyBorder="1" applyAlignment="1" applyProtection="1">
      <alignment horizontal="center" vertical="center"/>
      <protection locked="0"/>
    </xf>
    <xf numFmtId="0" fontId="0" fillId="0" borderId="0" xfId="0" applyFill="1" applyAlignment="1" applyProtection="1">
      <alignment vertical="center"/>
      <protection locked="0"/>
    </xf>
    <xf numFmtId="0" fontId="14" fillId="0" borderId="0" xfId="0" applyFont="1" applyFill="1" applyBorder="1" applyAlignment="1" applyProtection="1">
      <alignment horizontal="left" vertical="center"/>
      <protection locked="0"/>
    </xf>
    <xf numFmtId="2" fontId="14" fillId="0" borderId="1" xfId="0" applyNumberFormat="1" applyFont="1" applyFill="1" applyBorder="1" applyAlignment="1" applyProtection="1">
      <alignment horizontal="center" vertical="center"/>
      <protection locked="0"/>
    </xf>
    <xf numFmtId="0" fontId="14" fillId="0" borderId="0" xfId="0" applyFont="1" applyFill="1" applyBorder="1" applyAlignment="1" applyProtection="1">
      <alignment horizontal="center" vertical="center"/>
      <protection locked="0"/>
    </xf>
    <xf numFmtId="2" fontId="14" fillId="4" borderId="1" xfId="0" applyNumberFormat="1" applyFont="1" applyFill="1" applyBorder="1" applyAlignment="1" applyProtection="1">
      <alignment horizontal="center" vertical="center"/>
      <protection locked="0"/>
    </xf>
    <xf numFmtId="0" fontId="1" fillId="0" borderId="0" xfId="0" applyFont="1" applyProtection="1">
      <protection locked="0"/>
    </xf>
    <xf numFmtId="0" fontId="1" fillId="0" borderId="16" xfId="0" applyFont="1" applyBorder="1" applyAlignment="1" applyProtection="1">
      <alignment horizontal="center" vertical="center"/>
      <protection locked="0"/>
    </xf>
    <xf numFmtId="0" fontId="1" fillId="0" borderId="17" xfId="0" applyFont="1" applyBorder="1" applyAlignment="1" applyProtection="1">
      <alignment horizontal="center" vertical="center"/>
      <protection locked="0"/>
    </xf>
    <xf numFmtId="0" fontId="1" fillId="0" borderId="28" xfId="0" applyFont="1" applyBorder="1" applyAlignment="1" applyProtection="1">
      <alignment horizontal="center" vertical="center"/>
      <protection locked="0"/>
    </xf>
    <xf numFmtId="0" fontId="1" fillId="0" borderId="29" xfId="0" applyFont="1" applyBorder="1" applyAlignment="1" applyProtection="1">
      <alignment horizontal="center" vertical="center"/>
      <protection locked="0"/>
    </xf>
    <xf numFmtId="20" fontId="0" fillId="0" borderId="30" xfId="0" applyNumberFormat="1" applyFill="1" applyBorder="1" applyProtection="1">
      <protection locked="0"/>
    </xf>
    <xf numFmtId="20" fontId="0" fillId="0" borderId="31" xfId="0" applyNumberFormat="1" applyFill="1" applyBorder="1" applyProtection="1">
      <protection locked="0"/>
    </xf>
    <xf numFmtId="20" fontId="0" fillId="0" borderId="32" xfId="0" applyNumberFormat="1" applyFill="1" applyBorder="1" applyProtection="1">
      <protection locked="0"/>
    </xf>
    <xf numFmtId="20" fontId="0" fillId="0" borderId="30" xfId="0" applyNumberFormat="1" applyBorder="1" applyProtection="1">
      <protection locked="0"/>
    </xf>
    <xf numFmtId="20" fontId="0" fillId="0" borderId="32" xfId="0" applyNumberFormat="1" applyBorder="1" applyProtection="1">
      <protection locked="0"/>
    </xf>
    <xf numFmtId="20" fontId="0" fillId="0" borderId="33" xfId="0" applyNumberFormat="1" applyBorder="1" applyProtection="1">
      <protection locked="0"/>
    </xf>
    <xf numFmtId="165" fontId="0" fillId="6" borderId="0" xfId="0" applyNumberFormat="1" applyFill="1" applyAlignment="1" applyProtection="1">
      <alignment vertical="center"/>
      <protection locked="0"/>
    </xf>
    <xf numFmtId="20" fontId="0" fillId="0" borderId="0" xfId="0" applyNumberFormat="1" applyAlignment="1" applyProtection="1">
      <alignment vertical="center"/>
      <protection locked="0"/>
    </xf>
    <xf numFmtId="20" fontId="0" fillId="0" borderId="34" xfId="0" applyNumberFormat="1" applyFill="1" applyBorder="1" applyProtection="1">
      <protection locked="0"/>
    </xf>
    <xf numFmtId="20" fontId="0" fillId="0" borderId="35" xfId="0" applyNumberFormat="1" applyFill="1" applyBorder="1" applyProtection="1">
      <protection locked="0"/>
    </xf>
    <xf numFmtId="20" fontId="0" fillId="0" borderId="36" xfId="0" applyNumberFormat="1" applyFill="1" applyBorder="1" applyProtection="1">
      <protection locked="0"/>
    </xf>
    <xf numFmtId="20" fontId="0" fillId="0" borderId="34" xfId="0" applyNumberFormat="1" applyBorder="1" applyProtection="1">
      <protection locked="0"/>
    </xf>
    <xf numFmtId="20" fontId="0" fillId="0" borderId="36" xfId="0" applyNumberFormat="1" applyBorder="1" applyProtection="1">
      <protection locked="0"/>
    </xf>
    <xf numFmtId="20" fontId="0" fillId="0" borderId="37" xfId="0" applyNumberFormat="1" applyBorder="1" applyProtection="1">
      <protection locked="0"/>
    </xf>
    <xf numFmtId="0" fontId="15" fillId="0" borderId="38" xfId="0" applyFont="1" applyBorder="1" applyAlignment="1" applyProtection="1">
      <alignment horizontal="center" vertical="center"/>
      <protection locked="0"/>
    </xf>
    <xf numFmtId="0" fontId="15" fillId="0" borderId="39" xfId="0" applyFont="1" applyBorder="1" applyAlignment="1" applyProtection="1">
      <alignment horizontal="center" vertical="center"/>
      <protection locked="0"/>
    </xf>
    <xf numFmtId="0" fontId="15" fillId="0" borderId="40" xfId="0" applyFont="1" applyBorder="1" applyAlignment="1" applyProtection="1">
      <alignment horizontal="center" vertical="center"/>
      <protection locked="0"/>
    </xf>
    <xf numFmtId="165" fontId="0" fillId="0" borderId="5" xfId="0" applyNumberFormat="1" applyBorder="1" applyAlignment="1" applyProtection="1">
      <alignment vertical="center"/>
      <protection locked="0"/>
    </xf>
    <xf numFmtId="20" fontId="0" fillId="0" borderId="41" xfId="0" applyNumberFormat="1" applyBorder="1" applyAlignment="1" applyProtection="1">
      <alignment vertical="center"/>
      <protection locked="0"/>
    </xf>
    <xf numFmtId="20" fontId="0" fillId="0" borderId="6" xfId="0" applyNumberFormat="1" applyBorder="1" applyAlignment="1" applyProtection="1">
      <alignment vertical="center"/>
      <protection locked="0"/>
    </xf>
    <xf numFmtId="165" fontId="0" fillId="0" borderId="7" xfId="0" applyNumberFormat="1" applyBorder="1" applyAlignment="1" applyProtection="1">
      <alignment vertical="center"/>
      <protection locked="0"/>
    </xf>
    <xf numFmtId="0" fontId="1" fillId="0" borderId="0" xfId="0" applyFont="1" applyFill="1" applyProtection="1">
      <protection locked="0"/>
    </xf>
    <xf numFmtId="20" fontId="0" fillId="0" borderId="37" xfId="0" applyNumberFormat="1" applyFill="1" applyBorder="1" applyProtection="1">
      <protection locked="0"/>
    </xf>
    <xf numFmtId="165" fontId="0" fillId="0" borderId="9" xfId="0" applyNumberFormat="1" applyBorder="1" applyAlignment="1" applyProtection="1">
      <alignment vertical="center"/>
      <protection locked="0"/>
    </xf>
    <xf numFmtId="20" fontId="0" fillId="0" borderId="42" xfId="0" applyNumberFormat="1" applyBorder="1" applyAlignment="1" applyProtection="1">
      <alignment vertical="center"/>
      <protection locked="0"/>
    </xf>
    <xf numFmtId="20" fontId="0" fillId="0" borderId="43" xfId="0" applyNumberFormat="1" applyBorder="1" applyAlignment="1" applyProtection="1">
      <alignment vertical="center"/>
      <protection locked="0"/>
    </xf>
    <xf numFmtId="0" fontId="15" fillId="0" borderId="38" xfId="0" applyFont="1" applyBorder="1" applyAlignment="1" applyProtection="1">
      <alignment vertical="center"/>
      <protection locked="0"/>
    </xf>
    <xf numFmtId="165" fontId="15" fillId="0" borderId="39" xfId="0" applyNumberFormat="1" applyFont="1" applyBorder="1" applyAlignment="1" applyProtection="1">
      <alignment vertical="center"/>
      <protection locked="0"/>
    </xf>
    <xf numFmtId="165" fontId="15" fillId="0" borderId="40" xfId="0" applyNumberFormat="1" applyFont="1" applyBorder="1" applyAlignment="1" applyProtection="1">
      <alignment vertical="center"/>
      <protection locked="0"/>
    </xf>
    <xf numFmtId="4" fontId="0" fillId="0" borderId="0" xfId="0" applyNumberFormat="1" applyAlignment="1" applyProtection="1">
      <alignment vertical="center"/>
      <protection locked="0"/>
    </xf>
    <xf numFmtId="20" fontId="0" fillId="0" borderId="44" xfId="0" applyNumberFormat="1" applyFill="1" applyBorder="1" applyProtection="1">
      <protection locked="0"/>
    </xf>
    <xf numFmtId="20" fontId="0" fillId="0" borderId="45" xfId="0" applyNumberFormat="1" applyFill="1" applyBorder="1" applyProtection="1">
      <protection locked="0"/>
    </xf>
    <xf numFmtId="20" fontId="0" fillId="0" borderId="46" xfId="0" applyNumberFormat="1" applyFill="1" applyBorder="1" applyProtection="1">
      <protection locked="0"/>
    </xf>
    <xf numFmtId="20" fontId="0" fillId="0" borderId="47" xfId="0" applyNumberFormat="1" applyFill="1" applyBorder="1" applyProtection="1">
      <protection locked="0"/>
    </xf>
    <xf numFmtId="0" fontId="0" fillId="0" borderId="0" xfId="0" applyProtection="1">
      <protection locked="0"/>
    </xf>
    <xf numFmtId="166" fontId="0" fillId="0" borderId="0" xfId="0" applyNumberFormat="1" applyProtection="1">
      <protection locked="0"/>
    </xf>
    <xf numFmtId="0" fontId="0" fillId="0" borderId="1" xfId="0" applyBorder="1" applyAlignment="1" applyProtection="1">
      <alignment vertical="center"/>
      <protection locked="0"/>
    </xf>
    <xf numFmtId="9" fontId="0" fillId="0" borderId="1" xfId="0" applyNumberFormat="1" applyBorder="1" applyAlignment="1" applyProtection="1">
      <alignment vertical="center"/>
      <protection locked="0"/>
    </xf>
    <xf numFmtId="0" fontId="0" fillId="0" borderId="0" xfId="0" applyFont="1" applyBorder="1" applyAlignment="1" applyProtection="1">
      <alignment vertical="center"/>
      <protection locked="0"/>
    </xf>
    <xf numFmtId="0" fontId="0" fillId="0" borderId="0" xfId="0" applyFont="1" applyAlignment="1" applyProtection="1">
      <alignment vertical="center"/>
      <protection locked="0"/>
    </xf>
    <xf numFmtId="0" fontId="10" fillId="0" borderId="0" xfId="0" applyFont="1" applyAlignment="1" applyProtection="1">
      <alignment vertical="center"/>
      <protection locked="0"/>
    </xf>
    <xf numFmtId="0" fontId="15" fillId="0" borderId="0" xfId="0" applyFont="1" applyAlignment="1" applyProtection="1">
      <alignment vertical="center"/>
      <protection locked="0"/>
    </xf>
    <xf numFmtId="0" fontId="0" fillId="6" borderId="0" xfId="0" applyFill="1" applyAlignment="1" applyProtection="1">
      <alignment vertical="center"/>
      <protection locked="0"/>
    </xf>
    <xf numFmtId="2" fontId="0" fillId="0" borderId="0" xfId="0" applyNumberFormat="1" applyAlignment="1" applyProtection="1">
      <alignment vertical="center"/>
      <protection locked="0"/>
    </xf>
    <xf numFmtId="0" fontId="6" fillId="0" borderId="48" xfId="0" applyFont="1" applyFill="1" applyBorder="1" applyAlignment="1">
      <alignment horizontal="left" vertical="center"/>
    </xf>
    <xf numFmtId="0" fontId="6" fillId="0" borderId="49" xfId="0" applyFont="1" applyFill="1" applyBorder="1" applyAlignment="1">
      <alignment horizontal="left" vertical="center"/>
    </xf>
    <xf numFmtId="0" fontId="6" fillId="0" borderId="50" xfId="0" applyFont="1" applyBorder="1" applyAlignment="1">
      <alignment horizontal="left" vertical="center"/>
    </xf>
    <xf numFmtId="0" fontId="1" fillId="0" borderId="0" xfId="0" applyFont="1" applyAlignment="1">
      <alignment horizontal="center" vertical="center"/>
    </xf>
    <xf numFmtId="0" fontId="17" fillId="12" borderId="51" xfId="0" applyFont="1" applyFill="1" applyBorder="1" applyAlignment="1">
      <alignment horizontal="center"/>
    </xf>
    <xf numFmtId="0" fontId="17" fillId="12" borderId="52" xfId="0" applyFont="1" applyFill="1" applyBorder="1" applyAlignment="1">
      <alignment horizontal="center"/>
    </xf>
    <xf numFmtId="0" fontId="17" fillId="12" borderId="53" xfId="0" applyFont="1" applyFill="1" applyBorder="1" applyAlignment="1">
      <alignment horizontal="center"/>
    </xf>
    <xf numFmtId="0" fontId="0" fillId="13" borderId="54" xfId="0" applyFont="1" applyFill="1" applyBorder="1" applyAlignment="1">
      <alignment horizontal="right" vertical="center"/>
    </xf>
    <xf numFmtId="0" fontId="18" fillId="13" borderId="55" xfId="0" applyFont="1" applyFill="1" applyBorder="1" applyAlignment="1">
      <alignment horizontal="center" vertical="center"/>
    </xf>
    <xf numFmtId="167" fontId="0" fillId="0" borderId="56" xfId="0" applyNumberFormat="1" applyBorder="1" applyAlignment="1">
      <alignment horizontal="center"/>
    </xf>
    <xf numFmtId="167" fontId="0" fillId="0" borderId="2" xfId="0" applyNumberFormat="1" applyBorder="1" applyAlignment="1">
      <alignment horizontal="center"/>
    </xf>
    <xf numFmtId="167" fontId="0" fillId="0" borderId="57" xfId="0" applyNumberFormat="1" applyBorder="1" applyAlignment="1">
      <alignment horizontal="center"/>
    </xf>
    <xf numFmtId="167" fontId="0" fillId="0" borderId="58" xfId="0" applyNumberFormat="1" applyBorder="1" applyAlignment="1">
      <alignment horizontal="center"/>
    </xf>
    <xf numFmtId="167" fontId="0" fillId="0" borderId="59" xfId="0" applyNumberFormat="1" applyBorder="1" applyAlignment="1">
      <alignment horizontal="center"/>
    </xf>
    <xf numFmtId="167" fontId="0" fillId="0" borderId="60" xfId="0" applyNumberFormat="1" applyBorder="1" applyAlignment="1">
      <alignment horizontal="center"/>
    </xf>
    <xf numFmtId="0" fontId="5" fillId="0" borderId="61" xfId="0" applyFont="1" applyBorder="1" applyAlignment="1">
      <alignment horizontal="right" vertical="center"/>
    </xf>
    <xf numFmtId="14" fontId="5" fillId="0" borderId="62" xfId="0" applyNumberFormat="1" applyFont="1" applyBorder="1" applyAlignment="1">
      <alignment horizontal="center" vertical="center"/>
    </xf>
    <xf numFmtId="0" fontId="5" fillId="0" borderId="63" xfId="0" applyFont="1" applyBorder="1" applyAlignment="1">
      <alignment horizontal="right" vertical="center"/>
    </xf>
    <xf numFmtId="14" fontId="5" fillId="0" borderId="64" xfId="0" applyNumberFormat="1" applyFont="1" applyBorder="1" applyAlignment="1">
      <alignment horizontal="center" vertical="center"/>
    </xf>
    <xf numFmtId="0" fontId="0" fillId="14" borderId="63" xfId="0" applyFont="1" applyFill="1" applyBorder="1" applyAlignment="1">
      <alignment horizontal="right" vertical="center"/>
    </xf>
    <xf numFmtId="14" fontId="5" fillId="14" borderId="64" xfId="0" applyNumberFormat="1" applyFont="1" applyFill="1" applyBorder="1" applyAlignment="1">
      <alignment horizontal="center" vertical="center"/>
    </xf>
    <xf numFmtId="0" fontId="5" fillId="0" borderId="65" xfId="0" applyFont="1" applyBorder="1" applyAlignment="1">
      <alignment horizontal="right" vertical="center"/>
    </xf>
    <xf numFmtId="14" fontId="5" fillId="0" borderId="66" xfId="0" applyNumberFormat="1" applyFont="1" applyBorder="1" applyAlignment="1">
      <alignment horizontal="center" vertical="center"/>
    </xf>
    <xf numFmtId="168" fontId="0" fillId="0" borderId="1" xfId="0" applyNumberFormat="1" applyFont="1" applyFill="1" applyBorder="1" applyAlignment="1">
      <alignment horizontal="center" vertical="center"/>
    </xf>
    <xf numFmtId="0" fontId="0" fillId="0" borderId="0" xfId="0" applyFont="1" applyAlignment="1">
      <alignment horizontal="center" vertical="center"/>
    </xf>
    <xf numFmtId="0" fontId="1" fillId="0" borderId="0" xfId="0" applyFont="1" applyAlignment="1">
      <alignment horizontal="right" vertical="center"/>
    </xf>
    <xf numFmtId="0" fontId="0" fillId="0" borderId="0" xfId="0" applyFont="1" applyFill="1" applyAlignment="1">
      <alignment horizontal="center" vertical="center"/>
    </xf>
    <xf numFmtId="0" fontId="5" fillId="0" borderId="0" xfId="0" applyFont="1" applyAlignment="1">
      <alignment horizontal="center" vertical="center"/>
    </xf>
    <xf numFmtId="0" fontId="21" fillId="0" borderId="0" xfId="0" applyFont="1" applyAlignment="1">
      <alignment horizontal="left" vertical="center"/>
    </xf>
    <xf numFmtId="0" fontId="1" fillId="0" borderId="3" xfId="0" applyFont="1" applyBorder="1" applyAlignment="1">
      <alignment horizontal="left" vertical="center"/>
    </xf>
    <xf numFmtId="14" fontId="0" fillId="0" borderId="4" xfId="0"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1" fillId="0" borderId="9" xfId="0" applyFont="1" applyBorder="1" applyAlignment="1">
      <alignment horizontal="left" vertical="center"/>
    </xf>
    <xf numFmtId="14" fontId="0" fillId="0" borderId="10" xfId="0" applyNumberFormat="1" applyFont="1" applyFill="1" applyBorder="1" applyAlignment="1">
      <alignment horizontal="center" vertical="center"/>
    </xf>
    <xf numFmtId="14" fontId="0" fillId="0" borderId="0" xfId="0" applyNumberFormat="1" applyFont="1" applyAlignment="1">
      <alignment horizontal="center" vertical="center"/>
    </xf>
    <xf numFmtId="0" fontId="0" fillId="0" borderId="1" xfId="0" applyFont="1" applyFill="1" applyBorder="1" applyAlignment="1">
      <alignment horizontal="center" vertical="center"/>
    </xf>
    <xf numFmtId="0" fontId="0" fillId="0" borderId="1" xfId="0" applyFont="1" applyBorder="1" applyAlignment="1">
      <alignment horizontal="center" vertical="center"/>
    </xf>
    <xf numFmtId="1" fontId="0" fillId="0" borderId="1" xfId="0" applyNumberFormat="1" applyFont="1" applyFill="1" applyBorder="1" applyAlignment="1">
      <alignment horizontal="center" vertical="center"/>
    </xf>
    <xf numFmtId="0" fontId="22" fillId="0" borderId="1" xfId="0" applyFont="1" applyBorder="1" applyAlignment="1">
      <alignment horizontal="center" vertical="center"/>
    </xf>
    <xf numFmtId="2" fontId="0" fillId="0" borderId="1" xfId="0" applyNumberFormat="1" applyFont="1" applyFill="1" applyBorder="1" applyAlignment="1">
      <alignment horizontal="center" vertical="center"/>
    </xf>
    <xf numFmtId="0" fontId="23" fillId="16" borderId="3" xfId="0" applyFont="1" applyFill="1" applyBorder="1" applyAlignment="1">
      <alignment horizontal="center" vertical="center"/>
    </xf>
    <xf numFmtId="2" fontId="0" fillId="16" borderId="4" xfId="0" applyNumberFormat="1" applyFont="1" applyFill="1" applyBorder="1" applyAlignment="1">
      <alignment horizontal="center" vertical="center"/>
    </xf>
    <xf numFmtId="0" fontId="23" fillId="17" borderId="7" xfId="0" applyFont="1" applyFill="1" applyBorder="1" applyAlignment="1">
      <alignment horizontal="center" vertical="center"/>
    </xf>
    <xf numFmtId="2" fontId="0" fillId="0" borderId="8" xfId="0" applyNumberFormat="1" applyFont="1" applyFill="1" applyBorder="1" applyAlignment="1">
      <alignment horizontal="center" vertical="center"/>
    </xf>
    <xf numFmtId="0" fontId="23" fillId="17" borderId="9" xfId="0" applyFont="1" applyFill="1" applyBorder="1" applyAlignment="1">
      <alignment horizontal="center" vertical="center"/>
    </xf>
    <xf numFmtId="2" fontId="0" fillId="0" borderId="10" xfId="0" applyNumberFormat="1" applyFont="1" applyFill="1" applyBorder="1" applyAlignment="1">
      <alignment horizontal="center" vertical="center"/>
    </xf>
    <xf numFmtId="0" fontId="6" fillId="0" borderId="79" xfId="0" applyFont="1" applyBorder="1" applyAlignment="1">
      <alignment vertical="center"/>
    </xf>
    <xf numFmtId="0" fontId="24" fillId="2"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right" vertical="center"/>
    </xf>
    <xf numFmtId="0" fontId="15" fillId="2" borderId="0" xfId="0" applyFont="1" applyFill="1" applyBorder="1" applyAlignment="1">
      <alignment horizontal="left" vertical="center"/>
    </xf>
    <xf numFmtId="0" fontId="1" fillId="0" borderId="0" xfId="0" applyFont="1" applyAlignment="1">
      <alignment vertical="center"/>
    </xf>
    <xf numFmtId="0" fontId="0" fillId="0" borderId="0" xfId="0" applyFill="1" applyAlignment="1">
      <alignment vertical="center"/>
    </xf>
    <xf numFmtId="0" fontId="0" fillId="2" borderId="0" xfId="0" applyFill="1" applyAlignment="1">
      <alignment vertical="center"/>
    </xf>
    <xf numFmtId="0" fontId="26" fillId="15" borderId="16" xfId="0" applyFont="1" applyFill="1" applyBorder="1" applyAlignment="1">
      <alignment vertical="center"/>
    </xf>
    <xf numFmtId="0" fontId="26" fillId="15" borderId="17" xfId="0" applyFont="1" applyFill="1" applyBorder="1" applyAlignment="1">
      <alignment vertical="center"/>
    </xf>
    <xf numFmtId="0" fontId="26" fillId="15" borderId="17" xfId="0" applyFont="1" applyFill="1" applyBorder="1" applyAlignment="1">
      <alignment horizontal="center" vertical="center"/>
    </xf>
    <xf numFmtId="1" fontId="0" fillId="15" borderId="0" xfId="0" applyNumberFormat="1" applyFill="1" applyAlignment="1">
      <alignment vertical="center"/>
    </xf>
    <xf numFmtId="0" fontId="0" fillId="15" borderId="0" xfId="0" applyFill="1" applyAlignment="1">
      <alignment vertical="center"/>
    </xf>
    <xf numFmtId="0" fontId="26" fillId="15" borderId="17" xfId="0" applyFont="1" applyFill="1" applyBorder="1" applyAlignment="1">
      <alignment horizontal="right" vertical="center"/>
    </xf>
    <xf numFmtId="0" fontId="26" fillId="15" borderId="0" xfId="0" applyFont="1" applyFill="1" applyAlignment="1">
      <alignment vertical="center"/>
    </xf>
    <xf numFmtId="0" fontId="0" fillId="15" borderId="0" xfId="0" applyFill="1" applyAlignment="1">
      <alignment horizontal="center" vertical="center"/>
    </xf>
    <xf numFmtId="0" fontId="1" fillId="15" borderId="0" xfId="0" applyFont="1" applyFill="1" applyAlignment="1">
      <alignment vertical="center"/>
    </xf>
    <xf numFmtId="0" fontId="5" fillId="15" borderId="81" xfId="0" applyFont="1" applyFill="1" applyBorder="1" applyAlignment="1">
      <alignment horizontal="left" vertical="center"/>
    </xf>
    <xf numFmtId="0" fontId="0" fillId="15" borderId="82" xfId="0" applyFill="1" applyBorder="1" applyAlignment="1">
      <alignment horizontal="center" vertical="center"/>
    </xf>
    <xf numFmtId="2" fontId="0" fillId="15" borderId="82" xfId="0" applyNumberFormat="1" applyFill="1" applyBorder="1" applyAlignment="1">
      <alignment vertical="center"/>
    </xf>
    <xf numFmtId="2" fontId="0" fillId="15" borderId="83" xfId="0" applyNumberFormat="1" applyFill="1" applyBorder="1" applyAlignment="1">
      <alignment vertical="center"/>
    </xf>
    <xf numFmtId="1" fontId="0" fillId="15" borderId="0" xfId="0" applyNumberFormat="1" applyFill="1" applyBorder="1" applyAlignment="1">
      <alignment vertical="center"/>
    </xf>
    <xf numFmtId="0" fontId="1" fillId="15" borderId="1" xfId="0" applyFont="1" applyFill="1" applyBorder="1" applyAlignment="1">
      <alignment horizontal="center" vertical="center"/>
    </xf>
    <xf numFmtId="0" fontId="0" fillId="15" borderId="54" xfId="0" applyFill="1" applyBorder="1" applyAlignment="1">
      <alignment vertical="center"/>
    </xf>
    <xf numFmtId="0" fontId="0" fillId="15" borderId="84" xfId="0" applyFill="1" applyBorder="1" applyAlignment="1">
      <alignment vertical="center"/>
    </xf>
    <xf numFmtId="2" fontId="0" fillId="15" borderId="55" xfId="0" applyNumberFormat="1" applyFill="1" applyBorder="1" applyAlignment="1">
      <alignment vertical="center"/>
    </xf>
    <xf numFmtId="0" fontId="5" fillId="15" borderId="65" xfId="0" applyFont="1" applyFill="1" applyBorder="1" applyAlignment="1">
      <alignment horizontal="left" vertical="center"/>
    </xf>
    <xf numFmtId="0" fontId="0" fillId="15" borderId="85" xfId="0" applyFill="1" applyBorder="1" applyAlignment="1">
      <alignment horizontal="center" vertical="center"/>
    </xf>
    <xf numFmtId="2" fontId="0" fillId="15" borderId="85" xfId="0" applyNumberFormat="1" applyFill="1" applyBorder="1" applyAlignment="1">
      <alignment vertical="center"/>
    </xf>
    <xf numFmtId="2" fontId="0" fillId="15" borderId="66" xfId="0" applyNumberFormat="1" applyFill="1" applyBorder="1" applyAlignment="1">
      <alignment vertical="center"/>
    </xf>
    <xf numFmtId="0" fontId="1" fillId="15" borderId="81" xfId="0" applyFont="1" applyFill="1" applyBorder="1" applyAlignment="1">
      <alignment vertical="center"/>
    </xf>
    <xf numFmtId="164" fontId="0" fillId="15" borderId="83" xfId="0" applyNumberFormat="1" applyFill="1" applyBorder="1" applyAlignment="1">
      <alignment vertical="center"/>
    </xf>
    <xf numFmtId="0" fontId="0" fillId="15" borderId="81" xfId="0" applyFill="1" applyBorder="1" applyAlignment="1">
      <alignment vertical="center"/>
    </xf>
    <xf numFmtId="0" fontId="5" fillId="15" borderId="87" xfId="0" applyNumberFormat="1" applyFont="1" applyFill="1" applyBorder="1" applyAlignment="1">
      <alignment horizontal="left" vertical="center"/>
    </xf>
    <xf numFmtId="0" fontId="0" fillId="15" borderId="87" xfId="0" applyFill="1" applyBorder="1" applyAlignment="1">
      <alignment horizontal="center" vertical="center"/>
    </xf>
    <xf numFmtId="2" fontId="0" fillId="15" borderId="87" xfId="0" applyNumberFormat="1" applyFill="1" applyBorder="1" applyAlignment="1">
      <alignment vertical="center"/>
    </xf>
    <xf numFmtId="2" fontId="0" fillId="15" borderId="88" xfId="0" applyNumberFormat="1" applyFill="1" applyBorder="1" applyAlignment="1">
      <alignment vertical="center"/>
    </xf>
    <xf numFmtId="0" fontId="25" fillId="15" borderId="65" xfId="0" applyFont="1" applyFill="1" applyBorder="1" applyAlignment="1">
      <alignment vertical="center"/>
    </xf>
    <xf numFmtId="0" fontId="0" fillId="15" borderId="66" xfId="0" applyFill="1" applyBorder="1" applyAlignment="1">
      <alignment vertical="center"/>
    </xf>
    <xf numFmtId="0" fontId="0" fillId="15" borderId="63" xfId="0" applyFill="1" applyBorder="1" applyAlignment="1">
      <alignment vertical="center"/>
    </xf>
    <xf numFmtId="0" fontId="0" fillId="15" borderId="35" xfId="0" applyFill="1" applyBorder="1" applyAlignment="1">
      <alignment vertical="center"/>
    </xf>
    <xf numFmtId="2" fontId="0" fillId="15" borderId="64" xfId="0" applyNumberFormat="1" applyFill="1" applyBorder="1" applyAlignment="1">
      <alignment vertical="center"/>
    </xf>
    <xf numFmtId="14" fontId="0" fillId="15" borderId="87" xfId="0" applyNumberFormat="1" applyFont="1" applyFill="1" applyBorder="1" applyAlignment="1">
      <alignment horizontal="left" vertical="center"/>
    </xf>
    <xf numFmtId="0" fontId="0" fillId="15" borderId="81" xfId="0" applyFont="1" applyFill="1" applyBorder="1" applyAlignment="1">
      <alignment vertical="center"/>
    </xf>
    <xf numFmtId="0" fontId="1" fillId="15" borderId="90" xfId="0" applyFont="1" applyFill="1" applyBorder="1" applyAlignment="1">
      <alignment vertical="center"/>
    </xf>
    <xf numFmtId="0" fontId="0" fillId="15" borderId="63" xfId="0" applyFont="1" applyFill="1" applyBorder="1" applyAlignment="1">
      <alignment vertical="center"/>
    </xf>
    <xf numFmtId="0" fontId="0" fillId="15" borderId="35" xfId="0" applyFill="1" applyBorder="1" applyAlignment="1">
      <alignment horizontal="center" vertical="center"/>
    </xf>
    <xf numFmtId="2" fontId="0" fillId="15" borderId="35" xfId="0" applyNumberFormat="1" applyFill="1" applyBorder="1" applyAlignment="1">
      <alignment vertical="center"/>
    </xf>
    <xf numFmtId="0" fontId="0" fillId="15" borderId="65" xfId="0" applyFont="1" applyFill="1" applyBorder="1" applyAlignment="1">
      <alignment vertical="center"/>
    </xf>
    <xf numFmtId="0" fontId="0" fillId="15" borderId="63" xfId="0" applyFont="1" applyFill="1" applyBorder="1" applyAlignment="1" applyProtection="1">
      <alignment horizontal="left" vertical="center"/>
      <protection locked="0"/>
    </xf>
    <xf numFmtId="0" fontId="5" fillId="15" borderId="63" xfId="0" applyFont="1" applyFill="1" applyBorder="1" applyAlignment="1">
      <alignment horizontal="left" vertical="center"/>
    </xf>
    <xf numFmtId="2" fontId="0" fillId="15" borderId="83" xfId="1" applyNumberFormat="1" applyFont="1" applyFill="1" applyBorder="1" applyAlignment="1">
      <alignment vertical="center"/>
    </xf>
    <xf numFmtId="0" fontId="25" fillId="15" borderId="63" xfId="0" applyFont="1" applyFill="1" applyBorder="1" applyAlignment="1">
      <alignment vertical="center"/>
    </xf>
    <xf numFmtId="2" fontId="0" fillId="15" borderId="64" xfId="1" applyNumberFormat="1" applyFont="1" applyFill="1" applyBorder="1" applyAlignment="1">
      <alignment vertical="center"/>
    </xf>
    <xf numFmtId="2" fontId="0" fillId="15" borderId="66" xfId="1" applyNumberFormat="1" applyFont="1" applyFill="1" applyBorder="1" applyAlignment="1">
      <alignment vertical="center"/>
    </xf>
    <xf numFmtId="0" fontId="0" fillId="15" borderId="65" xfId="0" applyFill="1" applyBorder="1" applyAlignment="1">
      <alignment vertical="center"/>
    </xf>
    <xf numFmtId="0" fontId="1" fillId="15" borderId="92" xfId="0" applyFont="1" applyFill="1" applyBorder="1" applyAlignment="1">
      <alignment vertical="center"/>
    </xf>
    <xf numFmtId="0" fontId="0" fillId="15" borderId="93" xfId="0" applyFill="1" applyBorder="1" applyAlignment="1">
      <alignment vertical="center"/>
    </xf>
    <xf numFmtId="0" fontId="0" fillId="15" borderId="82" xfId="0" applyFill="1" applyBorder="1" applyAlignment="1">
      <alignment vertical="center"/>
    </xf>
    <xf numFmtId="0" fontId="0" fillId="15" borderId="83" xfId="0" applyFill="1" applyBorder="1" applyAlignment="1">
      <alignment vertical="center"/>
    </xf>
    <xf numFmtId="0" fontId="1" fillId="15" borderId="94" xfId="0" applyFont="1" applyFill="1" applyBorder="1" applyAlignment="1">
      <alignment vertical="center"/>
    </xf>
    <xf numFmtId="0" fontId="0" fillId="15" borderId="80" xfId="0" applyFill="1" applyBorder="1" applyAlignment="1">
      <alignment vertical="center"/>
    </xf>
    <xf numFmtId="0" fontId="0" fillId="15" borderId="64" xfId="0" applyFill="1" applyBorder="1" applyAlignment="1">
      <alignment vertical="center"/>
    </xf>
    <xf numFmtId="0" fontId="0" fillId="15" borderId="65" xfId="0" applyFont="1" applyFill="1" applyBorder="1" applyAlignment="1" applyProtection="1">
      <alignment horizontal="left" vertical="center"/>
      <protection locked="0"/>
    </xf>
    <xf numFmtId="0" fontId="26" fillId="15" borderId="80" xfId="0" applyFont="1" applyFill="1" applyBorder="1" applyAlignment="1">
      <alignment vertical="center"/>
    </xf>
    <xf numFmtId="14" fontId="0" fillId="15" borderId="81" xfId="0" applyNumberFormat="1" applyFont="1" applyFill="1" applyBorder="1" applyAlignment="1">
      <alignment horizontal="left" vertical="center"/>
    </xf>
    <xf numFmtId="0" fontId="0" fillId="15" borderId="65" xfId="0" applyFont="1" applyFill="1" applyBorder="1" applyAlignment="1">
      <alignment horizontal="left" vertical="center"/>
    </xf>
    <xf numFmtId="0" fontId="1" fillId="15" borderId="63" xfId="0" applyFont="1" applyFill="1" applyBorder="1" applyAlignment="1">
      <alignment vertical="center"/>
    </xf>
    <xf numFmtId="4" fontId="0" fillId="15" borderId="64" xfId="0" applyNumberFormat="1" applyFill="1" applyBorder="1" applyAlignment="1">
      <alignment vertical="center"/>
    </xf>
    <xf numFmtId="0" fontId="1" fillId="15" borderId="65" xfId="0" applyFont="1" applyFill="1" applyBorder="1" applyAlignment="1">
      <alignment vertical="center"/>
    </xf>
    <xf numFmtId="4" fontId="0" fillId="15" borderId="66" xfId="0" applyNumberFormat="1" applyFill="1" applyBorder="1" applyAlignment="1">
      <alignment vertical="center"/>
    </xf>
    <xf numFmtId="1" fontId="27" fillId="15" borderId="28" xfId="0" applyNumberFormat="1" applyFont="1" applyFill="1" applyBorder="1" applyAlignment="1">
      <alignment horizontal="center" vertical="center"/>
    </xf>
    <xf numFmtId="0" fontId="1" fillId="15" borderId="54" xfId="0" applyFont="1" applyFill="1" applyBorder="1" applyAlignment="1">
      <alignment vertical="center"/>
    </xf>
    <xf numFmtId="0" fontId="15" fillId="2" borderId="0" xfId="0" applyFont="1" applyFill="1" applyBorder="1" applyAlignment="1">
      <alignment horizontal="left" vertical="center" wrapText="1"/>
    </xf>
    <xf numFmtId="0" fontId="15" fillId="2" borderId="0" xfId="0" applyFont="1" applyFill="1" applyBorder="1" applyAlignment="1">
      <alignment horizontal="right" vertical="center" wrapText="1"/>
    </xf>
    <xf numFmtId="0" fontId="1" fillId="2" borderId="0" xfId="0" applyFont="1" applyFill="1" applyBorder="1" applyAlignment="1">
      <alignment horizontal="right" vertical="center" wrapText="1"/>
    </xf>
    <xf numFmtId="0" fontId="0" fillId="2" borderId="3" xfId="0" applyFont="1" applyFill="1" applyBorder="1" applyAlignment="1">
      <alignment vertical="center"/>
    </xf>
    <xf numFmtId="0" fontId="0" fillId="2" borderId="9" xfId="0" applyFont="1" applyFill="1" applyBorder="1" applyAlignment="1">
      <alignment vertical="center"/>
    </xf>
    <xf numFmtId="0" fontId="0" fillId="2" borderId="96" xfId="0" applyFont="1" applyFill="1" applyBorder="1" applyAlignment="1">
      <alignment vertical="center"/>
    </xf>
    <xf numFmtId="0" fontId="0" fillId="2" borderId="7" xfId="0" applyFont="1" applyFill="1" applyBorder="1" applyAlignment="1">
      <alignment vertical="center"/>
    </xf>
    <xf numFmtId="0" fontId="12" fillId="0" borderId="0" xfId="3" applyAlignment="1">
      <alignment horizontal="center" vertical="center"/>
    </xf>
    <xf numFmtId="0" fontId="12" fillId="0" borderId="0" xfId="3" applyFill="1" applyBorder="1" applyAlignment="1">
      <alignment horizontal="center" vertical="center"/>
    </xf>
    <xf numFmtId="0" fontId="19" fillId="0" borderId="0" xfId="0" applyFont="1" applyFill="1" applyBorder="1" applyAlignment="1">
      <alignment horizontal="center" vertical="center"/>
    </xf>
    <xf numFmtId="0" fontId="5" fillId="15" borderId="0" xfId="0" applyFont="1" applyFill="1" applyAlignment="1">
      <alignment vertical="center"/>
    </xf>
    <xf numFmtId="0" fontId="30" fillId="2" borderId="97" xfId="0" applyFont="1" applyFill="1" applyBorder="1" applyAlignment="1">
      <alignment vertical="center"/>
    </xf>
    <xf numFmtId="0" fontId="6" fillId="2" borderId="98" xfId="0" applyFont="1" applyFill="1" applyBorder="1" applyAlignment="1">
      <alignment vertical="center"/>
    </xf>
    <xf numFmtId="0" fontId="6" fillId="2" borderId="99" xfId="0" applyFont="1" applyFill="1" applyBorder="1" applyAlignment="1">
      <alignment vertical="center"/>
    </xf>
    <xf numFmtId="0" fontId="6" fillId="2" borderId="100" xfId="0" applyFont="1" applyFill="1" applyBorder="1" applyAlignment="1">
      <alignment vertical="center"/>
    </xf>
    <xf numFmtId="0" fontId="30" fillId="2" borderId="0" xfId="0" applyFont="1" applyFill="1" applyBorder="1" applyAlignment="1">
      <alignment vertical="center"/>
    </xf>
    <xf numFmtId="0" fontId="6" fillId="2" borderId="0" xfId="0" applyFont="1" applyFill="1" applyBorder="1" applyAlignment="1">
      <alignment vertical="center"/>
    </xf>
    <xf numFmtId="0" fontId="6" fillId="2" borderId="101" xfId="0" applyFont="1" applyFill="1" applyBorder="1" applyAlignment="1">
      <alignment vertical="center"/>
    </xf>
    <xf numFmtId="0" fontId="6" fillId="15" borderId="0" xfId="0" applyFont="1" applyFill="1" applyAlignment="1">
      <alignment vertical="center"/>
    </xf>
    <xf numFmtId="0" fontId="6" fillId="2" borderId="0" xfId="0" applyFont="1" applyFill="1" applyAlignment="1">
      <alignment vertical="center"/>
    </xf>
    <xf numFmtId="0" fontId="6" fillId="2" borderId="102" xfId="0" applyFont="1" applyFill="1" applyBorder="1" applyAlignment="1">
      <alignment vertical="center"/>
    </xf>
    <xf numFmtId="0" fontId="6" fillId="2" borderId="103" xfId="0" applyFont="1" applyFill="1" applyBorder="1" applyAlignment="1">
      <alignment vertical="center"/>
    </xf>
    <xf numFmtId="0" fontId="6" fillId="2" borderId="104" xfId="0" applyFont="1" applyFill="1" applyBorder="1" applyAlignment="1">
      <alignment vertical="center"/>
    </xf>
    <xf numFmtId="0" fontId="6" fillId="2" borderId="97" xfId="0" applyFont="1" applyFill="1" applyBorder="1" applyAlignment="1">
      <alignment vertical="center"/>
    </xf>
    <xf numFmtId="0" fontId="6" fillId="2" borderId="99" xfId="0" applyFont="1" applyFill="1" applyBorder="1" applyAlignment="1">
      <alignment horizontal="left" vertical="center"/>
    </xf>
    <xf numFmtId="0" fontId="6" fillId="15" borderId="0" xfId="0" applyFont="1" applyFill="1" applyBorder="1" applyAlignment="1">
      <alignment vertical="center"/>
    </xf>
    <xf numFmtId="0" fontId="6" fillId="2" borderId="101" xfId="0" applyFont="1" applyFill="1" applyBorder="1" applyAlignment="1">
      <alignment horizontal="left" vertical="center"/>
    </xf>
    <xf numFmtId="14" fontId="6" fillId="2" borderId="101" xfId="0" applyNumberFormat="1" applyFont="1" applyFill="1" applyBorder="1" applyAlignment="1">
      <alignment horizontal="center" vertical="center"/>
    </xf>
    <xf numFmtId="2" fontId="6" fillId="2" borderId="104" xfId="0" applyNumberFormat="1" applyFont="1" applyFill="1" applyBorder="1" applyAlignment="1">
      <alignment horizontal="center" vertical="center"/>
    </xf>
    <xf numFmtId="0" fontId="1" fillId="10" borderId="16" xfId="0" applyFont="1" applyFill="1" applyBorder="1" applyAlignment="1">
      <alignment horizontal="center" vertical="center"/>
    </xf>
    <xf numFmtId="0" fontId="1" fillId="10" borderId="28"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17" xfId="0" applyFont="1" applyFill="1" applyBorder="1" applyAlignment="1">
      <alignment vertical="center"/>
    </xf>
    <xf numFmtId="0" fontId="1" fillId="10" borderId="28" xfId="0" applyFont="1" applyFill="1" applyBorder="1" applyAlignment="1">
      <alignment vertical="center"/>
    </xf>
    <xf numFmtId="0" fontId="5" fillId="0" borderId="105" xfId="0" applyFont="1" applyBorder="1" applyAlignment="1">
      <alignment vertical="center"/>
    </xf>
    <xf numFmtId="0" fontId="5" fillId="0" borderId="12" xfId="0" applyFont="1" applyBorder="1" applyAlignment="1">
      <alignment horizontal="center" vertical="center"/>
    </xf>
    <xf numFmtId="2" fontId="5" fillId="0" borderId="12" xfId="0" applyNumberFormat="1" applyFont="1" applyBorder="1" applyAlignment="1">
      <alignment horizontal="right" vertical="center"/>
    </xf>
    <xf numFmtId="0" fontId="5" fillId="0" borderId="106" xfId="0" applyFont="1" applyBorder="1" applyAlignment="1">
      <alignment vertical="center"/>
    </xf>
    <xf numFmtId="0" fontId="5" fillId="0" borderId="12" xfId="0" applyFont="1" applyFill="1" applyBorder="1" applyAlignment="1">
      <alignment vertical="center"/>
    </xf>
    <xf numFmtId="0" fontId="5" fillId="0" borderId="0" xfId="0" applyFont="1" applyAlignment="1">
      <alignment vertical="center"/>
    </xf>
    <xf numFmtId="0" fontId="5" fillId="0" borderId="108" xfId="0" applyFont="1" applyBorder="1" applyAlignment="1">
      <alignment horizontal="center" vertical="center"/>
    </xf>
    <xf numFmtId="0" fontId="5" fillId="0" borderId="108" xfId="0" applyFont="1" applyBorder="1" applyAlignment="1">
      <alignment vertical="center"/>
    </xf>
    <xf numFmtId="0" fontId="5" fillId="0" borderId="109" xfId="0" applyFont="1" applyBorder="1" applyAlignment="1">
      <alignment vertical="center"/>
    </xf>
    <xf numFmtId="0" fontId="11" fillId="10" borderId="28" xfId="0" applyFont="1" applyFill="1" applyBorder="1" applyAlignment="1">
      <alignment vertical="center"/>
    </xf>
    <xf numFmtId="0" fontId="5" fillId="0" borderId="18" xfId="0" applyFont="1" applyBorder="1" applyAlignment="1">
      <alignment horizontal="center" vertical="center"/>
    </xf>
    <xf numFmtId="4" fontId="5" fillId="0" borderId="18" xfId="0" applyNumberFormat="1" applyFont="1" applyBorder="1" applyAlignment="1">
      <alignment vertical="center"/>
    </xf>
    <xf numFmtId="10" fontId="5" fillId="18" borderId="18" xfId="2" applyNumberFormat="1" applyFont="1" applyFill="1" applyBorder="1" applyAlignment="1">
      <alignment vertical="center"/>
    </xf>
    <xf numFmtId="4" fontId="5" fillId="18" borderId="105" xfId="0" applyNumberFormat="1" applyFont="1" applyFill="1" applyBorder="1" applyAlignment="1">
      <alignment vertical="center"/>
    </xf>
    <xf numFmtId="4" fontId="5" fillId="0" borderId="20" xfId="0" applyNumberFormat="1" applyFont="1" applyBorder="1" applyAlignment="1">
      <alignment vertical="center"/>
    </xf>
    <xf numFmtId="4" fontId="5" fillId="0" borderId="109" xfId="0" applyNumberFormat="1" applyFont="1" applyBorder="1" applyAlignment="1">
      <alignment vertical="center"/>
    </xf>
    <xf numFmtId="4" fontId="11" fillId="10" borderId="17" xfId="0" applyNumberFormat="1" applyFont="1" applyFill="1" applyBorder="1" applyAlignment="1">
      <alignment horizontal="center" vertical="center"/>
    </xf>
    <xf numFmtId="4" fontId="11" fillId="10" borderId="17" xfId="0" applyNumberFormat="1" applyFont="1" applyFill="1" applyBorder="1" applyAlignment="1">
      <alignment vertical="center"/>
    </xf>
    <xf numFmtId="4" fontId="11" fillId="10" borderId="28" xfId="0" applyNumberFormat="1" applyFont="1" applyFill="1" applyBorder="1" applyAlignment="1">
      <alignment vertical="center"/>
    </xf>
    <xf numFmtId="0" fontId="5" fillId="0" borderId="21" xfId="0" applyFont="1" applyBorder="1" applyAlignment="1">
      <alignment horizontal="center" vertical="center"/>
    </xf>
    <xf numFmtId="4" fontId="5" fillId="0" borderId="21" xfId="0" applyNumberFormat="1" applyFont="1" applyBorder="1" applyAlignment="1">
      <alignment vertical="center"/>
    </xf>
    <xf numFmtId="10" fontId="5" fillId="0" borderId="21" xfId="2" applyNumberFormat="1" applyFont="1" applyBorder="1" applyAlignment="1">
      <alignment vertical="center"/>
    </xf>
    <xf numFmtId="4" fontId="5" fillId="0" borderId="110" xfId="0" applyNumberFormat="1" applyFont="1" applyBorder="1" applyAlignment="1">
      <alignment vertical="center"/>
    </xf>
    <xf numFmtId="4" fontId="5" fillId="0" borderId="12" xfId="0" applyNumberFormat="1" applyFont="1" applyBorder="1" applyAlignment="1">
      <alignment vertical="center"/>
    </xf>
    <xf numFmtId="10" fontId="5" fillId="0" borderId="12" xfId="2" applyNumberFormat="1" applyFont="1" applyBorder="1" applyAlignment="1">
      <alignment vertical="center"/>
    </xf>
    <xf numFmtId="4" fontId="5" fillId="0" borderId="106" xfId="0" applyNumberFormat="1" applyFont="1" applyBorder="1" applyAlignment="1">
      <alignment vertical="center"/>
    </xf>
    <xf numFmtId="10" fontId="5" fillId="18" borderId="12" xfId="2" applyNumberFormat="1" applyFont="1" applyFill="1" applyBorder="1" applyAlignment="1">
      <alignment vertical="center"/>
    </xf>
    <xf numFmtId="4" fontId="5" fillId="18" borderId="12" xfId="0" applyNumberFormat="1" applyFont="1" applyFill="1" applyBorder="1" applyAlignment="1">
      <alignment vertical="center"/>
    </xf>
    <xf numFmtId="10" fontId="5" fillId="0" borderId="12" xfId="2" applyNumberFormat="1" applyFont="1" applyFill="1" applyBorder="1" applyAlignment="1">
      <alignment vertical="center"/>
    </xf>
    <xf numFmtId="4" fontId="5" fillId="0" borderId="0" xfId="0" applyNumberFormat="1" applyFont="1" applyBorder="1" applyAlignment="1">
      <alignment vertical="center"/>
    </xf>
    <xf numFmtId="4" fontId="5" fillId="0" borderId="111" xfId="0" applyNumberFormat="1" applyFont="1" applyBorder="1" applyAlignment="1">
      <alignment vertical="center"/>
    </xf>
    <xf numFmtId="10" fontId="5" fillId="0" borderId="0" xfId="2" applyNumberFormat="1" applyFont="1" applyBorder="1" applyAlignment="1">
      <alignment vertical="center"/>
    </xf>
    <xf numFmtId="2" fontId="5" fillId="0" borderId="0" xfId="0" applyNumberFormat="1" applyFont="1" applyAlignment="1">
      <alignment vertical="center"/>
    </xf>
    <xf numFmtId="4" fontId="5" fillId="0" borderId="12" xfId="0" applyNumberFormat="1" applyFont="1" applyFill="1" applyBorder="1" applyAlignment="1">
      <alignment vertical="center"/>
    </xf>
    <xf numFmtId="10" fontId="5" fillId="18" borderId="21" xfId="2" applyNumberFormat="1" applyFont="1" applyFill="1" applyBorder="1" applyAlignment="1">
      <alignment vertical="center"/>
    </xf>
    <xf numFmtId="4" fontId="5" fillId="18" borderId="21" xfId="0" applyNumberFormat="1" applyFont="1" applyFill="1" applyBorder="1" applyAlignment="1">
      <alignment vertical="center"/>
    </xf>
    <xf numFmtId="0" fontId="5" fillId="0" borderId="24" xfId="0" applyFont="1" applyBorder="1" applyAlignment="1">
      <alignment horizontal="center" vertical="center"/>
    </xf>
    <xf numFmtId="4" fontId="5" fillId="0" borderId="24" xfId="0" applyNumberFormat="1" applyFont="1" applyBorder="1" applyAlignment="1">
      <alignment vertical="center"/>
    </xf>
    <xf numFmtId="10" fontId="5" fillId="18" borderId="24" xfId="2" applyNumberFormat="1" applyFont="1" applyFill="1" applyBorder="1" applyAlignment="1">
      <alignment vertical="center"/>
    </xf>
    <xf numFmtId="4" fontId="5" fillId="18" borderId="24" xfId="0" applyNumberFormat="1" applyFont="1" applyFill="1" applyBorder="1" applyAlignment="1">
      <alignment vertical="center"/>
    </xf>
    <xf numFmtId="10" fontId="5" fillId="0" borderId="24" xfId="2" applyNumberFormat="1" applyFont="1" applyFill="1" applyBorder="1" applyAlignment="1">
      <alignment vertical="center"/>
    </xf>
    <xf numFmtId="4" fontId="5" fillId="0" borderId="24" xfId="0" applyNumberFormat="1" applyFont="1" applyFill="1" applyBorder="1" applyAlignment="1">
      <alignment vertical="center"/>
    </xf>
    <xf numFmtId="0" fontId="0" fillId="0" borderId="12" xfId="0" applyFont="1" applyBorder="1" applyAlignment="1">
      <alignment horizontal="center" vertical="center"/>
    </xf>
    <xf numFmtId="4" fontId="0" fillId="0" borderId="113" xfId="0" applyNumberFormat="1" applyFont="1" applyBorder="1" applyAlignment="1">
      <alignment vertical="center"/>
    </xf>
    <xf numFmtId="4" fontId="5" fillId="0" borderId="28" xfId="0" applyNumberFormat="1" applyFont="1" applyBorder="1" applyAlignment="1">
      <alignment vertical="center"/>
    </xf>
    <xf numFmtId="4" fontId="0" fillId="0" borderId="29" xfId="0" applyNumberFormat="1" applyFont="1" applyBorder="1" applyAlignment="1">
      <alignment vertical="center"/>
    </xf>
    <xf numFmtId="4" fontId="1" fillId="0" borderId="0" xfId="0" applyNumberFormat="1" applyFont="1" applyFill="1" applyBorder="1" applyAlignment="1">
      <alignment vertical="center"/>
    </xf>
    <xf numFmtId="4" fontId="1" fillId="0" borderId="111" xfId="0" applyNumberFormat="1" applyFont="1" applyFill="1" applyBorder="1" applyAlignment="1">
      <alignment vertical="center"/>
    </xf>
    <xf numFmtId="0" fontId="5" fillId="0" borderId="12" xfId="0" applyFont="1" applyFill="1" applyBorder="1" applyAlignment="1">
      <alignment horizontal="center" vertical="center"/>
    </xf>
    <xf numFmtId="0" fontId="5" fillId="0" borderId="114" xfId="0" applyFont="1" applyBorder="1" applyAlignment="1">
      <alignment vertical="center"/>
    </xf>
    <xf numFmtId="0" fontId="0" fillId="0" borderId="29" xfId="0" applyFont="1" applyBorder="1" applyAlignment="1">
      <alignment vertical="center"/>
    </xf>
    <xf numFmtId="4" fontId="0" fillId="0" borderId="28" xfId="0" applyNumberFormat="1" applyFont="1" applyFill="1" applyBorder="1" applyAlignment="1">
      <alignment vertical="center"/>
    </xf>
    <xf numFmtId="0" fontId="5" fillId="0" borderId="22" xfId="0" applyFont="1" applyFill="1" applyBorder="1" applyAlignment="1">
      <alignment horizontal="left" vertical="center"/>
    </xf>
    <xf numFmtId="0" fontId="5" fillId="0" borderId="0" xfId="0" applyFont="1" applyFill="1" applyBorder="1" applyAlignment="1">
      <alignment horizontal="left" vertical="center"/>
    </xf>
    <xf numFmtId="0" fontId="5" fillId="0" borderId="107" xfId="0" applyFont="1" applyBorder="1" applyAlignment="1">
      <alignment vertical="center"/>
    </xf>
    <xf numFmtId="4" fontId="5" fillId="0" borderId="108" xfId="0" applyNumberFormat="1" applyFont="1" applyBorder="1" applyAlignment="1">
      <alignment vertical="center"/>
    </xf>
    <xf numFmtId="0" fontId="5" fillId="0" borderId="111" xfId="0" applyFont="1" applyBorder="1" applyAlignment="1">
      <alignment vertical="center"/>
    </xf>
    <xf numFmtId="0" fontId="5" fillId="0" borderId="116" xfId="0" applyFont="1" applyBorder="1" applyAlignment="1">
      <alignment vertical="center"/>
    </xf>
    <xf numFmtId="170" fontId="6" fillId="2" borderId="0" xfId="0" applyNumberFormat="1" applyFont="1" applyFill="1" applyAlignment="1">
      <alignment vertical="center"/>
    </xf>
    <xf numFmtId="0" fontId="6" fillId="2" borderId="0" xfId="0" applyFont="1" applyFill="1" applyBorder="1" applyAlignment="1">
      <alignment horizontal="right" vertical="center"/>
    </xf>
    <xf numFmtId="0" fontId="24" fillId="2" borderId="0" xfId="0" applyFont="1" applyFill="1" applyBorder="1" applyAlignment="1">
      <alignment vertical="center"/>
    </xf>
    <xf numFmtId="2" fontId="0" fillId="0" borderId="12" xfId="0" applyNumberFormat="1" applyFont="1" applyBorder="1" applyAlignment="1">
      <alignment horizontal="center" vertical="center"/>
    </xf>
    <xf numFmtId="0" fontId="1" fillId="0" borderId="1" xfId="0" applyFont="1" applyBorder="1" applyAlignment="1">
      <alignment horizontal="left" vertical="center"/>
    </xf>
    <xf numFmtId="0" fontId="5" fillId="0" borderId="1" xfId="0" applyFont="1" applyFill="1" applyBorder="1" applyAlignment="1">
      <alignment horizontal="center" vertical="center"/>
    </xf>
    <xf numFmtId="14" fontId="5" fillId="0" borderId="0" xfId="0" applyNumberFormat="1" applyFont="1" applyFill="1" applyAlignment="1">
      <alignment horizontal="center" vertical="center"/>
    </xf>
    <xf numFmtId="0" fontId="1" fillId="0" borderId="1" xfId="0" applyFont="1" applyBorder="1" applyAlignment="1">
      <alignment horizontal="left" vertical="center" wrapText="1"/>
    </xf>
    <xf numFmtId="14" fontId="5" fillId="0" borderId="0" xfId="0" applyNumberFormat="1" applyFont="1" applyAlignment="1">
      <alignment horizontal="center" vertical="center"/>
    </xf>
    <xf numFmtId="0" fontId="5" fillId="0" borderId="1" xfId="0" applyFont="1" applyBorder="1" applyAlignment="1">
      <alignment horizontal="left" vertical="center" wrapText="1"/>
    </xf>
    <xf numFmtId="0" fontId="5" fillId="0" borderId="1" xfId="0" applyFont="1" applyBorder="1" applyAlignment="1">
      <alignment horizontal="center" vertical="center"/>
    </xf>
    <xf numFmtId="0" fontId="0" fillId="0" borderId="1" xfId="0" applyFont="1" applyBorder="1" applyAlignment="1">
      <alignment horizontal="left" vertical="center" wrapText="1"/>
    </xf>
    <xf numFmtId="0" fontId="15" fillId="0" borderId="1" xfId="0" applyFont="1" applyBorder="1" applyAlignment="1">
      <alignment horizontal="center" vertical="center"/>
    </xf>
    <xf numFmtId="2" fontId="15" fillId="0" borderId="1" xfId="0" applyNumberFormat="1" applyFont="1" applyBorder="1" applyAlignment="1">
      <alignment horizontal="center" vertical="center"/>
    </xf>
    <xf numFmtId="0" fontId="0" fillId="0" borderId="1" xfId="0" applyFont="1" applyBorder="1" applyAlignment="1">
      <alignment horizontal="left" vertical="center"/>
    </xf>
    <xf numFmtId="0" fontId="31" fillId="0" borderId="0" xfId="0" applyFont="1" applyAlignment="1">
      <alignment horizontal="center" vertical="center"/>
    </xf>
    <xf numFmtId="2" fontId="1" fillId="0" borderId="1" xfId="0" applyNumberFormat="1" applyFont="1" applyBorder="1" applyAlignment="1">
      <alignment horizontal="center" vertical="center"/>
    </xf>
    <xf numFmtId="2" fontId="32" fillId="0" borderId="1" xfId="0" applyNumberFormat="1" applyFont="1" applyBorder="1" applyAlignment="1">
      <alignment horizontal="center" vertical="center"/>
    </xf>
    <xf numFmtId="2" fontId="15" fillId="0" borderId="0" xfId="0" applyNumberFormat="1" applyFont="1" applyAlignment="1">
      <alignment horizontal="center" vertical="center"/>
    </xf>
    <xf numFmtId="0" fontId="15" fillId="0" borderId="0" xfId="0" applyFont="1" applyBorder="1" applyAlignment="1">
      <alignment horizontal="center" vertical="center"/>
    </xf>
    <xf numFmtId="2" fontId="15" fillId="0" borderId="0" xfId="0" applyNumberFormat="1" applyFont="1" applyBorder="1" applyAlignment="1">
      <alignment horizontal="center" vertical="center"/>
    </xf>
    <xf numFmtId="0" fontId="5" fillId="0" borderId="126" xfId="0" applyFont="1" applyBorder="1" applyAlignment="1">
      <alignment horizontal="center" vertical="center"/>
    </xf>
    <xf numFmtId="0" fontId="5" fillId="0" borderId="91" xfId="0" applyFont="1" applyFill="1" applyBorder="1" applyAlignment="1">
      <alignment horizontal="center" vertical="center"/>
    </xf>
    <xf numFmtId="0" fontId="14" fillId="0" borderId="1" xfId="0" applyFont="1" applyBorder="1" applyAlignment="1">
      <alignment horizontal="center" vertical="center"/>
    </xf>
    <xf numFmtId="2" fontId="14" fillId="0" borderId="1" xfId="0" applyNumberFormat="1" applyFont="1" applyBorder="1" applyAlignment="1">
      <alignment horizontal="center" vertical="center"/>
    </xf>
    <xf numFmtId="2" fontId="14" fillId="0" borderId="1" xfId="0" applyNumberFormat="1" applyFont="1" applyFill="1" applyBorder="1" applyAlignment="1">
      <alignment horizontal="center" vertical="center"/>
    </xf>
    <xf numFmtId="0" fontId="15" fillId="0" borderId="90" xfId="0" applyFont="1" applyBorder="1" applyAlignment="1">
      <alignment horizontal="center" vertical="center"/>
    </xf>
    <xf numFmtId="2" fontId="5" fillId="0" borderId="0" xfId="0" applyNumberFormat="1" applyFont="1" applyAlignment="1">
      <alignment horizontal="center" vertical="center"/>
    </xf>
    <xf numFmtId="1" fontId="5" fillId="0" borderId="1" xfId="0" applyNumberFormat="1" applyFont="1" applyBorder="1" applyAlignment="1">
      <alignment horizontal="center" vertical="center"/>
    </xf>
    <xf numFmtId="2" fontId="14" fillId="0" borderId="0" xfId="0" applyNumberFormat="1" applyFont="1" applyBorder="1" applyAlignment="1">
      <alignment horizontal="center" vertical="center"/>
    </xf>
    <xf numFmtId="0" fontId="0" fillId="0" borderId="1" xfId="0" applyFont="1" applyBorder="1" applyAlignment="1">
      <alignment vertical="center"/>
    </xf>
    <xf numFmtId="0" fontId="5" fillId="0" borderId="1" xfId="0" applyFont="1" applyFill="1" applyBorder="1" applyAlignment="1">
      <alignment vertical="center"/>
    </xf>
    <xf numFmtId="0" fontId="5" fillId="0" borderId="1" xfId="0" applyFont="1" applyBorder="1" applyAlignment="1">
      <alignment vertical="center"/>
    </xf>
    <xf numFmtId="9" fontId="5" fillId="0" borderId="1" xfId="0" applyNumberFormat="1" applyFont="1" applyFill="1" applyBorder="1" applyAlignment="1">
      <alignment vertical="center"/>
    </xf>
    <xf numFmtId="9" fontId="0" fillId="0" borderId="1" xfId="0" applyNumberFormat="1" applyFont="1" applyBorder="1" applyAlignment="1">
      <alignment vertical="center"/>
    </xf>
    <xf numFmtId="2" fontId="5" fillId="0" borderId="1" xfId="0" applyNumberFormat="1" applyFont="1" applyBorder="1" applyAlignment="1">
      <alignment vertical="center"/>
    </xf>
    <xf numFmtId="2" fontId="15" fillId="0" borderId="1" xfId="0" applyNumberFormat="1" applyFont="1" applyBorder="1" applyAlignment="1">
      <alignment vertical="center"/>
    </xf>
    <xf numFmtId="0" fontId="5" fillId="7" borderId="1" xfId="0" applyFont="1" applyFill="1" applyBorder="1" applyAlignment="1">
      <alignment vertical="center"/>
    </xf>
    <xf numFmtId="0" fontId="5" fillId="0" borderId="81" xfId="0" applyFont="1" applyBorder="1" applyAlignment="1">
      <alignment vertical="center"/>
    </xf>
    <xf numFmtId="2" fontId="5" fillId="0" borderId="82" xfId="0" applyNumberFormat="1" applyFont="1" applyBorder="1" applyAlignment="1">
      <alignment vertical="center"/>
    </xf>
    <xf numFmtId="2" fontId="5" fillId="0" borderId="83" xfId="0" applyNumberFormat="1" applyFont="1" applyBorder="1" applyAlignment="1">
      <alignment vertical="center"/>
    </xf>
    <xf numFmtId="0" fontId="5" fillId="14" borderId="1" xfId="0" applyFont="1" applyFill="1" applyBorder="1" applyAlignment="1">
      <alignment vertical="center"/>
    </xf>
    <xf numFmtId="0" fontId="15" fillId="14" borderId="1" xfId="0" applyFont="1" applyFill="1" applyBorder="1" applyAlignment="1">
      <alignment horizontal="center" vertical="center"/>
    </xf>
    <xf numFmtId="0" fontId="5" fillId="0" borderId="63" xfId="0" applyFont="1" applyBorder="1" applyAlignment="1">
      <alignment vertical="center"/>
    </xf>
    <xf numFmtId="2" fontId="5" fillId="0" borderId="35" xfId="0" applyNumberFormat="1" applyFont="1" applyBorder="1" applyAlignment="1">
      <alignment vertical="center"/>
    </xf>
    <xf numFmtId="2" fontId="5" fillId="0" borderId="64" xfId="0" applyNumberFormat="1" applyFont="1" applyBorder="1" applyAlignment="1">
      <alignment vertical="center"/>
    </xf>
    <xf numFmtId="0" fontId="5" fillId="0" borderId="65" xfId="0" applyFont="1" applyBorder="1" applyAlignment="1">
      <alignment vertical="center"/>
    </xf>
    <xf numFmtId="2" fontId="5" fillId="0" borderId="85" xfId="0" applyNumberFormat="1" applyFont="1" applyBorder="1" applyAlignment="1">
      <alignment vertical="center"/>
    </xf>
    <xf numFmtId="2" fontId="5" fillId="0" borderId="66" xfId="0" applyNumberFormat="1" applyFont="1" applyBorder="1" applyAlignment="1">
      <alignment vertical="center"/>
    </xf>
    <xf numFmtId="0" fontId="5" fillId="0" borderId="103" xfId="0" applyFont="1" applyBorder="1" applyAlignment="1">
      <alignment vertical="center"/>
    </xf>
    <xf numFmtId="2" fontId="5" fillId="0" borderId="103" xfId="0" applyNumberFormat="1" applyFont="1" applyBorder="1" applyAlignment="1">
      <alignment vertical="center"/>
    </xf>
    <xf numFmtId="2" fontId="5" fillId="0" borderId="0" xfId="0" applyNumberFormat="1" applyFont="1" applyBorder="1" applyAlignment="1">
      <alignment vertical="center"/>
    </xf>
    <xf numFmtId="0" fontId="1" fillId="0" borderId="54" xfId="0" applyFont="1" applyBorder="1" applyAlignment="1">
      <alignment horizontal="center" vertical="center"/>
    </xf>
    <xf numFmtId="0" fontId="5" fillId="0" borderId="55" xfId="0" applyFont="1" applyBorder="1" applyAlignment="1">
      <alignment vertical="center"/>
    </xf>
    <xf numFmtId="2" fontId="5" fillId="0" borderId="1" xfId="0" applyNumberFormat="1" applyFont="1" applyFill="1" applyBorder="1" applyAlignment="1">
      <alignment vertical="center"/>
    </xf>
    <xf numFmtId="0" fontId="0" fillId="16" borderId="61" xfId="0" applyFont="1" applyFill="1" applyBorder="1" applyAlignment="1">
      <alignment vertical="center"/>
    </xf>
    <xf numFmtId="9" fontId="5" fillId="0" borderId="62" xfId="0" applyNumberFormat="1" applyFont="1" applyBorder="1" applyAlignment="1">
      <alignment vertical="center"/>
    </xf>
    <xf numFmtId="0" fontId="0" fillId="16" borderId="63" xfId="0" applyFont="1" applyFill="1" applyBorder="1" applyAlignment="1">
      <alignment vertical="center"/>
    </xf>
    <xf numFmtId="9" fontId="5" fillId="0" borderId="64" xfId="0" applyNumberFormat="1" applyFont="1" applyBorder="1" applyAlignment="1">
      <alignment vertical="center"/>
    </xf>
    <xf numFmtId="0" fontId="0" fillId="17" borderId="63" xfId="0" applyFont="1" applyFill="1" applyBorder="1" applyAlignment="1">
      <alignment vertical="center"/>
    </xf>
    <xf numFmtId="0" fontId="5" fillId="0" borderId="0" xfId="0" applyFont="1" applyFill="1" applyAlignment="1">
      <alignment vertical="center"/>
    </xf>
    <xf numFmtId="0" fontId="0" fillId="17" borderId="129" xfId="0" applyFont="1" applyFill="1" applyBorder="1" applyAlignment="1">
      <alignment vertical="center"/>
    </xf>
    <xf numFmtId="9" fontId="5" fillId="0" borderId="130" xfId="0" applyNumberFormat="1" applyFont="1" applyBorder="1" applyAlignment="1">
      <alignment vertical="center"/>
    </xf>
    <xf numFmtId="9" fontId="5" fillId="0" borderId="0" xfId="2" applyFont="1" applyAlignment="1">
      <alignment vertical="center"/>
    </xf>
    <xf numFmtId="9" fontId="5" fillId="0" borderId="62" xfId="2" applyFont="1" applyBorder="1" applyAlignment="1">
      <alignment vertical="center"/>
    </xf>
    <xf numFmtId="2" fontId="14" fillId="0" borderId="0" xfId="0" applyNumberFormat="1" applyFont="1" applyAlignment="1">
      <alignment vertical="center"/>
    </xf>
    <xf numFmtId="0" fontId="15" fillId="0" borderId="0" xfId="0" applyFont="1" applyAlignment="1">
      <alignment vertical="center"/>
    </xf>
    <xf numFmtId="2" fontId="15" fillId="0" borderId="0" xfId="0" applyNumberFormat="1" applyFont="1" applyAlignment="1">
      <alignment vertical="center"/>
    </xf>
    <xf numFmtId="0" fontId="0" fillId="17" borderId="65" xfId="0" applyFont="1" applyFill="1" applyBorder="1" applyAlignment="1">
      <alignment vertical="center"/>
    </xf>
    <xf numFmtId="9" fontId="5" fillId="0" borderId="66" xfId="0" applyNumberFormat="1" applyFont="1" applyBorder="1" applyAlignment="1">
      <alignment vertical="center"/>
    </xf>
    <xf numFmtId="2" fontId="5" fillId="0" borderId="0" xfId="0" applyNumberFormat="1" applyFont="1" applyFill="1" applyAlignment="1">
      <alignment vertical="center"/>
    </xf>
    <xf numFmtId="9" fontId="5" fillId="0" borderId="0" xfId="0" applyNumberFormat="1" applyFont="1" applyFill="1" applyAlignment="1">
      <alignment vertical="center"/>
    </xf>
    <xf numFmtId="9" fontId="5" fillId="0" borderId="0" xfId="0" applyNumberFormat="1" applyFont="1" applyAlignment="1">
      <alignment vertical="center"/>
    </xf>
    <xf numFmtId="0" fontId="15" fillId="0" borderId="1" xfId="0" applyFont="1" applyBorder="1" applyAlignment="1">
      <alignment vertical="center"/>
    </xf>
    <xf numFmtId="0" fontId="0" fillId="0" borderId="96" xfId="0" applyFont="1" applyBorder="1" applyAlignment="1">
      <alignment horizontal="center" vertical="center" wrapText="1"/>
    </xf>
    <xf numFmtId="0" fontId="0" fillId="0" borderId="10" xfId="0" applyFont="1" applyBorder="1" applyAlignment="1">
      <alignment horizontal="center" vertical="center" wrapText="1"/>
    </xf>
    <xf numFmtId="0" fontId="0" fillId="0" borderId="131" xfId="0" applyFont="1" applyBorder="1" applyAlignment="1">
      <alignment vertical="center"/>
    </xf>
    <xf numFmtId="168" fontId="5" fillId="0" borderId="3" xfId="0" applyNumberFormat="1" applyFont="1" applyBorder="1" applyAlignment="1">
      <alignment horizontal="center" vertical="center"/>
    </xf>
    <xf numFmtId="168" fontId="5" fillId="0" borderId="95" xfId="0" applyNumberFormat="1" applyFont="1" applyBorder="1" applyAlignment="1">
      <alignment horizontal="center" vertical="center"/>
    </xf>
    <xf numFmtId="168" fontId="5" fillId="0" borderId="4" xfId="0" applyNumberFormat="1" applyFont="1" applyBorder="1" applyAlignment="1">
      <alignment horizontal="center" vertical="center"/>
    </xf>
    <xf numFmtId="0" fontId="0" fillId="0" borderId="49" xfId="0" applyFont="1" applyBorder="1" applyAlignment="1">
      <alignment vertical="center"/>
    </xf>
    <xf numFmtId="168" fontId="5" fillId="0" borderId="7" xfId="0" applyNumberFormat="1" applyFont="1" applyBorder="1" applyAlignment="1">
      <alignment horizontal="center" vertical="center"/>
    </xf>
    <xf numFmtId="168" fontId="5" fillId="0" borderId="35" xfId="0" applyNumberFormat="1" applyFont="1" applyBorder="1" applyAlignment="1">
      <alignment horizontal="center" vertical="center"/>
    </xf>
    <xf numFmtId="168" fontId="5" fillId="0" borderId="8" xfId="0" applyNumberFormat="1" applyFont="1" applyBorder="1" applyAlignment="1">
      <alignment horizontal="center" vertical="center"/>
    </xf>
    <xf numFmtId="0" fontId="0" fillId="0" borderId="132" xfId="0" applyFont="1" applyBorder="1" applyAlignment="1">
      <alignment vertical="center"/>
    </xf>
    <xf numFmtId="168" fontId="5" fillId="0" borderId="9" xfId="0" applyNumberFormat="1" applyFont="1" applyBorder="1" applyAlignment="1">
      <alignment horizontal="center" vertical="center"/>
    </xf>
    <xf numFmtId="168" fontId="5" fillId="0" borderId="96" xfId="0" applyNumberFormat="1" applyFont="1" applyBorder="1" applyAlignment="1">
      <alignment horizontal="center" vertical="center"/>
    </xf>
    <xf numFmtId="168" fontId="5" fillId="0" borderId="10" xfId="0" applyNumberFormat="1" applyFont="1" applyBorder="1" applyAlignment="1">
      <alignment horizontal="center" vertical="center"/>
    </xf>
    <xf numFmtId="0" fontId="0" fillId="0" borderId="3" xfId="0" applyFont="1" applyBorder="1" applyAlignment="1">
      <alignment vertical="center"/>
    </xf>
    <xf numFmtId="2" fontId="5" fillId="0" borderId="95" xfId="0" applyNumberFormat="1" applyFont="1" applyBorder="1" applyAlignment="1">
      <alignment vertical="center"/>
    </xf>
    <xf numFmtId="0" fontId="0" fillId="0" borderId="7" xfId="0" applyFont="1" applyBorder="1" applyAlignment="1">
      <alignment vertical="center"/>
    </xf>
    <xf numFmtId="0" fontId="5" fillId="0" borderId="35" xfId="0" applyFont="1" applyBorder="1" applyAlignment="1">
      <alignment vertical="center"/>
    </xf>
    <xf numFmtId="0" fontId="5" fillId="0" borderId="4" xfId="0" applyFont="1" applyBorder="1" applyAlignment="1">
      <alignment vertical="center"/>
    </xf>
    <xf numFmtId="0" fontId="0" fillId="0" borderId="9" xfId="0" applyFont="1" applyBorder="1" applyAlignment="1">
      <alignment vertical="center"/>
    </xf>
    <xf numFmtId="2" fontId="5" fillId="0" borderId="10" xfId="0" applyNumberFormat="1" applyFont="1" applyBorder="1" applyAlignment="1">
      <alignment vertical="center"/>
    </xf>
    <xf numFmtId="2" fontId="5" fillId="0" borderId="4" xfId="0" applyNumberFormat="1" applyFont="1" applyBorder="1" applyAlignment="1">
      <alignment vertical="center"/>
    </xf>
    <xf numFmtId="0" fontId="1" fillId="19" borderId="16" xfId="0" applyFont="1" applyFill="1" applyBorder="1" applyAlignment="1">
      <alignment horizontal="center" vertical="center"/>
    </xf>
    <xf numFmtId="4" fontId="1" fillId="19" borderId="28" xfId="0" applyNumberFormat="1" applyFont="1" applyFill="1" applyBorder="1" applyAlignment="1">
      <alignment vertical="center"/>
    </xf>
    <xf numFmtId="4" fontId="1" fillId="19" borderId="17" xfId="0" applyNumberFormat="1" applyFont="1" applyFill="1" applyBorder="1" applyAlignment="1">
      <alignment vertical="center"/>
    </xf>
    <xf numFmtId="4" fontId="1" fillId="19" borderId="29" xfId="0" applyNumberFormat="1" applyFont="1" applyFill="1" applyBorder="1" applyAlignment="1">
      <alignment vertical="center"/>
    </xf>
    <xf numFmtId="0" fontId="11" fillId="19" borderId="17" xfId="0" applyFont="1" applyFill="1" applyBorder="1" applyAlignment="1">
      <alignment horizontal="center" vertical="center"/>
    </xf>
    <xf numFmtId="0" fontId="5" fillId="19" borderId="17" xfId="0" applyFont="1" applyFill="1" applyBorder="1" applyAlignment="1">
      <alignment vertical="center"/>
    </xf>
    <xf numFmtId="0" fontId="5" fillId="19" borderId="28" xfId="0" applyFont="1" applyFill="1" applyBorder="1" applyAlignment="1">
      <alignment vertical="center"/>
    </xf>
    <xf numFmtId="0" fontId="15" fillId="19" borderId="119" xfId="0" applyFont="1" applyFill="1" applyBorder="1" applyAlignment="1">
      <alignment horizontal="center" vertical="center"/>
    </xf>
    <xf numFmtId="0" fontId="20" fillId="19" borderId="120" xfId="0" applyFont="1" applyFill="1" applyBorder="1" applyAlignment="1">
      <alignment vertical="center"/>
    </xf>
    <xf numFmtId="2" fontId="15" fillId="19" borderId="121" xfId="0" applyNumberFormat="1" applyFont="1" applyFill="1" applyBorder="1" applyAlignment="1">
      <alignment vertical="center"/>
    </xf>
    <xf numFmtId="2" fontId="15" fillId="19" borderId="122" xfId="0" applyNumberFormat="1" applyFont="1" applyFill="1" applyBorder="1" applyAlignment="1">
      <alignment vertical="center"/>
    </xf>
    <xf numFmtId="10" fontId="0" fillId="2" borderId="95" xfId="2" applyNumberFormat="1" applyFont="1" applyFill="1" applyBorder="1" applyAlignment="1">
      <alignment vertical="center"/>
    </xf>
    <xf numFmtId="10" fontId="0" fillId="2" borderId="4" xfId="2" applyNumberFormat="1" applyFont="1" applyFill="1" applyBorder="1" applyAlignment="1">
      <alignment vertical="center"/>
    </xf>
    <xf numFmtId="10" fontId="0" fillId="2" borderId="96" xfId="2" applyNumberFormat="1" applyFont="1" applyFill="1" applyBorder="1" applyAlignment="1">
      <alignment vertical="center"/>
    </xf>
    <xf numFmtId="10" fontId="0" fillId="2" borderId="10" xfId="2" applyNumberFormat="1" applyFont="1" applyFill="1" applyBorder="1" applyAlignment="1">
      <alignment vertical="center"/>
    </xf>
    <xf numFmtId="10" fontId="0" fillId="2" borderId="35" xfId="2" applyNumberFormat="1" applyFont="1" applyFill="1" applyBorder="1" applyAlignment="1">
      <alignment vertical="center"/>
    </xf>
    <xf numFmtId="10" fontId="0" fillId="2" borderId="8" xfId="2" applyNumberFormat="1" applyFont="1" applyFill="1" applyBorder="1" applyAlignment="1">
      <alignment vertical="center"/>
    </xf>
    <xf numFmtId="10" fontId="0" fillId="18" borderId="4" xfId="2" applyNumberFormat="1" applyFont="1" applyFill="1" applyBorder="1" applyAlignment="1">
      <alignment vertical="center"/>
    </xf>
    <xf numFmtId="10" fontId="0" fillId="18" borderId="35" xfId="2" applyNumberFormat="1" applyFont="1" applyFill="1" applyBorder="1" applyAlignment="1">
      <alignment vertical="center"/>
    </xf>
    <xf numFmtId="10" fontId="0" fillId="18" borderId="96" xfId="2" applyNumberFormat="1" applyFont="1" applyFill="1" applyBorder="1" applyAlignment="1">
      <alignment vertical="center"/>
    </xf>
    <xf numFmtId="2" fontId="0" fillId="2" borderId="95" xfId="0" applyNumberFormat="1" applyFont="1" applyFill="1" applyBorder="1" applyAlignment="1">
      <alignment vertical="center"/>
    </xf>
    <xf numFmtId="169" fontId="0" fillId="2" borderId="35" xfId="2" applyNumberFormat="1" applyFont="1" applyFill="1" applyBorder="1" applyAlignment="1">
      <alignment vertical="center"/>
    </xf>
    <xf numFmtId="169" fontId="0" fillId="2" borderId="8" xfId="2" applyNumberFormat="1" applyFont="1" applyFill="1" applyBorder="1" applyAlignment="1">
      <alignment vertical="center"/>
    </xf>
    <xf numFmtId="4" fontId="0" fillId="2" borderId="95" xfId="0" applyNumberFormat="1" applyFont="1" applyFill="1" applyBorder="1" applyAlignment="1">
      <alignment vertical="center"/>
    </xf>
    <xf numFmtId="4" fontId="0" fillId="2" borderId="35" xfId="0" applyNumberFormat="1" applyFont="1" applyFill="1" applyBorder="1" applyAlignment="1">
      <alignment vertical="center"/>
    </xf>
    <xf numFmtId="4" fontId="0" fillId="2" borderId="96" xfId="0" applyNumberFormat="1" applyFont="1" applyFill="1" applyBorder="1" applyAlignment="1">
      <alignment vertical="center"/>
    </xf>
    <xf numFmtId="0" fontId="6" fillId="0" borderId="0" xfId="0" applyFont="1" applyBorder="1" applyAlignment="1">
      <alignment vertical="center"/>
    </xf>
    <xf numFmtId="0" fontId="6" fillId="0" borderId="48" xfId="0" applyFont="1" applyFill="1" applyBorder="1" applyAlignment="1">
      <alignment vertical="center"/>
    </xf>
    <xf numFmtId="0" fontId="6" fillId="0" borderId="79" xfId="0" applyFont="1" applyFill="1" applyBorder="1" applyAlignment="1">
      <alignment vertical="center"/>
    </xf>
    <xf numFmtId="0" fontId="6" fillId="0" borderId="50" xfId="0" applyFont="1" applyFill="1" applyBorder="1" applyAlignment="1">
      <alignment vertical="center"/>
    </xf>
    <xf numFmtId="0" fontId="6" fillId="0" borderId="61" xfId="0" applyFont="1" applyFill="1" applyBorder="1" applyAlignment="1">
      <alignment vertical="center"/>
    </xf>
    <xf numFmtId="0" fontId="6" fillId="0" borderId="63" xfId="0" applyFont="1" applyFill="1" applyBorder="1" applyAlignment="1">
      <alignment vertical="center"/>
    </xf>
    <xf numFmtId="0" fontId="6" fillId="0" borderId="129" xfId="0" applyFont="1" applyFill="1" applyBorder="1" applyAlignment="1">
      <alignment vertical="center"/>
    </xf>
    <xf numFmtId="14" fontId="5" fillId="0" borderId="0" xfId="0" applyNumberFormat="1" applyFont="1" applyAlignment="1">
      <alignment vertical="center"/>
    </xf>
    <xf numFmtId="14" fontId="5" fillId="0" borderId="1" xfId="0" applyNumberFormat="1" applyFont="1" applyBorder="1" applyAlignment="1">
      <alignment vertical="center"/>
    </xf>
    <xf numFmtId="0" fontId="23" fillId="2" borderId="0" xfId="0" applyFont="1" applyFill="1" applyBorder="1" applyAlignment="1">
      <alignment horizontal="right" vertical="center"/>
    </xf>
    <xf numFmtId="0" fontId="23" fillId="2" borderId="0" xfId="0" applyFont="1" applyFill="1" applyBorder="1" applyAlignment="1">
      <alignment horizontal="center" vertical="center"/>
    </xf>
    <xf numFmtId="1" fontId="0" fillId="15" borderId="82" xfId="0" applyNumberFormat="1" applyFill="1" applyBorder="1" applyAlignment="1">
      <alignment vertical="center"/>
    </xf>
    <xf numFmtId="1" fontId="0" fillId="15" borderId="35" xfId="0" applyNumberFormat="1" applyFill="1" applyBorder="1" applyAlignment="1">
      <alignment vertical="center"/>
    </xf>
    <xf numFmtId="1" fontId="0" fillId="15" borderId="85" xfId="0" applyNumberFormat="1" applyFill="1" applyBorder="1" applyAlignment="1">
      <alignment vertical="center"/>
    </xf>
    <xf numFmtId="0" fontId="5" fillId="0" borderId="15" xfId="0" applyFont="1" applyFill="1" applyBorder="1" applyAlignment="1">
      <alignment horizontal="left" vertical="center"/>
    </xf>
    <xf numFmtId="0" fontId="5" fillId="0" borderId="12" xfId="0" applyFont="1" applyFill="1" applyBorder="1" applyAlignment="1">
      <alignment horizontal="left" vertical="center"/>
    </xf>
    <xf numFmtId="2" fontId="0" fillId="2" borderId="8" xfId="1" applyNumberFormat="1" applyFont="1" applyFill="1" applyBorder="1" applyAlignment="1">
      <alignment vertical="center"/>
    </xf>
    <xf numFmtId="2" fontId="0" fillId="2" borderId="8" xfId="2" applyNumberFormat="1" applyFont="1" applyFill="1" applyBorder="1" applyAlignment="1">
      <alignment vertical="center"/>
    </xf>
    <xf numFmtId="0" fontId="23" fillId="0" borderId="0" xfId="0" applyFont="1"/>
    <xf numFmtId="0" fontId="6" fillId="0" borderId="48" xfId="0" applyFont="1" applyBorder="1"/>
    <xf numFmtId="0" fontId="6" fillId="0" borderId="0" xfId="0" applyFont="1"/>
    <xf numFmtId="0" fontId="6" fillId="0" borderId="79" xfId="0" applyFont="1" applyBorder="1"/>
    <xf numFmtId="0" fontId="6" fillId="0" borderId="50" xfId="0" applyFont="1" applyBorder="1"/>
    <xf numFmtId="0" fontId="30" fillId="0" borderId="0" xfId="0" applyFont="1"/>
    <xf numFmtId="0" fontId="6" fillId="0" borderId="3" xfId="0" applyFont="1" applyFill="1" applyBorder="1" applyAlignment="1">
      <alignment horizontal="left" vertical="center"/>
    </xf>
    <xf numFmtId="0" fontId="6" fillId="0" borderId="7" xfId="0" applyFont="1" applyFill="1" applyBorder="1" applyAlignment="1">
      <alignment horizontal="left" vertical="center"/>
    </xf>
    <xf numFmtId="0" fontId="6" fillId="0" borderId="9" xfId="0" applyFont="1" applyFill="1" applyBorder="1" applyAlignment="1">
      <alignment horizontal="left" vertical="center"/>
    </xf>
    <xf numFmtId="0" fontId="6" fillId="7" borderId="95" xfId="0" applyFont="1" applyFill="1" applyBorder="1" applyAlignment="1">
      <alignment vertical="center"/>
    </xf>
    <xf numFmtId="0" fontId="6" fillId="7" borderId="4" xfId="0" applyFont="1" applyFill="1" applyBorder="1" applyAlignment="1">
      <alignment vertical="center"/>
    </xf>
    <xf numFmtId="0" fontId="6" fillId="7" borderId="35" xfId="0" applyFont="1" applyFill="1" applyBorder="1" applyAlignment="1">
      <alignment vertical="center"/>
    </xf>
    <xf numFmtId="0" fontId="6" fillId="7" borderId="8" xfId="0" applyFont="1" applyFill="1" applyBorder="1" applyAlignment="1">
      <alignment vertical="center"/>
    </xf>
    <xf numFmtId="0" fontId="6" fillId="7" borderId="96" xfId="0" applyFont="1" applyFill="1" applyBorder="1" applyAlignment="1">
      <alignment vertical="center"/>
    </xf>
    <xf numFmtId="0" fontId="6" fillId="7" borderId="10" xfId="0" applyFont="1" applyFill="1" applyBorder="1" applyAlignment="1">
      <alignment vertical="center"/>
    </xf>
    <xf numFmtId="0" fontId="6" fillId="7" borderId="1" xfId="0" applyFont="1" applyFill="1" applyBorder="1" applyAlignment="1">
      <alignment vertical="center"/>
    </xf>
    <xf numFmtId="0" fontId="6" fillId="0" borderId="38" xfId="0" applyFont="1" applyBorder="1" applyAlignment="1">
      <alignment horizontal="center"/>
    </xf>
    <xf numFmtId="0" fontId="6" fillId="0" borderId="40" xfId="0" applyFont="1" applyBorder="1" applyAlignment="1">
      <alignment horizontal="center"/>
    </xf>
    <xf numFmtId="0" fontId="6" fillId="0" borderId="3" xfId="0" applyFont="1" applyBorder="1"/>
    <xf numFmtId="0" fontId="6" fillId="7" borderId="95" xfId="0" applyFont="1" applyFill="1" applyBorder="1"/>
    <xf numFmtId="0" fontId="6" fillId="7" borderId="4" xfId="0" applyFont="1" applyFill="1" applyBorder="1"/>
    <xf numFmtId="0" fontId="6" fillId="0" borderId="7" xfId="0" applyFont="1" applyBorder="1"/>
    <xf numFmtId="0" fontId="6" fillId="7" borderId="35" xfId="0" applyFont="1" applyFill="1" applyBorder="1"/>
    <xf numFmtId="0" fontId="6" fillId="7" borderId="8" xfId="0" applyFont="1" applyFill="1" applyBorder="1"/>
    <xf numFmtId="0" fontId="6" fillId="0" borderId="9" xfId="0" applyFont="1" applyBorder="1"/>
    <xf numFmtId="0" fontId="6" fillId="7" borderId="96" xfId="0" applyFont="1" applyFill="1" applyBorder="1"/>
    <xf numFmtId="0" fontId="6" fillId="7" borderId="10" xfId="0" applyFont="1" applyFill="1" applyBorder="1"/>
    <xf numFmtId="4" fontId="5" fillId="0" borderId="18" xfId="0" applyNumberFormat="1" applyFont="1" applyBorder="1" applyAlignment="1">
      <alignment horizontal="right" vertical="center"/>
    </xf>
    <xf numFmtId="10" fontId="5" fillId="0" borderId="18" xfId="2" applyNumberFormat="1" applyFont="1" applyBorder="1" applyAlignment="1">
      <alignment horizontal="right" vertical="center"/>
    </xf>
    <xf numFmtId="2" fontId="5" fillId="0" borderId="21" xfId="0" applyNumberFormat="1" applyFont="1" applyBorder="1" applyAlignment="1">
      <alignment horizontal="right" vertical="center"/>
    </xf>
    <xf numFmtId="10" fontId="5" fillId="0" borderId="21" xfId="2" applyNumberFormat="1" applyFont="1" applyBorder="1" applyAlignment="1">
      <alignment horizontal="right" vertical="center"/>
    </xf>
    <xf numFmtId="4" fontId="5" fillId="0" borderId="21" xfId="0" applyNumberFormat="1" applyFont="1" applyBorder="1" applyAlignment="1">
      <alignment horizontal="right" vertical="center"/>
    </xf>
    <xf numFmtId="10" fontId="5" fillId="0" borderId="12" xfId="2" applyNumberFormat="1" applyFont="1" applyBorder="1" applyAlignment="1">
      <alignment horizontal="right" vertical="center"/>
    </xf>
    <xf numFmtId="4" fontId="5" fillId="0" borderId="12" xfId="0" applyNumberFormat="1" applyFont="1" applyBorder="1" applyAlignment="1">
      <alignment horizontal="right" vertical="center"/>
    </xf>
    <xf numFmtId="4" fontId="5" fillId="0" borderId="106" xfId="0" applyNumberFormat="1" applyFont="1" applyBorder="1" applyAlignment="1">
      <alignment horizontal="right" vertical="center"/>
    </xf>
    <xf numFmtId="10" fontId="5" fillId="18" borderId="12" xfId="2" applyNumberFormat="1" applyFont="1" applyFill="1" applyBorder="1" applyAlignment="1">
      <alignment horizontal="right" vertical="center"/>
    </xf>
    <xf numFmtId="4" fontId="5" fillId="18" borderId="12" xfId="0" applyNumberFormat="1" applyFont="1" applyFill="1" applyBorder="1" applyAlignment="1">
      <alignment horizontal="right" vertical="center"/>
    </xf>
    <xf numFmtId="4" fontId="5" fillId="0" borderId="134" xfId="0" applyNumberFormat="1" applyFont="1" applyBorder="1" applyAlignment="1">
      <alignment vertical="center"/>
    </xf>
    <xf numFmtId="10" fontId="5" fillId="18" borderId="112" xfId="2" applyNumberFormat="1" applyFont="1" applyFill="1" applyBorder="1" applyAlignment="1">
      <alignment vertical="center"/>
    </xf>
    <xf numFmtId="0" fontId="35" fillId="0" borderId="0" xfId="0" applyFont="1" applyAlignment="1">
      <alignment horizontal="right" vertical="center"/>
    </xf>
    <xf numFmtId="2" fontId="35" fillId="0" borderId="0" xfId="0" applyNumberFormat="1" applyFont="1"/>
    <xf numFmtId="0" fontId="36" fillId="0" borderId="0" xfId="4"/>
    <xf numFmtId="0" fontId="36" fillId="0" borderId="0" xfId="4" applyAlignment="1">
      <alignment horizontal="center" vertical="center"/>
    </xf>
    <xf numFmtId="0" fontId="36" fillId="0" borderId="69" xfId="4" applyBorder="1" applyAlignment="1">
      <alignment horizontal="center"/>
    </xf>
    <xf numFmtId="0" fontId="36" fillId="0" borderId="0" xfId="4" applyBorder="1" applyAlignment="1">
      <alignment horizontal="center"/>
    </xf>
    <xf numFmtId="0" fontId="36" fillId="0" borderId="135" xfId="4" applyBorder="1"/>
    <xf numFmtId="4" fontId="38" fillId="0" borderId="135" xfId="0" applyNumberFormat="1" applyFont="1" applyBorder="1" applyAlignment="1">
      <alignment horizontal="center" vertical="center" textRotation="90"/>
    </xf>
    <xf numFmtId="4" fontId="38" fillId="0" borderId="135" xfId="0" applyNumberFormat="1" applyFont="1" applyBorder="1" applyAlignment="1">
      <alignment horizontal="center" vertical="center" textRotation="90" wrapText="1"/>
    </xf>
    <xf numFmtId="0" fontId="36" fillId="0" borderId="0" xfId="4" applyAlignment="1">
      <alignment horizontal="center"/>
    </xf>
    <xf numFmtId="4" fontId="39" fillId="22" borderId="1" xfId="0" applyNumberFormat="1" applyFont="1" applyFill="1" applyBorder="1" applyAlignment="1" applyProtection="1">
      <alignment horizontal="center" vertical="center" wrapText="1"/>
    </xf>
    <xf numFmtId="4" fontId="38" fillId="7" borderId="1" xfId="0" applyNumberFormat="1" applyFont="1" applyFill="1" applyBorder="1" applyAlignment="1">
      <alignment horizontal="center" vertical="center" wrapText="1"/>
    </xf>
    <xf numFmtId="0" fontId="40" fillId="0" borderId="54" xfId="4" applyFont="1" applyBorder="1" applyAlignment="1">
      <alignment horizontal="center" vertical="center"/>
    </xf>
    <xf numFmtId="0" fontId="40" fillId="0" borderId="55" xfId="4" applyFont="1" applyBorder="1" applyAlignment="1">
      <alignment horizontal="center" vertical="center"/>
    </xf>
    <xf numFmtId="0" fontId="38" fillId="0" borderId="38" xfId="0" applyFont="1" applyBorder="1" applyAlignment="1">
      <alignment horizontal="right" vertical="center"/>
    </xf>
    <xf numFmtId="4" fontId="38" fillId="0" borderId="40" xfId="0" applyNumberFormat="1" applyFont="1" applyFill="1" applyBorder="1" applyAlignment="1">
      <alignment vertical="center"/>
    </xf>
    <xf numFmtId="0" fontId="36" fillId="0" borderId="0" xfId="4" applyBorder="1"/>
    <xf numFmtId="4" fontId="38" fillId="0" borderId="61" xfId="0" applyNumberFormat="1" applyFont="1" applyBorder="1" applyAlignment="1">
      <alignment vertical="center"/>
    </xf>
    <xf numFmtId="4" fontId="38" fillId="0" borderId="62" xfId="0" applyNumberFormat="1" applyFont="1" applyBorder="1" applyAlignment="1">
      <alignment vertical="center"/>
    </xf>
    <xf numFmtId="4" fontId="41" fillId="0" borderId="136" xfId="0" applyNumberFormat="1" applyFont="1" applyBorder="1" applyAlignment="1" applyProtection="1">
      <alignment horizontal="center" vertical="center"/>
    </xf>
    <xf numFmtId="4" fontId="38" fillId="0" borderId="137" xfId="0" applyNumberFormat="1" applyFont="1" applyBorder="1" applyAlignment="1">
      <alignment vertical="center"/>
    </xf>
    <xf numFmtId="4" fontId="42" fillId="0" borderId="61" xfId="0" applyNumberFormat="1" applyFont="1" applyBorder="1" applyAlignment="1">
      <alignment horizontal="center" vertical="center"/>
    </xf>
    <xf numFmtId="49" fontId="40" fillId="0" borderId="62" xfId="4" applyNumberFormat="1" applyFont="1" applyBorder="1" applyAlignment="1">
      <alignment horizontal="center" vertical="center"/>
    </xf>
    <xf numFmtId="0" fontId="36" fillId="0" borderId="127" xfId="4" applyBorder="1" applyAlignment="1">
      <alignment horizontal="left" vertical="center" wrapText="1"/>
    </xf>
    <xf numFmtId="0" fontId="36" fillId="0" borderId="0" xfId="4" applyBorder="1" applyAlignment="1">
      <alignment horizontal="left" vertical="center" wrapText="1"/>
    </xf>
    <xf numFmtId="4" fontId="38" fillId="0" borderId="63" xfId="0" applyNumberFormat="1" applyFont="1" applyBorder="1" applyAlignment="1">
      <alignment vertical="center"/>
    </xf>
    <xf numFmtId="4" fontId="38" fillId="0" borderId="64" xfId="0" applyNumberFormat="1" applyFont="1" applyBorder="1" applyAlignment="1">
      <alignment vertical="center"/>
    </xf>
    <xf numFmtId="4" fontId="41" fillId="0" borderId="138" xfId="0" applyNumberFormat="1" applyFont="1" applyBorder="1" applyAlignment="1" applyProtection="1">
      <alignment horizontal="center" vertical="center"/>
    </xf>
    <xf numFmtId="4" fontId="38" fillId="0" borderId="139" xfId="0" applyNumberFormat="1" applyFont="1" applyBorder="1" applyAlignment="1">
      <alignment vertical="center"/>
    </xf>
    <xf numFmtId="4" fontId="42" fillId="0" borderId="63" xfId="0" applyNumberFormat="1" applyFont="1" applyBorder="1" applyAlignment="1">
      <alignment horizontal="center" vertical="center"/>
    </xf>
    <xf numFmtId="0" fontId="40" fillId="0" borderId="64" xfId="4" applyFont="1" applyBorder="1" applyAlignment="1">
      <alignment horizontal="center" vertical="center"/>
    </xf>
    <xf numFmtId="4" fontId="38" fillId="0" borderId="140" xfId="0" applyNumberFormat="1" applyFont="1" applyBorder="1" applyAlignment="1">
      <alignment vertical="center"/>
    </xf>
    <xf numFmtId="4" fontId="38" fillId="0" borderId="141" xfId="0" applyNumberFormat="1" applyFont="1" applyBorder="1" applyAlignment="1">
      <alignment vertical="center"/>
    </xf>
    <xf numFmtId="0" fontId="38" fillId="0" borderId="3" xfId="0" applyFont="1" applyBorder="1" applyAlignment="1">
      <alignment horizontal="right" vertical="center"/>
    </xf>
    <xf numFmtId="4" fontId="38" fillId="0" borderId="4" xfId="0" applyNumberFormat="1" applyFont="1" applyBorder="1" applyAlignment="1">
      <alignment vertical="center"/>
    </xf>
    <xf numFmtId="0" fontId="43" fillId="0" borderId="142" xfId="0" applyFont="1" applyFill="1" applyBorder="1" applyAlignment="1" applyProtection="1">
      <alignment horizontal="right" vertical="center"/>
    </xf>
    <xf numFmtId="4" fontId="38" fillId="0" borderId="143" xfId="0" applyNumberFormat="1" applyFont="1" applyBorder="1" applyAlignment="1">
      <alignment vertical="center"/>
    </xf>
    <xf numFmtId="0" fontId="43" fillId="0" borderId="144" xfId="0" applyFont="1" applyFill="1" applyBorder="1" applyAlignment="1" applyProtection="1">
      <alignment horizontal="right" vertical="center"/>
    </xf>
    <xf numFmtId="4" fontId="38" fillId="0" borderId="145" xfId="0" applyNumberFormat="1" applyFont="1" applyBorder="1" applyAlignment="1">
      <alignment vertical="center"/>
    </xf>
    <xf numFmtId="4" fontId="38" fillId="0" borderId="65" xfId="0" applyNumberFormat="1" applyFont="1" applyBorder="1" applyAlignment="1">
      <alignment vertical="center"/>
    </xf>
    <xf numFmtId="4" fontId="38" fillId="0" borderId="66" xfId="0" applyNumberFormat="1" applyFont="1" applyBorder="1" applyAlignment="1">
      <alignment vertical="center"/>
    </xf>
    <xf numFmtId="4" fontId="38" fillId="0" borderId="130" xfId="0" applyNumberFormat="1" applyFont="1" applyBorder="1" applyAlignment="1">
      <alignment vertical="center"/>
    </xf>
    <xf numFmtId="4" fontId="41" fillId="0" borderId="146" xfId="0" applyNumberFormat="1" applyFont="1" applyBorder="1" applyAlignment="1" applyProtection="1">
      <alignment horizontal="center" vertical="center"/>
    </xf>
    <xf numFmtId="4" fontId="42" fillId="0" borderId="65" xfId="0" applyNumberFormat="1" applyFont="1" applyBorder="1" applyAlignment="1">
      <alignment horizontal="center" vertical="center"/>
    </xf>
    <xf numFmtId="49" fontId="42" fillId="0" borderId="66" xfId="0" applyNumberFormat="1" applyFont="1" applyBorder="1" applyAlignment="1">
      <alignment horizontal="center" vertical="center"/>
    </xf>
    <xf numFmtId="4" fontId="38" fillId="0" borderId="0" xfId="0" applyNumberFormat="1" applyFont="1" applyAlignment="1">
      <alignment vertical="center"/>
    </xf>
    <xf numFmtId="4" fontId="38" fillId="0" borderId="149" xfId="0" applyNumberFormat="1" applyFont="1" applyBorder="1" applyAlignment="1">
      <alignment vertical="center"/>
    </xf>
    <xf numFmtId="4" fontId="38" fillId="0" borderId="3" xfId="0" applyNumberFormat="1" applyFont="1" applyBorder="1" applyAlignment="1">
      <alignment horizontal="right" vertical="center"/>
    </xf>
    <xf numFmtId="4" fontId="38" fillId="0" borderId="4" xfId="0" applyNumberFormat="1" applyFont="1" applyFill="1" applyBorder="1" applyAlignment="1">
      <alignment vertical="center"/>
    </xf>
    <xf numFmtId="4" fontId="39" fillId="0" borderId="151" xfId="0" applyNumberFormat="1" applyFont="1" applyBorder="1" applyAlignment="1" applyProtection="1">
      <alignment horizontal="center" vertical="center"/>
    </xf>
    <xf numFmtId="4" fontId="38" fillId="0" borderId="9" xfId="0" applyNumberFormat="1" applyFont="1" applyBorder="1" applyAlignment="1">
      <alignment horizontal="right" vertical="center"/>
    </xf>
    <xf numFmtId="4" fontId="38" fillId="0" borderId="10" xfId="0" applyNumberFormat="1" applyFont="1" applyBorder="1" applyAlignment="1">
      <alignment vertical="center"/>
    </xf>
    <xf numFmtId="4" fontId="0" fillId="0" borderId="0" xfId="0" applyNumberFormat="1" applyFont="1" applyAlignment="1">
      <alignment vertical="center"/>
    </xf>
    <xf numFmtId="2" fontId="45" fillId="0" borderId="149" xfId="4" applyNumberFormat="1" applyFont="1" applyBorder="1" applyAlignment="1"/>
    <xf numFmtId="0" fontId="12" fillId="0" borderId="0" xfId="3"/>
    <xf numFmtId="0" fontId="46" fillId="2" borderId="0" xfId="3" applyFont="1" applyFill="1" applyBorder="1" applyAlignment="1">
      <alignment horizontal="center" vertical="center"/>
    </xf>
    <xf numFmtId="0" fontId="23" fillId="2" borderId="0" xfId="0" applyFont="1" applyFill="1" applyBorder="1" applyAlignment="1">
      <alignment horizontal="left" vertical="center"/>
    </xf>
    <xf numFmtId="0" fontId="25" fillId="2" borderId="0" xfId="0" applyFont="1" applyFill="1" applyBorder="1" applyAlignment="1">
      <alignment horizontal="right" vertical="center"/>
    </xf>
    <xf numFmtId="0" fontId="23" fillId="2" borderId="0" xfId="0" applyFont="1" applyFill="1" applyBorder="1" applyAlignment="1">
      <alignment horizontal="center" vertical="center"/>
    </xf>
    <xf numFmtId="0" fontId="23" fillId="2" borderId="0" xfId="0" applyFont="1" applyFill="1" applyBorder="1" applyAlignment="1">
      <alignment horizontal="right" vertical="center"/>
    </xf>
    <xf numFmtId="0" fontId="23" fillId="3" borderId="35" xfId="0" applyFont="1" applyFill="1" applyBorder="1" applyAlignment="1" applyProtection="1">
      <alignment horizontal="center" vertical="center"/>
      <protection locked="0"/>
    </xf>
    <xf numFmtId="0" fontId="23" fillId="3" borderId="35" xfId="0" applyFont="1" applyFill="1" applyBorder="1" applyAlignment="1">
      <alignment horizontal="center" vertical="center"/>
    </xf>
    <xf numFmtId="2" fontId="25" fillId="4" borderId="35" xfId="0" applyNumberFormat="1" applyFont="1" applyFill="1" applyBorder="1" applyAlignment="1">
      <alignment horizontal="center" vertical="center"/>
    </xf>
    <xf numFmtId="2" fontId="23" fillId="4" borderId="35" xfId="0" applyNumberFormat="1" applyFont="1" applyFill="1" applyBorder="1" applyAlignment="1">
      <alignment horizontal="center" vertical="center"/>
    </xf>
    <xf numFmtId="0" fontId="34" fillId="0" borderId="0" xfId="0" applyFont="1"/>
    <xf numFmtId="0" fontId="23" fillId="7" borderId="35" xfId="0" applyFont="1" applyFill="1" applyBorder="1" applyAlignment="1">
      <alignment horizontal="center" vertical="center"/>
    </xf>
    <xf numFmtId="9" fontId="23" fillId="3" borderId="35" xfId="2" applyFont="1" applyFill="1" applyBorder="1" applyAlignment="1" applyProtection="1">
      <alignment horizontal="center" vertical="center"/>
      <protection locked="0"/>
    </xf>
    <xf numFmtId="9" fontId="25" fillId="4" borderId="35" xfId="2" applyFont="1" applyFill="1" applyBorder="1" applyAlignment="1">
      <alignment horizontal="center" vertical="center"/>
    </xf>
    <xf numFmtId="0" fontId="23" fillId="4" borderId="35" xfId="0" applyFont="1" applyFill="1" applyBorder="1" applyAlignment="1">
      <alignment horizontal="center" vertical="center"/>
    </xf>
    <xf numFmtId="0" fontId="25" fillId="4" borderId="35" xfId="0" applyFont="1" applyFill="1" applyBorder="1" applyAlignment="1">
      <alignment horizontal="center" vertical="center"/>
    </xf>
    <xf numFmtId="2" fontId="23" fillId="3" borderId="35" xfId="0" applyNumberFormat="1" applyFont="1" applyFill="1" applyBorder="1" applyAlignment="1" applyProtection="1">
      <alignment horizontal="center" vertical="center"/>
      <protection locked="0"/>
    </xf>
    <xf numFmtId="0" fontId="23" fillId="3" borderId="41" xfId="0" applyFont="1" applyFill="1" applyBorder="1" applyAlignment="1" applyProtection="1">
      <alignment horizontal="center" vertical="center"/>
      <protection locked="0"/>
    </xf>
    <xf numFmtId="10" fontId="0" fillId="2" borderId="0" xfId="2" applyNumberFormat="1" applyFont="1" applyFill="1" applyBorder="1" applyAlignment="1">
      <alignment vertical="center"/>
    </xf>
    <xf numFmtId="0" fontId="0" fillId="2" borderId="0" xfId="0" applyFont="1" applyFill="1" applyBorder="1" applyAlignment="1" applyProtection="1">
      <alignment horizontal="center" vertical="center"/>
      <protection locked="0"/>
    </xf>
    <xf numFmtId="10" fontId="0" fillId="2" borderId="0" xfId="2" applyNumberFormat="1" applyFont="1" applyFill="1" applyBorder="1" applyAlignment="1">
      <alignment horizontal="center" vertical="center"/>
    </xf>
    <xf numFmtId="0" fontId="0" fillId="2" borderId="0" xfId="0" applyFill="1" applyBorder="1" applyAlignment="1">
      <alignment vertical="center"/>
    </xf>
    <xf numFmtId="10" fontId="0" fillId="2" borderId="0" xfId="2" applyNumberFormat="1" applyFont="1" applyFill="1" applyBorder="1" applyAlignment="1" applyProtection="1">
      <alignment horizontal="center" vertical="center"/>
      <protection locked="0"/>
    </xf>
    <xf numFmtId="0" fontId="0" fillId="2" borderId="0" xfId="0" applyFill="1" applyBorder="1" applyAlignment="1">
      <alignment horizontal="left" vertical="center"/>
    </xf>
    <xf numFmtId="2" fontId="0" fillId="2" borderId="0" xfId="0" applyNumberFormat="1" applyFont="1" applyFill="1" applyBorder="1" applyAlignment="1">
      <alignment horizontal="center" vertical="center"/>
    </xf>
    <xf numFmtId="2" fontId="0" fillId="2" borderId="0" xfId="0" applyNumberFormat="1" applyFill="1" applyBorder="1" applyAlignment="1">
      <alignment horizontal="center" vertical="center"/>
    </xf>
    <xf numFmtId="0" fontId="11" fillId="2" borderId="0" xfId="0" applyFont="1" applyFill="1" applyBorder="1" applyAlignment="1">
      <alignment horizontal="center" vertical="center"/>
    </xf>
    <xf numFmtId="0" fontId="0" fillId="2" borderId="0" xfId="0" applyFill="1" applyAlignment="1">
      <alignment horizontal="right" vertical="center"/>
    </xf>
    <xf numFmtId="0" fontId="6" fillId="0" borderId="0" xfId="0" applyFont="1" applyAlignment="1">
      <alignment horizontal="center" vertical="center"/>
    </xf>
    <xf numFmtId="0" fontId="0" fillId="0" borderId="3" xfId="0" applyFont="1" applyBorder="1" applyAlignment="1">
      <alignment horizontal="center" vertical="center" wrapText="1"/>
    </xf>
    <xf numFmtId="0" fontId="0" fillId="0" borderId="95" xfId="0" applyFont="1" applyBorder="1" applyAlignment="1">
      <alignment horizontal="center" vertical="center" wrapText="1"/>
    </xf>
    <xf numFmtId="0" fontId="0" fillId="0" borderId="4" xfId="0" applyFont="1" applyBorder="1" applyAlignment="1">
      <alignment horizontal="center" vertical="center" wrapText="1"/>
    </xf>
    <xf numFmtId="0" fontId="12" fillId="2" borderId="0" xfId="3" applyFill="1" applyBorder="1" applyAlignment="1">
      <alignment horizontal="right" vertical="center"/>
    </xf>
    <xf numFmtId="0" fontId="12" fillId="2" borderId="0" xfId="3" applyFill="1" applyBorder="1" applyAlignment="1" applyProtection="1">
      <alignment horizontal="right" vertical="center"/>
      <protection locked="0"/>
    </xf>
    <xf numFmtId="0" fontId="3" fillId="2" borderId="0" xfId="0" applyFont="1" applyFill="1" applyBorder="1" applyAlignment="1">
      <alignment horizontal="center" vertical="center" wrapText="1"/>
    </xf>
    <xf numFmtId="0" fontId="12" fillId="0" borderId="0" xfId="3" applyAlignment="1">
      <alignment vertical="center"/>
    </xf>
    <xf numFmtId="0" fontId="27" fillId="0" borderId="0" xfId="0" applyFont="1" applyFill="1" applyBorder="1" applyAlignment="1">
      <alignment horizontal="center" vertical="center"/>
    </xf>
    <xf numFmtId="0" fontId="12" fillId="0" borderId="0" xfId="3" applyFill="1" applyAlignment="1">
      <alignment vertical="center"/>
    </xf>
    <xf numFmtId="0" fontId="0" fillId="0" borderId="0" xfId="0" applyFill="1" applyAlignment="1">
      <alignment horizontal="center" vertical="center"/>
    </xf>
    <xf numFmtId="2" fontId="2" fillId="18" borderId="0" xfId="0" applyNumberFormat="1" applyFont="1" applyFill="1" applyAlignment="1">
      <alignment vertical="center"/>
    </xf>
    <xf numFmtId="164" fontId="0" fillId="0" borderId="142" xfId="0" applyNumberFormat="1" applyFont="1" applyBorder="1" applyAlignment="1">
      <alignment horizontal="center" vertical="center"/>
    </xf>
    <xf numFmtId="3" fontId="0" fillId="0" borderId="143" xfId="0" applyNumberFormat="1" applyFont="1" applyBorder="1" applyAlignment="1">
      <alignment horizontal="center" vertical="center"/>
    </xf>
    <xf numFmtId="3" fontId="0" fillId="0" borderId="158" xfId="0" applyNumberFormat="1" applyFont="1" applyBorder="1" applyAlignment="1">
      <alignment horizontal="center" vertical="center"/>
    </xf>
    <xf numFmtId="4" fontId="0" fillId="0" borderId="142" xfId="0" applyNumberFormat="1" applyFont="1" applyBorder="1" applyAlignment="1">
      <alignment horizontal="right" vertical="center" indent="1"/>
    </xf>
    <xf numFmtId="4" fontId="0" fillId="0" borderId="143" xfId="0" applyNumberFormat="1" applyFont="1" applyBorder="1" applyAlignment="1">
      <alignment horizontal="right" vertical="center" indent="1"/>
    </xf>
    <xf numFmtId="4" fontId="0" fillId="0" borderId="158" xfId="0" applyNumberFormat="1" applyFont="1" applyBorder="1" applyAlignment="1">
      <alignment horizontal="right" vertical="center" indent="1"/>
    </xf>
    <xf numFmtId="4" fontId="15" fillId="0" borderId="158" xfId="0" applyNumberFormat="1" applyFont="1" applyBorder="1" applyAlignment="1">
      <alignment horizontal="center" vertical="center"/>
    </xf>
    <xf numFmtId="0" fontId="23" fillId="0" borderId="0" xfId="0" applyFont="1" applyAlignment="1">
      <alignment horizontal="center" vertical="center"/>
    </xf>
    <xf numFmtId="0" fontId="0" fillId="7" borderId="157" xfId="0" applyFill="1" applyBorder="1" applyAlignment="1">
      <alignment vertical="center"/>
    </xf>
    <xf numFmtId="164" fontId="0" fillId="0" borderId="144" xfId="0" applyNumberFormat="1" applyFont="1" applyBorder="1" applyAlignment="1">
      <alignment horizontal="center" vertical="center"/>
    </xf>
    <xf numFmtId="3" fontId="0" fillId="0" borderId="145" xfId="0" applyNumberFormat="1" applyFont="1" applyBorder="1" applyAlignment="1">
      <alignment horizontal="center" vertical="center"/>
    </xf>
    <xf numFmtId="3" fontId="0" fillId="0" borderId="159" xfId="0" applyNumberFormat="1" applyFont="1" applyBorder="1" applyAlignment="1">
      <alignment horizontal="center" vertical="center"/>
    </xf>
    <xf numFmtId="4" fontId="0" fillId="0" borderId="144" xfId="0" applyNumberFormat="1" applyFont="1" applyBorder="1" applyAlignment="1">
      <alignment horizontal="right" vertical="center" indent="1"/>
    </xf>
    <xf numFmtId="4" fontId="0" fillId="0" borderId="145" xfId="0" applyNumberFormat="1" applyFont="1" applyBorder="1" applyAlignment="1">
      <alignment horizontal="right" vertical="center" indent="1"/>
    </xf>
    <xf numFmtId="4" fontId="0" fillId="0" borderId="159" xfId="0" applyNumberFormat="1" applyFont="1" applyBorder="1" applyAlignment="1">
      <alignment horizontal="right" vertical="center" indent="1"/>
    </xf>
    <xf numFmtId="2" fontId="50" fillId="0" borderId="144" xfId="0" applyNumberFormat="1" applyFont="1" applyFill="1" applyBorder="1" applyAlignment="1">
      <alignment horizontal="right" vertical="center" indent="1"/>
    </xf>
    <xf numFmtId="2" fontId="50" fillId="0" borderId="167" xfId="0" applyNumberFormat="1" applyFont="1" applyFill="1" applyBorder="1" applyAlignment="1">
      <alignment horizontal="right" vertical="center" indent="1"/>
    </xf>
    <xf numFmtId="171" fontId="50" fillId="0" borderId="168" xfId="0" applyNumberFormat="1" applyFont="1" applyFill="1" applyBorder="1" applyAlignment="1">
      <alignment horizontal="right" vertical="center" indent="1"/>
    </xf>
    <xf numFmtId="2" fontId="32" fillId="0" borderId="159" xfId="0" applyNumberFormat="1" applyFont="1" applyFill="1" applyBorder="1" applyAlignment="1">
      <alignment horizontal="right" vertical="center" indent="1"/>
    </xf>
    <xf numFmtId="171" fontId="50" fillId="0" borderId="169" xfId="0" applyNumberFormat="1" applyFont="1" applyFill="1" applyBorder="1" applyAlignment="1">
      <alignment horizontal="right" vertical="center" indent="1"/>
    </xf>
    <xf numFmtId="171" fontId="50" fillId="0" borderId="167" xfId="0" applyNumberFormat="1" applyFont="1" applyFill="1" applyBorder="1" applyAlignment="1">
      <alignment horizontal="right" vertical="center" indent="1"/>
    </xf>
    <xf numFmtId="2" fontId="50" fillId="0" borderId="170" xfId="0" applyNumberFormat="1" applyFont="1" applyFill="1" applyBorder="1" applyAlignment="1">
      <alignment horizontal="right" vertical="center" indent="1"/>
    </xf>
    <xf numFmtId="2" fontId="28" fillId="0" borderId="159" xfId="0" applyNumberFormat="1" applyFont="1" applyFill="1" applyBorder="1" applyAlignment="1">
      <alignment horizontal="right" vertical="center" indent="1"/>
    </xf>
    <xf numFmtId="171" fontId="50" fillId="0" borderId="172" xfId="0" applyNumberFormat="1" applyFont="1" applyFill="1" applyBorder="1" applyAlignment="1">
      <alignment horizontal="right" vertical="center" indent="1"/>
    </xf>
    <xf numFmtId="171" fontId="50" fillId="0" borderId="173" xfId="0" applyNumberFormat="1" applyFont="1" applyFill="1" applyBorder="1" applyAlignment="1">
      <alignment horizontal="right" vertical="center" indent="1"/>
    </xf>
    <xf numFmtId="2" fontId="50" fillId="0" borderId="174" xfId="0" applyNumberFormat="1" applyFont="1" applyFill="1" applyBorder="1" applyAlignment="1">
      <alignment horizontal="right" vertical="center" indent="1"/>
    </xf>
    <xf numFmtId="2" fontId="28" fillId="0" borderId="175" xfId="0" applyNumberFormat="1" applyFont="1" applyFill="1" applyBorder="1" applyAlignment="1">
      <alignment horizontal="right" vertical="center" indent="1"/>
    </xf>
    <xf numFmtId="171" fontId="0" fillId="0" borderId="0" xfId="0" applyNumberFormat="1" applyAlignment="1">
      <alignment vertical="center"/>
    </xf>
    <xf numFmtId="0" fontId="51" fillId="0" borderId="0" xfId="0" applyFont="1" applyFill="1" applyBorder="1" applyAlignment="1">
      <alignment horizontal="center" vertical="center"/>
    </xf>
    <xf numFmtId="0" fontId="0" fillId="0" borderId="0" xfId="0" applyFill="1"/>
    <xf numFmtId="4" fontId="1" fillId="25" borderId="167" xfId="0" applyNumberFormat="1" applyFont="1" applyFill="1" applyBorder="1" applyAlignment="1">
      <alignment horizontal="center" vertical="center"/>
    </xf>
    <xf numFmtId="4" fontId="1" fillId="26" borderId="167" xfId="0" applyNumberFormat="1" applyFont="1" applyFill="1" applyBorder="1" applyAlignment="1">
      <alignment horizontal="center" vertical="center"/>
    </xf>
    <xf numFmtId="2" fontId="1" fillId="23" borderId="145" xfId="0" applyNumberFormat="1" applyFont="1" applyFill="1" applyBorder="1" applyAlignment="1">
      <alignment horizontal="center" vertical="center"/>
    </xf>
    <xf numFmtId="4" fontId="1" fillId="26" borderId="144" xfId="0" applyNumberFormat="1" applyFont="1" applyFill="1" applyBorder="1" applyAlignment="1">
      <alignment horizontal="center" vertical="center"/>
    </xf>
    <xf numFmtId="4" fontId="1" fillId="26" borderId="145" xfId="0" applyNumberFormat="1" applyFont="1" applyFill="1" applyBorder="1" applyAlignment="1">
      <alignment horizontal="center" vertical="center"/>
    </xf>
    <xf numFmtId="0" fontId="15" fillId="27" borderId="39" xfId="0" applyFont="1" applyFill="1" applyBorder="1" applyAlignment="1">
      <alignment horizontal="center" vertical="center" wrapText="1"/>
    </xf>
    <xf numFmtId="0" fontId="15" fillId="10" borderId="39" xfId="0" applyFont="1" applyFill="1" applyBorder="1" applyAlignment="1">
      <alignment horizontal="center" vertical="center" wrapText="1"/>
    </xf>
    <xf numFmtId="0" fontId="15" fillId="23" borderId="152" xfId="0" applyFont="1" applyFill="1" applyBorder="1" applyAlignment="1">
      <alignment horizontal="center" vertical="center" wrapText="1"/>
    </xf>
    <xf numFmtId="4" fontId="0" fillId="25" borderId="3" xfId="0" applyNumberFormat="1" applyFont="1" applyFill="1" applyBorder="1" applyAlignment="1">
      <alignment horizontal="center" vertical="center"/>
    </xf>
    <xf numFmtId="4" fontId="15" fillId="25" borderId="95" xfId="0" applyNumberFormat="1" applyFont="1" applyFill="1" applyBorder="1" applyAlignment="1">
      <alignment horizontal="center" vertical="center"/>
    </xf>
    <xf numFmtId="4" fontId="0" fillId="26" borderId="5" xfId="0" applyNumberFormat="1" applyFont="1" applyFill="1" applyBorder="1" applyAlignment="1">
      <alignment horizontal="center" vertical="center"/>
    </xf>
    <xf numFmtId="2" fontId="0" fillId="23" borderId="3" xfId="0" applyNumberFormat="1" applyFill="1" applyBorder="1" applyAlignment="1">
      <alignment horizontal="center" vertical="center"/>
    </xf>
    <xf numFmtId="2" fontId="15" fillId="23" borderId="95" xfId="0" applyNumberFormat="1" applyFont="1" applyFill="1" applyBorder="1" applyAlignment="1">
      <alignment horizontal="center" vertical="center"/>
    </xf>
    <xf numFmtId="2" fontId="0" fillId="23" borderId="4" xfId="0" applyNumberFormat="1" applyFill="1" applyBorder="1" applyAlignment="1">
      <alignment horizontal="center" vertical="center"/>
    </xf>
    <xf numFmtId="3" fontId="0" fillId="0" borderId="142" xfId="0" applyNumberFormat="1" applyFont="1" applyBorder="1" applyAlignment="1">
      <alignment horizontal="center" vertical="center"/>
    </xf>
    <xf numFmtId="4" fontId="0" fillId="0" borderId="142" xfId="0" applyNumberFormat="1" applyFont="1" applyBorder="1" applyAlignment="1">
      <alignment horizontal="center" vertical="center"/>
    </xf>
    <xf numFmtId="4" fontId="0" fillId="0" borderId="178" xfId="0" applyNumberFormat="1" applyFont="1" applyBorder="1" applyAlignment="1">
      <alignment horizontal="center" vertical="center"/>
    </xf>
    <xf numFmtId="4" fontId="0" fillId="15" borderId="178" xfId="0" applyNumberFormat="1" applyFont="1" applyFill="1" applyBorder="1" applyAlignment="1">
      <alignment horizontal="center" vertical="center"/>
    </xf>
    <xf numFmtId="4" fontId="0" fillId="15" borderId="142" xfId="0" applyNumberFormat="1" applyFont="1" applyFill="1" applyBorder="1" applyAlignment="1">
      <alignment horizontal="center" vertical="center"/>
    </xf>
    <xf numFmtId="4" fontId="15" fillId="15" borderId="176" xfId="0" applyNumberFormat="1" applyFont="1" applyFill="1" applyBorder="1" applyAlignment="1">
      <alignment horizontal="center" vertical="center"/>
    </xf>
    <xf numFmtId="4" fontId="0" fillId="15" borderId="143" xfId="0" applyNumberFormat="1" applyFont="1" applyFill="1" applyBorder="1" applyAlignment="1">
      <alignment horizontal="center" vertical="center"/>
    </xf>
    <xf numFmtId="2" fontId="0" fillId="0" borderId="142" xfId="0" applyNumberFormat="1" applyBorder="1" applyAlignment="1">
      <alignment horizontal="center" vertical="center"/>
    </xf>
    <xf numFmtId="2" fontId="15" fillId="0" borderId="176" xfId="0" applyNumberFormat="1" applyFont="1" applyBorder="1" applyAlignment="1">
      <alignment horizontal="center" vertical="center"/>
    </xf>
    <xf numFmtId="2" fontId="0" fillId="0" borderId="143" xfId="0" applyNumberFormat="1" applyBorder="1" applyAlignment="1">
      <alignment horizontal="center" vertical="center"/>
    </xf>
    <xf numFmtId="4" fontId="0" fillId="25" borderId="142" xfId="0" applyNumberFormat="1" applyFont="1" applyFill="1" applyBorder="1" applyAlignment="1">
      <alignment horizontal="center" vertical="center"/>
    </xf>
    <xf numFmtId="4" fontId="15" fillId="25" borderId="176" xfId="0" applyNumberFormat="1" applyFont="1" applyFill="1" applyBorder="1" applyAlignment="1">
      <alignment horizontal="center" vertical="center"/>
    </xf>
    <xf numFmtId="2" fontId="0" fillId="23" borderId="142" xfId="0" applyNumberFormat="1" applyFill="1" applyBorder="1" applyAlignment="1">
      <alignment horizontal="center" vertical="center"/>
    </xf>
    <xf numFmtId="2" fontId="15" fillId="23" borderId="176" xfId="0" applyNumberFormat="1" applyFont="1" applyFill="1" applyBorder="1" applyAlignment="1">
      <alignment horizontal="center" vertical="center"/>
    </xf>
    <xf numFmtId="2" fontId="0" fillId="23" borderId="143" xfId="0" applyNumberFormat="1" applyFill="1" applyBorder="1" applyAlignment="1">
      <alignment horizontal="center" vertical="center"/>
    </xf>
    <xf numFmtId="3" fontId="0" fillId="0" borderId="144" xfId="0" applyNumberFormat="1" applyFont="1" applyBorder="1" applyAlignment="1">
      <alignment horizontal="center" vertical="center"/>
    </xf>
    <xf numFmtId="4" fontId="0" fillId="0" borderId="144" xfId="0" applyNumberFormat="1" applyFont="1" applyBorder="1" applyAlignment="1">
      <alignment horizontal="center" vertical="center"/>
    </xf>
    <xf numFmtId="4" fontId="0" fillId="0" borderId="168" xfId="0" applyNumberFormat="1" applyFont="1" applyBorder="1" applyAlignment="1">
      <alignment horizontal="center" vertical="center"/>
    </xf>
    <xf numFmtId="4" fontId="0" fillId="15" borderId="168" xfId="0" applyNumberFormat="1" applyFont="1" applyFill="1" applyBorder="1" applyAlignment="1">
      <alignment horizontal="center" vertical="center"/>
    </xf>
    <xf numFmtId="4" fontId="0" fillId="15" borderId="144" xfId="0" applyNumberFormat="1" applyFont="1" applyFill="1" applyBorder="1" applyAlignment="1">
      <alignment horizontal="center" vertical="center"/>
    </xf>
    <xf numFmtId="4" fontId="15" fillId="15" borderId="167" xfId="0" applyNumberFormat="1" applyFont="1" applyFill="1" applyBorder="1" applyAlignment="1">
      <alignment horizontal="center" vertical="center"/>
    </xf>
    <xf numFmtId="4" fontId="0" fillId="15" borderId="145" xfId="0" applyNumberFormat="1" applyFont="1" applyFill="1" applyBorder="1" applyAlignment="1">
      <alignment horizontal="center" vertical="center"/>
    </xf>
    <xf numFmtId="2" fontId="0" fillId="0" borderId="144" xfId="0" applyNumberFormat="1" applyBorder="1" applyAlignment="1">
      <alignment horizontal="center" vertical="center"/>
    </xf>
    <xf numFmtId="2" fontId="15" fillId="0" borderId="167" xfId="0" applyNumberFormat="1" applyFont="1" applyBorder="1" applyAlignment="1">
      <alignment horizontal="center" vertical="center"/>
    </xf>
    <xf numFmtId="2" fontId="0" fillId="0" borderId="145" xfId="0" applyNumberFormat="1" applyBorder="1" applyAlignment="1">
      <alignment horizontal="center" vertical="center"/>
    </xf>
    <xf numFmtId="0" fontId="1" fillId="0" borderId="0" xfId="0" applyFont="1"/>
    <xf numFmtId="0" fontId="20" fillId="0" borderId="0" xfId="0" applyFont="1"/>
    <xf numFmtId="0" fontId="0" fillId="0" borderId="0" xfId="0" applyAlignment="1">
      <alignment wrapText="1"/>
    </xf>
    <xf numFmtId="4" fontId="1" fillId="28" borderId="3" xfId="0" applyNumberFormat="1" applyFont="1" applyFill="1" applyBorder="1" applyAlignment="1">
      <alignment horizontal="center" vertical="center"/>
    </xf>
    <xf numFmtId="4" fontId="1" fillId="28" borderId="4" xfId="0" applyNumberFormat="1" applyFont="1" applyFill="1" applyBorder="1" applyAlignment="1">
      <alignment horizontal="center" vertical="center"/>
    </xf>
    <xf numFmtId="0" fontId="15" fillId="11" borderId="39" xfId="0" applyFont="1" applyFill="1" applyBorder="1" applyAlignment="1">
      <alignment horizontal="center" vertical="center" wrapText="1"/>
    </xf>
    <xf numFmtId="4" fontId="0" fillId="28" borderId="5" xfId="0" applyNumberFormat="1" applyFont="1" applyFill="1" applyBorder="1" applyAlignment="1">
      <alignment horizontal="center" vertical="center"/>
    </xf>
    <xf numFmtId="4" fontId="15" fillId="28" borderId="41" xfId="0" applyNumberFormat="1" applyFont="1" applyFill="1" applyBorder="1" applyAlignment="1">
      <alignment horizontal="center" vertical="center"/>
    </xf>
    <xf numFmtId="4" fontId="0" fillId="28" borderId="6" xfId="0" applyNumberFormat="1" applyFont="1" applyFill="1" applyBorder="1" applyAlignment="1">
      <alignment horizontal="center" vertical="center"/>
    </xf>
    <xf numFmtId="4" fontId="0" fillId="28" borderId="142" xfId="0" applyNumberFormat="1" applyFont="1" applyFill="1" applyBorder="1" applyAlignment="1">
      <alignment horizontal="center" vertical="center"/>
    </xf>
    <xf numFmtId="4" fontId="15" fillId="28" borderId="176" xfId="0" applyNumberFormat="1" applyFont="1" applyFill="1" applyBorder="1" applyAlignment="1">
      <alignment horizontal="center" vertical="center"/>
    </xf>
    <xf numFmtId="4" fontId="0" fillId="28" borderId="143" xfId="0" applyNumberFormat="1" applyFont="1" applyFill="1" applyBorder="1" applyAlignment="1">
      <alignment horizontal="center" vertical="center"/>
    </xf>
    <xf numFmtId="4" fontId="1" fillId="28" borderId="144" xfId="0" applyNumberFormat="1" applyFont="1" applyFill="1" applyBorder="1" applyAlignment="1">
      <alignment horizontal="center" vertical="center"/>
    </xf>
    <xf numFmtId="0" fontId="32" fillId="29" borderId="3" xfId="0" applyFont="1" applyFill="1" applyBorder="1" applyAlignment="1">
      <alignment horizontal="center" vertical="center" wrapText="1"/>
    </xf>
    <xf numFmtId="4" fontId="1" fillId="30" borderId="95" xfId="0" applyNumberFormat="1" applyFont="1" applyFill="1" applyBorder="1" applyAlignment="1">
      <alignment horizontal="center" vertical="center"/>
    </xf>
    <xf numFmtId="4" fontId="1" fillId="30" borderId="95" xfId="0" applyNumberFormat="1" applyFont="1" applyFill="1" applyBorder="1" applyAlignment="1">
      <alignment horizontal="center" vertical="center" wrapText="1"/>
    </xf>
    <xf numFmtId="4" fontId="1" fillId="30" borderId="4" xfId="0" applyNumberFormat="1" applyFont="1" applyFill="1" applyBorder="1" applyAlignment="1">
      <alignment horizontal="center" vertical="center" wrapText="1"/>
    </xf>
    <xf numFmtId="0" fontId="32" fillId="29" borderId="71" xfId="0" applyFont="1" applyFill="1" applyBorder="1" applyAlignment="1">
      <alignment vertical="center" wrapText="1"/>
    </xf>
    <xf numFmtId="0" fontId="32" fillId="29" borderId="67" xfId="0" applyFont="1" applyFill="1" applyBorder="1" applyAlignment="1">
      <alignment vertical="center" wrapText="1"/>
    </xf>
    <xf numFmtId="4" fontId="1" fillId="30" borderId="3" xfId="0" applyNumberFormat="1" applyFont="1" applyFill="1" applyBorder="1" applyAlignment="1">
      <alignment horizontal="center" vertical="center"/>
    </xf>
    <xf numFmtId="4" fontId="1" fillId="30" borderId="67" xfId="0" applyNumberFormat="1" applyFont="1" applyFill="1" applyBorder="1" applyAlignment="1">
      <alignment horizontal="center" vertical="center" wrapText="1"/>
    </xf>
    <xf numFmtId="0" fontId="32" fillId="29" borderId="67" xfId="0" applyFont="1" applyFill="1" applyBorder="1" applyAlignment="1">
      <alignment horizontal="center" vertical="center" wrapText="1"/>
    </xf>
    <xf numFmtId="0" fontId="32" fillId="29" borderId="38" xfId="0" applyFont="1" applyFill="1" applyBorder="1" applyAlignment="1">
      <alignment horizontal="center" vertical="center" wrapText="1"/>
    </xf>
    <xf numFmtId="0" fontId="32" fillId="29" borderId="40" xfId="0" applyFont="1" applyFill="1" applyBorder="1" applyAlignment="1">
      <alignment horizontal="center" vertical="center" wrapText="1"/>
    </xf>
    <xf numFmtId="0" fontId="32" fillId="29" borderId="152" xfId="0" applyFont="1" applyFill="1" applyBorder="1" applyAlignment="1">
      <alignment horizontal="center" vertical="center" wrapText="1"/>
    </xf>
    <xf numFmtId="4" fontId="0" fillId="24" borderId="38" xfId="0" applyNumberFormat="1" applyFont="1" applyFill="1" applyBorder="1" applyAlignment="1">
      <alignment horizontal="center" vertical="center"/>
    </xf>
    <xf numFmtId="4" fontId="0" fillId="24" borderId="40" xfId="0" applyNumberFormat="1" applyFont="1" applyFill="1" applyBorder="1" applyAlignment="1">
      <alignment horizontal="center" vertical="center"/>
    </xf>
    <xf numFmtId="0" fontId="0" fillId="14" borderId="144" xfId="0" applyFont="1" applyFill="1" applyBorder="1" applyAlignment="1">
      <alignment horizontal="center" vertical="center"/>
    </xf>
    <xf numFmtId="164" fontId="0" fillId="14" borderId="167" xfId="0" applyNumberFormat="1" applyFont="1" applyFill="1" applyBorder="1" applyAlignment="1">
      <alignment horizontal="center" vertical="center"/>
    </xf>
    <xf numFmtId="2" fontId="0" fillId="14" borderId="167" xfId="0" applyNumberFormat="1" applyFont="1" applyFill="1" applyBorder="1" applyAlignment="1">
      <alignment horizontal="center" vertical="center"/>
    </xf>
    <xf numFmtId="2" fontId="0" fillId="14" borderId="145" xfId="0" applyNumberFormat="1" applyFont="1" applyFill="1" applyBorder="1" applyAlignment="1">
      <alignment horizontal="center" vertical="center"/>
    </xf>
    <xf numFmtId="4" fontId="0" fillId="24" borderId="164" xfId="0" applyNumberFormat="1" applyFont="1" applyFill="1" applyBorder="1" applyAlignment="1">
      <alignment horizontal="center" vertical="center"/>
    </xf>
    <xf numFmtId="4" fontId="0" fillId="24" borderId="178" xfId="0" applyNumberFormat="1" applyFont="1" applyFill="1" applyBorder="1" applyAlignment="1">
      <alignment horizontal="center" vertical="center"/>
    </xf>
    <xf numFmtId="3" fontId="0" fillId="31" borderId="3" xfId="0" applyNumberFormat="1" applyFont="1" applyFill="1" applyBorder="1" applyAlignment="1">
      <alignment horizontal="center" vertical="center"/>
    </xf>
    <xf numFmtId="164" fontId="0" fillId="31" borderId="3" xfId="0" applyNumberFormat="1" applyFont="1" applyFill="1" applyBorder="1" applyAlignment="1">
      <alignment horizontal="center" vertical="center"/>
    </xf>
    <xf numFmtId="4" fontId="0" fillId="31" borderId="3" xfId="0" applyNumberFormat="1" applyFont="1" applyFill="1" applyBorder="1" applyAlignment="1">
      <alignment horizontal="center" vertical="center"/>
    </xf>
    <xf numFmtId="4" fontId="0" fillId="31" borderId="164" xfId="0" applyNumberFormat="1" applyFont="1" applyFill="1" applyBorder="1" applyAlignment="1">
      <alignment horizontal="center" vertical="center"/>
    </xf>
    <xf numFmtId="3" fontId="0" fillId="31" borderId="142" xfId="0" applyNumberFormat="1" applyFont="1" applyFill="1" applyBorder="1" applyAlignment="1">
      <alignment horizontal="center" vertical="center"/>
    </xf>
    <xf numFmtId="164" fontId="0" fillId="31" borderId="142" xfId="0" applyNumberFormat="1" applyFont="1" applyFill="1" applyBorder="1" applyAlignment="1">
      <alignment horizontal="center" vertical="center"/>
    </xf>
    <xf numFmtId="4" fontId="0" fillId="31" borderId="142" xfId="0" applyNumberFormat="1" applyFont="1" applyFill="1" applyBorder="1" applyAlignment="1">
      <alignment horizontal="center" vertical="center"/>
    </xf>
    <xf numFmtId="4" fontId="0" fillId="31" borderId="178" xfId="0" applyNumberFormat="1" applyFont="1" applyFill="1" applyBorder="1" applyAlignment="1">
      <alignment horizontal="center" vertical="center"/>
    </xf>
    <xf numFmtId="0" fontId="52" fillId="0" borderId="0" xfId="0" applyFont="1" applyFill="1" applyBorder="1" applyAlignment="1">
      <alignment horizontal="center" vertical="center"/>
    </xf>
    <xf numFmtId="0" fontId="14" fillId="0" borderId="0" xfId="0" applyFont="1" applyFill="1" applyBorder="1" applyAlignment="1">
      <alignment horizontal="right" vertical="center"/>
    </xf>
    <xf numFmtId="0" fontId="53" fillId="0" borderId="0" xfId="0" applyFont="1" applyFill="1" applyBorder="1" applyAlignment="1">
      <alignment horizontal="center" vertical="center"/>
    </xf>
    <xf numFmtId="0" fontId="14" fillId="0" borderId="0" xfId="0" applyFont="1" applyAlignment="1">
      <alignment horizontal="center" vertical="center" wrapText="1"/>
    </xf>
    <xf numFmtId="4" fontId="14" fillId="25" borderId="95" xfId="0" applyNumberFormat="1" applyFont="1" applyFill="1" applyBorder="1" applyAlignment="1">
      <alignment horizontal="center" vertical="center"/>
    </xf>
    <xf numFmtId="4" fontId="14" fillId="15" borderId="176" xfId="0" applyNumberFormat="1" applyFont="1" applyFill="1" applyBorder="1" applyAlignment="1">
      <alignment horizontal="center" vertical="center"/>
    </xf>
    <xf numFmtId="4" fontId="14" fillId="25" borderId="176" xfId="0" applyNumberFormat="1" applyFont="1" applyFill="1" applyBorder="1" applyAlignment="1">
      <alignment horizontal="center" vertical="center"/>
    </xf>
    <xf numFmtId="4" fontId="14" fillId="15" borderId="167" xfId="0" applyNumberFormat="1" applyFont="1" applyFill="1" applyBorder="1" applyAlignment="1">
      <alignment horizontal="center" vertical="center"/>
    </xf>
    <xf numFmtId="4" fontId="15" fillId="15" borderId="179" xfId="0" applyNumberFormat="1" applyFont="1" applyFill="1" applyBorder="1" applyAlignment="1">
      <alignment horizontal="center" vertical="center"/>
    </xf>
    <xf numFmtId="4" fontId="15" fillId="15" borderId="170" xfId="0" applyNumberFormat="1" applyFont="1" applyFill="1" applyBorder="1" applyAlignment="1">
      <alignment horizontal="center" vertical="center"/>
    </xf>
    <xf numFmtId="4" fontId="0" fillId="26" borderId="4" xfId="0" applyNumberFormat="1" applyFont="1" applyFill="1" applyBorder="1" applyAlignment="1">
      <alignment horizontal="center" vertical="center"/>
    </xf>
    <xf numFmtId="4" fontId="0" fillId="26" borderId="143" xfId="0" applyNumberFormat="1" applyFont="1" applyFill="1" applyBorder="1" applyAlignment="1">
      <alignment horizontal="center" vertical="center"/>
    </xf>
    <xf numFmtId="4" fontId="0" fillId="0" borderId="5" xfId="0" applyNumberFormat="1" applyFont="1" applyFill="1" applyBorder="1" applyAlignment="1">
      <alignment horizontal="center" vertical="center"/>
    </xf>
    <xf numFmtId="4" fontId="15" fillId="10" borderId="179" xfId="0" applyNumberFormat="1" applyFont="1" applyFill="1" applyBorder="1" applyAlignment="1">
      <alignment horizontal="center" vertical="center"/>
    </xf>
    <xf numFmtId="4" fontId="0" fillId="26" borderId="3" xfId="0" applyNumberFormat="1" applyFont="1" applyFill="1" applyBorder="1" applyAlignment="1">
      <alignment horizontal="center" vertical="center"/>
    </xf>
    <xf numFmtId="4" fontId="15" fillId="26" borderId="166" xfId="0" applyNumberFormat="1" applyFont="1" applyFill="1" applyBorder="1" applyAlignment="1">
      <alignment horizontal="center" vertical="center"/>
    </xf>
    <xf numFmtId="4" fontId="0" fillId="0" borderId="154" xfId="0" applyNumberFormat="1" applyFont="1" applyFill="1" applyBorder="1" applyAlignment="1">
      <alignment horizontal="center" vertical="center"/>
    </xf>
    <xf numFmtId="4" fontId="0" fillId="2" borderId="35" xfId="0" applyNumberFormat="1" applyFont="1" applyFill="1" applyBorder="1" applyAlignment="1">
      <alignment horizontal="right" vertical="center"/>
    </xf>
    <xf numFmtId="4" fontId="0" fillId="2" borderId="95" xfId="0" applyNumberFormat="1" applyFont="1" applyFill="1" applyBorder="1" applyAlignment="1">
      <alignment horizontal="right" vertical="center"/>
    </xf>
    <xf numFmtId="4" fontId="1" fillId="28" borderId="145" xfId="0" applyNumberFormat="1" applyFont="1" applyFill="1" applyBorder="1" applyAlignment="1">
      <alignment horizontal="center" vertical="center"/>
    </xf>
    <xf numFmtId="4" fontId="1" fillId="25" borderId="3" xfId="0" applyNumberFormat="1" applyFont="1" applyFill="1" applyBorder="1" applyAlignment="1">
      <alignment horizontal="center" vertical="center"/>
    </xf>
    <xf numFmtId="4" fontId="1" fillId="25" borderId="4" xfId="0" applyNumberFormat="1" applyFont="1" applyFill="1" applyBorder="1" applyAlignment="1">
      <alignment horizontal="center" vertical="center"/>
    </xf>
    <xf numFmtId="4" fontId="1" fillId="25" borderId="144" xfId="0" applyNumberFormat="1" applyFont="1" applyFill="1" applyBorder="1" applyAlignment="1">
      <alignment horizontal="center" vertical="center"/>
    </xf>
    <xf numFmtId="4" fontId="1" fillId="25" borderId="145" xfId="0" applyNumberFormat="1" applyFont="1" applyFill="1" applyBorder="1" applyAlignment="1">
      <alignment horizontal="center" vertical="center"/>
    </xf>
    <xf numFmtId="4" fontId="1" fillId="26" borderId="3" xfId="0" applyNumberFormat="1" applyFont="1" applyFill="1" applyBorder="1" applyAlignment="1">
      <alignment horizontal="center" vertical="center"/>
    </xf>
    <xf numFmtId="4" fontId="1" fillId="26" borderId="4" xfId="0" applyNumberFormat="1" applyFont="1" applyFill="1" applyBorder="1" applyAlignment="1">
      <alignment horizontal="center" vertical="center"/>
    </xf>
    <xf numFmtId="2" fontId="1" fillId="23" borderId="3" xfId="0" applyNumberFormat="1" applyFont="1" applyFill="1" applyBorder="1" applyAlignment="1">
      <alignment horizontal="center" vertical="center"/>
    </xf>
    <xf numFmtId="2" fontId="1" fillId="23" borderId="4" xfId="0" applyNumberFormat="1" applyFont="1" applyFill="1" applyBorder="1" applyAlignment="1">
      <alignment horizontal="center" vertical="center"/>
    </xf>
    <xf numFmtId="2" fontId="1" fillId="23" borderId="144" xfId="0" applyNumberFormat="1" applyFont="1" applyFill="1" applyBorder="1" applyAlignment="1">
      <alignment horizontal="center" vertical="center"/>
    </xf>
    <xf numFmtId="164" fontId="0" fillId="31" borderId="5" xfId="0" applyNumberFormat="1" applyFont="1" applyFill="1" applyBorder="1" applyAlignment="1">
      <alignment horizontal="center" vertical="center"/>
    </xf>
    <xf numFmtId="3" fontId="0" fillId="31" borderId="6" xfId="0" applyNumberFormat="1" applyFont="1" applyFill="1" applyBorder="1" applyAlignment="1">
      <alignment horizontal="center" vertical="center"/>
    </xf>
    <xf numFmtId="3" fontId="0" fillId="31" borderId="156" xfId="0" applyNumberFormat="1" applyFont="1" applyFill="1" applyBorder="1" applyAlignment="1">
      <alignment horizontal="center" vertical="center"/>
    </xf>
    <xf numFmtId="4" fontId="0" fillId="31" borderId="5" xfId="0" applyNumberFormat="1" applyFont="1" applyFill="1" applyBorder="1" applyAlignment="1">
      <alignment horizontal="right" vertical="center" indent="1"/>
    </xf>
    <xf numFmtId="4" fontId="0" fillId="31" borderId="6" xfId="0" applyNumberFormat="1" applyFont="1" applyFill="1" applyBorder="1" applyAlignment="1">
      <alignment horizontal="right" vertical="center" indent="1"/>
    </xf>
    <xf numFmtId="4" fontId="0" fillId="31" borderId="156" xfId="0" applyNumberFormat="1" applyFont="1" applyFill="1" applyBorder="1" applyAlignment="1">
      <alignment horizontal="right" vertical="center" indent="1"/>
    </xf>
    <xf numFmtId="4" fontId="15" fillId="31" borderId="156" xfId="0" applyNumberFormat="1" applyFont="1" applyFill="1" applyBorder="1" applyAlignment="1">
      <alignment horizontal="center" vertical="center"/>
    </xf>
    <xf numFmtId="3" fontId="0" fillId="31" borderId="143" xfId="0" applyNumberFormat="1" applyFont="1" applyFill="1" applyBorder="1" applyAlignment="1">
      <alignment horizontal="center" vertical="center"/>
    </xf>
    <xf numFmtId="3" fontId="0" fillId="31" borderId="158" xfId="0" applyNumberFormat="1" applyFont="1" applyFill="1" applyBorder="1" applyAlignment="1">
      <alignment horizontal="center" vertical="center"/>
    </xf>
    <xf numFmtId="4" fontId="0" fillId="31" borderId="142" xfId="0" applyNumberFormat="1" applyFont="1" applyFill="1" applyBorder="1" applyAlignment="1">
      <alignment horizontal="right" vertical="center" indent="1"/>
    </xf>
    <xf numFmtId="4" fontId="0" fillId="31" borderId="143" xfId="0" applyNumberFormat="1" applyFont="1" applyFill="1" applyBorder="1" applyAlignment="1">
      <alignment horizontal="right" vertical="center" indent="1"/>
    </xf>
    <xf numFmtId="4" fontId="0" fillId="31" borderId="158" xfId="0" applyNumberFormat="1" applyFont="1" applyFill="1" applyBorder="1" applyAlignment="1">
      <alignment horizontal="right" vertical="center" indent="1"/>
    </xf>
    <xf numFmtId="164" fontId="14" fillId="33" borderId="154" xfId="0" applyNumberFormat="1" applyFont="1" applyFill="1" applyBorder="1" applyAlignment="1">
      <alignment horizontal="center" vertical="center" wrapText="1"/>
    </xf>
    <xf numFmtId="0" fontId="0" fillId="33" borderId="43" xfId="0" applyFont="1" applyFill="1" applyBorder="1" applyAlignment="1">
      <alignment horizontal="center" vertical="center"/>
    </xf>
    <xf numFmtId="0" fontId="23" fillId="33" borderId="132" xfId="0" applyFont="1" applyFill="1" applyBorder="1" applyAlignment="1">
      <alignment horizontal="center" vertical="center"/>
    </xf>
    <xf numFmtId="2" fontId="23" fillId="33" borderId="154" xfId="0" applyNumberFormat="1" applyFont="1" applyFill="1" applyBorder="1" applyAlignment="1">
      <alignment horizontal="center" vertical="center"/>
    </xf>
    <xf numFmtId="4" fontId="23" fillId="33" borderId="43" xfId="0" applyNumberFormat="1" applyFont="1" applyFill="1" applyBorder="1" applyAlignment="1">
      <alignment horizontal="center" vertical="center"/>
    </xf>
    <xf numFmtId="4" fontId="23" fillId="33" borderId="154" xfId="0" applyNumberFormat="1" applyFont="1" applyFill="1" applyBorder="1" applyAlignment="1">
      <alignment horizontal="center" vertical="center"/>
    </xf>
    <xf numFmtId="2" fontId="23" fillId="33" borderId="77" xfId="0" applyNumberFormat="1" applyFont="1" applyFill="1" applyBorder="1" applyAlignment="1">
      <alignment horizontal="center" vertical="center"/>
    </xf>
    <xf numFmtId="2" fontId="34" fillId="33" borderId="155" xfId="0" applyNumberFormat="1" applyFont="1" applyFill="1" applyBorder="1" applyAlignment="1">
      <alignment horizontal="center" vertical="center"/>
    </xf>
    <xf numFmtId="2" fontId="0" fillId="33" borderId="157" xfId="0" applyNumberFormat="1" applyFill="1" applyBorder="1" applyAlignment="1">
      <alignment vertical="center"/>
    </xf>
    <xf numFmtId="2" fontId="0" fillId="33" borderId="3" xfId="0" applyNumberFormat="1" applyFont="1" applyFill="1" applyBorder="1" applyAlignment="1">
      <alignment horizontal="right" vertical="center" indent="1"/>
    </xf>
    <xf numFmtId="2" fontId="0" fillId="33" borderId="95" xfId="0" applyNumberFormat="1" applyFont="1" applyFill="1" applyBorder="1" applyAlignment="1">
      <alignment horizontal="right" vertical="center" indent="1"/>
    </xf>
    <xf numFmtId="2" fontId="0" fillId="33" borderId="4" xfId="0" applyNumberFormat="1" applyFont="1" applyFill="1" applyBorder="1" applyAlignment="1">
      <alignment horizontal="right" vertical="center" indent="1"/>
    </xf>
    <xf numFmtId="171" fontId="0" fillId="33" borderId="164" xfId="0" applyNumberFormat="1" applyFont="1" applyFill="1" applyBorder="1" applyAlignment="1">
      <alignment horizontal="right" vertical="center" indent="1"/>
    </xf>
    <xf numFmtId="2" fontId="32" fillId="33" borderId="48" xfId="0" applyNumberFormat="1" applyFont="1" applyFill="1" applyBorder="1" applyAlignment="1">
      <alignment horizontal="right" vertical="center" indent="1"/>
    </xf>
    <xf numFmtId="2" fontId="0" fillId="33" borderId="165" xfId="0" applyNumberFormat="1" applyFill="1" applyBorder="1" applyAlignment="1">
      <alignment horizontal="right" vertical="center" indent="1"/>
    </xf>
    <xf numFmtId="2" fontId="0" fillId="33" borderId="95" xfId="0" applyNumberFormat="1" applyFill="1" applyBorder="1" applyAlignment="1">
      <alignment horizontal="right" vertical="center" indent="1"/>
    </xf>
    <xf numFmtId="2" fontId="0" fillId="33" borderId="166" xfId="0" applyNumberFormat="1" applyFill="1" applyBorder="1" applyAlignment="1">
      <alignment horizontal="right" vertical="center" indent="1"/>
    </xf>
    <xf numFmtId="2" fontId="28" fillId="33" borderId="48" xfId="0" applyNumberFormat="1" applyFont="1" applyFill="1" applyBorder="1" applyAlignment="1">
      <alignment horizontal="right" vertical="center" indent="1"/>
    </xf>
    <xf numFmtId="0" fontId="32" fillId="29" borderId="160" xfId="0" applyFont="1" applyFill="1" applyBorder="1" applyAlignment="1">
      <alignment vertical="center" wrapText="1"/>
    </xf>
    <xf numFmtId="0" fontId="2" fillId="29" borderId="4" xfId="0" applyFont="1" applyFill="1" applyBorder="1" applyAlignment="1">
      <alignment horizontal="center" vertical="center"/>
    </xf>
    <xf numFmtId="0" fontId="49" fillId="29" borderId="145" xfId="0" applyFont="1" applyFill="1" applyBorder="1" applyAlignment="1">
      <alignment horizontal="center" vertical="center"/>
    </xf>
    <xf numFmtId="0" fontId="2" fillId="29" borderId="6" xfId="0" applyFont="1" applyFill="1" applyBorder="1" applyAlignment="1">
      <alignment horizontal="center" vertical="center"/>
    </xf>
    <xf numFmtId="0" fontId="49" fillId="29" borderId="171" xfId="0" applyFont="1" applyFill="1" applyBorder="1" applyAlignment="1">
      <alignment horizontal="center" vertical="center"/>
    </xf>
    <xf numFmtId="0" fontId="32" fillId="29" borderId="161" xfId="0" applyFont="1" applyFill="1" applyBorder="1" applyAlignment="1">
      <alignment horizontal="center" vertical="center" wrapText="1"/>
    </xf>
    <xf numFmtId="0" fontId="32" fillId="29" borderId="162" xfId="0" applyFont="1" applyFill="1" applyBorder="1" applyAlignment="1">
      <alignment horizontal="center" vertical="center" wrapText="1"/>
    </xf>
    <xf numFmtId="0" fontId="32" fillId="29" borderId="163" xfId="0" applyFont="1" applyFill="1" applyBorder="1" applyAlignment="1">
      <alignment horizontal="center" vertical="center" wrapText="1"/>
    </xf>
    <xf numFmtId="0" fontId="32" fillId="29" borderId="131" xfId="0" applyFont="1" applyFill="1" applyBorder="1" applyAlignment="1">
      <alignment horizontal="center" vertical="center" wrapText="1"/>
    </xf>
    <xf numFmtId="0" fontId="15" fillId="29" borderId="152" xfId="0" applyFont="1" applyFill="1" applyBorder="1" applyAlignment="1">
      <alignment horizontal="center" vertical="center" wrapText="1"/>
    </xf>
    <xf numFmtId="0" fontId="32" fillId="29" borderId="71" xfId="0" applyFont="1" applyFill="1" applyBorder="1" applyAlignment="1">
      <alignment horizontal="center" vertical="center" wrapText="1"/>
    </xf>
    <xf numFmtId="0" fontId="15" fillId="29" borderId="153" xfId="0" applyFont="1" applyFill="1" applyBorder="1" applyAlignment="1">
      <alignment horizontal="center" vertical="center" wrapText="1"/>
    </xf>
    <xf numFmtId="0" fontId="23" fillId="2" borderId="0" xfId="0" applyFont="1" applyFill="1" applyBorder="1" applyAlignment="1">
      <alignment horizontal="right" vertical="center"/>
    </xf>
    <xf numFmtId="0" fontId="6" fillId="0" borderId="3" xfId="0" applyFont="1" applyFill="1" applyBorder="1"/>
    <xf numFmtId="0" fontId="0" fillId="2" borderId="0" xfId="0" applyFill="1" applyBorder="1" applyAlignment="1">
      <alignment horizontal="right" vertical="center"/>
    </xf>
    <xf numFmtId="9" fontId="6" fillId="0" borderId="4" xfId="2" applyFont="1" applyBorder="1"/>
    <xf numFmtId="10" fontId="6" fillId="0" borderId="4" xfId="2" applyNumberFormat="1" applyFont="1" applyBorder="1"/>
    <xf numFmtId="0" fontId="0" fillId="2" borderId="0" xfId="0" applyFont="1" applyFill="1" applyBorder="1" applyAlignment="1">
      <alignment horizontal="center" vertical="center" wrapText="1"/>
    </xf>
    <xf numFmtId="2" fontId="5" fillId="0" borderId="12" xfId="2" applyNumberFormat="1" applyFont="1" applyBorder="1" applyAlignment="1">
      <alignment vertical="center"/>
    </xf>
    <xf numFmtId="9" fontId="6" fillId="0" borderId="8" xfId="2" applyFont="1" applyBorder="1" applyAlignment="1">
      <alignment vertical="center"/>
    </xf>
    <xf numFmtId="9" fontId="6" fillId="0" borderId="10" xfId="2" applyFont="1" applyBorder="1" applyAlignment="1">
      <alignment vertical="center"/>
    </xf>
    <xf numFmtId="4" fontId="0" fillId="2" borderId="96" xfId="0" applyNumberFormat="1" applyFont="1" applyFill="1" applyBorder="1" applyAlignment="1">
      <alignment horizontal="right" vertical="center"/>
    </xf>
    <xf numFmtId="0" fontId="0" fillId="15" borderId="81" xfId="0" applyFont="1" applyFill="1" applyBorder="1" applyAlignment="1">
      <alignment horizontal="left" vertical="center"/>
    </xf>
    <xf numFmtId="17" fontId="23" fillId="3" borderId="176" xfId="0" applyNumberFormat="1" applyFont="1" applyFill="1" applyBorder="1" applyAlignment="1" applyProtection="1">
      <alignment horizontal="center" vertical="center"/>
      <protection locked="0"/>
    </xf>
    <xf numFmtId="0" fontId="23" fillId="3" borderId="176" xfId="0" applyFont="1" applyFill="1" applyBorder="1" applyAlignment="1" applyProtection="1">
      <alignment horizontal="center" vertical="center"/>
      <protection locked="0"/>
    </xf>
    <xf numFmtId="2" fontId="23" fillId="4" borderId="176" xfId="0" applyNumberFormat="1" applyFont="1" applyFill="1" applyBorder="1" applyAlignment="1">
      <alignment horizontal="center" vertical="center"/>
    </xf>
    <xf numFmtId="2" fontId="23" fillId="3" borderId="176" xfId="0" applyNumberFormat="1" applyFont="1" applyFill="1" applyBorder="1" applyAlignment="1" applyProtection="1">
      <alignment horizontal="center" vertical="center"/>
      <protection locked="0"/>
    </xf>
    <xf numFmtId="14" fontId="23" fillId="4" borderId="176" xfId="0" applyNumberFormat="1" applyFont="1" applyFill="1" applyBorder="1" applyAlignment="1">
      <alignment horizontal="center" vertical="center"/>
    </xf>
    <xf numFmtId="0" fontId="23" fillId="3" borderId="173" xfId="0" applyFont="1" applyFill="1" applyBorder="1" applyAlignment="1" applyProtection="1">
      <alignment horizontal="center" vertical="center"/>
      <protection locked="0"/>
    </xf>
    <xf numFmtId="2" fontId="25" fillId="4" borderId="41" xfId="0" applyNumberFormat="1" applyFont="1" applyFill="1" applyBorder="1" applyAlignment="1">
      <alignment horizontal="center" vertical="center"/>
    </xf>
    <xf numFmtId="14" fontId="23" fillId="3" borderId="176" xfId="0" applyNumberFormat="1" applyFont="1" applyFill="1" applyBorder="1" applyAlignment="1" applyProtection="1">
      <alignment horizontal="center" vertical="center"/>
      <protection locked="0"/>
    </xf>
    <xf numFmtId="0" fontId="23" fillId="5" borderId="176" xfId="0" applyFont="1" applyFill="1" applyBorder="1" applyAlignment="1">
      <alignment vertical="center"/>
    </xf>
    <xf numFmtId="2" fontId="25" fillId="4" borderId="176" xfId="0" applyNumberFormat="1" applyFont="1" applyFill="1" applyBorder="1" applyAlignment="1">
      <alignment horizontal="center" vertical="center"/>
    </xf>
    <xf numFmtId="1" fontId="23" fillId="4" borderId="176" xfId="0" applyNumberFormat="1" applyFont="1" applyFill="1" applyBorder="1" applyAlignment="1">
      <alignment horizontal="center" vertical="center"/>
    </xf>
    <xf numFmtId="14" fontId="23" fillId="5" borderId="176" xfId="0" applyNumberFormat="1" applyFont="1" applyFill="1" applyBorder="1" applyAlignment="1" applyProtection="1">
      <alignment horizontal="center" vertical="center"/>
      <protection locked="0"/>
    </xf>
    <xf numFmtId="0" fontId="23" fillId="4" borderId="176" xfId="0" applyFont="1" applyFill="1" applyBorder="1" applyAlignment="1" applyProtection="1">
      <alignment horizontal="center" vertical="center"/>
      <protection locked="0"/>
    </xf>
    <xf numFmtId="1" fontId="23" fillId="4" borderId="176" xfId="0" applyNumberFormat="1" applyFont="1" applyFill="1" applyBorder="1" applyAlignment="1" applyProtection="1">
      <alignment horizontal="center" vertical="center"/>
      <protection locked="0"/>
    </xf>
    <xf numFmtId="0" fontId="23" fillId="7" borderId="176" xfId="0" applyFont="1" applyFill="1" applyBorder="1" applyAlignment="1">
      <alignment horizontal="center" vertical="center"/>
    </xf>
    <xf numFmtId="2" fontId="23" fillId="4" borderId="173" xfId="0" applyNumberFormat="1" applyFont="1" applyFill="1" applyBorder="1" applyAlignment="1">
      <alignment horizontal="center" vertical="center"/>
    </xf>
    <xf numFmtId="0" fontId="23" fillId="5" borderId="173" xfId="0" applyFont="1" applyFill="1" applyBorder="1" applyAlignment="1">
      <alignment horizontal="center" vertical="center"/>
    </xf>
    <xf numFmtId="14" fontId="23" fillId="4" borderId="173" xfId="0" applyNumberFormat="1" applyFont="1" applyFill="1" applyBorder="1" applyAlignment="1">
      <alignment horizontal="center" vertical="center"/>
    </xf>
    <xf numFmtId="14" fontId="23" fillId="5" borderId="41" xfId="0" applyNumberFormat="1" applyFont="1" applyFill="1" applyBorder="1" applyAlignment="1" applyProtection="1">
      <alignment horizontal="center" vertical="center"/>
      <protection locked="0"/>
    </xf>
    <xf numFmtId="2" fontId="23" fillId="3" borderId="41" xfId="0" applyNumberFormat="1" applyFont="1" applyFill="1" applyBorder="1" applyAlignment="1" applyProtection="1">
      <alignment horizontal="center" vertical="center"/>
      <protection locked="0"/>
    </xf>
    <xf numFmtId="2" fontId="23" fillId="4" borderId="41" xfId="0" applyNumberFormat="1" applyFont="1" applyFill="1" applyBorder="1" applyAlignment="1">
      <alignment horizontal="center" vertical="center"/>
    </xf>
    <xf numFmtId="4" fontId="0" fillId="2" borderId="0" xfId="0" applyNumberFormat="1" applyFont="1" applyFill="1" applyBorder="1" applyAlignment="1">
      <alignment vertical="center"/>
    </xf>
    <xf numFmtId="10" fontId="0" fillId="34" borderId="176" xfId="2" applyNumberFormat="1" applyFont="1" applyFill="1" applyBorder="1" applyAlignment="1">
      <alignment horizontal="center" vertical="center"/>
    </xf>
    <xf numFmtId="0" fontId="0" fillId="34" borderId="176" xfId="0" applyFont="1" applyFill="1" applyBorder="1" applyAlignment="1">
      <alignment horizontal="center" vertical="center"/>
    </xf>
    <xf numFmtId="2" fontId="0" fillId="34" borderId="176" xfId="0" applyNumberFormat="1" applyFont="1" applyFill="1" applyBorder="1" applyAlignment="1">
      <alignment horizontal="center" vertical="center"/>
    </xf>
    <xf numFmtId="2" fontId="15" fillId="34" borderId="176" xfId="0" applyNumberFormat="1" applyFont="1" applyFill="1" applyBorder="1" applyAlignment="1">
      <alignment horizontal="center" vertical="center"/>
    </xf>
    <xf numFmtId="0" fontId="0" fillId="34" borderId="41" xfId="0" applyFont="1" applyFill="1" applyBorder="1" applyAlignment="1">
      <alignment horizontal="center" vertical="center"/>
    </xf>
    <xf numFmtId="0" fontId="0" fillId="3" borderId="176" xfId="0" applyFont="1" applyFill="1" applyBorder="1" applyAlignment="1" applyProtection="1">
      <alignment horizontal="center" vertical="center"/>
      <protection locked="0"/>
    </xf>
    <xf numFmtId="1" fontId="0" fillId="3" borderId="176" xfId="0" applyNumberFormat="1" applyFont="1" applyFill="1" applyBorder="1" applyAlignment="1" applyProtection="1">
      <alignment horizontal="center" vertical="center"/>
      <protection locked="0"/>
    </xf>
    <xf numFmtId="10" fontId="0" fillId="3" borderId="176" xfId="2" applyNumberFormat="1" applyFont="1" applyFill="1" applyBorder="1" applyAlignment="1" applyProtection="1">
      <alignment horizontal="center" vertical="center"/>
      <protection locked="0"/>
    </xf>
    <xf numFmtId="2" fontId="0" fillId="3" borderId="176" xfId="1" applyNumberFormat="1" applyFont="1" applyFill="1" applyBorder="1" applyAlignment="1" applyProtection="1">
      <alignment horizontal="center" vertical="center"/>
      <protection locked="0"/>
    </xf>
    <xf numFmtId="10" fontId="0" fillId="7" borderId="176" xfId="2" applyNumberFormat="1" applyFont="1" applyFill="1" applyBorder="1" applyAlignment="1">
      <alignment horizontal="center" vertical="center"/>
    </xf>
    <xf numFmtId="0" fontId="0" fillId="5" borderId="176" xfId="0" applyFill="1" applyBorder="1" applyAlignment="1">
      <alignment vertical="center"/>
    </xf>
    <xf numFmtId="14" fontId="0" fillId="3" borderId="176" xfId="0" applyNumberFormat="1" applyFont="1" applyFill="1" applyBorder="1" applyAlignment="1">
      <alignment horizontal="center" vertical="center"/>
    </xf>
    <xf numFmtId="14" fontId="0" fillId="3" borderId="176" xfId="0" applyNumberFormat="1" applyFont="1" applyFill="1" applyBorder="1" applyAlignment="1" applyProtection="1">
      <alignment horizontal="center" vertical="center"/>
      <protection locked="0"/>
    </xf>
    <xf numFmtId="2" fontId="0" fillId="7" borderId="176" xfId="0" applyNumberFormat="1" applyFill="1" applyBorder="1" applyAlignment="1">
      <alignment horizontal="center" vertical="center"/>
    </xf>
    <xf numFmtId="0" fontId="0" fillId="7" borderId="176" xfId="0" applyFill="1" applyBorder="1" applyAlignment="1">
      <alignment horizontal="center" vertical="center"/>
    </xf>
    <xf numFmtId="0" fontId="0" fillId="3" borderId="41" xfId="0" applyFont="1" applyFill="1" applyBorder="1" applyAlignment="1" applyProtection="1">
      <alignment horizontal="center" vertical="center"/>
      <protection locked="0"/>
    </xf>
    <xf numFmtId="0" fontId="0" fillId="3" borderId="179" xfId="0" applyFont="1" applyFill="1" applyBorder="1" applyAlignment="1" applyProtection="1">
      <alignment vertical="center"/>
      <protection locked="0"/>
    </xf>
    <xf numFmtId="0" fontId="0" fillId="3" borderId="180" xfId="0" applyFont="1" applyFill="1" applyBorder="1" applyAlignment="1" applyProtection="1">
      <alignment vertical="center"/>
      <protection locked="0"/>
    </xf>
    <xf numFmtId="0" fontId="0" fillId="3" borderId="80" xfId="0" applyFont="1" applyFill="1" applyBorder="1" applyAlignment="1" applyProtection="1">
      <alignment vertical="center"/>
      <protection locked="0"/>
    </xf>
    <xf numFmtId="0" fontId="0" fillId="5" borderId="173" xfId="0" applyFill="1" applyBorder="1" applyAlignment="1">
      <alignment vertical="center"/>
    </xf>
    <xf numFmtId="2" fontId="0" fillId="3" borderId="41" xfId="1" applyNumberFormat="1" applyFont="1" applyFill="1" applyBorder="1" applyAlignment="1" applyProtection="1">
      <alignment horizontal="center" vertical="center"/>
      <protection locked="0"/>
    </xf>
    <xf numFmtId="0" fontId="0" fillId="3" borderId="184" xfId="0" applyFont="1" applyFill="1" applyBorder="1" applyAlignment="1" applyProtection="1">
      <alignment horizontal="center" vertical="center"/>
      <protection locked="0"/>
    </xf>
    <xf numFmtId="4" fontId="1" fillId="34" borderId="176" xfId="0" applyNumberFormat="1" applyFont="1" applyFill="1" applyBorder="1" applyAlignment="1">
      <alignment horizontal="center" vertical="center"/>
    </xf>
    <xf numFmtId="0" fontId="12" fillId="2" borderId="0" xfId="3" applyFill="1" applyBorder="1" applyAlignment="1">
      <alignment horizontal="center" vertical="center" wrapText="1"/>
    </xf>
    <xf numFmtId="0" fontId="23" fillId="2" borderId="0" xfId="0" applyFont="1" applyFill="1" applyBorder="1" applyAlignment="1">
      <alignment horizontal="right" vertical="center"/>
    </xf>
    <xf numFmtId="0" fontId="23" fillId="2" borderId="0" xfId="0" applyFont="1" applyFill="1" applyBorder="1" applyAlignment="1">
      <alignment horizontal="right" vertical="center"/>
    </xf>
    <xf numFmtId="0" fontId="6" fillId="0" borderId="142" xfId="0" applyFont="1" applyBorder="1"/>
    <xf numFmtId="10" fontId="6" fillId="0" borderId="143" xfId="2" applyNumberFormat="1" applyFont="1" applyBorder="1"/>
    <xf numFmtId="0" fontId="6" fillId="0" borderId="144" xfId="0" applyFont="1" applyBorder="1"/>
    <xf numFmtId="10" fontId="6" fillId="0" borderId="145" xfId="2" applyNumberFormat="1" applyFont="1" applyBorder="1"/>
    <xf numFmtId="0" fontId="3" fillId="0" borderId="16" xfId="0" applyFont="1" applyFill="1" applyBorder="1" applyAlignment="1">
      <alignment horizontal="center" vertical="center" wrapText="1"/>
    </xf>
    <xf numFmtId="0" fontId="3" fillId="0" borderId="17" xfId="0" applyFont="1" applyFill="1" applyBorder="1" applyAlignment="1">
      <alignment horizontal="center" vertical="center" wrapText="1"/>
    </xf>
    <xf numFmtId="0" fontId="3" fillId="0" borderId="28" xfId="0" applyFont="1" applyFill="1" applyBorder="1" applyAlignment="1">
      <alignment horizontal="center" vertical="center" wrapText="1"/>
    </xf>
    <xf numFmtId="0" fontId="3" fillId="2" borderId="0" xfId="0" applyFont="1" applyFill="1" applyAlignment="1">
      <alignment horizontal="center" vertical="center"/>
    </xf>
    <xf numFmtId="0" fontId="1" fillId="11" borderId="71" xfId="0" applyFont="1" applyFill="1" applyBorder="1" applyAlignment="1">
      <alignment horizontal="center" vertical="center"/>
    </xf>
    <xf numFmtId="0" fontId="1" fillId="11" borderId="133" xfId="0" applyFont="1" applyFill="1" applyBorder="1" applyAlignment="1">
      <alignment horizontal="center" vertical="center"/>
    </xf>
    <xf numFmtId="0" fontId="1" fillId="11" borderId="72" xfId="0" applyFont="1" applyFill="1" applyBorder="1" applyAlignment="1">
      <alignment horizontal="center" vertical="center"/>
    </xf>
    <xf numFmtId="0" fontId="11" fillId="10" borderId="71" xfId="0" applyFont="1" applyFill="1" applyBorder="1" applyAlignment="1">
      <alignment horizontal="center" vertical="center"/>
    </xf>
    <xf numFmtId="0" fontId="11" fillId="10" borderId="133" xfId="0" applyFont="1" applyFill="1" applyBorder="1" applyAlignment="1">
      <alignment horizontal="center" vertical="center"/>
    </xf>
    <xf numFmtId="0" fontId="11" fillId="10" borderId="72" xfId="0" applyFont="1" applyFill="1" applyBorder="1" applyAlignment="1">
      <alignment horizontal="center" vertical="center"/>
    </xf>
    <xf numFmtId="0" fontId="15" fillId="2" borderId="0" xfId="0" applyFont="1" applyFill="1" applyBorder="1" applyAlignment="1">
      <alignment horizontal="right" vertical="center" wrapText="1"/>
    </xf>
    <xf numFmtId="0" fontId="3" fillId="0" borderId="16" xfId="0" applyFont="1" applyFill="1" applyBorder="1" applyAlignment="1">
      <alignment horizontal="center" vertical="center"/>
    </xf>
    <xf numFmtId="0" fontId="3" fillId="0" borderId="17" xfId="0" applyFont="1" applyFill="1" applyBorder="1" applyAlignment="1">
      <alignment horizontal="center" vertical="center"/>
    </xf>
    <xf numFmtId="0" fontId="3" fillId="0" borderId="28" xfId="0" applyFont="1" applyFill="1" applyBorder="1" applyAlignment="1">
      <alignment horizontal="center" vertical="center"/>
    </xf>
    <xf numFmtId="0" fontId="18" fillId="2" borderId="0" xfId="0" applyFont="1" applyFill="1" applyBorder="1" applyAlignment="1">
      <alignment horizontal="center" vertical="center"/>
    </xf>
    <xf numFmtId="0" fontId="0" fillId="5" borderId="179" xfId="0" applyFill="1" applyBorder="1" applyAlignment="1">
      <alignment horizontal="left" vertical="center"/>
    </xf>
    <xf numFmtId="0" fontId="0" fillId="5" borderId="180" xfId="0" applyFill="1" applyBorder="1" applyAlignment="1">
      <alignment horizontal="left" vertical="center"/>
    </xf>
    <xf numFmtId="0" fontId="0" fillId="5" borderId="80" xfId="0" applyFill="1" applyBorder="1" applyAlignment="1">
      <alignment horizontal="left" vertical="center"/>
    </xf>
    <xf numFmtId="0" fontId="1" fillId="11" borderId="67" xfId="0" applyFont="1" applyFill="1" applyBorder="1" applyAlignment="1">
      <alignment horizontal="center" vertical="center"/>
    </xf>
    <xf numFmtId="0" fontId="1" fillId="11" borderId="69" xfId="0" applyFont="1" applyFill="1" applyBorder="1" applyAlignment="1">
      <alignment horizontal="center" vertical="center"/>
    </xf>
    <xf numFmtId="0" fontId="15" fillId="0" borderId="16" xfId="0" applyFont="1" applyFill="1" applyBorder="1" applyAlignment="1">
      <alignment horizontal="center" vertical="center"/>
    </xf>
    <xf numFmtId="0" fontId="15" fillId="0" borderId="17" xfId="0" applyFont="1" applyFill="1" applyBorder="1" applyAlignment="1">
      <alignment horizontal="center" vertical="center"/>
    </xf>
    <xf numFmtId="0" fontId="15" fillId="0" borderId="28" xfId="0" applyFont="1" applyFill="1" applyBorder="1" applyAlignment="1">
      <alignment horizontal="center" vertical="center"/>
    </xf>
    <xf numFmtId="0" fontId="23" fillId="2" borderId="0" xfId="0" applyFont="1" applyFill="1" applyBorder="1" applyAlignment="1">
      <alignment horizontal="right" vertical="center"/>
    </xf>
    <xf numFmtId="0" fontId="23" fillId="2" borderId="11" xfId="0" applyFont="1" applyFill="1" applyBorder="1" applyAlignment="1">
      <alignment horizontal="right" vertical="center"/>
    </xf>
    <xf numFmtId="0" fontId="23" fillId="5" borderId="181" xfId="0" applyFont="1" applyFill="1" applyBorder="1" applyAlignment="1">
      <alignment horizontal="center"/>
    </xf>
    <xf numFmtId="0" fontId="23" fillId="5" borderId="182" xfId="0" applyFont="1" applyFill="1" applyBorder="1" applyAlignment="1">
      <alignment horizontal="center"/>
    </xf>
    <xf numFmtId="0" fontId="23" fillId="5" borderId="183" xfId="0" applyFont="1" applyFill="1" applyBorder="1" applyAlignment="1">
      <alignment horizontal="center"/>
    </xf>
    <xf numFmtId="0" fontId="23" fillId="2" borderId="0" xfId="0" applyFont="1" applyFill="1" applyBorder="1" applyAlignment="1">
      <alignment horizontal="center" vertical="center"/>
    </xf>
    <xf numFmtId="0" fontId="25" fillId="2" borderId="0" xfId="0" applyFont="1" applyFill="1" applyBorder="1" applyAlignment="1">
      <alignment horizontal="center" vertical="center"/>
    </xf>
    <xf numFmtId="0" fontId="47" fillId="2" borderId="0" xfId="0" applyFont="1" applyFill="1" applyBorder="1" applyAlignment="1">
      <alignment horizontal="center" vertical="center"/>
    </xf>
    <xf numFmtId="0" fontId="23" fillId="20" borderId="179" xfId="0" applyFont="1" applyFill="1" applyBorder="1" applyAlignment="1" applyProtection="1">
      <alignment horizontal="center" vertical="center"/>
      <protection locked="0"/>
    </xf>
    <xf numFmtId="0" fontId="23" fillId="20" borderId="80" xfId="0" applyFont="1" applyFill="1" applyBorder="1" applyAlignment="1" applyProtection="1">
      <alignment horizontal="center" vertical="center"/>
      <protection locked="0"/>
    </xf>
    <xf numFmtId="0" fontId="1" fillId="15" borderId="1" xfId="0" applyFont="1" applyFill="1" applyBorder="1" applyAlignment="1">
      <alignment horizontal="center" vertical="center"/>
    </xf>
    <xf numFmtId="0" fontId="28" fillId="15" borderId="90" xfId="0" applyFont="1" applyFill="1" applyBorder="1" applyAlignment="1">
      <alignment horizontal="center" vertical="center"/>
    </xf>
    <xf numFmtId="0" fontId="28" fillId="15" borderId="88" xfId="0" applyFont="1" applyFill="1" applyBorder="1" applyAlignment="1">
      <alignment horizontal="center" vertical="center"/>
    </xf>
    <xf numFmtId="0" fontId="33" fillId="15" borderId="16" xfId="0" applyFont="1" applyFill="1" applyBorder="1" applyAlignment="1">
      <alignment horizontal="center" vertical="center"/>
    </xf>
    <xf numFmtId="0" fontId="33" fillId="15" borderId="28" xfId="0" applyFont="1" applyFill="1" applyBorder="1" applyAlignment="1">
      <alignment horizontal="center" vertical="center"/>
    </xf>
    <xf numFmtId="0" fontId="1" fillId="15" borderId="1" xfId="0" applyFont="1" applyFill="1" applyBorder="1" applyAlignment="1">
      <alignment horizontal="center" vertical="center" wrapText="1"/>
    </xf>
    <xf numFmtId="0" fontId="1" fillId="15" borderId="86" xfId="0" applyFont="1" applyFill="1" applyBorder="1" applyAlignment="1">
      <alignment horizontal="center" vertical="center"/>
    </xf>
    <xf numFmtId="0" fontId="1" fillId="15" borderId="89" xfId="0" applyFont="1" applyFill="1" applyBorder="1" applyAlignment="1">
      <alignment horizontal="center" vertical="center"/>
    </xf>
    <xf numFmtId="0" fontId="1" fillId="15" borderId="91" xfId="0" applyFont="1" applyFill="1" applyBorder="1" applyAlignment="1">
      <alignment horizontal="center" vertical="center"/>
    </xf>
    <xf numFmtId="0" fontId="29" fillId="15" borderId="0" xfId="0" applyFont="1" applyFill="1" applyAlignment="1">
      <alignment horizontal="center" vertical="center"/>
    </xf>
    <xf numFmtId="0" fontId="1" fillId="10" borderId="16" xfId="0" applyFont="1" applyFill="1" applyBorder="1" applyAlignment="1">
      <alignment horizontal="center" vertical="center"/>
    </xf>
    <xf numFmtId="0" fontId="1" fillId="10" borderId="28" xfId="0" applyFont="1" applyFill="1" applyBorder="1" applyAlignment="1">
      <alignment horizontal="center" vertical="center"/>
    </xf>
    <xf numFmtId="0" fontId="1" fillId="19" borderId="16" xfId="0" applyFont="1" applyFill="1" applyBorder="1" applyAlignment="1">
      <alignment horizontal="center" vertical="center"/>
    </xf>
    <xf numFmtId="0" fontId="1" fillId="19" borderId="28" xfId="0" applyFont="1" applyFill="1" applyBorder="1" applyAlignment="1">
      <alignment horizontal="center" vertical="center"/>
    </xf>
    <xf numFmtId="0" fontId="5" fillId="0" borderId="107" xfId="0" applyFont="1" applyBorder="1" applyAlignment="1">
      <alignment horizontal="center" vertical="center"/>
    </xf>
    <xf numFmtId="0" fontId="5" fillId="0" borderId="108" xfId="0" applyFont="1" applyBorder="1" applyAlignment="1">
      <alignment horizontal="center" vertical="center"/>
    </xf>
    <xf numFmtId="0" fontId="11" fillId="10" borderId="16" xfId="0" applyFont="1" applyFill="1" applyBorder="1" applyAlignment="1">
      <alignment horizontal="center" vertical="center"/>
    </xf>
    <xf numFmtId="0" fontId="11" fillId="10" borderId="17" xfId="0" applyFont="1" applyFill="1" applyBorder="1" applyAlignment="1">
      <alignment horizontal="center" vertical="center"/>
    </xf>
    <xf numFmtId="0" fontId="5" fillId="0" borderId="12" xfId="0" applyFont="1" applyBorder="1" applyAlignment="1">
      <alignment horizontal="left" vertical="center"/>
    </xf>
    <xf numFmtId="4" fontId="1" fillId="19" borderId="16" xfId="0" applyNumberFormat="1" applyFont="1" applyFill="1" applyBorder="1" applyAlignment="1">
      <alignment horizontal="center" vertical="center"/>
    </xf>
    <xf numFmtId="4" fontId="1" fillId="19" borderId="28" xfId="0" applyNumberFormat="1" applyFont="1" applyFill="1" applyBorder="1" applyAlignment="1">
      <alignment horizontal="center" vertical="center"/>
    </xf>
    <xf numFmtId="0" fontId="5" fillId="0" borderId="115" xfId="0" applyFont="1" applyFill="1" applyBorder="1" applyAlignment="1">
      <alignment horizontal="left" vertical="center"/>
    </xf>
    <xf numFmtId="0" fontId="5" fillId="0" borderId="114" xfId="0" applyFont="1" applyFill="1" applyBorder="1" applyAlignment="1">
      <alignment horizontal="left" vertical="center"/>
    </xf>
    <xf numFmtId="4" fontId="1" fillId="19" borderId="17" xfId="0" applyNumberFormat="1" applyFont="1" applyFill="1" applyBorder="1" applyAlignment="1">
      <alignment horizontal="center" vertical="center"/>
    </xf>
    <xf numFmtId="0" fontId="5" fillId="0" borderId="15" xfId="0" applyFont="1" applyFill="1" applyBorder="1" applyAlignment="1">
      <alignment horizontal="left" vertical="center"/>
    </xf>
    <xf numFmtId="0" fontId="5" fillId="0" borderId="12" xfId="0" applyFont="1" applyFill="1" applyBorder="1" applyAlignment="1">
      <alignment horizontal="left" vertical="center"/>
    </xf>
    <xf numFmtId="4" fontId="1" fillId="15" borderId="107" xfId="0" applyNumberFormat="1" applyFont="1" applyFill="1" applyBorder="1" applyAlignment="1">
      <alignment horizontal="center" vertical="center"/>
    </xf>
    <xf numFmtId="4" fontId="1" fillId="15" borderId="116" xfId="0" applyNumberFormat="1" applyFont="1" applyFill="1" applyBorder="1" applyAlignment="1">
      <alignment horizontal="center" vertical="center"/>
    </xf>
    <xf numFmtId="0" fontId="11" fillId="19" borderId="16" xfId="0" applyFont="1" applyFill="1" applyBorder="1" applyAlignment="1">
      <alignment horizontal="center" vertical="center"/>
    </xf>
    <xf numFmtId="0" fontId="11" fillId="19" borderId="17" xfId="0" applyFont="1" applyFill="1" applyBorder="1" applyAlignment="1">
      <alignment horizontal="center" vertical="center"/>
    </xf>
    <xf numFmtId="0" fontId="15" fillId="19" borderId="117" xfId="0" applyFont="1" applyFill="1" applyBorder="1" applyAlignment="1">
      <alignment horizontal="center" vertical="center"/>
    </xf>
    <xf numFmtId="0" fontId="15" fillId="19" borderId="118" xfId="0" applyFont="1" applyFill="1" applyBorder="1" applyAlignment="1">
      <alignment horizontal="center" vertical="center"/>
    </xf>
    <xf numFmtId="0" fontId="6" fillId="2" borderId="0" xfId="0" applyFont="1" applyFill="1" applyBorder="1" applyAlignment="1">
      <alignment horizontal="left" vertical="center"/>
    </xf>
    <xf numFmtId="0" fontId="6" fillId="2" borderId="101" xfId="0" applyFont="1" applyFill="1" applyBorder="1" applyAlignment="1">
      <alignment horizontal="left" vertical="center"/>
    </xf>
    <xf numFmtId="0" fontId="6" fillId="2" borderId="103" xfId="0" applyFont="1" applyFill="1" applyBorder="1" applyAlignment="1">
      <alignment horizontal="left" vertical="center"/>
    </xf>
    <xf numFmtId="0" fontId="6" fillId="2" borderId="104" xfId="0" applyFont="1" applyFill="1" applyBorder="1" applyAlignment="1">
      <alignment horizontal="left" vertical="center"/>
    </xf>
    <xf numFmtId="1" fontId="6" fillId="2" borderId="0" xfId="0" applyNumberFormat="1" applyFont="1" applyFill="1" applyBorder="1" applyAlignment="1">
      <alignment horizontal="center" vertical="center"/>
    </xf>
    <xf numFmtId="1" fontId="6" fillId="2" borderId="101" xfId="0" applyNumberFormat="1" applyFont="1" applyFill="1" applyBorder="1" applyAlignment="1">
      <alignment horizontal="center" vertical="center"/>
    </xf>
    <xf numFmtId="0" fontId="5" fillId="0" borderId="15" xfId="0" applyFont="1" applyBorder="1" applyAlignment="1">
      <alignment horizontal="left" vertical="center"/>
    </xf>
    <xf numFmtId="0" fontId="5" fillId="0" borderId="22" xfId="0" applyFont="1" applyBorder="1" applyAlignment="1">
      <alignment horizontal="center" vertical="center"/>
    </xf>
    <xf numFmtId="0" fontId="5" fillId="0" borderId="0" xfId="0" applyFont="1" applyBorder="1" applyAlignment="1">
      <alignment horizontal="center" vertical="center"/>
    </xf>
    <xf numFmtId="0" fontId="5" fillId="0" borderId="19" xfId="0" applyFont="1" applyBorder="1" applyAlignment="1">
      <alignment horizontal="center" vertical="center"/>
    </xf>
    <xf numFmtId="0" fontId="5" fillId="0" borderId="20" xfId="0" applyFont="1" applyBorder="1" applyAlignment="1">
      <alignment horizontal="center" vertical="center"/>
    </xf>
    <xf numFmtId="0" fontId="27" fillId="13" borderId="25" xfId="0" applyFont="1" applyFill="1" applyBorder="1" applyAlignment="1">
      <alignment horizontal="center" vertical="center"/>
    </xf>
    <xf numFmtId="0" fontId="27" fillId="13" borderId="26" xfId="0" applyFont="1" applyFill="1" applyBorder="1" applyAlignment="1">
      <alignment horizontal="center" vertical="center"/>
    </xf>
    <xf numFmtId="0" fontId="27" fillId="13" borderId="27" xfId="0" applyFont="1" applyFill="1" applyBorder="1" applyAlignment="1">
      <alignment horizontal="center" vertical="center"/>
    </xf>
    <xf numFmtId="0" fontId="32" fillId="29" borderId="71" xfId="0" applyFont="1" applyFill="1" applyBorder="1" applyAlignment="1">
      <alignment horizontal="center" vertical="center" wrapText="1"/>
    </xf>
    <xf numFmtId="0" fontId="32" fillId="29" borderId="72" xfId="0" applyFont="1" applyFill="1" applyBorder="1" applyAlignment="1">
      <alignment horizontal="center" vertical="center" wrapText="1"/>
    </xf>
    <xf numFmtId="164" fontId="1" fillId="29" borderId="131" xfId="0" applyNumberFormat="1" applyFont="1" applyFill="1" applyBorder="1" applyAlignment="1">
      <alignment horizontal="center" vertical="center"/>
    </xf>
    <xf numFmtId="164" fontId="1" fillId="29" borderId="132" xfId="0" applyNumberFormat="1" applyFont="1" applyFill="1" applyBorder="1" applyAlignment="1">
      <alignment horizontal="center" vertical="center"/>
    </xf>
    <xf numFmtId="3" fontId="1" fillId="29" borderId="131" xfId="0" applyNumberFormat="1" applyFont="1" applyFill="1" applyBorder="1" applyAlignment="1">
      <alignment horizontal="center" vertical="center"/>
    </xf>
    <xf numFmtId="3" fontId="1" fillId="29" borderId="132" xfId="0" applyNumberFormat="1" applyFont="1" applyFill="1" applyBorder="1" applyAlignment="1">
      <alignment horizontal="center" vertical="center"/>
    </xf>
    <xf numFmtId="0" fontId="51" fillId="32" borderId="25" xfId="0" applyFont="1" applyFill="1" applyBorder="1" applyAlignment="1">
      <alignment horizontal="center" vertical="center"/>
    </xf>
    <xf numFmtId="0" fontId="51" fillId="32" borderId="26" xfId="0" applyFont="1" applyFill="1" applyBorder="1" applyAlignment="1">
      <alignment horizontal="center" vertical="center"/>
    </xf>
    <xf numFmtId="0" fontId="51" fillId="32" borderId="27" xfId="0" applyFont="1" applyFill="1" applyBorder="1" applyAlignment="1">
      <alignment horizontal="center" vertical="center"/>
    </xf>
    <xf numFmtId="0" fontId="15" fillId="0" borderId="177" xfId="0" applyFont="1" applyBorder="1" applyAlignment="1">
      <alignment horizontal="center"/>
    </xf>
    <xf numFmtId="0" fontId="0" fillId="0" borderId="1" xfId="0" applyBorder="1" applyAlignment="1" applyProtection="1">
      <alignment horizontal="left" vertical="center"/>
      <protection locked="0"/>
    </xf>
    <xf numFmtId="0" fontId="13" fillId="8" borderId="25" xfId="0" applyFont="1" applyFill="1" applyBorder="1" applyAlignment="1" applyProtection="1">
      <alignment horizontal="center" vertical="center"/>
      <protection locked="0"/>
    </xf>
    <xf numFmtId="0" fontId="13" fillId="8" borderId="26" xfId="0" applyFont="1" applyFill="1" applyBorder="1" applyAlignment="1" applyProtection="1">
      <alignment horizontal="center" vertical="center"/>
      <protection locked="0"/>
    </xf>
    <xf numFmtId="0" fontId="13" fillId="8" borderId="27" xfId="0" applyFont="1"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1" fillId="0" borderId="1" xfId="0" applyFont="1" applyBorder="1" applyAlignment="1" applyProtection="1">
      <alignment horizontal="left" vertical="center"/>
      <protection locked="0"/>
    </xf>
    <xf numFmtId="0" fontId="19" fillId="5" borderId="25" xfId="0" applyFont="1" applyFill="1" applyBorder="1" applyAlignment="1">
      <alignment horizontal="center" vertical="center"/>
    </xf>
    <xf numFmtId="0" fontId="19" fillId="5" borderId="26" xfId="0" applyFont="1" applyFill="1" applyBorder="1" applyAlignment="1">
      <alignment horizontal="center" vertical="center"/>
    </xf>
    <xf numFmtId="0" fontId="19" fillId="5" borderId="27" xfId="0" applyFont="1" applyFill="1" applyBorder="1" applyAlignment="1">
      <alignment horizontal="center" vertical="center"/>
    </xf>
    <xf numFmtId="0" fontId="0" fillId="0" borderId="67" xfId="0" applyFont="1" applyBorder="1" applyAlignment="1">
      <alignment horizontal="left" vertical="top" wrapText="1"/>
    </xf>
    <xf numFmtId="0" fontId="0" fillId="0" borderId="68" xfId="0" applyFont="1" applyBorder="1" applyAlignment="1">
      <alignment horizontal="left" vertical="top" wrapText="1"/>
    </xf>
    <xf numFmtId="0" fontId="0" fillId="0" borderId="69" xfId="0" applyFont="1" applyBorder="1" applyAlignment="1">
      <alignment horizontal="left" vertical="top" wrapText="1"/>
    </xf>
    <xf numFmtId="0" fontId="0" fillId="0" borderId="70" xfId="0" applyFont="1" applyBorder="1" applyAlignment="1">
      <alignment horizontal="left" vertical="top" wrapText="1"/>
    </xf>
    <xf numFmtId="0" fontId="0" fillId="0" borderId="77" xfId="0" applyFont="1" applyBorder="1" applyAlignment="1">
      <alignment horizontal="left" vertical="top" wrapText="1"/>
    </xf>
    <xf numFmtId="0" fontId="0" fillId="0" borderId="78" xfId="0" applyFont="1" applyBorder="1" applyAlignment="1">
      <alignment horizontal="left" vertical="top" wrapText="1"/>
    </xf>
    <xf numFmtId="0" fontId="0" fillId="14" borderId="71" xfId="0" applyFont="1" applyFill="1" applyBorder="1" applyAlignment="1">
      <alignment horizontal="center" vertical="center"/>
    </xf>
    <xf numFmtId="0" fontId="0" fillId="14" borderId="72" xfId="0" applyFont="1" applyFill="1" applyBorder="1" applyAlignment="1">
      <alignment horizontal="center" vertical="center"/>
    </xf>
    <xf numFmtId="0" fontId="15" fillId="0" borderId="3" xfId="0" applyFont="1" applyBorder="1" applyAlignment="1">
      <alignment horizontal="center" vertical="center"/>
    </xf>
    <xf numFmtId="0" fontId="15" fillId="0" borderId="4" xfId="0" applyFont="1" applyBorder="1" applyAlignment="1">
      <alignment horizontal="center" vertical="center"/>
    </xf>
    <xf numFmtId="4" fontId="15" fillId="14" borderId="73" xfId="0" applyNumberFormat="1" applyFont="1" applyFill="1" applyBorder="1" applyAlignment="1">
      <alignment horizontal="center" vertical="center"/>
    </xf>
    <xf numFmtId="0" fontId="15" fillId="14" borderId="74" xfId="0" applyFont="1" applyFill="1" applyBorder="1" applyAlignment="1">
      <alignment horizontal="center" vertical="center"/>
    </xf>
    <xf numFmtId="2" fontId="15" fillId="0" borderId="75" xfId="0" applyNumberFormat="1" applyFont="1" applyBorder="1" applyAlignment="1">
      <alignment horizontal="center" vertical="center"/>
    </xf>
    <xf numFmtId="2" fontId="15" fillId="0" borderId="76" xfId="0" applyNumberFormat="1" applyFont="1" applyBorder="1" applyAlignment="1">
      <alignment horizontal="center" vertical="center"/>
    </xf>
    <xf numFmtId="0" fontId="19" fillId="3" borderId="25" xfId="0" applyFont="1" applyFill="1" applyBorder="1" applyAlignment="1">
      <alignment horizontal="center" vertical="center"/>
    </xf>
    <xf numFmtId="0" fontId="19" fillId="3" borderId="26" xfId="0" applyFont="1" applyFill="1" applyBorder="1" applyAlignment="1">
      <alignment horizontal="center" vertical="center"/>
    </xf>
    <xf numFmtId="0" fontId="19" fillId="3" borderId="27" xfId="0" applyFont="1" applyFill="1" applyBorder="1" applyAlignment="1">
      <alignment horizontal="center" vertical="center"/>
    </xf>
    <xf numFmtId="14" fontId="15" fillId="14" borderId="73" xfId="0" applyNumberFormat="1" applyFont="1" applyFill="1" applyBorder="1" applyAlignment="1">
      <alignment horizontal="center" vertical="center"/>
    </xf>
    <xf numFmtId="0" fontId="19" fillId="3" borderId="123" xfId="0" applyFont="1" applyFill="1" applyBorder="1" applyAlignment="1">
      <alignment horizontal="center" vertical="center"/>
    </xf>
    <xf numFmtId="0" fontId="19" fillId="3" borderId="124" xfId="0" applyFont="1" applyFill="1" applyBorder="1" applyAlignment="1">
      <alignment horizontal="center" vertical="center"/>
    </xf>
    <xf numFmtId="0" fontId="19" fillId="3" borderId="125" xfId="0" applyFont="1" applyFill="1" applyBorder="1" applyAlignment="1">
      <alignment horizontal="center" vertical="center"/>
    </xf>
    <xf numFmtId="0" fontId="6" fillId="0" borderId="100" xfId="0" applyFont="1" applyBorder="1" applyAlignment="1">
      <alignment horizontal="center" vertical="center"/>
    </xf>
    <xf numFmtId="0" fontId="6" fillId="0" borderId="0" xfId="0" applyFont="1" applyAlignment="1">
      <alignment horizontal="center" vertical="center"/>
    </xf>
    <xf numFmtId="0" fontId="5" fillId="0" borderId="0" xfId="0" applyFont="1" applyAlignment="1">
      <alignment horizontal="left" vertical="center" wrapText="1"/>
    </xf>
    <xf numFmtId="0" fontId="19" fillId="3" borderId="123" xfId="0" applyFont="1" applyFill="1" applyBorder="1" applyAlignment="1">
      <alignment horizontal="center" vertical="center" wrapText="1"/>
    </xf>
    <xf numFmtId="0" fontId="19" fillId="3" borderId="124" xfId="0" applyFont="1" applyFill="1" applyBorder="1" applyAlignment="1">
      <alignment horizontal="center" vertical="center" wrapText="1"/>
    </xf>
    <xf numFmtId="0" fontId="19" fillId="3" borderId="125" xfId="0" applyFont="1" applyFill="1" applyBorder="1" applyAlignment="1">
      <alignment horizontal="center" vertical="center" wrapText="1"/>
    </xf>
    <xf numFmtId="0" fontId="0" fillId="14" borderId="0" xfId="0" applyFont="1" applyFill="1" applyAlignment="1">
      <alignment horizontal="center" vertical="center"/>
    </xf>
    <xf numFmtId="0" fontId="27" fillId="7" borderId="25" xfId="0" applyFont="1" applyFill="1" applyBorder="1" applyAlignment="1">
      <alignment horizontal="center" vertical="center"/>
    </xf>
    <xf numFmtId="0" fontId="27" fillId="7" borderId="26" xfId="0" applyFont="1" applyFill="1" applyBorder="1" applyAlignment="1">
      <alignment horizontal="center" vertical="center"/>
    </xf>
    <xf numFmtId="0" fontId="27" fillId="7" borderId="27" xfId="0" applyFont="1" applyFill="1" applyBorder="1" applyAlignment="1">
      <alignment horizontal="center" vertical="center"/>
    </xf>
    <xf numFmtId="0" fontId="5" fillId="0" borderId="127" xfId="0" applyFont="1" applyBorder="1" applyAlignment="1">
      <alignment horizontal="left" vertical="top" wrapText="1"/>
    </xf>
    <xf numFmtId="0" fontId="5" fillId="0" borderId="68" xfId="0" applyFont="1" applyBorder="1" applyAlignment="1">
      <alignment horizontal="left" vertical="top" wrapText="1"/>
    </xf>
    <xf numFmtId="0" fontId="5" fillId="0" borderId="69" xfId="0" applyFont="1" applyBorder="1" applyAlignment="1">
      <alignment horizontal="left" vertical="top" wrapText="1"/>
    </xf>
    <xf numFmtId="0" fontId="5" fillId="0" borderId="0" xfId="0" applyFont="1" applyBorder="1" applyAlignment="1">
      <alignment horizontal="left" vertical="top" wrapText="1"/>
    </xf>
    <xf numFmtId="0" fontId="5" fillId="0" borderId="70" xfId="0" applyFont="1" applyBorder="1" applyAlignment="1">
      <alignment horizontal="left" vertical="top" wrapText="1"/>
    </xf>
    <xf numFmtId="0" fontId="5" fillId="0" borderId="77" xfId="0" applyFont="1" applyBorder="1" applyAlignment="1">
      <alignment horizontal="left" vertical="top" wrapText="1"/>
    </xf>
    <xf numFmtId="0" fontId="5" fillId="0" borderId="128" xfId="0" applyFont="1" applyBorder="1" applyAlignment="1">
      <alignment horizontal="left" vertical="top" wrapText="1"/>
    </xf>
    <xf numFmtId="0" fontId="5" fillId="0" borderId="78" xfId="0" applyFont="1" applyBorder="1" applyAlignment="1">
      <alignment horizontal="left" vertical="top" wrapText="1"/>
    </xf>
    <xf numFmtId="0" fontId="15" fillId="0" borderId="1" xfId="0" applyFont="1" applyBorder="1" applyAlignment="1">
      <alignment horizontal="center" vertical="center"/>
    </xf>
    <xf numFmtId="0" fontId="1" fillId="14" borderId="1" xfId="0" applyFont="1" applyFill="1" applyBorder="1" applyAlignment="1">
      <alignment horizontal="center" vertical="center"/>
    </xf>
    <xf numFmtId="0" fontId="1" fillId="14" borderId="90" xfId="0" applyFont="1" applyFill="1" applyBorder="1" applyAlignment="1">
      <alignment horizontal="center" vertical="center"/>
    </xf>
    <xf numFmtId="0" fontId="1" fillId="14" borderId="88" xfId="0" applyFont="1" applyFill="1" applyBorder="1" applyAlignment="1">
      <alignment horizontal="center" vertical="center"/>
    </xf>
    <xf numFmtId="0" fontId="0" fillId="0" borderId="3" xfId="0" applyFont="1" applyBorder="1" applyAlignment="1">
      <alignment horizontal="center" vertical="center" wrapText="1"/>
    </xf>
    <xf numFmtId="0" fontId="0" fillId="0" borderId="9" xfId="0" applyFont="1" applyBorder="1" applyAlignment="1">
      <alignment horizontal="center" vertical="center" wrapText="1"/>
    </xf>
    <xf numFmtId="0" fontId="0" fillId="0" borderId="95" xfId="0" applyFont="1" applyBorder="1" applyAlignment="1">
      <alignment horizontal="center" vertical="center" wrapText="1"/>
    </xf>
    <xf numFmtId="0" fontId="0" fillId="0" borderId="4" xfId="0" applyFont="1" applyBorder="1" applyAlignment="1">
      <alignment horizontal="center" vertical="center" wrapText="1"/>
    </xf>
    <xf numFmtId="2" fontId="5" fillId="0" borderId="35" xfId="0" applyNumberFormat="1" applyFont="1" applyBorder="1" applyAlignment="1">
      <alignment horizontal="left" vertical="center"/>
    </xf>
    <xf numFmtId="2" fontId="5" fillId="0" borderId="8" xfId="0" applyNumberFormat="1" applyFont="1" applyBorder="1" applyAlignment="1">
      <alignment horizontal="left" vertical="center"/>
    </xf>
    <xf numFmtId="0" fontId="45" fillId="0" borderId="149" xfId="4" applyFont="1" applyBorder="1" applyAlignment="1">
      <alignment horizontal="center"/>
    </xf>
    <xf numFmtId="0" fontId="37" fillId="21" borderId="25" xfId="4" applyFont="1" applyFill="1" applyBorder="1" applyAlignment="1">
      <alignment horizontal="center" vertical="center"/>
    </xf>
    <xf numFmtId="0" fontId="37" fillId="21" borderId="26" xfId="4" applyFont="1" applyFill="1" applyBorder="1" applyAlignment="1">
      <alignment horizontal="center" vertical="center"/>
    </xf>
    <xf numFmtId="0" fontId="37" fillId="21" borderId="27" xfId="4" applyFont="1" applyFill="1" applyBorder="1" applyAlignment="1">
      <alignment horizontal="center" vertical="center"/>
    </xf>
    <xf numFmtId="4" fontId="38" fillId="0" borderId="1" xfId="0" applyNumberFormat="1" applyFont="1" applyBorder="1" applyAlignment="1">
      <alignment horizontal="center" vertical="center" wrapText="1"/>
    </xf>
    <xf numFmtId="4" fontId="44" fillId="0" borderId="147" xfId="0" applyNumberFormat="1" applyFont="1" applyBorder="1" applyAlignment="1">
      <alignment horizontal="center" vertical="center"/>
    </xf>
    <xf numFmtId="4" fontId="44" fillId="0" borderId="148" xfId="0" applyNumberFormat="1" applyFont="1" applyBorder="1" applyAlignment="1">
      <alignment horizontal="center" vertical="center"/>
    </xf>
    <xf numFmtId="4" fontId="36" fillId="0" borderId="150" xfId="0" applyNumberFormat="1" applyFont="1" applyFill="1" applyBorder="1" applyAlignment="1" applyProtection="1">
      <alignment horizontal="center" vertical="center"/>
    </xf>
    <xf numFmtId="4" fontId="36" fillId="0" borderId="149" xfId="0"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1" fillId="15" borderId="185" xfId="0" applyFont="1" applyFill="1" applyBorder="1" applyAlignment="1">
      <alignment vertical="center"/>
    </xf>
    <xf numFmtId="0" fontId="1" fillId="15" borderId="98" xfId="0" applyFont="1" applyFill="1" applyBorder="1" applyAlignment="1">
      <alignment horizontal="center" vertical="center"/>
    </xf>
    <xf numFmtId="0" fontId="1" fillId="15" borderId="0" xfId="0" applyFont="1" applyFill="1" applyBorder="1" applyAlignment="1">
      <alignment horizontal="center" vertical="center"/>
    </xf>
    <xf numFmtId="0" fontId="1" fillId="15" borderId="103" xfId="0" applyFont="1" applyFill="1" applyBorder="1" applyAlignment="1">
      <alignment horizontal="center" vertical="center"/>
    </xf>
    <xf numFmtId="0" fontId="0" fillId="15" borderId="186" xfId="0" applyFill="1" applyBorder="1" applyAlignment="1">
      <alignment vertical="center"/>
    </xf>
    <xf numFmtId="0" fontId="0" fillId="15" borderId="41" xfId="0" applyFill="1" applyBorder="1" applyAlignment="1">
      <alignment horizontal="center" vertical="center"/>
    </xf>
    <xf numFmtId="0" fontId="0" fillId="15" borderId="41" xfId="0" applyFill="1" applyBorder="1" applyAlignment="1">
      <alignment vertical="center"/>
    </xf>
    <xf numFmtId="0" fontId="0" fillId="15" borderId="62" xfId="0" applyFill="1" applyBorder="1" applyAlignment="1">
      <alignment vertical="center"/>
    </xf>
    <xf numFmtId="0" fontId="0" fillId="15" borderId="176" xfId="0" applyFill="1" applyBorder="1" applyAlignment="1">
      <alignment horizontal="center" vertical="center"/>
    </xf>
    <xf numFmtId="2" fontId="0" fillId="15" borderId="176" xfId="0" applyNumberFormat="1" applyFill="1" applyBorder="1" applyAlignment="1">
      <alignment vertical="center"/>
    </xf>
    <xf numFmtId="2" fontId="0" fillId="15" borderId="141" xfId="0" applyNumberFormat="1" applyFill="1" applyBorder="1" applyAlignment="1">
      <alignment vertical="center"/>
    </xf>
    <xf numFmtId="0" fontId="0" fillId="15" borderId="103" xfId="0" applyFill="1" applyBorder="1" applyAlignment="1">
      <alignment vertical="center"/>
    </xf>
    <xf numFmtId="4" fontId="0" fillId="0" borderId="12" xfId="1" applyNumberFormat="1" applyFont="1" applyBorder="1" applyAlignment="1">
      <alignment horizontal="right" vertical="center"/>
    </xf>
    <xf numFmtId="4" fontId="5" fillId="0" borderId="0" xfId="1" applyNumberFormat="1" applyFont="1" applyAlignment="1">
      <alignment horizontal="right" vertical="center"/>
    </xf>
    <xf numFmtId="0" fontId="0" fillId="0" borderId="0" xfId="0" applyAlignment="1">
      <alignment horizontal="right"/>
    </xf>
    <xf numFmtId="0" fontId="0" fillId="6" borderId="149" xfId="0" applyFill="1" applyBorder="1"/>
  </cellXfs>
  <cellStyles count="5">
    <cellStyle name="Lien hypertexte" xfId="3" builtinId="8"/>
    <cellStyle name="Milliers" xfId="1" builtinId="3"/>
    <cellStyle name="Normal" xfId="0" builtinId="0"/>
    <cellStyle name="Normal 2" xfId="4" xr:uid="{00000000-0005-0000-0000-000003000000}"/>
    <cellStyle name="Pourcentage" xfId="2" builtinId="5"/>
  </cellStyles>
  <dxfs count="10">
    <dxf>
      <font>
        <b/>
        <i val="0"/>
        <color rgb="FFFF0000"/>
      </font>
      <fill>
        <gradientFill>
          <stop position="0">
            <color rgb="FFFFFF00"/>
          </stop>
          <stop position="1">
            <color rgb="FFFFC000"/>
          </stop>
        </gradientFill>
      </fill>
    </dxf>
    <dxf>
      <font>
        <b/>
        <i val="0"/>
        <color rgb="FFFF0000"/>
      </font>
      <fill>
        <gradientFill>
          <stop position="0">
            <color theme="0"/>
          </stop>
          <stop position="1">
            <color rgb="FFFFC000"/>
          </stop>
        </gradientFill>
      </fill>
    </dxf>
    <dxf>
      <font>
        <b/>
        <i val="0"/>
      </font>
      <fill>
        <gradientFill degree="90">
          <stop position="0">
            <color rgb="FFFFC000"/>
          </stop>
          <stop position="1">
            <color rgb="FFFFFF00"/>
          </stop>
        </gradientFill>
      </fill>
    </dxf>
    <dxf>
      <font>
        <b/>
        <i val="0"/>
      </font>
      <fill>
        <gradientFill degree="90">
          <stop position="0">
            <color rgb="FFFFFF00"/>
          </stop>
          <stop position="1">
            <color rgb="FFFFC000"/>
          </stop>
        </gradientFill>
      </fill>
    </dxf>
    <dxf>
      <font>
        <b/>
        <i val="0"/>
        <color rgb="FFFF0000"/>
      </font>
      <fill>
        <gradientFill degree="90">
          <stop position="0">
            <color theme="0"/>
          </stop>
          <stop position="1">
            <color rgb="FF00B0F0"/>
          </stop>
        </gradientFill>
      </fill>
    </dxf>
    <dxf>
      <font>
        <b/>
        <i val="0"/>
      </font>
      <fill>
        <patternFill>
          <bgColor rgb="FF92D050"/>
        </patternFill>
      </fill>
    </dxf>
    <dxf>
      <font>
        <color theme="0"/>
      </font>
      <fill>
        <patternFill>
          <bgColor theme="0"/>
        </patternFill>
      </fill>
    </dxf>
    <dxf>
      <font>
        <b/>
        <i val="0"/>
        <condense val="0"/>
        <extend val="0"/>
        <color indexed="10"/>
      </font>
    </dxf>
    <dxf>
      <font>
        <color rgb="FF006100"/>
      </font>
      <fill>
        <patternFill>
          <bgColor rgb="FFC6EFCE"/>
        </patternFill>
      </fill>
    </dxf>
    <dxf>
      <font>
        <color rgb="FF006100"/>
      </font>
      <fill>
        <patternFill>
          <bgColor rgb="FFC6EFCE"/>
        </patternFill>
      </fill>
    </dxf>
  </dxfs>
  <tableStyles count="0" defaultTableStyle="TableStyleMedium2" defaultPivotStyle="PivotStyleLight16"/>
  <colors>
    <mruColors>
      <color rgb="FFFFCC66"/>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1" Type="http://schemas.openxmlformats.org/officeDocument/2006/relationships/customXml" Target="../ink/ink1.xml"/><Relationship Id="rId10" Type="http://schemas.openxmlformats.org/officeDocument/2006/relationships/image" Target="NUL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190500</xdr:colOff>
          <xdr:row>1</xdr:row>
          <xdr:rowOff>114300</xdr:rowOff>
        </xdr:from>
        <xdr:to>
          <xdr:col>3</xdr:col>
          <xdr:colOff>2066925</xdr:colOff>
          <xdr:row>3</xdr:row>
          <xdr:rowOff>104775</xdr:rowOff>
        </xdr:to>
        <xdr:sp macro="" textlink="">
          <xdr:nvSpPr>
            <xdr:cNvPr id="3090" name="Bouton 18" hidden="1">
              <a:extLst>
                <a:ext uri="{63B3BB69-23CF-44E3-9099-C40C66FF867C}">
                  <a14:compatExt spid="_x0000_s3090"/>
                </a:ext>
                <a:ext uri="{FF2B5EF4-FFF2-40B4-BE49-F238E27FC236}">
                  <a16:creationId xmlns:a16="http://schemas.microsoft.com/office/drawing/2014/main" id="{00000000-0008-0000-0000-0000120C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Effacer Données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152400</xdr:colOff>
          <xdr:row>2</xdr:row>
          <xdr:rowOff>19050</xdr:rowOff>
        </xdr:from>
        <xdr:to>
          <xdr:col>3</xdr:col>
          <xdr:colOff>1704975</xdr:colOff>
          <xdr:row>4</xdr:row>
          <xdr:rowOff>85725</xdr:rowOff>
        </xdr:to>
        <xdr:sp macro="" textlink="">
          <xdr:nvSpPr>
            <xdr:cNvPr id="4116" name="Bouton 20" hidden="1">
              <a:extLst>
                <a:ext uri="{63B3BB69-23CF-44E3-9099-C40C66FF867C}">
                  <a14:compatExt spid="_x0000_s4116"/>
                </a:ext>
                <a:ext uri="{FF2B5EF4-FFF2-40B4-BE49-F238E27FC236}">
                  <a16:creationId xmlns:a16="http://schemas.microsoft.com/office/drawing/2014/main" id="{00000000-0008-0000-0100-0000141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Effacer Données</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190500</xdr:colOff>
          <xdr:row>8</xdr:row>
          <xdr:rowOff>0</xdr:rowOff>
        </xdr:from>
        <xdr:to>
          <xdr:col>11</xdr:col>
          <xdr:colOff>752475</xdr:colOff>
          <xdr:row>11</xdr:row>
          <xdr:rowOff>9525</xdr:rowOff>
        </xdr:to>
        <xdr:sp macro="" textlink="">
          <xdr:nvSpPr>
            <xdr:cNvPr id="17412" name="Bouton 4" hidden="1">
              <a:extLst>
                <a:ext uri="{63B3BB69-23CF-44E3-9099-C40C66FF867C}">
                  <a14:compatExt spid="_x0000_s17412"/>
                </a:ext>
                <a:ext uri="{FF2B5EF4-FFF2-40B4-BE49-F238E27FC236}">
                  <a16:creationId xmlns:a16="http://schemas.microsoft.com/office/drawing/2014/main" id="{00000000-0008-0000-0300-0000044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cs typeface="Calibri"/>
                </a:rPr>
                <a:t>Générer Bulletin</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15</xdr:col>
      <xdr:colOff>391520</xdr:colOff>
      <xdr:row>2</xdr:row>
      <xdr:rowOff>169173</xdr:rowOff>
    </xdr:from>
    <xdr:to>
      <xdr:col>16</xdr:col>
      <xdr:colOff>677480</xdr:colOff>
      <xdr:row>10</xdr:row>
      <xdr:rowOff>95517</xdr:rowOff>
    </xdr:to>
    <mc:AlternateContent xmlns:mc="http://schemas.openxmlformats.org/markup-compatibility/2006" xmlns:xdr14="http://schemas.microsoft.com/office/excel/2010/spreadsheetDrawing">
      <mc:Choice Requires="xdr14">
        <xdr:contentPart xmlns:r="http://schemas.openxmlformats.org/officeDocument/2006/relationships" r:id="rId1">
          <xdr14:nvContentPartPr>
            <xdr14:cNvPr id="2" name="Encre 1">
              <a:extLst>
                <a:ext uri="{FF2B5EF4-FFF2-40B4-BE49-F238E27FC236}">
                  <a16:creationId xmlns:a16="http://schemas.microsoft.com/office/drawing/2014/main" id="{00000000-0008-0000-0500-000002000000}"/>
                </a:ext>
              </a:extLst>
            </xdr14:cNvPr>
            <xdr14:cNvContentPartPr/>
          </xdr14:nvContentPartPr>
          <xdr14:nvPr macro=""/>
          <xdr14:xfrm>
            <a:off x="13853520" y="888840"/>
            <a:ext cx="1047960" cy="2201760"/>
          </xdr14:xfrm>
        </xdr:contentPart>
      </mc:Choice>
      <mc:Fallback xmlns="">
        <xdr:pic>
          <xdr:nvPicPr>
            <xdr:cNvPr id="12" name="Encre 11">
              <a:extLst>
                <a:ext uri="{FF2B5EF4-FFF2-40B4-BE49-F238E27FC236}">
                  <a16:creationId xmlns:a16="http://schemas.microsoft.com/office/drawing/2014/main" xmlns="" id="{3C3ADFC5-FBF2-46C9-9129-172ED45E084E}"/>
                </a:ext>
              </a:extLst>
            </xdr:cNvPr>
            <xdr:cNvPicPr/>
          </xdr:nvPicPr>
          <xdr:blipFill>
            <a:blip xmlns:r="http://schemas.openxmlformats.org/officeDocument/2006/relationships" r:embed="rId10" cstate="print"/>
            <a:stretch>
              <a:fillRect/>
            </a:stretch>
          </xdr:blipFill>
          <xdr:spPr>
            <a:xfrm>
              <a:off x="13844520" y="879840"/>
              <a:ext cx="1065600" cy="2219400"/>
            </a:xfrm>
            <a:prstGeom prst="rect">
              <a:avLst/>
            </a:prstGeom>
          </xdr:spPr>
        </xdr:pic>
      </mc:Fallback>
    </mc:AlternateContent>
    <xdr:clientData/>
  </xdr:twoCellAnchor>
  <mc:AlternateContent xmlns:mc="http://schemas.openxmlformats.org/markup-compatibility/2006">
    <mc:Choice xmlns:a14="http://schemas.microsoft.com/office/drawing/2010/main" Requires="a14">
      <xdr:twoCellAnchor>
        <xdr:from>
          <xdr:col>0</xdr:col>
          <xdr:colOff>142875</xdr:colOff>
          <xdr:row>4</xdr:row>
          <xdr:rowOff>28575</xdr:rowOff>
        </xdr:from>
        <xdr:to>
          <xdr:col>1</xdr:col>
          <xdr:colOff>933450</xdr:colOff>
          <xdr:row>6</xdr:row>
          <xdr:rowOff>9525</xdr:rowOff>
        </xdr:to>
        <xdr:sp macro="" textlink="">
          <xdr:nvSpPr>
            <xdr:cNvPr id="20481" name="Button 1" hidden="1">
              <a:extLst>
                <a:ext uri="{63B3BB69-23CF-44E3-9099-C40C66FF867C}">
                  <a14:compatExt spid="_x0000_s20481"/>
                </a:ext>
                <a:ext uri="{FF2B5EF4-FFF2-40B4-BE49-F238E27FC236}">
                  <a16:creationId xmlns:a16="http://schemas.microsoft.com/office/drawing/2014/main" id="{00000000-0008-0000-0500-0000015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EFFACER DONNEES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152400</xdr:colOff>
          <xdr:row>1</xdr:row>
          <xdr:rowOff>257175</xdr:rowOff>
        </xdr:from>
        <xdr:to>
          <xdr:col>1</xdr:col>
          <xdr:colOff>942975</xdr:colOff>
          <xdr:row>3</xdr:row>
          <xdr:rowOff>200025</xdr:rowOff>
        </xdr:to>
        <xdr:sp macro="" textlink="">
          <xdr:nvSpPr>
            <xdr:cNvPr id="20482" name="Button 2" hidden="1">
              <a:extLst>
                <a:ext uri="{63B3BB69-23CF-44E3-9099-C40C66FF867C}">
                  <a14:compatExt spid="_x0000_s20482"/>
                </a:ext>
                <a:ext uri="{FF2B5EF4-FFF2-40B4-BE49-F238E27FC236}">
                  <a16:creationId xmlns:a16="http://schemas.microsoft.com/office/drawing/2014/main" id="{00000000-0008-0000-0500-0000025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GENERER VALEURS FILLON</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38100</xdr:colOff>
          <xdr:row>3</xdr:row>
          <xdr:rowOff>28575</xdr:rowOff>
        </xdr:from>
        <xdr:to>
          <xdr:col>14</xdr:col>
          <xdr:colOff>762000</xdr:colOff>
          <xdr:row>4</xdr:row>
          <xdr:rowOff>57150</xdr:rowOff>
        </xdr:to>
        <xdr:sp macro="" textlink="">
          <xdr:nvSpPr>
            <xdr:cNvPr id="21505" name="Bouton 2" hidden="1">
              <a:extLst>
                <a:ext uri="{63B3BB69-23CF-44E3-9099-C40C66FF867C}">
                  <a14:compatExt spid="_x0000_s21505"/>
                </a:ext>
                <a:ext uri="{FF2B5EF4-FFF2-40B4-BE49-F238E27FC236}">
                  <a16:creationId xmlns:a16="http://schemas.microsoft.com/office/drawing/2014/main" id="{00000000-0008-0000-0600-000001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cs typeface="Calibri"/>
                </a:rPr>
                <a:t>EFFACER DONNEES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38100</xdr:colOff>
          <xdr:row>1</xdr:row>
          <xdr:rowOff>28575</xdr:rowOff>
        </xdr:from>
        <xdr:to>
          <xdr:col>14</xdr:col>
          <xdr:colOff>762000</xdr:colOff>
          <xdr:row>2</xdr:row>
          <xdr:rowOff>228600</xdr:rowOff>
        </xdr:to>
        <xdr:sp macro="" textlink="">
          <xdr:nvSpPr>
            <xdr:cNvPr id="21506" name="Button 2" hidden="1">
              <a:extLst>
                <a:ext uri="{63B3BB69-23CF-44E3-9099-C40C66FF867C}">
                  <a14:compatExt spid="_x0000_s21506"/>
                </a:ext>
                <a:ext uri="{FF2B5EF4-FFF2-40B4-BE49-F238E27FC236}">
                  <a16:creationId xmlns:a16="http://schemas.microsoft.com/office/drawing/2014/main" id="{00000000-0008-0000-0600-0000025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GENERER VALEURS</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0</xdr:colOff>
          <xdr:row>48</xdr:row>
          <xdr:rowOff>28575</xdr:rowOff>
        </xdr:from>
        <xdr:to>
          <xdr:col>8</xdr:col>
          <xdr:colOff>9525</xdr:colOff>
          <xdr:row>50</xdr:row>
          <xdr:rowOff>85725</xdr:rowOff>
        </xdr:to>
        <xdr:sp macro="" textlink="">
          <xdr:nvSpPr>
            <xdr:cNvPr id="13313" name="Bouton 36" hidden="1">
              <a:extLst>
                <a:ext uri="{63B3BB69-23CF-44E3-9099-C40C66FF867C}">
                  <a14:compatExt spid="_x0000_s13313"/>
                </a:ext>
                <a:ext uri="{FF2B5EF4-FFF2-40B4-BE49-F238E27FC236}">
                  <a16:creationId xmlns:a16="http://schemas.microsoft.com/office/drawing/2014/main" id="{00000000-0008-0000-0B00-0000013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a:t>
              </a:r>
            </a:p>
          </xdr:txBody>
        </xdr:sp>
        <xdr:clientData fPrintsWithSheet="0"/>
      </xdr:twoCellAnchor>
    </mc:Choice>
    <mc:Fallback/>
  </mc:AlternateContent>
</xdr:wsDr>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2-03T09:15:08.988"/>
    </inkml:context>
    <inkml:brush xml:id="br0">
      <inkml:brushProperty name="width" value="0.05" units="cm"/>
      <inkml:brushProperty name="height" value="0.05" units="cm"/>
      <inkml:brushProperty name="color" value="#66CC00"/>
      <inkml:brushProperty name="ignorePressure" value="1"/>
    </inkml:brush>
  </inkml:definitions>
  <inkml:trace contextRef="#ctx0" brushRef="#br0">6295 9325</inkml:trace>
  <inkml:trace contextRef="#ctx0" brushRef="#br0" timeOffset="1">3385 3181</inkml:trace>
</inkm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4" Type="http://schemas.openxmlformats.org/officeDocument/2006/relationships/ctrlProp" Target="../ctrlProps/ctrlProp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6.bin"/><Relationship Id="rId5" Type="http://schemas.openxmlformats.org/officeDocument/2006/relationships/ctrlProp" Target="../ctrlProps/ctrlProp7.xml"/><Relationship Id="rId4" Type="http://schemas.openxmlformats.org/officeDocument/2006/relationships/ctrlProp" Target="../ctrlProps/ctrlProp6.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6.vml"/></Relationships>
</file>

<file path=xl/worksheets/_rels/sheet10.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7.vml"/><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8.vml"/><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6.xml"/><Relationship Id="rId1" Type="http://schemas.openxmlformats.org/officeDocument/2006/relationships/printerSettings" Target="../printerSettings/printerSettings10.bin"/><Relationship Id="rId5" Type="http://schemas.openxmlformats.org/officeDocument/2006/relationships/comments" Target="../comments6.xml"/><Relationship Id="rId4" Type="http://schemas.openxmlformats.org/officeDocument/2006/relationships/ctrlProp" Target="../ctrlProps/ctrlProp8.xm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11.bin"/><Relationship Id="rId1" Type="http://schemas.openxmlformats.org/officeDocument/2006/relationships/hyperlink" Target="http://rfpaye.grouperf.com/calcul/?fichier=saisie_sur_salaires" TargetMode="External"/></Relationships>
</file>

<file path=xl/worksheets/_rels/sheet14.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10.vml"/><Relationship Id="rId1" Type="http://schemas.openxmlformats.org/officeDocument/2006/relationships/printerSettings" Target="../printerSettings/printerSettings12.bin"/></Relationships>
</file>

<file path=xl/worksheets/_rels/sheet15.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11.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C000"/>
  </sheetPr>
  <dimension ref="A1:H163"/>
  <sheetViews>
    <sheetView topLeftCell="A106" zoomScale="90" zoomScaleNormal="90" workbookViewId="0">
      <selection activeCell="D127" sqref="D127"/>
    </sheetView>
  </sheetViews>
  <sheetFormatPr baseColWidth="10" defaultRowHeight="15" x14ac:dyDescent="0.25"/>
  <cols>
    <col min="1" max="1" width="41.7109375" style="149" customWidth="1"/>
    <col min="2" max="2" width="43.42578125" style="149" customWidth="1"/>
    <col min="3" max="3" width="41.7109375" style="150" customWidth="1"/>
    <col min="4" max="4" width="35.7109375" style="149" customWidth="1"/>
    <col min="5" max="5" width="16.85546875" style="153" customWidth="1"/>
    <col min="6" max="16384" width="11.42578125" style="149"/>
  </cols>
  <sheetData>
    <row r="1" spans="1:8" ht="21" x14ac:dyDescent="0.25">
      <c r="A1" s="832" t="s">
        <v>602</v>
      </c>
      <c r="B1" s="832"/>
      <c r="C1" s="832"/>
      <c r="D1" s="832"/>
      <c r="E1" s="154"/>
      <c r="F1" s="154"/>
    </row>
    <row r="2" spans="1:8" x14ac:dyDescent="0.25">
      <c r="A2" s="577" t="s">
        <v>1</v>
      </c>
      <c r="B2" s="578" t="s">
        <v>599</v>
      </c>
      <c r="C2" s="572"/>
      <c r="D2" s="154"/>
      <c r="E2" s="154"/>
      <c r="F2" s="154"/>
    </row>
    <row r="3" spans="1:8" x14ac:dyDescent="0.25">
      <c r="A3" s="577" t="s">
        <v>598</v>
      </c>
      <c r="B3" s="578" t="s">
        <v>600</v>
      </c>
      <c r="C3" s="572"/>
      <c r="D3" s="154"/>
      <c r="E3" s="154"/>
      <c r="F3" s="154"/>
    </row>
    <row r="4" spans="1:8" x14ac:dyDescent="0.25">
      <c r="A4" s="154"/>
      <c r="B4" s="578" t="s">
        <v>601</v>
      </c>
      <c r="C4" s="572"/>
      <c r="D4" s="154"/>
      <c r="E4" s="154"/>
      <c r="F4" s="154"/>
    </row>
    <row r="5" spans="1:8" ht="15.75" thickBot="1" x14ac:dyDescent="0.3">
      <c r="A5" s="154"/>
      <c r="B5" s="154"/>
      <c r="C5" s="572"/>
      <c r="D5" s="154"/>
      <c r="E5" s="154"/>
      <c r="F5" s="154"/>
    </row>
    <row r="6" spans="1:8" ht="21.75" thickBot="1" x14ac:dyDescent="0.3">
      <c r="A6" s="840" t="s">
        <v>0</v>
      </c>
      <c r="B6" s="841"/>
      <c r="C6" s="841"/>
      <c r="D6" s="842"/>
      <c r="E6" s="154"/>
      <c r="F6" s="3"/>
      <c r="H6" s="1"/>
    </row>
    <row r="7" spans="1:8" x14ac:dyDescent="0.25">
      <c r="A7" s="2" t="s">
        <v>3</v>
      </c>
      <c r="B7" s="814" t="s">
        <v>709</v>
      </c>
      <c r="C7" s="6"/>
      <c r="D7" s="3"/>
      <c r="E7" s="154"/>
      <c r="F7" s="3"/>
      <c r="H7" s="1"/>
    </row>
    <row r="8" spans="1:8" x14ac:dyDescent="0.25">
      <c r="A8" s="3" t="s">
        <v>5</v>
      </c>
      <c r="B8" s="815"/>
      <c r="C8" s="816"/>
      <c r="D8" s="817"/>
      <c r="E8" s="154"/>
      <c r="F8" s="3"/>
      <c r="H8" s="1"/>
    </row>
    <row r="9" spans="1:8" x14ac:dyDescent="0.25">
      <c r="A9" s="3" t="s">
        <v>326</v>
      </c>
      <c r="B9" s="804"/>
      <c r="C9" s="6" t="s">
        <v>11</v>
      </c>
      <c r="D9" s="814"/>
      <c r="E9" s="154"/>
      <c r="F9" s="3"/>
      <c r="H9" s="1"/>
    </row>
    <row r="10" spans="1:8" x14ac:dyDescent="0.25">
      <c r="A10" s="3" t="s">
        <v>7</v>
      </c>
      <c r="B10" s="804"/>
      <c r="C10" s="6" t="s">
        <v>10</v>
      </c>
      <c r="D10" s="804"/>
      <c r="E10" s="154"/>
      <c r="F10" s="3"/>
      <c r="H10" s="1"/>
    </row>
    <row r="11" spans="1:8" x14ac:dyDescent="0.25">
      <c r="A11" s="3" t="s">
        <v>15</v>
      </c>
      <c r="B11" s="805"/>
      <c r="C11" s="6"/>
      <c r="D11" s="3"/>
      <c r="E11" s="154"/>
      <c r="F11" s="3"/>
      <c r="H11" s="1"/>
    </row>
    <row r="12" spans="1:8" x14ac:dyDescent="0.25">
      <c r="A12" s="3" t="s">
        <v>12</v>
      </c>
      <c r="B12" s="815"/>
      <c r="C12" s="816"/>
      <c r="D12" s="817"/>
      <c r="E12" s="154"/>
      <c r="F12" s="3"/>
      <c r="H12" s="1"/>
    </row>
    <row r="13" spans="1:8" x14ac:dyDescent="0.25">
      <c r="A13" s="3" t="s">
        <v>48</v>
      </c>
      <c r="B13" s="805">
        <v>150</v>
      </c>
      <c r="C13" s="6"/>
      <c r="D13" s="3"/>
      <c r="E13" s="3"/>
      <c r="F13" s="3"/>
      <c r="H13" s="1"/>
    </row>
    <row r="14" spans="1:8" x14ac:dyDescent="0.25">
      <c r="A14" s="3" t="s">
        <v>50</v>
      </c>
      <c r="B14" s="806">
        <v>1.2500000000000001E-2</v>
      </c>
      <c r="C14" s="6" t="s">
        <v>49</v>
      </c>
      <c r="D14" s="808">
        <v>2.3230000000000001E-2</v>
      </c>
      <c r="E14" s="565"/>
      <c r="F14" s="3"/>
    </row>
    <row r="15" spans="1:8" x14ac:dyDescent="0.25">
      <c r="A15" s="3" t="s">
        <v>51</v>
      </c>
      <c r="B15" s="799">
        <f>IF(Tx_AT_Ets="",Tx_AT_Moy,Tx_AT_Ets)</f>
        <v>1.2500000000000001E-2</v>
      </c>
      <c r="C15" s="6"/>
      <c r="D15" s="3"/>
      <c r="E15" s="3"/>
      <c r="F15" s="3"/>
    </row>
    <row r="16" spans="1:8" x14ac:dyDescent="0.25">
      <c r="A16" s="3" t="s">
        <v>63</v>
      </c>
      <c r="B16" s="799">
        <f>VLOOKUP(B37,'Liste déroulante'!B16:C25,2,FALSE)</f>
        <v>4.0500000000000001E-2</v>
      </c>
      <c r="C16" s="6" t="s">
        <v>563</v>
      </c>
      <c r="D16" s="809" t="s">
        <v>519</v>
      </c>
      <c r="E16" s="566"/>
      <c r="F16" s="3"/>
    </row>
    <row r="17" spans="1:8" x14ac:dyDescent="0.25">
      <c r="A17" s="3" t="s">
        <v>64</v>
      </c>
      <c r="B17" s="806">
        <v>0.02</v>
      </c>
      <c r="C17" s="6" t="s">
        <v>692</v>
      </c>
      <c r="D17" s="809" t="s">
        <v>520</v>
      </c>
      <c r="E17" s="3"/>
      <c r="F17" s="3"/>
      <c r="H17" s="1"/>
    </row>
    <row r="18" spans="1:8" x14ac:dyDescent="0.25">
      <c r="A18" s="3" t="s">
        <v>97</v>
      </c>
      <c r="B18" s="809" t="s">
        <v>694</v>
      </c>
      <c r="C18" s="6"/>
      <c r="D18" s="6"/>
      <c r="E18" s="3"/>
      <c r="F18" s="3"/>
      <c r="H18" s="1"/>
    </row>
    <row r="19" spans="1:8" x14ac:dyDescent="0.25">
      <c r="A19" s="3" t="s">
        <v>67</v>
      </c>
      <c r="B19" s="807">
        <v>150</v>
      </c>
      <c r="C19" s="6" t="s">
        <v>65</v>
      </c>
      <c r="D19" s="806">
        <v>0.5</v>
      </c>
      <c r="E19" s="567"/>
      <c r="F19" s="3"/>
      <c r="H19" s="1"/>
    </row>
    <row r="20" spans="1:8" x14ac:dyDescent="0.25">
      <c r="A20" s="3" t="s">
        <v>66</v>
      </c>
      <c r="B20" s="806">
        <v>0.01</v>
      </c>
      <c r="C20" s="6" t="s">
        <v>708</v>
      </c>
      <c r="D20" s="806">
        <v>0.02</v>
      </c>
      <c r="E20" s="567"/>
      <c r="F20" s="3"/>
      <c r="H20" s="1"/>
    </row>
    <row r="21" spans="1:8" ht="11.25" customHeight="1" thickBot="1" x14ac:dyDescent="0.3">
      <c r="A21" s="19"/>
      <c r="B21" s="19"/>
      <c r="C21" s="20"/>
      <c r="D21" s="19"/>
      <c r="E21" s="3"/>
      <c r="F21" s="3"/>
      <c r="G21" s="4"/>
    </row>
    <row r="22" spans="1:8" ht="21.75" thickBot="1" x14ac:dyDescent="0.3">
      <c r="A22" s="840" t="s">
        <v>1</v>
      </c>
      <c r="B22" s="841"/>
      <c r="C22" s="841"/>
      <c r="D22" s="842"/>
      <c r="E22" s="9"/>
      <c r="F22" s="3"/>
    </row>
    <row r="23" spans="1:8" x14ac:dyDescent="0.25">
      <c r="A23" s="2" t="s">
        <v>29</v>
      </c>
      <c r="B23" s="820" t="s">
        <v>706</v>
      </c>
      <c r="C23" s="6" t="s">
        <v>30</v>
      </c>
      <c r="D23" s="820" t="s">
        <v>707</v>
      </c>
      <c r="E23" s="564"/>
      <c r="F23" s="3"/>
    </row>
    <row r="24" spans="1:8" x14ac:dyDescent="0.25">
      <c r="A24" s="3" t="s">
        <v>5</v>
      </c>
      <c r="B24" s="815"/>
      <c r="C24" s="816"/>
      <c r="D24" s="817"/>
      <c r="E24" s="564"/>
      <c r="F24" s="3"/>
    </row>
    <row r="25" spans="1:8" x14ac:dyDescent="0.25">
      <c r="A25" s="3" t="s">
        <v>8</v>
      </c>
      <c r="B25" s="814"/>
      <c r="C25" s="6" t="s">
        <v>11</v>
      </c>
      <c r="D25" s="814"/>
      <c r="E25" s="564"/>
      <c r="F25" s="3"/>
    </row>
    <row r="26" spans="1:8" x14ac:dyDescent="0.25">
      <c r="A26" s="3" t="s">
        <v>13</v>
      </c>
      <c r="B26" s="810">
        <v>27008</v>
      </c>
      <c r="C26" s="6" t="s">
        <v>27</v>
      </c>
      <c r="D26" s="803">
        <f>IF(B26="","",DATEDIF(B26,MOIS_BULLETIN,"y"))</f>
        <v>43</v>
      </c>
      <c r="E26" s="18"/>
      <c r="F26" s="3"/>
    </row>
    <row r="27" spans="1:8" x14ac:dyDescent="0.25">
      <c r="A27" s="3" t="s">
        <v>16</v>
      </c>
      <c r="B27" s="804">
        <v>4</v>
      </c>
      <c r="C27" s="6"/>
      <c r="D27" s="3"/>
      <c r="E27" s="3"/>
      <c r="F27" s="3"/>
    </row>
    <row r="28" spans="1:8" x14ac:dyDescent="0.25">
      <c r="A28" s="3" t="s">
        <v>2</v>
      </c>
      <c r="B28" s="804"/>
      <c r="C28" s="6" t="s">
        <v>4</v>
      </c>
      <c r="D28" s="804"/>
      <c r="E28" s="564"/>
      <c r="F28" s="3"/>
    </row>
    <row r="29" spans="1:8" x14ac:dyDescent="0.25">
      <c r="A29" s="3" t="s">
        <v>6</v>
      </c>
      <c r="B29" s="804"/>
      <c r="C29" s="6" t="s">
        <v>32</v>
      </c>
      <c r="D29" s="809" t="s">
        <v>34</v>
      </c>
      <c r="E29" s="566"/>
      <c r="F29" s="3"/>
    </row>
    <row r="30" spans="1:8" x14ac:dyDescent="0.25">
      <c r="A30" s="3" t="s">
        <v>9</v>
      </c>
      <c r="B30" s="804"/>
      <c r="C30" s="6" t="s">
        <v>35</v>
      </c>
      <c r="D30" s="804"/>
      <c r="E30" s="564"/>
      <c r="F30" s="3"/>
    </row>
    <row r="31" spans="1:8" x14ac:dyDescent="0.25">
      <c r="A31" s="3" t="s">
        <v>31</v>
      </c>
      <c r="B31" s="804"/>
      <c r="C31" s="6"/>
      <c r="D31" s="3"/>
      <c r="E31" s="3"/>
      <c r="F31" s="3"/>
    </row>
    <row r="32" spans="1:8" x14ac:dyDescent="0.25">
      <c r="A32" s="3" t="s">
        <v>14</v>
      </c>
      <c r="B32" s="811">
        <v>42750</v>
      </c>
      <c r="C32" s="6"/>
      <c r="D32" s="3"/>
      <c r="E32" s="3"/>
      <c r="F32" s="3"/>
    </row>
    <row r="33" spans="1:6" x14ac:dyDescent="0.25">
      <c r="A33" s="3" t="s">
        <v>17</v>
      </c>
      <c r="B33" s="811"/>
      <c r="C33" s="6"/>
      <c r="D33" s="3"/>
      <c r="E33" s="3"/>
      <c r="F33" s="3"/>
    </row>
    <row r="34" spans="1:6" x14ac:dyDescent="0.25">
      <c r="A34" s="3" t="s">
        <v>43</v>
      </c>
      <c r="B34" s="800" t="str">
        <f>IF(B33="","",DATEDIF(B32,B33,"Y")&amp;IF(DATEDIF(B32,B33,"Y")&gt;1," ans, "," an, ")&amp;DATEDIF(B32,B33,"YM")&amp;" mois et "&amp;DATEDIF(B32,B33,"MD")&amp;IF(DATEDIF(B32,B33,"MD")&gt;1," jours"," jour"))</f>
        <v/>
      </c>
      <c r="C34" s="6"/>
      <c r="D34" s="3"/>
      <c r="E34" s="3"/>
      <c r="F34" s="3"/>
    </row>
    <row r="35" spans="1:6" ht="18.75" x14ac:dyDescent="0.25">
      <c r="A35" s="843" t="s">
        <v>36</v>
      </c>
      <c r="B35" s="843"/>
      <c r="C35" s="843"/>
      <c r="D35" s="843"/>
      <c r="E35" s="5"/>
      <c r="F35" s="3"/>
    </row>
    <row r="36" spans="1:6" x14ac:dyDescent="0.25">
      <c r="A36" s="3" t="s">
        <v>18</v>
      </c>
      <c r="B36" s="818" t="s">
        <v>20</v>
      </c>
      <c r="C36" s="6" t="s">
        <v>24</v>
      </c>
      <c r="D36" s="818" t="s">
        <v>25</v>
      </c>
      <c r="E36" s="566"/>
      <c r="F36" s="3"/>
    </row>
    <row r="37" spans="1:6" ht="15" customHeight="1" x14ac:dyDescent="0.25">
      <c r="A37" s="3" t="s">
        <v>62</v>
      </c>
      <c r="B37" s="844" t="s">
        <v>52</v>
      </c>
      <c r="C37" s="845"/>
      <c r="D37" s="846"/>
      <c r="E37" s="568"/>
      <c r="F37" s="3"/>
    </row>
    <row r="38" spans="1:6" x14ac:dyDescent="0.25">
      <c r="A38" s="3" t="s">
        <v>37</v>
      </c>
      <c r="B38" s="819">
        <v>35</v>
      </c>
      <c r="C38" s="6" t="s">
        <v>38</v>
      </c>
      <c r="D38" s="819">
        <v>5</v>
      </c>
      <c r="E38" s="564"/>
      <c r="F38" s="3"/>
    </row>
    <row r="39" spans="1:6" x14ac:dyDescent="0.25">
      <c r="A39" s="7" t="s">
        <v>39</v>
      </c>
      <c r="B39" s="813">
        <v>151.66999999999999</v>
      </c>
      <c r="C39" s="6" t="s">
        <v>42</v>
      </c>
      <c r="D39" s="801">
        <f>B38*52/12</f>
        <v>151.66666666666666</v>
      </c>
      <c r="E39" s="569"/>
      <c r="F39" s="3"/>
    </row>
    <row r="40" spans="1:6" x14ac:dyDescent="0.25">
      <c r="A40" s="7" t="s">
        <v>40</v>
      </c>
      <c r="B40" s="812">
        <v>1480.3</v>
      </c>
      <c r="C40" s="8" t="s">
        <v>41</v>
      </c>
      <c r="D40" s="812">
        <f>B40/B39</f>
        <v>9.76000527460935</v>
      </c>
      <c r="E40" s="570"/>
      <c r="F40" s="3"/>
    </row>
    <row r="41" spans="1:6" x14ac:dyDescent="0.25">
      <c r="A41" s="7" t="s">
        <v>46</v>
      </c>
      <c r="B41" s="801">
        <f>IF(D36='Liste déroulante'!B9,SMIC_M*DUREE_CT/DUREELEGALE,SMIC_M)</f>
        <v>1480.3</v>
      </c>
      <c r="C41" s="8"/>
      <c r="D41" s="3"/>
      <c r="E41" s="3"/>
      <c r="F41" s="3"/>
    </row>
    <row r="42" spans="1:6" x14ac:dyDescent="0.25">
      <c r="A42" s="3" t="s">
        <v>44</v>
      </c>
      <c r="B42" s="807">
        <v>1650</v>
      </c>
      <c r="C42" s="6" t="s">
        <v>45</v>
      </c>
      <c r="D42" s="801">
        <f>IF(SBASE="",0,IF(B41&gt;SBASE,BASE_SMIC-SBASE,0))</f>
        <v>0</v>
      </c>
      <c r="E42" s="569"/>
      <c r="F42" s="3"/>
    </row>
    <row r="43" spans="1:6" x14ac:dyDescent="0.25">
      <c r="A43" s="3" t="s">
        <v>47</v>
      </c>
      <c r="B43" s="801">
        <f>IFERROR(IF(H_SEM="",0,(SBASE+CPLT_SMIC)/DUREE_CT),0)</f>
        <v>10.87912087912088</v>
      </c>
      <c r="C43" s="6"/>
      <c r="D43" s="6"/>
      <c r="E43" s="6"/>
      <c r="F43" s="3"/>
    </row>
    <row r="44" spans="1:6" x14ac:dyDescent="0.25">
      <c r="A44" s="3"/>
      <c r="B44" s="3"/>
      <c r="C44" s="3"/>
      <c r="D44" s="3"/>
      <c r="E44" s="3"/>
      <c r="F44" s="3"/>
    </row>
    <row r="45" spans="1:6" ht="15" customHeight="1" x14ac:dyDescent="0.25">
      <c r="A45" s="3" t="s">
        <v>656</v>
      </c>
      <c r="B45" s="809" t="s">
        <v>657</v>
      </c>
      <c r="C45" s="768" t="s">
        <v>658</v>
      </c>
      <c r="D45" s="807"/>
      <c r="E45" s="568"/>
      <c r="F45" s="3"/>
    </row>
    <row r="46" spans="1:6" ht="15" customHeight="1" x14ac:dyDescent="0.25">
      <c r="A46" s="568" t="s">
        <v>660</v>
      </c>
      <c r="B46" s="799">
        <f>VLOOKUP(B45,'Liste déroulante'!B79:C88,2,FALSE)</f>
        <v>1</v>
      </c>
      <c r="C46" s="768" t="s">
        <v>659</v>
      </c>
      <c r="D46" s="808">
        <v>0.11</v>
      </c>
      <c r="E46" s="568"/>
      <c r="F46" s="3"/>
    </row>
    <row r="47" spans="1:6" ht="15" customHeight="1" x14ac:dyDescent="0.25">
      <c r="A47" s="3" t="s">
        <v>663</v>
      </c>
      <c r="B47" s="801">
        <f>IF(B45='Liste déroulante'!B79,0,IF(B36='Liste déroulante'!B5,IF(D26&gt;=21,MAX(D45,SMIC_M)*TXAPP,SMIC_M*TXAPP),0))</f>
        <v>0</v>
      </c>
      <c r="C47" s="768"/>
      <c r="D47" s="768"/>
      <c r="E47" s="568"/>
      <c r="F47" s="3"/>
    </row>
    <row r="48" spans="1:6" x14ac:dyDescent="0.25">
      <c r="A48" s="3"/>
      <c r="B48" s="3"/>
      <c r="C48" s="3"/>
      <c r="D48" s="3"/>
      <c r="E48" s="3"/>
      <c r="F48" s="3"/>
    </row>
    <row r="49" spans="1:8" x14ac:dyDescent="0.25">
      <c r="A49" s="3" t="s">
        <v>669</v>
      </c>
      <c r="B49" s="809" t="s">
        <v>676</v>
      </c>
      <c r="C49" s="768" t="s">
        <v>677</v>
      </c>
      <c r="D49" s="807"/>
      <c r="E49" s="3"/>
      <c r="F49" s="3"/>
    </row>
    <row r="50" spans="1:8" x14ac:dyDescent="0.25">
      <c r="A50" s="3" t="s">
        <v>678</v>
      </c>
      <c r="B50" s="799">
        <f>VLOOKUP(B49,'Liste déroulante'!B91:C96,2,FALSE)</f>
        <v>1</v>
      </c>
      <c r="C50" s="6" t="s">
        <v>44</v>
      </c>
      <c r="D50" s="807"/>
      <c r="E50" s="3"/>
      <c r="F50" s="3"/>
    </row>
    <row r="51" spans="1:8" x14ac:dyDescent="0.25">
      <c r="A51" s="3" t="s">
        <v>679</v>
      </c>
      <c r="B51" s="801">
        <f>IF(B36='Liste déroulante'!B4,IF(D26&lt;26,MAX(D50,B50*SMIC_M),MAX(SMIC_M,B50*D49,D50)),0)</f>
        <v>0</v>
      </c>
      <c r="C51" s="3"/>
      <c r="D51" s="3"/>
      <c r="E51" s="3"/>
      <c r="F51" s="3"/>
    </row>
    <row r="52" spans="1:8" x14ac:dyDescent="0.25">
      <c r="A52" s="3" t="s">
        <v>685</v>
      </c>
      <c r="B52" s="801">
        <f>IFERROR(SBASECPRO/DUREE_CT,0)</f>
        <v>0</v>
      </c>
      <c r="C52" s="3"/>
      <c r="D52" s="3"/>
      <c r="E52" s="3"/>
      <c r="F52" s="3"/>
    </row>
    <row r="53" spans="1:8" x14ac:dyDescent="0.25">
      <c r="A53" s="3"/>
      <c r="B53" s="3"/>
      <c r="C53" s="3"/>
      <c r="D53" s="3"/>
      <c r="E53" s="3"/>
      <c r="F53" s="3"/>
    </row>
    <row r="54" spans="1:8" ht="15.75" thickBot="1" x14ac:dyDescent="0.3">
      <c r="A54" s="19"/>
      <c r="B54" s="19"/>
      <c r="C54" s="20"/>
      <c r="D54" s="19"/>
      <c r="E54" s="3"/>
      <c r="F54" s="3"/>
    </row>
    <row r="55" spans="1:8" ht="21.75" thickBot="1" x14ac:dyDescent="0.3">
      <c r="A55" s="829" t="s">
        <v>258</v>
      </c>
      <c r="B55" s="830"/>
      <c r="C55" s="830"/>
      <c r="D55" s="831"/>
      <c r="E55" s="34"/>
      <c r="F55" s="3"/>
    </row>
    <row r="56" spans="1:8" ht="15" customHeight="1" x14ac:dyDescent="0.25">
      <c r="A56" s="34"/>
      <c r="B56" s="34"/>
      <c r="C56" s="34"/>
      <c r="D56" s="34"/>
      <c r="E56" s="34"/>
      <c r="F56" s="3"/>
    </row>
    <row r="57" spans="1:8" x14ac:dyDescent="0.25">
      <c r="A57" s="151" t="s">
        <v>255</v>
      </c>
      <c r="B57" s="222" t="s">
        <v>256</v>
      </c>
      <c r="C57" s="812">
        <v>3269</v>
      </c>
      <c r="D57" s="148" t="str">
        <f>"pour "&amp; DUREELEGALE&amp;" h"</f>
        <v>pour 151,67 h</v>
      </c>
      <c r="E57" s="148"/>
      <c r="F57" s="3"/>
    </row>
    <row r="58" spans="1:8" x14ac:dyDescent="0.25">
      <c r="A58" s="148"/>
      <c r="B58" s="222" t="s">
        <v>257</v>
      </c>
      <c r="C58" s="801">
        <f>IF(D36='Liste déroulante'!B9,DUREE_CT*Plafond_Sécu_MOIS/DUREELEGALE,Plafond_Sécu_MOIS)</f>
        <v>3269</v>
      </c>
      <c r="D58" s="148" t="str">
        <f>"pour "&amp;ROUND(DUREE_CT,2)&amp;" h"</f>
        <v>pour 151,67 h</v>
      </c>
      <c r="E58" s="148"/>
      <c r="F58" s="3"/>
    </row>
    <row r="59" spans="1:8" x14ac:dyDescent="0.25">
      <c r="A59" s="148"/>
      <c r="B59" s="443" t="s">
        <v>193</v>
      </c>
      <c r="C59" s="787">
        <f>IF(Fin_ABSNR&gt;Début_ABSNR,Fin_ABSNR-Début_ABSNR+1,Fin_ABSNR-Début_ABSNR)</f>
        <v>0</v>
      </c>
      <c r="D59" s="148"/>
      <c r="E59" s="148"/>
      <c r="F59" s="3"/>
    </row>
    <row r="60" spans="1:8" x14ac:dyDescent="0.25">
      <c r="A60" s="148"/>
      <c r="B60" s="443" t="s">
        <v>194</v>
      </c>
      <c r="C60" s="787">
        <f>'INFO BULL'!D11-'INFO BULL'!D10+1</f>
        <v>31</v>
      </c>
      <c r="D60" s="822" t="s">
        <v>691</v>
      </c>
      <c r="E60" s="148"/>
      <c r="F60" s="3"/>
    </row>
    <row r="61" spans="1:8" x14ac:dyDescent="0.25">
      <c r="A61" s="148"/>
      <c r="B61" s="443" t="s">
        <v>195</v>
      </c>
      <c r="C61" s="787">
        <f>'INFO G'!C60-'INFO G'!C59</f>
        <v>31</v>
      </c>
      <c r="D61" s="148"/>
      <c r="E61" s="148"/>
      <c r="F61" s="3"/>
    </row>
    <row r="62" spans="1:8" x14ac:dyDescent="0.25">
      <c r="A62" s="148"/>
      <c r="B62" s="221" t="s">
        <v>322</v>
      </c>
      <c r="C62" s="802">
        <f>IF(OR('INFO BULL'!B25:D25='Liste déroulante'!B29,'INFO BULL'!B25:D25='Liste déroulante'!B30),PSS_Proratisé_Tpspartiel*'INFO G'!C61/30,IF('INFO BULL'!B25:D25='Liste déroulante'!B28,0,PSS_Proratisé_Tpspartiel))</f>
        <v>3269</v>
      </c>
      <c r="D62" s="148"/>
      <c r="E62" s="148"/>
      <c r="F62" s="3"/>
    </row>
    <row r="63" spans="1:8" x14ac:dyDescent="0.25">
      <c r="A63" s="148"/>
      <c r="B63" s="148"/>
      <c r="C63" s="148"/>
      <c r="D63" s="148"/>
      <c r="E63" s="148"/>
      <c r="F63" s="3"/>
    </row>
    <row r="64" spans="1:8" x14ac:dyDescent="0.25">
      <c r="A64" s="220" t="s">
        <v>320</v>
      </c>
      <c r="B64" s="222" t="s">
        <v>321</v>
      </c>
      <c r="C64" s="812">
        <v>3611.48</v>
      </c>
      <c r="D64" s="148" t="str">
        <f>"pour "&amp; DUREELEGALE&amp;" h"</f>
        <v>pour 151,67 h</v>
      </c>
      <c r="E64" s="148"/>
      <c r="F64" s="3"/>
      <c r="H64" s="1"/>
    </row>
    <row r="65" spans="1:8" x14ac:dyDescent="0.25">
      <c r="A65" s="220"/>
      <c r="B65" s="222" t="s">
        <v>257</v>
      </c>
      <c r="C65" s="801">
        <f>IF(D36='Liste déroulante'!B9,DUREE_CT*Plafond_Ch_GMP/DUREELEGALE,Plafond_Ch_GMP)</f>
        <v>3611.48</v>
      </c>
      <c r="D65" s="148" t="str">
        <f>"pour "&amp;ROUND(DUREE_CT,2)&amp;" h"</f>
        <v>pour 151,67 h</v>
      </c>
      <c r="E65" s="148"/>
      <c r="F65" s="3"/>
      <c r="H65" s="1"/>
    </row>
    <row r="66" spans="1:8" x14ac:dyDescent="0.25">
      <c r="A66" s="839" t="s">
        <v>323</v>
      </c>
      <c r="B66" s="839"/>
      <c r="C66" s="802">
        <f>IF(OR('INFO BULL'!B25='Liste déroulante'!B29,'INFO BULL'!B25='Liste déroulante'!B30),Plafond_Pro_GMP*'INFO G'!C61/30,IF('INFO BULL'!B25='Liste déroulante'!B28,0,Plafond_Pro_GMP))</f>
        <v>3611.48</v>
      </c>
      <c r="D66" s="148"/>
      <c r="E66" s="148"/>
      <c r="F66" s="3"/>
      <c r="H66" s="1"/>
    </row>
    <row r="67" spans="1:8" x14ac:dyDescent="0.25">
      <c r="A67" s="221"/>
      <c r="B67" s="221"/>
      <c r="C67" s="221"/>
      <c r="D67" s="148"/>
      <c r="E67" s="148"/>
      <c r="F67" s="3"/>
      <c r="H67" s="1"/>
    </row>
    <row r="68" spans="1:8" x14ac:dyDescent="0.25">
      <c r="A68" s="220" t="s">
        <v>325</v>
      </c>
      <c r="B68" s="222" t="s">
        <v>319</v>
      </c>
      <c r="C68" s="812">
        <v>342.48</v>
      </c>
      <c r="D68" s="148" t="str">
        <f>"pour "&amp; DUREELEGALE&amp;" h"</f>
        <v>pour 151,67 h</v>
      </c>
      <c r="E68" s="148"/>
      <c r="F68" s="3"/>
      <c r="H68" s="1"/>
    </row>
    <row r="69" spans="1:8" x14ac:dyDescent="0.25">
      <c r="A69" s="220"/>
      <c r="B69" s="222" t="s">
        <v>257</v>
      </c>
      <c r="C69" s="801">
        <f>IF(D36='Liste déroulante'!B9,Forfait_GMP*DUREE_CT/DUREELEGALE,Forfait_GMP)</f>
        <v>342.48</v>
      </c>
      <c r="D69" s="148" t="str">
        <f>"pour "&amp;ROUND(DUREE_CT,2)&amp;" h"</f>
        <v>pour 151,67 h</v>
      </c>
      <c r="E69" s="148"/>
      <c r="F69" s="3"/>
      <c r="H69" s="1"/>
    </row>
    <row r="70" spans="1:8" x14ac:dyDescent="0.25">
      <c r="A70" s="839" t="s">
        <v>324</v>
      </c>
      <c r="B70" s="839"/>
      <c r="C70" s="802">
        <f>IF(OR('INFO BULL'!B25='Liste déroulante'!B29,'INFO BULL'!B25='Liste déroulante'!B30),Forfait_GMP_Tpspartiel*'INFO G'!C61/30,IF('INFO BULL'!B25='Liste déroulante'!B28,0,Forfait_GMP_Tpspartiel))</f>
        <v>342.48</v>
      </c>
      <c r="D70" s="148"/>
      <c r="E70" s="148"/>
      <c r="F70" s="3"/>
      <c r="H70" s="1"/>
    </row>
    <row r="71" spans="1:8" x14ac:dyDescent="0.25">
      <c r="A71" s="148"/>
      <c r="B71" s="148"/>
      <c r="C71" s="148"/>
      <c r="D71" s="148"/>
      <c r="E71" s="148"/>
      <c r="F71" s="3"/>
      <c r="H71" s="1"/>
    </row>
    <row r="72" spans="1:8" ht="15.75" thickBot="1" x14ac:dyDescent="0.3">
      <c r="A72" s="19"/>
      <c r="B72" s="19"/>
      <c r="C72" s="20"/>
      <c r="D72" s="19"/>
      <c r="E72" s="3"/>
      <c r="F72" s="3"/>
      <c r="H72" s="1"/>
    </row>
    <row r="73" spans="1:8" ht="21.75" thickBot="1" x14ac:dyDescent="0.3">
      <c r="A73" s="829" t="s">
        <v>521</v>
      </c>
      <c r="B73" s="830"/>
      <c r="C73" s="830"/>
      <c r="D73" s="831"/>
      <c r="E73" s="34"/>
      <c r="F73" s="3"/>
      <c r="H73" s="1"/>
    </row>
    <row r="74" spans="1:8" ht="15" customHeight="1" x14ac:dyDescent="0.25">
      <c r="A74" s="771"/>
      <c r="B74" s="771"/>
      <c r="C74" s="771"/>
      <c r="D74" s="771"/>
      <c r="E74" s="579"/>
      <c r="F74" s="3"/>
      <c r="H74" s="1"/>
    </row>
    <row r="75" spans="1:8" ht="15" customHeight="1" x14ac:dyDescent="0.25">
      <c r="A75" s="771"/>
      <c r="B75" s="148" t="s">
        <v>665</v>
      </c>
      <c r="C75" s="148" t="s">
        <v>681</v>
      </c>
      <c r="D75" s="148" t="s">
        <v>682</v>
      </c>
      <c r="E75" s="579"/>
      <c r="F75" s="3"/>
      <c r="H75" s="1"/>
    </row>
    <row r="76" spans="1:8" ht="15" customHeight="1" x14ac:dyDescent="0.25">
      <c r="A76" s="222" t="s">
        <v>661</v>
      </c>
      <c r="B76" s="801">
        <f>IF(OR(B36='Liste déroulante'!B2,B36='Liste déroulante'!B3),SBRUT,"0")</f>
        <v>1875.9351648351649</v>
      </c>
      <c r="C76" s="801">
        <f>IF(BASECOT&gt;4*PSS_BULLETIN,BASECOT+('INFO G'!$B$118*'INFO G'!$D$118)+('INFO G'!$B$119*'INFO G'!$D$119),(BASECOT*98.25%)+('INFO G'!$B$118*'INFO G'!$D$118)+('INFO G'!$B$119*'INFO G'!$D$119))</f>
        <v>1955.6250027472529</v>
      </c>
      <c r="D76" s="771"/>
      <c r="E76" s="579"/>
      <c r="F76" s="3"/>
      <c r="H76" s="1"/>
    </row>
    <row r="77" spans="1:8" ht="15" customHeight="1" x14ac:dyDescent="0.25">
      <c r="A77" s="222" t="s">
        <v>662</v>
      </c>
      <c r="B77" s="801" t="str">
        <f>IF(B36='Liste déroulante'!B5,BASE_SMIC*(TXAPP-TXDEDUCAPP),"0")</f>
        <v>0</v>
      </c>
      <c r="C77" s="801">
        <v>0</v>
      </c>
      <c r="D77" s="771"/>
      <c r="E77" s="579"/>
      <c r="F77" s="3"/>
      <c r="H77" s="1"/>
    </row>
    <row r="78" spans="1:8" ht="15" customHeight="1" x14ac:dyDescent="0.25">
      <c r="A78" s="222" t="s">
        <v>680</v>
      </c>
      <c r="B78" s="801">
        <f>B51</f>
        <v>0</v>
      </c>
      <c r="C78" s="801">
        <f>IF(B36='Liste déroulante'!B4,IF(BASECOTPRO&gt;4*PSS_BULLETIN,BASECOTPRO+('INFO G'!$B$118*'INFO G'!$D$118)+('INFO G'!$B$119*'INFO G'!$D$119),(BASECOTPRO*98.25%)+('INFO G'!$B$118*'INFO G'!$D$118)+('INFO G'!$B$119*'INFO G'!$D$119)),0)</f>
        <v>0</v>
      </c>
      <c r="D78" s="801">
        <f>IF(D26&gt;45,IF(BASECOTPRO&gt;BASE_SMIC,BASECOTPRO-BASE_SMIC,0),0)</f>
        <v>0</v>
      </c>
      <c r="E78" s="579"/>
      <c r="F78" s="3"/>
      <c r="H78" s="1"/>
    </row>
    <row r="79" spans="1:8" ht="15" customHeight="1" x14ac:dyDescent="0.25">
      <c r="A79" s="771"/>
      <c r="B79" s="771"/>
      <c r="C79" s="771"/>
      <c r="D79" s="771"/>
      <c r="E79" s="579"/>
      <c r="F79" s="3"/>
      <c r="H79" s="1"/>
    </row>
    <row r="80" spans="1:8" ht="21" x14ac:dyDescent="0.25">
      <c r="A80" s="34"/>
      <c r="B80" s="147" t="s">
        <v>102</v>
      </c>
      <c r="C80" s="147" t="s">
        <v>103</v>
      </c>
      <c r="D80" s="147" t="s">
        <v>104</v>
      </c>
      <c r="E80" s="147"/>
      <c r="F80" s="3"/>
      <c r="H80" s="1"/>
    </row>
    <row r="81" spans="1:8" x14ac:dyDescent="0.25">
      <c r="A81" s="836" t="s">
        <v>68</v>
      </c>
      <c r="B81" s="837"/>
      <c r="C81" s="837"/>
      <c r="D81" s="838"/>
      <c r="E81" s="571"/>
      <c r="F81" s="3"/>
      <c r="H81" s="1"/>
    </row>
    <row r="82" spans="1:8" x14ac:dyDescent="0.25">
      <c r="A82" s="223" t="s">
        <v>69</v>
      </c>
      <c r="B82" s="428">
        <f>MAX(C76:C78)</f>
        <v>1955.6250027472529</v>
      </c>
      <c r="C82" s="419">
        <v>5.0999999999999997E-2</v>
      </c>
      <c r="D82" s="425"/>
      <c r="E82" s="563"/>
      <c r="F82" s="3"/>
      <c r="H82" s="1"/>
    </row>
    <row r="83" spans="1:8" x14ac:dyDescent="0.25">
      <c r="A83" s="224"/>
      <c r="B83" s="225"/>
      <c r="C83" s="421"/>
      <c r="D83" s="422"/>
      <c r="E83" s="563"/>
      <c r="F83" s="3"/>
    </row>
    <row r="84" spans="1:8" x14ac:dyDescent="0.25">
      <c r="A84" s="836" t="s">
        <v>77</v>
      </c>
      <c r="B84" s="837"/>
      <c r="C84" s="837"/>
      <c r="D84" s="838"/>
      <c r="E84" s="571"/>
      <c r="F84" s="3"/>
    </row>
    <row r="85" spans="1:8" x14ac:dyDescent="0.25">
      <c r="A85" s="223" t="s">
        <v>70</v>
      </c>
      <c r="B85" s="713">
        <f>IF(B36='Liste déroulante'!B5,0,MAX(B76,BASECOTPRO))</f>
        <v>1875.9351648351649</v>
      </c>
      <c r="C85" s="419">
        <v>7.4999999999999997E-3</v>
      </c>
      <c r="D85" s="420">
        <v>0.12889999999999999</v>
      </c>
      <c r="E85" s="563" t="s">
        <v>683</v>
      </c>
      <c r="F85" s="3"/>
    </row>
    <row r="86" spans="1:8" x14ac:dyDescent="0.25">
      <c r="A86" s="226" t="s">
        <v>71</v>
      </c>
      <c r="B86" s="712">
        <f>IF(B36='Liste déroulante'!B5,0,NC_TR1+C_TRA)</f>
        <v>1875.9351648351649</v>
      </c>
      <c r="C86" s="423">
        <v>6.9000000000000006E-2</v>
      </c>
      <c r="D86" s="424">
        <v>8.5500000000000007E-2</v>
      </c>
      <c r="E86" s="563" t="s">
        <v>683</v>
      </c>
      <c r="F86" s="3"/>
    </row>
    <row r="87" spans="1:8" x14ac:dyDescent="0.25">
      <c r="A87" s="226" t="s">
        <v>72</v>
      </c>
      <c r="B87" s="712">
        <f>IF(B36='Liste déroulante'!B5,0,MAX(BASECOT,BASECOTPRO))</f>
        <v>1875.9351648351649</v>
      </c>
      <c r="C87" s="423">
        <v>4.0000000000000001E-3</v>
      </c>
      <c r="D87" s="424">
        <v>1.9E-2</v>
      </c>
      <c r="E87" s="563" t="s">
        <v>683</v>
      </c>
      <c r="F87" s="3"/>
    </row>
    <row r="88" spans="1:8" x14ac:dyDescent="0.25">
      <c r="A88" s="226" t="s">
        <v>73</v>
      </c>
      <c r="B88" s="712">
        <f>IF(B36='Liste déroulante'!B5,0,MAX(BASECOT,BASECOTPRO))</f>
        <v>1875.9351648351649</v>
      </c>
      <c r="C88" s="426"/>
      <c r="D88" s="424">
        <f>IF(SBRUT&gt;=3.5*BASE_SMIC,5.25%,3.45%)</f>
        <v>3.4500000000000003E-2</v>
      </c>
      <c r="E88" s="563" t="s">
        <v>683</v>
      </c>
      <c r="F88" s="3" t="s">
        <v>684</v>
      </c>
    </row>
    <row r="89" spans="1:8" x14ac:dyDescent="0.25">
      <c r="A89" s="226" t="s">
        <v>74</v>
      </c>
      <c r="B89" s="712">
        <f>MAX(BASECOTAPP,BASECOT,BASECOTPRO)</f>
        <v>1875.9351648351649</v>
      </c>
      <c r="C89" s="426"/>
      <c r="D89" s="424">
        <f>B15</f>
        <v>1.2500000000000001E-2</v>
      </c>
      <c r="E89" s="563"/>
      <c r="F89" s="3" t="s">
        <v>684</v>
      </c>
    </row>
    <row r="90" spans="1:8" x14ac:dyDescent="0.25">
      <c r="A90" s="226" t="s">
        <v>75</v>
      </c>
      <c r="B90" s="712">
        <f>IF(EFFECTIF&gt;11,(B119*D119)+(B118*D118),0)</f>
        <v>112.51870329670331</v>
      </c>
      <c r="C90" s="426"/>
      <c r="D90" s="424">
        <v>0.08</v>
      </c>
      <c r="E90" s="563"/>
      <c r="F90" s="3" t="s">
        <v>684</v>
      </c>
    </row>
    <row r="91" spans="1:8" x14ac:dyDescent="0.25">
      <c r="A91" s="226" t="s">
        <v>76</v>
      </c>
      <c r="B91" s="712">
        <f>MAX(BASECOTAPP,BASECOT,BASECOTPRO)</f>
        <v>1875.9351648351649</v>
      </c>
      <c r="C91" s="426"/>
      <c r="D91" s="424">
        <v>3.0000000000000001E-3</v>
      </c>
      <c r="E91" s="563"/>
      <c r="F91" s="3"/>
    </row>
    <row r="92" spans="1:8" x14ac:dyDescent="0.25">
      <c r="A92" s="224"/>
      <c r="B92" s="775"/>
      <c r="C92" s="427"/>
      <c r="D92" s="422"/>
      <c r="E92" s="563"/>
      <c r="F92" s="3"/>
    </row>
    <row r="93" spans="1:8" x14ac:dyDescent="0.25">
      <c r="A93" s="836" t="s">
        <v>78</v>
      </c>
      <c r="B93" s="837"/>
      <c r="C93" s="837"/>
      <c r="D93" s="838"/>
      <c r="E93" s="571"/>
      <c r="F93" s="3"/>
    </row>
    <row r="94" spans="1:8" x14ac:dyDescent="0.25">
      <c r="A94" s="223" t="s">
        <v>79</v>
      </c>
      <c r="B94" s="431">
        <f>IF(B36='Liste déroulante'!B5,0,IF(SBRUT&gt;4*PSS_BULLETIN,4*PSS_BULLETIN,SBRUT))</f>
        <v>1875.9351648351649</v>
      </c>
      <c r="C94" s="419">
        <v>2.4E-2</v>
      </c>
      <c r="D94" s="420">
        <f>B16</f>
        <v>4.0500000000000001E-2</v>
      </c>
      <c r="E94" s="563"/>
      <c r="F94" s="3"/>
    </row>
    <row r="95" spans="1:8" x14ac:dyDescent="0.25">
      <c r="A95" s="226" t="s">
        <v>80</v>
      </c>
      <c r="B95" s="432"/>
      <c r="C95" s="423"/>
      <c r="D95" s="424"/>
      <c r="E95" s="563"/>
      <c r="F95" s="3"/>
    </row>
    <row r="96" spans="1:8" x14ac:dyDescent="0.25">
      <c r="A96" s="226" t="s">
        <v>81</v>
      </c>
      <c r="B96" s="432">
        <f>IF(B36='Liste déroulante'!B5,0,IF(SBRUT&gt;4*PSS_BULLETIN,4*PSS_BULLETIN,SBRUT))</f>
        <v>1875.9351648351649</v>
      </c>
      <c r="C96" s="426"/>
      <c r="D96" s="424">
        <v>1.5E-3</v>
      </c>
      <c r="E96" s="563"/>
      <c r="F96" s="3"/>
    </row>
    <row r="97" spans="1:6" x14ac:dyDescent="0.25">
      <c r="A97" s="224"/>
      <c r="B97" s="433"/>
      <c r="C97" s="421"/>
      <c r="D97" s="422"/>
      <c r="E97" s="563"/>
      <c r="F97" s="3"/>
    </row>
    <row r="98" spans="1:6" x14ac:dyDescent="0.25">
      <c r="A98" s="836" t="s">
        <v>82</v>
      </c>
      <c r="B98" s="837"/>
      <c r="C98" s="837"/>
      <c r="D98" s="838"/>
      <c r="E98" s="571"/>
      <c r="F98" s="3"/>
    </row>
    <row r="99" spans="1:6" x14ac:dyDescent="0.25">
      <c r="A99" s="223" t="s">
        <v>83</v>
      </c>
      <c r="B99" s="431">
        <f>IF(B36='Liste déroulante'!B5,BASECOTAPP,NC_TR1)</f>
        <v>1875.9351648351649</v>
      </c>
      <c r="C99" s="419">
        <v>3.1E-2</v>
      </c>
      <c r="D99" s="420">
        <v>4.65E-2</v>
      </c>
      <c r="E99" s="847" t="s">
        <v>101</v>
      </c>
      <c r="F99" s="3"/>
    </row>
    <row r="100" spans="1:6" x14ac:dyDescent="0.25">
      <c r="A100" s="226" t="s">
        <v>84</v>
      </c>
      <c r="B100" s="432">
        <f>IF(B36='Liste déroulante'!B5,BASECOTAPP,NC_TR1)</f>
        <v>1875.9351648351649</v>
      </c>
      <c r="C100" s="423">
        <v>8.0000000000000002E-3</v>
      </c>
      <c r="D100" s="424">
        <v>1.2E-2</v>
      </c>
      <c r="E100" s="848"/>
      <c r="F100" s="3"/>
    </row>
    <row r="101" spans="1:6" x14ac:dyDescent="0.25">
      <c r="A101" s="226" t="s">
        <v>85</v>
      </c>
      <c r="B101" s="432">
        <f>IF(B36='Liste déroulante'!B5,0,NC_TR2)</f>
        <v>0</v>
      </c>
      <c r="C101" s="423">
        <v>8.1000000000000003E-2</v>
      </c>
      <c r="D101" s="424">
        <v>0.1215</v>
      </c>
      <c r="E101" s="848"/>
      <c r="F101" s="3"/>
    </row>
    <row r="102" spans="1:6" x14ac:dyDescent="0.25">
      <c r="A102" s="226" t="s">
        <v>86</v>
      </c>
      <c r="B102" s="432">
        <f>IF(B36='Liste déroulante'!B5,0,NC_TR2)</f>
        <v>0</v>
      </c>
      <c r="C102" s="423">
        <v>8.9999999999999993E-3</v>
      </c>
      <c r="D102" s="424">
        <v>1.2999999999999999E-2</v>
      </c>
      <c r="E102" s="848"/>
      <c r="F102" s="3"/>
    </row>
    <row r="103" spans="1:6" x14ac:dyDescent="0.25">
      <c r="A103" s="226"/>
      <c r="B103" s="432"/>
      <c r="C103" s="423"/>
      <c r="D103" s="424"/>
      <c r="E103" s="848"/>
      <c r="F103" s="3"/>
    </row>
    <row r="104" spans="1:6" x14ac:dyDescent="0.25">
      <c r="A104" s="226"/>
      <c r="B104" s="432"/>
      <c r="C104" s="423"/>
      <c r="D104" s="424"/>
      <c r="E104" s="848"/>
      <c r="F104" s="3"/>
    </row>
    <row r="105" spans="1:6" x14ac:dyDescent="0.25">
      <c r="A105" s="226"/>
      <c r="B105" s="432"/>
      <c r="C105" s="423"/>
      <c r="D105" s="424"/>
      <c r="E105" s="848"/>
      <c r="F105" s="3"/>
    </row>
    <row r="106" spans="1:6" x14ac:dyDescent="0.25">
      <c r="A106" s="226"/>
      <c r="B106" s="432"/>
      <c r="C106" s="423"/>
      <c r="D106" s="424"/>
      <c r="E106" s="848"/>
      <c r="F106" s="3"/>
    </row>
    <row r="107" spans="1:6" x14ac:dyDescent="0.25">
      <c r="A107" s="224"/>
      <c r="B107" s="433"/>
      <c r="C107" s="421"/>
      <c r="D107" s="422"/>
      <c r="E107" s="848"/>
      <c r="F107" s="3"/>
    </row>
    <row r="108" spans="1:6" x14ac:dyDescent="0.25">
      <c r="A108" s="223" t="s">
        <v>105</v>
      </c>
      <c r="B108" s="713">
        <f>C_TRA</f>
        <v>0</v>
      </c>
      <c r="C108" s="419">
        <v>3.1E-2</v>
      </c>
      <c r="D108" s="420">
        <v>4.65E-2</v>
      </c>
      <c r="E108" s="847" t="s">
        <v>115</v>
      </c>
      <c r="F108" s="3"/>
    </row>
    <row r="109" spans="1:6" x14ac:dyDescent="0.25">
      <c r="A109" s="226" t="s">
        <v>106</v>
      </c>
      <c r="B109" s="712">
        <f>C_TRA</f>
        <v>0</v>
      </c>
      <c r="C109" s="423">
        <v>8.0000000000000002E-3</v>
      </c>
      <c r="D109" s="424">
        <v>1.2E-2</v>
      </c>
      <c r="E109" s="848"/>
      <c r="F109" s="3"/>
    </row>
    <row r="110" spans="1:6" x14ac:dyDescent="0.25">
      <c r="A110" s="226" t="s">
        <v>107</v>
      </c>
      <c r="B110" s="712">
        <f>C_TRB</f>
        <v>0</v>
      </c>
      <c r="C110" s="423">
        <v>7.8E-2</v>
      </c>
      <c r="D110" s="424">
        <v>0.1275</v>
      </c>
      <c r="E110" s="848"/>
      <c r="F110" s="3"/>
    </row>
    <row r="111" spans="1:6" x14ac:dyDescent="0.25">
      <c r="A111" s="226" t="s">
        <v>108</v>
      </c>
      <c r="B111" s="712">
        <f>C_GMP</f>
        <v>0</v>
      </c>
      <c r="C111" s="423">
        <v>7.8E-2</v>
      </c>
      <c r="D111" s="424">
        <v>0.1275</v>
      </c>
      <c r="E111" s="848"/>
      <c r="F111" s="3"/>
    </row>
    <row r="112" spans="1:6" x14ac:dyDescent="0.25">
      <c r="A112" s="226" t="s">
        <v>109</v>
      </c>
      <c r="B112" s="712">
        <f>C_TRB</f>
        <v>0</v>
      </c>
      <c r="C112" s="423">
        <v>8.9999999999999993E-3</v>
      </c>
      <c r="D112" s="424">
        <v>1.2999999999999999E-2</v>
      </c>
      <c r="E112" s="848"/>
      <c r="F112" s="3"/>
    </row>
    <row r="113" spans="1:6" x14ac:dyDescent="0.25">
      <c r="A113" s="226" t="s">
        <v>110</v>
      </c>
      <c r="B113" s="712">
        <f>IF(B36='Liste déroulante'!B2,IF(SBRUT&gt;4*PSS_BULLETIN,4*PSS_BULLETIN,SBRUT),0)</f>
        <v>0</v>
      </c>
      <c r="C113" s="429">
        <v>2.4000000000000001E-4</v>
      </c>
      <c r="D113" s="430">
        <v>3.6000000000000002E-4</v>
      </c>
      <c r="E113" s="848"/>
      <c r="F113" s="3"/>
    </row>
    <row r="114" spans="1:6" x14ac:dyDescent="0.25">
      <c r="A114" s="226" t="s">
        <v>111</v>
      </c>
      <c r="B114" s="712">
        <f>C_TRC</f>
        <v>0</v>
      </c>
      <c r="C114" s="423">
        <v>7.8E-2</v>
      </c>
      <c r="D114" s="424">
        <v>0.1275</v>
      </c>
      <c r="E114" s="848"/>
      <c r="F114" s="3"/>
    </row>
    <row r="115" spans="1:6" x14ac:dyDescent="0.25">
      <c r="A115" s="226" t="s">
        <v>112</v>
      </c>
      <c r="B115" s="712">
        <f>IF(B36='Liste déroulante'!B2,IF(SBRUT&gt;8*PSS_BULLETIN,8*PSS_BULLETIN,SBRUT),0)</f>
        <v>0</v>
      </c>
      <c r="C115" s="423">
        <v>1.2999999999999999E-3</v>
      </c>
      <c r="D115" s="424">
        <v>2.2000000000000001E-3</v>
      </c>
      <c r="E115" s="848"/>
      <c r="F115" s="3"/>
    </row>
    <row r="116" spans="1:6" x14ac:dyDescent="0.25">
      <c r="A116" s="226" t="s">
        <v>113</v>
      </c>
      <c r="B116" s="712">
        <f>IF(B20="",0,IF(MAX(BASECOT,BASECOTAPP)&gt;PSS_BULLETIN,PSS_BULLETIN,MAX(BASECOT,BASECOTAPP)))</f>
        <v>1875.9351648351649</v>
      </c>
      <c r="C116" s="426"/>
      <c r="D116" s="424">
        <v>1.4999999999999999E-2</v>
      </c>
      <c r="E116" s="848"/>
      <c r="F116" s="3"/>
    </row>
    <row r="117" spans="1:6" x14ac:dyDescent="0.25">
      <c r="A117" s="226"/>
      <c r="B117" s="432"/>
      <c r="C117" s="423"/>
      <c r="D117" s="424"/>
      <c r="E117" s="3"/>
      <c r="F117" s="3"/>
    </row>
    <row r="118" spans="1:6" x14ac:dyDescent="0.25">
      <c r="A118" s="226" t="s">
        <v>87</v>
      </c>
      <c r="B118" s="432">
        <f>IF(B19="",0,B19)</f>
        <v>150</v>
      </c>
      <c r="C118" s="423">
        <f>IF(D19="","",D19)</f>
        <v>0.5</v>
      </c>
      <c r="D118" s="424">
        <f>IF(B118=0,0,100%-C118)</f>
        <v>0.5</v>
      </c>
      <c r="E118" s="3"/>
      <c r="F118" s="3"/>
    </row>
    <row r="119" spans="1:6" x14ac:dyDescent="0.25">
      <c r="A119" s="224" t="s">
        <v>114</v>
      </c>
      <c r="B119" s="433">
        <f>IF(B36='Liste déroulante'!B5,BASECOTAPP,IF(SBRUT&gt;PSS_BULLETIN,PSS_BULLETIN,SBRUT))</f>
        <v>1875.9351648351649</v>
      </c>
      <c r="C119" s="421">
        <f>B20</f>
        <v>0.01</v>
      </c>
      <c r="D119" s="422">
        <f>D20</f>
        <v>0.02</v>
      </c>
      <c r="E119" s="3"/>
      <c r="F119" s="3"/>
    </row>
    <row r="120" spans="1:6" x14ac:dyDescent="0.25">
      <c r="A120" s="836" t="s">
        <v>88</v>
      </c>
      <c r="B120" s="837"/>
      <c r="C120" s="837"/>
      <c r="D120" s="838"/>
      <c r="E120" s="3"/>
      <c r="F120" s="3"/>
    </row>
    <row r="121" spans="1:6" x14ac:dyDescent="0.25">
      <c r="A121" s="223" t="s">
        <v>89</v>
      </c>
      <c r="B121" s="431">
        <f>IF(EFFECTIF&gt;20,MAX(BASECOT,BASECOTAPP,BASECOTPRO),IF(MAX(BASECOT,BASECOTAPP,BASECOTPRO)&gt;PSS_BULLETIN,PSS_BULLETIN,MAX(BASECOT,BASECOTAPP,BASECOTPRO)))</f>
        <v>1875.9351648351649</v>
      </c>
      <c r="C121" s="426"/>
      <c r="D121" s="420">
        <f>IF(EFFECTIF&gt;=20,0.5%,0.1%)</f>
        <v>5.0000000000000001E-3</v>
      </c>
      <c r="E121" s="3"/>
      <c r="F121" s="3"/>
    </row>
    <row r="122" spans="1:6" x14ac:dyDescent="0.25">
      <c r="A122" s="226" t="s">
        <v>90</v>
      </c>
      <c r="B122" s="432">
        <f>MAX(BASECOTPRO,BASECOTAPP,BASECOT)</f>
        <v>1875.9351648351649</v>
      </c>
      <c r="C122" s="426"/>
      <c r="D122" s="424">
        <v>0.01</v>
      </c>
      <c r="E122" s="3"/>
      <c r="F122" s="3"/>
    </row>
    <row r="123" spans="1:6" x14ac:dyDescent="0.25">
      <c r="A123" s="226" t="s">
        <v>91</v>
      </c>
      <c r="B123" s="432">
        <f>MAX(BASECOTPRO,BASECOTAPP,BASECOT)</f>
        <v>1875.9351648351649</v>
      </c>
      <c r="C123" s="426"/>
      <c r="D123" s="430">
        <v>1.6000000000000001E-4</v>
      </c>
      <c r="E123" s="3"/>
      <c r="F123" s="3"/>
    </row>
    <row r="124" spans="1:6" x14ac:dyDescent="0.25">
      <c r="A124" s="226" t="s">
        <v>92</v>
      </c>
      <c r="B124" s="432">
        <f>B82</f>
        <v>1955.6250027472529</v>
      </c>
      <c r="C124" s="423">
        <v>2.4E-2</v>
      </c>
      <c r="D124" s="426"/>
      <c r="E124" s="3"/>
      <c r="F124" s="3"/>
    </row>
    <row r="125" spans="1:6" x14ac:dyDescent="0.25">
      <c r="A125" s="226" t="s">
        <v>93</v>
      </c>
      <c r="B125" s="432">
        <f>B82</f>
        <v>1955.6250027472529</v>
      </c>
      <c r="C125" s="423">
        <v>5.0000000000000001E-3</v>
      </c>
      <c r="D125" s="426"/>
      <c r="E125" s="3"/>
      <c r="F125" s="3"/>
    </row>
    <row r="126" spans="1:6" x14ac:dyDescent="0.25">
      <c r="A126" s="226" t="s">
        <v>94</v>
      </c>
      <c r="B126" s="432">
        <f>IF(EFFECTIF&gt;11,MAX(BASECOT,BASECOTAPP,BASECOTPRO),"")</f>
        <v>1875.9351648351649</v>
      </c>
      <c r="C126" s="426"/>
      <c r="D126" s="424">
        <f>IF(B17&gt;=11,B17,0)</f>
        <v>0</v>
      </c>
      <c r="E126" s="3"/>
      <c r="F126" s="3"/>
    </row>
    <row r="127" spans="1:6" x14ac:dyDescent="0.25">
      <c r="A127" s="226" t="s">
        <v>95</v>
      </c>
      <c r="B127" s="432" t="s">
        <v>667</v>
      </c>
      <c r="C127" s="426"/>
      <c r="D127" s="450">
        <f>-FILLON!L5</f>
        <v>-362.35396245941644</v>
      </c>
      <c r="E127" s="3"/>
      <c r="F127" s="3"/>
    </row>
    <row r="128" spans="1:6" x14ac:dyDescent="0.25">
      <c r="A128" s="226" t="s">
        <v>96</v>
      </c>
      <c r="B128" s="432" t="s">
        <v>668</v>
      </c>
      <c r="C128" s="426"/>
      <c r="D128" s="451">
        <v>1.5</v>
      </c>
      <c r="E128" s="3"/>
      <c r="F128" s="3"/>
    </row>
    <row r="129" spans="1:6" x14ac:dyDescent="0.25">
      <c r="A129" s="226" t="s">
        <v>97</v>
      </c>
      <c r="B129" s="432">
        <f>IF(EFFECTIF&gt;=20,MAX(BASECOT,BASECOTAPP,BASECOTPRO),"")</f>
        <v>1875.9351648351649</v>
      </c>
      <c r="C129" s="426"/>
      <c r="D129" s="424">
        <f>IF(EFFECTIF&gt;=20,0.45%,0)</f>
        <v>4.5000000000000005E-3</v>
      </c>
      <c r="E129" s="3"/>
      <c r="F129" s="3"/>
    </row>
    <row r="130" spans="1:6" x14ac:dyDescent="0.25">
      <c r="A130" s="226" t="s">
        <v>98</v>
      </c>
      <c r="B130" s="432" t="str">
        <f>IF(D16='Liste déroulante'!D2,"",MAX(BASECOTAPP,BASECOT,BASECOTPRO))</f>
        <v/>
      </c>
      <c r="C130" s="426"/>
      <c r="D130" s="424">
        <v>4.2500000000000003E-2</v>
      </c>
      <c r="E130" s="3"/>
      <c r="F130" s="3"/>
    </row>
    <row r="131" spans="1:6" x14ac:dyDescent="0.25">
      <c r="A131" s="226" t="s">
        <v>99</v>
      </c>
      <c r="B131" s="432">
        <f>MAX(BASECOT,BASECOTAPP,BASECOTPRO)</f>
        <v>1875.9351648351649</v>
      </c>
      <c r="C131" s="426"/>
      <c r="D131" s="424">
        <v>6.7999999999999996E-3</v>
      </c>
      <c r="E131" s="3"/>
      <c r="F131" s="3"/>
    </row>
    <row r="132" spans="1:6" x14ac:dyDescent="0.25">
      <c r="A132" s="224" t="s">
        <v>100</v>
      </c>
      <c r="B132" s="433">
        <f>MAX(BASECOT,BASECOTAPP,BASECOTPRO)</f>
        <v>1875.9351648351649</v>
      </c>
      <c r="C132" s="427"/>
      <c r="D132" s="422">
        <f>VLOOKUP(B18,'Liste déroulante'!B99:C102,2,FALSE)</f>
        <v>0.01</v>
      </c>
      <c r="E132" s="3"/>
      <c r="F132" s="3"/>
    </row>
    <row r="133" spans="1:6" x14ac:dyDescent="0.25">
      <c r="A133" s="3"/>
      <c r="B133" s="798"/>
      <c r="C133" s="798"/>
      <c r="D133" s="563"/>
      <c r="E133" s="3"/>
      <c r="F133" s="3"/>
    </row>
    <row r="134" spans="1:6" ht="15.75" thickBot="1" x14ac:dyDescent="0.3">
      <c r="A134" s="19"/>
      <c r="B134" s="19"/>
      <c r="C134" s="20"/>
      <c r="D134" s="19"/>
      <c r="E134" s="3"/>
      <c r="F134" s="3"/>
    </row>
    <row r="135" spans="1:6" ht="21.75" thickBot="1" x14ac:dyDescent="0.3">
      <c r="A135" s="829" t="s">
        <v>263</v>
      </c>
      <c r="B135" s="830"/>
      <c r="C135" s="830"/>
      <c r="D135" s="831"/>
      <c r="E135" s="3"/>
      <c r="F135" s="3"/>
    </row>
    <row r="136" spans="1:6" ht="15" customHeight="1" x14ac:dyDescent="0.25">
      <c r="A136" s="3"/>
      <c r="B136" s="3"/>
      <c r="C136" s="3"/>
      <c r="D136" s="3"/>
      <c r="E136" s="3"/>
      <c r="F136" s="3"/>
    </row>
    <row r="137" spans="1:6" x14ac:dyDescent="0.25">
      <c r="A137" s="833" t="s">
        <v>101</v>
      </c>
      <c r="B137" s="834"/>
      <c r="C137" s="834"/>
      <c r="D137" s="835"/>
      <c r="E137" s="3"/>
      <c r="F137" s="3"/>
    </row>
    <row r="138" spans="1:6" x14ac:dyDescent="0.25">
      <c r="A138" s="3"/>
      <c r="B138" s="3"/>
      <c r="C138" s="3"/>
      <c r="D138" s="3"/>
      <c r="E138" s="3"/>
      <c r="F138" s="3"/>
    </row>
    <row r="139" spans="1:6" x14ac:dyDescent="0.25">
      <c r="A139" s="2" t="s">
        <v>522</v>
      </c>
      <c r="B139" s="821">
        <f>IF(B36='Liste déroulante'!B2,0,'REGUL PLAFOND'!I5)</f>
        <v>1875.9351648351649</v>
      </c>
      <c r="C139" s="2" t="s">
        <v>523</v>
      </c>
      <c r="D139" s="821">
        <f>IF(B36='Liste déroulante'!B2,0,'REGUL PLAFOND'!J5)</f>
        <v>0</v>
      </c>
      <c r="E139" s="3"/>
      <c r="F139" s="3"/>
    </row>
    <row r="140" spans="1:6" x14ac:dyDescent="0.25">
      <c r="A140" s="3"/>
      <c r="B140" s="3"/>
      <c r="C140" s="3"/>
      <c r="D140" s="3"/>
      <c r="E140" s="3"/>
      <c r="F140" s="3"/>
    </row>
    <row r="141" spans="1:6" x14ac:dyDescent="0.25">
      <c r="A141" s="833" t="s">
        <v>115</v>
      </c>
      <c r="B141" s="834"/>
      <c r="C141" s="834"/>
      <c r="D141" s="835"/>
      <c r="E141" s="3"/>
      <c r="F141" s="3"/>
    </row>
    <row r="142" spans="1:6" x14ac:dyDescent="0.25">
      <c r="A142" s="3"/>
      <c r="B142" s="3"/>
      <c r="C142" s="3"/>
      <c r="D142" s="3"/>
      <c r="E142" s="3"/>
      <c r="F142" s="3"/>
    </row>
    <row r="143" spans="1:6" x14ac:dyDescent="0.25">
      <c r="A143" s="2" t="s">
        <v>268</v>
      </c>
      <c r="B143" s="821">
        <f>IF(B36='Liste déroulante'!B2,'REGUL PLAFOND'!I5,0)</f>
        <v>0</v>
      </c>
      <c r="C143" s="2" t="s">
        <v>276</v>
      </c>
      <c r="D143" s="821">
        <f>IF(B36='Liste déroulante'!B2,'REGUL PLAFOND'!K5,0)</f>
        <v>0</v>
      </c>
      <c r="E143" s="3"/>
      <c r="F143" s="3"/>
    </row>
    <row r="144" spans="1:6" x14ac:dyDescent="0.25">
      <c r="A144" s="2" t="s">
        <v>272</v>
      </c>
      <c r="B144" s="821">
        <f>IF(B36='Liste déroulante'!B2,'REGUL PLAFOND'!J5,0)</f>
        <v>0</v>
      </c>
      <c r="C144" s="2" t="s">
        <v>108</v>
      </c>
      <c r="D144" s="821">
        <f>IF(B36='Liste déroulante'!B2,'REGUL PLAFOND'!L5,0)</f>
        <v>0</v>
      </c>
      <c r="E144" s="3"/>
      <c r="F144" s="3"/>
    </row>
    <row r="145" spans="1:6" x14ac:dyDescent="0.25">
      <c r="A145" s="3"/>
      <c r="B145" s="3"/>
      <c r="C145" s="3"/>
      <c r="D145" s="3"/>
      <c r="E145" s="3"/>
      <c r="F145" s="3"/>
    </row>
    <row r="146" spans="1:6" x14ac:dyDescent="0.25">
      <c r="A146" s="3"/>
      <c r="B146" s="3"/>
      <c r="C146" s="3"/>
      <c r="D146" s="3"/>
      <c r="E146" s="3"/>
      <c r="F146" s="3"/>
    </row>
    <row r="147" spans="1:6" x14ac:dyDescent="0.25">
      <c r="A147" s="3"/>
      <c r="B147" s="3"/>
      <c r="C147" s="3"/>
      <c r="D147" s="3"/>
      <c r="E147" s="3"/>
      <c r="F147" s="3"/>
    </row>
    <row r="148" spans="1:6" x14ac:dyDescent="0.25">
      <c r="A148" s="3"/>
      <c r="B148" s="3"/>
      <c r="C148" s="3"/>
      <c r="D148" s="3"/>
      <c r="E148" s="3"/>
      <c r="F148" s="3"/>
    </row>
    <row r="149" spans="1:6" x14ac:dyDescent="0.25">
      <c r="A149" s="3"/>
      <c r="B149" s="3"/>
      <c r="C149" s="3"/>
      <c r="D149" s="3"/>
      <c r="E149" s="3"/>
      <c r="F149" s="3"/>
    </row>
    <row r="150" spans="1:6" x14ac:dyDescent="0.25">
      <c r="A150" s="3"/>
      <c r="B150" s="3"/>
      <c r="C150" s="3"/>
      <c r="D150" s="3"/>
      <c r="E150" s="3"/>
      <c r="F150" s="3"/>
    </row>
    <row r="151" spans="1:6" x14ac:dyDescent="0.25">
      <c r="A151" s="3"/>
      <c r="B151" s="3"/>
      <c r="C151" s="3"/>
      <c r="D151" s="3"/>
      <c r="E151" s="3"/>
      <c r="F151" s="3"/>
    </row>
    <row r="152" spans="1:6" x14ac:dyDescent="0.25">
      <c r="A152" s="3"/>
      <c r="B152" s="3"/>
      <c r="C152" s="3"/>
      <c r="D152" s="3"/>
      <c r="E152" s="3"/>
      <c r="F152" s="3"/>
    </row>
    <row r="153" spans="1:6" x14ac:dyDescent="0.25">
      <c r="A153" s="3"/>
      <c r="B153" s="3"/>
      <c r="C153" s="3"/>
      <c r="D153" s="3"/>
      <c r="E153" s="3"/>
      <c r="F153" s="3"/>
    </row>
    <row r="154" spans="1:6" x14ac:dyDescent="0.25">
      <c r="A154" s="3"/>
      <c r="B154" s="3"/>
      <c r="C154" s="3"/>
      <c r="D154" s="3"/>
      <c r="E154" s="3"/>
      <c r="F154" s="3"/>
    </row>
    <row r="155" spans="1:6" x14ac:dyDescent="0.25">
      <c r="A155" s="3"/>
      <c r="B155" s="3"/>
      <c r="C155" s="3"/>
      <c r="D155" s="3"/>
      <c r="E155" s="3"/>
      <c r="F155" s="3"/>
    </row>
    <row r="156" spans="1:6" x14ac:dyDescent="0.25">
      <c r="A156" s="3"/>
      <c r="B156" s="3"/>
      <c r="C156" s="3"/>
      <c r="D156" s="3"/>
      <c r="E156" s="3"/>
      <c r="F156" s="3"/>
    </row>
    <row r="157" spans="1:6" x14ac:dyDescent="0.25">
      <c r="A157" s="3"/>
      <c r="B157" s="3"/>
      <c r="C157" s="3"/>
      <c r="D157" s="3"/>
      <c r="E157" s="3"/>
      <c r="F157" s="3"/>
    </row>
    <row r="158" spans="1:6" x14ac:dyDescent="0.25">
      <c r="A158" s="3"/>
      <c r="B158" s="3"/>
      <c r="C158" s="3"/>
      <c r="D158" s="3"/>
      <c r="E158" s="3"/>
      <c r="F158" s="3"/>
    </row>
    <row r="159" spans="1:6" x14ac:dyDescent="0.25">
      <c r="A159" s="3"/>
      <c r="B159" s="3"/>
      <c r="C159" s="3"/>
      <c r="D159" s="3"/>
      <c r="E159" s="3"/>
      <c r="F159" s="3"/>
    </row>
    <row r="160" spans="1:6" x14ac:dyDescent="0.25">
      <c r="A160" s="3"/>
      <c r="B160" s="3"/>
      <c r="C160" s="3"/>
      <c r="D160" s="3"/>
      <c r="E160" s="3"/>
      <c r="F160" s="3"/>
    </row>
    <row r="161" spans="1:6" x14ac:dyDescent="0.25">
      <c r="A161" s="3"/>
      <c r="B161" s="3"/>
      <c r="C161" s="3"/>
      <c r="D161" s="3"/>
      <c r="E161" s="3"/>
      <c r="F161" s="3"/>
    </row>
    <row r="162" spans="1:6" x14ac:dyDescent="0.25">
      <c r="A162" s="3"/>
      <c r="B162" s="3"/>
      <c r="C162" s="3"/>
      <c r="D162" s="3"/>
      <c r="E162" s="3"/>
      <c r="F162" s="3"/>
    </row>
    <row r="163" spans="1:6" x14ac:dyDescent="0.25">
      <c r="A163" s="3"/>
      <c r="B163" s="3"/>
      <c r="C163" s="3"/>
      <c r="D163" s="3"/>
      <c r="E163" s="3"/>
      <c r="F163" s="3"/>
    </row>
  </sheetData>
  <mergeCells count="19">
    <mergeCell ref="A141:D141"/>
    <mergeCell ref="E99:E107"/>
    <mergeCell ref="E108:E116"/>
    <mergeCell ref="A98:D98"/>
    <mergeCell ref="A120:D120"/>
    <mergeCell ref="A73:D73"/>
    <mergeCell ref="A55:D55"/>
    <mergeCell ref="A135:D135"/>
    <mergeCell ref="A1:D1"/>
    <mergeCell ref="A137:D137"/>
    <mergeCell ref="A81:D81"/>
    <mergeCell ref="A84:D84"/>
    <mergeCell ref="A93:D93"/>
    <mergeCell ref="A66:B66"/>
    <mergeCell ref="A70:B70"/>
    <mergeCell ref="A6:D6"/>
    <mergeCell ref="A22:D22"/>
    <mergeCell ref="A35:D35"/>
    <mergeCell ref="B37:D37"/>
  </mergeCells>
  <hyperlinks>
    <hyperlink ref="A2" location="SALARIE" display="SALARIE" xr:uid="{00000000-0004-0000-0000-000000000000}"/>
    <hyperlink ref="A3" location="PRORATISATION" display="Proratisation plafond" xr:uid="{00000000-0004-0000-0000-000001000000}"/>
    <hyperlink ref="B2" location="COTISATIONS" display="Assiette / cotisations" xr:uid="{00000000-0004-0000-0000-000002000000}"/>
    <hyperlink ref="B3" location="TR_NONCADRE" display="Tranche Non cadre" xr:uid="{00000000-0004-0000-0000-000003000000}"/>
    <hyperlink ref="B4" location="TR_CADRE" display="Tranche Cadre" xr:uid="{00000000-0004-0000-0000-000004000000}"/>
    <hyperlink ref="D60" location="ABSENCE_NON_REMUNEREE" display="Notifier L'absence NR" xr:uid="{00000000-0004-0000-0000-000005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90" r:id="rId4" name="Bouton 18">
              <controlPr defaultSize="0" print="0" autoFill="0" autoPict="0" macro="[0]!Test_Effacer_Orange_INFOGENE">
                <anchor moveWithCells="1" sizeWithCells="1">
                  <from>
                    <xdr:col>3</xdr:col>
                    <xdr:colOff>190500</xdr:colOff>
                    <xdr:row>1</xdr:row>
                    <xdr:rowOff>114300</xdr:rowOff>
                  </from>
                  <to>
                    <xdr:col>3</xdr:col>
                    <xdr:colOff>2066925</xdr:colOff>
                    <xdr:row>3</xdr:row>
                    <xdr:rowOff>104775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9">
        <x14:dataValidation type="list" allowBlank="1" showInputMessage="1" showErrorMessage="1" xr:uid="{00000000-0002-0000-0000-000000000000}">
          <x14:formula1>
            <xm:f>'Liste déroulante'!$B$2:$B$6</xm:f>
          </x14:formula1>
          <xm:sqref>B36</xm:sqref>
        </x14:dataValidation>
        <x14:dataValidation type="list" allowBlank="1" showInputMessage="1" showErrorMessage="1" xr:uid="{00000000-0002-0000-0000-000001000000}">
          <x14:formula1>
            <xm:f>'Liste déroulante'!$B$8:$B$9</xm:f>
          </x14:formula1>
          <xm:sqref>D36:E36</xm:sqref>
        </x14:dataValidation>
        <x14:dataValidation type="list" allowBlank="1" showInputMessage="1" showErrorMessage="1" xr:uid="{00000000-0002-0000-0000-000002000000}">
          <x14:formula1>
            <xm:f>'Liste déroulante'!$B$11:$B$13</xm:f>
          </x14:formula1>
          <xm:sqref>E29</xm:sqref>
        </x14:dataValidation>
        <x14:dataValidation type="list" allowBlank="1" showInputMessage="1" showErrorMessage="1" xr:uid="{00000000-0002-0000-0000-000003000000}">
          <x14:formula1>
            <xm:f>'Liste déroulante'!$B$16:$B$25</xm:f>
          </x14:formula1>
          <xm:sqref>B37</xm:sqref>
        </x14:dataValidation>
        <x14:dataValidation type="list" allowBlank="1" showInputMessage="1" showErrorMessage="1" xr:uid="{00000000-0002-0000-0000-000004000000}">
          <x14:formula1>
            <xm:f>'Liste déroulante'!$D$2:$D$3</xm:f>
          </x14:formula1>
          <xm:sqref>D16:E16 D17</xm:sqref>
        </x14:dataValidation>
        <x14:dataValidation type="list" allowBlank="1" showInputMessage="1" showErrorMessage="1" xr:uid="{00000000-0002-0000-0000-000005000000}">
          <x14:formula1>
            <xm:f>'Liste déroulante'!$B$79:$B$88</xm:f>
          </x14:formula1>
          <xm:sqref>B45</xm:sqref>
        </x14:dataValidation>
        <x14:dataValidation type="list" allowBlank="1" showInputMessage="1" showErrorMessage="1" xr:uid="{00000000-0002-0000-0000-000006000000}">
          <x14:formula1>
            <xm:f>'Liste déroulante'!$B$91:$B$96</xm:f>
          </x14:formula1>
          <xm:sqref>B49</xm:sqref>
        </x14:dataValidation>
        <x14:dataValidation type="list" allowBlank="1" showInputMessage="1" showErrorMessage="1" xr:uid="{00000000-0002-0000-0000-000007000000}">
          <x14:formula1>
            <xm:f>'Liste déroulante'!$B$11:$B$14</xm:f>
          </x14:formula1>
          <xm:sqref>D29</xm:sqref>
        </x14:dataValidation>
        <x14:dataValidation type="list" allowBlank="1" showInputMessage="1" showErrorMessage="1" xr:uid="{00000000-0002-0000-0000-000008000000}">
          <x14:formula1>
            <xm:f>'Liste déroulante'!$B$99:$B$102</xm:f>
          </x14:formula1>
          <xm:sqref>B18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FF00"/>
  </sheetPr>
  <dimension ref="A1:F695"/>
  <sheetViews>
    <sheetView topLeftCell="A55" workbookViewId="0">
      <selection activeCell="B77" sqref="B77"/>
    </sheetView>
  </sheetViews>
  <sheetFormatPr baseColWidth="10" defaultRowHeight="12.75" x14ac:dyDescent="0.2"/>
  <cols>
    <col min="1" max="1" width="45.42578125" style="452" customWidth="1"/>
    <col min="2" max="2" width="27.85546875" style="452" customWidth="1"/>
    <col min="3" max="3" width="38.85546875" style="452" customWidth="1"/>
    <col min="4" max="4" width="26.42578125" style="452" customWidth="1"/>
    <col min="5" max="16384" width="11.42578125" style="452"/>
  </cols>
  <sheetData>
    <row r="1" spans="1:5" ht="18.75" x14ac:dyDescent="0.2">
      <c r="A1" s="843" t="s">
        <v>259</v>
      </c>
      <c r="B1" s="843"/>
      <c r="C1" s="843"/>
      <c r="D1" s="843"/>
      <c r="E1" s="549"/>
    </row>
    <row r="2" spans="1:5" x14ac:dyDescent="0.2">
      <c r="A2" s="546" t="s">
        <v>556</v>
      </c>
      <c r="B2" s="546" t="s">
        <v>559</v>
      </c>
      <c r="C2" s="546" t="s">
        <v>560</v>
      </c>
      <c r="D2" s="444"/>
      <c r="E2" s="549"/>
    </row>
    <row r="3" spans="1:5" x14ac:dyDescent="0.2">
      <c r="A3" s="546" t="s">
        <v>557</v>
      </c>
      <c r="B3" s="546" t="s">
        <v>555</v>
      </c>
      <c r="C3" s="546" t="s">
        <v>561</v>
      </c>
      <c r="D3" s="444"/>
      <c r="E3" s="549"/>
    </row>
    <row r="4" spans="1:5" x14ac:dyDescent="0.2">
      <c r="A4" s="546" t="s">
        <v>558</v>
      </c>
      <c r="B4" s="546" t="s">
        <v>512</v>
      </c>
      <c r="C4" s="546" t="s">
        <v>562</v>
      </c>
      <c r="D4" s="444"/>
      <c r="E4" s="549"/>
    </row>
    <row r="5" spans="1:5" x14ac:dyDescent="0.2">
      <c r="A5" s="546" t="s">
        <v>279</v>
      </c>
      <c r="B5" s="546" t="s">
        <v>524</v>
      </c>
      <c r="C5" s="444"/>
      <c r="D5" s="444"/>
      <c r="E5" s="549"/>
    </row>
    <row r="6" spans="1:5" x14ac:dyDescent="0.2">
      <c r="A6" s="546" t="s">
        <v>270</v>
      </c>
      <c r="B6" s="546" t="s">
        <v>542</v>
      </c>
      <c r="C6" s="444"/>
      <c r="D6" s="444"/>
      <c r="E6" s="549"/>
    </row>
    <row r="7" spans="1:5" x14ac:dyDescent="0.2">
      <c r="A7" s="444"/>
      <c r="B7" s="444"/>
      <c r="C7" s="444"/>
      <c r="D7" s="444"/>
      <c r="E7" s="549"/>
    </row>
    <row r="8" spans="1:5" x14ac:dyDescent="0.2">
      <c r="A8" s="444"/>
      <c r="B8" s="444"/>
      <c r="C8" s="444"/>
      <c r="D8" s="444"/>
      <c r="E8" s="549"/>
    </row>
    <row r="9" spans="1:5" x14ac:dyDescent="0.2">
      <c r="A9" s="443"/>
      <c r="B9" s="443"/>
      <c r="C9" s="443"/>
      <c r="D9" s="443"/>
      <c r="E9" s="550"/>
    </row>
    <row r="10" spans="1:5" x14ac:dyDescent="0.2">
      <c r="A10" s="443" t="s">
        <v>28</v>
      </c>
      <c r="B10" s="777">
        <v>43070</v>
      </c>
      <c r="C10" s="443"/>
      <c r="D10" s="781">
        <f>MOIS_BULLETIN</f>
        <v>43070</v>
      </c>
      <c r="E10" s="550"/>
    </row>
    <row r="11" spans="1:5" ht="13.5" thickBot="1" x14ac:dyDescent="0.25">
      <c r="A11" s="443" t="s">
        <v>116</v>
      </c>
      <c r="B11" s="782">
        <v>1</v>
      </c>
      <c r="C11" s="443"/>
      <c r="D11" s="794">
        <f>EOMONTH(MOIS_BULLETIN,0)</f>
        <v>43100</v>
      </c>
      <c r="E11" s="550"/>
    </row>
    <row r="12" spans="1:5" ht="15.75" thickBot="1" x14ac:dyDescent="0.25">
      <c r="A12" s="849" t="s">
        <v>117</v>
      </c>
      <c r="B12" s="850"/>
      <c r="C12" s="850"/>
      <c r="D12" s="851"/>
      <c r="E12" s="550"/>
    </row>
    <row r="13" spans="1:5" x14ac:dyDescent="0.2">
      <c r="A13" s="443" t="s">
        <v>42</v>
      </c>
      <c r="B13" s="797">
        <f>DUREE_CT</f>
        <v>151.66666666666666</v>
      </c>
      <c r="C13" s="443" t="s">
        <v>196</v>
      </c>
      <c r="D13" s="797">
        <f>IFERROR(SBASE+CPLT_SMIC,"")</f>
        <v>1650</v>
      </c>
      <c r="E13" s="550"/>
    </row>
    <row r="14" spans="1:5" x14ac:dyDescent="0.2">
      <c r="A14" s="443" t="s">
        <v>44</v>
      </c>
      <c r="B14" s="779">
        <f>MAX(SBASE,SBASEAPP,SBASECPRO)</f>
        <v>1650</v>
      </c>
      <c r="C14" s="443" t="s">
        <v>518</v>
      </c>
      <c r="D14" s="780"/>
      <c r="E14" s="550"/>
    </row>
    <row r="15" spans="1:5" x14ac:dyDescent="0.2">
      <c r="A15" s="443" t="s">
        <v>45</v>
      </c>
      <c r="B15" s="779">
        <f>CPLT_SMIC</f>
        <v>0</v>
      </c>
      <c r="C15" s="443"/>
      <c r="D15" s="443"/>
      <c r="E15" s="550"/>
    </row>
    <row r="16" spans="1:5" ht="13.5" thickBot="1" x14ac:dyDescent="0.25">
      <c r="A16" s="443" t="s">
        <v>47</v>
      </c>
      <c r="B16" s="792">
        <f>IF('INFO G'!B49='Liste déroulante'!B4,'INFO G'!B52,Taux_Horaire)</f>
        <v>10.87912087912088</v>
      </c>
      <c r="C16" s="443" t="s">
        <v>568</v>
      </c>
      <c r="D16" s="793" t="s">
        <v>519</v>
      </c>
      <c r="E16" s="550"/>
    </row>
    <row r="17" spans="1:5" ht="15.75" thickBot="1" x14ac:dyDescent="0.25">
      <c r="A17" s="849" t="s">
        <v>260</v>
      </c>
      <c r="B17" s="850"/>
      <c r="C17" s="850"/>
      <c r="D17" s="851"/>
      <c r="E17" s="550"/>
    </row>
    <row r="18" spans="1:5" x14ac:dyDescent="0.2">
      <c r="A18" s="823" t="s">
        <v>699</v>
      </c>
      <c r="B18" s="796">
        <v>17.329999999999998</v>
      </c>
      <c r="C18" s="823" t="s">
        <v>700</v>
      </c>
      <c r="D18" s="797">
        <f>B16</f>
        <v>10.87912087912088</v>
      </c>
      <c r="E18" s="823"/>
    </row>
    <row r="19" spans="1:5" x14ac:dyDescent="0.2">
      <c r="A19" s="443" t="s">
        <v>118</v>
      </c>
      <c r="B19" s="796"/>
      <c r="C19" s="443" t="s">
        <v>173</v>
      </c>
      <c r="D19" s="797">
        <f>IFERROR(Taux_Horaire*1.1,"")</f>
        <v>11.967032967032969</v>
      </c>
      <c r="E19" s="550"/>
    </row>
    <row r="20" spans="1:5" x14ac:dyDescent="0.2">
      <c r="A20" s="443" t="s">
        <v>119</v>
      </c>
      <c r="B20" s="780"/>
      <c r="C20" s="443" t="s">
        <v>174</v>
      </c>
      <c r="D20" s="779">
        <f>IFERROR(Taux_Horaire*1.25,"")</f>
        <v>13.598901098901099</v>
      </c>
      <c r="E20" s="550"/>
    </row>
    <row r="21" spans="1:5" x14ac:dyDescent="0.2">
      <c r="A21" s="443" t="s">
        <v>120</v>
      </c>
      <c r="B21" s="780"/>
      <c r="C21" s="443" t="s">
        <v>175</v>
      </c>
      <c r="D21" s="779">
        <f>IFERROR(Taux_Horaire*1.5,"")</f>
        <v>16.318681318681321</v>
      </c>
      <c r="E21" s="550"/>
    </row>
    <row r="22" spans="1:5" x14ac:dyDescent="0.2">
      <c r="A22" s="443" t="s">
        <v>172</v>
      </c>
      <c r="B22" s="779">
        <f>SUM(B18:B21)</f>
        <v>17.329999999999998</v>
      </c>
      <c r="C22" s="443"/>
      <c r="D22" s="443"/>
      <c r="E22" s="550"/>
    </row>
    <row r="23" spans="1:5" ht="13.5" thickBot="1" x14ac:dyDescent="0.25">
      <c r="A23" s="443"/>
      <c r="B23" s="443"/>
      <c r="C23" s="443"/>
      <c r="D23" s="443"/>
      <c r="E23" s="550"/>
    </row>
    <row r="24" spans="1:5" ht="15.75" thickBot="1" x14ac:dyDescent="0.25">
      <c r="A24" s="849" t="s">
        <v>177</v>
      </c>
      <c r="B24" s="850"/>
      <c r="C24" s="850"/>
      <c r="D24" s="851"/>
      <c r="E24" s="550"/>
    </row>
    <row r="25" spans="1:5" x14ac:dyDescent="0.2">
      <c r="A25" s="443" t="s">
        <v>178</v>
      </c>
      <c r="B25" s="854" t="s">
        <v>183</v>
      </c>
      <c r="C25" s="855"/>
      <c r="D25" s="856"/>
      <c r="E25" s="550"/>
    </row>
    <row r="26" spans="1:5" x14ac:dyDescent="0.2">
      <c r="A26" s="443" t="s">
        <v>185</v>
      </c>
      <c r="B26" s="781" t="str">
        <f>IF(B25='Liste déroulante'!B29,D_ENTREE,"")</f>
        <v/>
      </c>
      <c r="C26" s="443" t="s">
        <v>186</v>
      </c>
      <c r="D26" s="781" t="str">
        <f>IF(B25='Liste déroulante'!B30,D_SORTIE,"")</f>
        <v/>
      </c>
      <c r="E26" s="550"/>
    </row>
    <row r="27" spans="1:5" x14ac:dyDescent="0.2">
      <c r="A27" s="443" t="s">
        <v>192</v>
      </c>
      <c r="B27" s="780"/>
      <c r="C27" s="547" t="s">
        <v>191</v>
      </c>
      <c r="D27" s="443"/>
      <c r="E27" s="550"/>
    </row>
    <row r="28" spans="1:5" x14ac:dyDescent="0.2">
      <c r="A28" s="443" t="s">
        <v>187</v>
      </c>
      <c r="B28" s="784"/>
      <c r="C28" s="443" t="s">
        <v>189</v>
      </c>
      <c r="D28" s="780"/>
      <c r="E28" s="550"/>
    </row>
    <row r="29" spans="1:5" x14ac:dyDescent="0.2">
      <c r="A29" s="443" t="s">
        <v>188</v>
      </c>
      <c r="B29" s="784"/>
      <c r="C29" s="443" t="s">
        <v>190</v>
      </c>
      <c r="D29" s="780"/>
      <c r="E29" s="550"/>
    </row>
    <row r="30" spans="1:5" x14ac:dyDescent="0.2">
      <c r="A30" s="443"/>
      <c r="B30" s="443" t="s">
        <v>253</v>
      </c>
      <c r="C30" s="785" t="s">
        <v>246</v>
      </c>
      <c r="D30" s="443"/>
      <c r="E30" s="550"/>
    </row>
    <row r="31" spans="1:5" x14ac:dyDescent="0.2">
      <c r="A31" s="443"/>
      <c r="B31" s="766"/>
      <c r="C31" s="548" t="s">
        <v>254</v>
      </c>
      <c r="D31" s="786">
        <f>IF(B25='Liste déroulante'!B31,0,Abs_NR_M)</f>
        <v>0</v>
      </c>
      <c r="E31" s="550"/>
    </row>
    <row r="32" spans="1:5" x14ac:dyDescent="0.2">
      <c r="A32" s="443"/>
      <c r="B32" s="548"/>
      <c r="C32" s="548"/>
      <c r="D32" s="443"/>
      <c r="E32" s="550"/>
    </row>
    <row r="33" spans="1:6" ht="13.5" thickBot="1" x14ac:dyDescent="0.25">
      <c r="A33" s="443"/>
      <c r="B33" s="443"/>
      <c r="C33" s="443"/>
      <c r="D33" s="443"/>
      <c r="E33" s="550"/>
    </row>
    <row r="34" spans="1:6" ht="15.75" thickBot="1" x14ac:dyDescent="0.25">
      <c r="A34" s="849" t="s">
        <v>317</v>
      </c>
      <c r="B34" s="850"/>
      <c r="C34" s="850"/>
      <c r="D34" s="851"/>
      <c r="E34" s="550"/>
    </row>
    <row r="35" spans="1:6" x14ac:dyDescent="0.2">
      <c r="A35" s="443" t="s">
        <v>698</v>
      </c>
      <c r="B35" s="796"/>
      <c r="C35" s="443"/>
      <c r="D35" s="443"/>
      <c r="E35" s="550"/>
    </row>
    <row r="36" spans="1:6" x14ac:dyDescent="0.2">
      <c r="A36" s="443" t="s">
        <v>284</v>
      </c>
      <c r="B36" s="780">
        <v>25</v>
      </c>
      <c r="C36" s="857" t="s">
        <v>318</v>
      </c>
      <c r="D36" s="857"/>
      <c r="E36" s="550"/>
    </row>
    <row r="37" spans="1:6" x14ac:dyDescent="0.2">
      <c r="A37" s="443" t="s">
        <v>286</v>
      </c>
      <c r="B37" s="780"/>
      <c r="C37" s="857"/>
      <c r="D37" s="857"/>
      <c r="E37" s="550"/>
    </row>
    <row r="38" spans="1:6" x14ac:dyDescent="0.2">
      <c r="A38" s="443" t="s">
        <v>289</v>
      </c>
      <c r="B38" s="780"/>
      <c r="C38" s="443"/>
      <c r="D38" s="443"/>
      <c r="E38" s="550"/>
    </row>
    <row r="39" spans="1:6" ht="13.5" thickBot="1" x14ac:dyDescent="0.25">
      <c r="A39" s="443"/>
      <c r="B39" s="443"/>
      <c r="C39" s="443"/>
      <c r="D39" s="443"/>
      <c r="E39" s="550"/>
    </row>
    <row r="40" spans="1:6" ht="15.75" thickBot="1" x14ac:dyDescent="0.25">
      <c r="A40" s="849" t="s">
        <v>327</v>
      </c>
      <c r="B40" s="850"/>
      <c r="C40" s="850"/>
      <c r="D40" s="851"/>
      <c r="E40" s="550"/>
    </row>
    <row r="41" spans="1:6" x14ac:dyDescent="0.2">
      <c r="A41" s="858" t="s">
        <v>331</v>
      </c>
      <c r="B41" s="858"/>
      <c r="C41" s="858"/>
      <c r="D41" s="858"/>
      <c r="E41" s="550"/>
    </row>
    <row r="42" spans="1:6" x14ac:dyDescent="0.2">
      <c r="A42" s="852" t="s">
        <v>332</v>
      </c>
      <c r="B42" s="853"/>
      <c r="C42" s="788" t="s">
        <v>244</v>
      </c>
      <c r="D42" s="443"/>
      <c r="E42" s="550"/>
    </row>
    <row r="43" spans="1:6" x14ac:dyDescent="0.2">
      <c r="A43" s="443" t="s">
        <v>187</v>
      </c>
      <c r="B43" s="784"/>
      <c r="C43" s="443"/>
      <c r="D43" s="443"/>
      <c r="E43" s="550"/>
    </row>
    <row r="44" spans="1:6" x14ac:dyDescent="0.2">
      <c r="A44" s="443" t="s">
        <v>188</v>
      </c>
      <c r="B44" s="784"/>
      <c r="C44" s="443"/>
      <c r="D44" s="443"/>
      <c r="E44" s="550"/>
    </row>
    <row r="45" spans="1:6" x14ac:dyDescent="0.2">
      <c r="A45" s="443" t="s">
        <v>328</v>
      </c>
      <c r="B45" s="780"/>
      <c r="C45" s="443"/>
      <c r="D45" s="443"/>
      <c r="E45" s="550"/>
    </row>
    <row r="46" spans="1:6" x14ac:dyDescent="0.2">
      <c r="A46" s="443" t="s">
        <v>329</v>
      </c>
      <c r="B46" s="787">
        <f>J_CP</f>
        <v>0</v>
      </c>
      <c r="C46" s="548" t="s">
        <v>330</v>
      </c>
      <c r="D46" s="786">
        <f>ABS_CP</f>
        <v>0</v>
      </c>
      <c r="E46" s="550"/>
    </row>
    <row r="47" spans="1:6" x14ac:dyDescent="0.2">
      <c r="A47" s="443"/>
      <c r="B47" s="443"/>
      <c r="C47" s="443"/>
      <c r="D47" s="443"/>
      <c r="E47" s="550"/>
    </row>
    <row r="48" spans="1:6" x14ac:dyDescent="0.2">
      <c r="A48" s="824" t="s">
        <v>702</v>
      </c>
      <c r="B48" s="787" t="str">
        <f>'INFO G'!D17</f>
        <v>non</v>
      </c>
      <c r="C48" s="824"/>
      <c r="D48" s="824"/>
      <c r="E48" s="824"/>
      <c r="F48" s="452" t="s">
        <v>703</v>
      </c>
    </row>
    <row r="49" spans="1:6" x14ac:dyDescent="0.2">
      <c r="A49" s="824"/>
      <c r="B49" s="824"/>
      <c r="C49" s="824"/>
      <c r="D49" s="824"/>
      <c r="E49" s="824"/>
      <c r="F49" s="452" t="s">
        <v>704</v>
      </c>
    </row>
    <row r="50" spans="1:6" x14ac:dyDescent="0.2">
      <c r="A50" s="858" t="s">
        <v>415</v>
      </c>
      <c r="B50" s="858"/>
      <c r="C50" s="858"/>
      <c r="D50" s="858"/>
      <c r="E50" s="550"/>
    </row>
    <row r="51" spans="1:6" x14ac:dyDescent="0.2">
      <c r="A51" s="443" t="s">
        <v>367</v>
      </c>
      <c r="B51" s="789" t="str">
        <f>VLOOKUP($C$42,'Liste déroulante'!$B$36:$D$39,2,FALSE)</f>
        <v>OUVRABLES</v>
      </c>
      <c r="C51" s="443" t="s">
        <v>369</v>
      </c>
      <c r="D51" s="789" t="str">
        <f>VLOOKUP($C$42,'Liste déroulante'!$B$36:$D$39,3,FALSE)</f>
        <v>REELS</v>
      </c>
      <c r="E51" s="550"/>
    </row>
    <row r="52" spans="1:6" x14ac:dyDescent="0.2">
      <c r="A52" s="443" t="s">
        <v>400</v>
      </c>
      <c r="B52" s="778"/>
      <c r="C52" s="443"/>
      <c r="D52" s="443"/>
      <c r="E52" s="550"/>
    </row>
    <row r="53" spans="1:6" x14ac:dyDescent="0.2">
      <c r="A53" s="443" t="s">
        <v>401</v>
      </c>
      <c r="B53" s="778"/>
      <c r="C53" s="443" t="s">
        <v>403</v>
      </c>
      <c r="D53" s="790">
        <f>B46</f>
        <v>0</v>
      </c>
      <c r="E53" s="550"/>
    </row>
    <row r="54" spans="1:6" x14ac:dyDescent="0.2">
      <c r="A54" s="443" t="s">
        <v>402</v>
      </c>
      <c r="B54" s="778"/>
      <c r="C54" s="548" t="s">
        <v>404</v>
      </c>
      <c r="D54" s="786">
        <f>ICCP</f>
        <v>0</v>
      </c>
      <c r="E54" s="550"/>
    </row>
    <row r="55" spans="1:6" x14ac:dyDescent="0.2">
      <c r="A55" s="443"/>
      <c r="B55" s="443"/>
      <c r="C55" s="443"/>
      <c r="D55" s="443"/>
      <c r="E55" s="550"/>
    </row>
    <row r="56" spans="1:6" x14ac:dyDescent="0.2">
      <c r="A56" s="858" t="s">
        <v>418</v>
      </c>
      <c r="B56" s="858"/>
      <c r="C56" s="858"/>
      <c r="D56" s="858"/>
      <c r="E56" s="550"/>
    </row>
    <row r="57" spans="1:6" x14ac:dyDescent="0.2">
      <c r="A57" s="443" t="s">
        <v>405</v>
      </c>
      <c r="B57" s="551"/>
      <c r="C57" s="443"/>
      <c r="D57" s="443"/>
      <c r="E57" s="550"/>
    </row>
    <row r="58" spans="1:6" x14ac:dyDescent="0.2">
      <c r="A58" s="443" t="s">
        <v>400</v>
      </c>
      <c r="B58" s="552"/>
      <c r="C58" s="443"/>
      <c r="D58" s="443"/>
      <c r="E58" s="550"/>
    </row>
    <row r="59" spans="1:6" x14ac:dyDescent="0.2">
      <c r="A59" s="443" t="s">
        <v>406</v>
      </c>
      <c r="B59" s="552"/>
      <c r="C59" s="443"/>
      <c r="D59" s="443"/>
      <c r="E59" s="550"/>
    </row>
    <row r="60" spans="1:6" x14ac:dyDescent="0.2">
      <c r="A60" s="443" t="s">
        <v>407</v>
      </c>
      <c r="B60" s="551"/>
      <c r="C60" s="548" t="s">
        <v>408</v>
      </c>
      <c r="D60" s="553">
        <f>SoldeICCPN1</f>
        <v>0</v>
      </c>
      <c r="E60" s="550"/>
    </row>
    <row r="61" spans="1:6" x14ac:dyDescent="0.2">
      <c r="A61" s="443"/>
      <c r="B61" s="443"/>
      <c r="C61" s="443"/>
      <c r="D61" s="443"/>
      <c r="E61" s="550"/>
    </row>
    <row r="62" spans="1:6" x14ac:dyDescent="0.2">
      <c r="A62" s="858" t="s">
        <v>419</v>
      </c>
      <c r="B62" s="858"/>
      <c r="C62" s="858"/>
      <c r="D62" s="858"/>
      <c r="E62" s="550"/>
    </row>
    <row r="63" spans="1:6" x14ac:dyDescent="0.2">
      <c r="A63" s="443" t="s">
        <v>409</v>
      </c>
      <c r="B63" s="551"/>
      <c r="C63" s="443"/>
      <c r="D63" s="443"/>
      <c r="E63" s="550"/>
    </row>
    <row r="64" spans="1:6" x14ac:dyDescent="0.2">
      <c r="A64" s="443" t="s">
        <v>410</v>
      </c>
      <c r="B64" s="551"/>
      <c r="C64" s="443"/>
      <c r="D64" s="443"/>
      <c r="E64" s="550"/>
    </row>
    <row r="65" spans="1:6" x14ac:dyDescent="0.2">
      <c r="A65" s="443" t="s">
        <v>406</v>
      </c>
      <c r="B65" s="551"/>
      <c r="C65" s="443"/>
      <c r="D65" s="443"/>
      <c r="E65" s="550"/>
    </row>
    <row r="66" spans="1:6" x14ac:dyDescent="0.2">
      <c r="A66" s="443" t="s">
        <v>411</v>
      </c>
      <c r="B66" s="551"/>
      <c r="C66" s="548" t="s">
        <v>412</v>
      </c>
      <c r="D66" s="553">
        <f>SoldeICCPN</f>
        <v>0</v>
      </c>
      <c r="E66" s="550"/>
    </row>
    <row r="67" spans="1:6" x14ac:dyDescent="0.2">
      <c r="A67" s="443"/>
      <c r="B67" s="443"/>
      <c r="C67" s="443"/>
      <c r="D67" s="443"/>
      <c r="E67" s="550"/>
    </row>
    <row r="68" spans="1:6" x14ac:dyDescent="0.2">
      <c r="A68" s="858" t="s">
        <v>420</v>
      </c>
      <c r="B68" s="858"/>
      <c r="C68" s="858"/>
      <c r="D68" s="858"/>
      <c r="E68" s="550"/>
    </row>
    <row r="69" spans="1:6" x14ac:dyDescent="0.2">
      <c r="A69" s="443" t="s">
        <v>396</v>
      </c>
      <c r="B69" s="551"/>
      <c r="C69" s="443" t="s">
        <v>400</v>
      </c>
      <c r="D69" s="554">
        <f>B52</f>
        <v>0</v>
      </c>
      <c r="E69" s="550"/>
    </row>
    <row r="70" spans="1:6" x14ac:dyDescent="0.2">
      <c r="A70" s="766" t="s">
        <v>690</v>
      </c>
      <c r="B70" s="778"/>
      <c r="C70" s="766"/>
      <c r="D70" s="766"/>
      <c r="E70" s="766"/>
    </row>
    <row r="71" spans="1:6" x14ac:dyDescent="0.2">
      <c r="A71" s="443" t="s">
        <v>413</v>
      </c>
      <c r="B71" s="551"/>
      <c r="C71" s="548" t="s">
        <v>414</v>
      </c>
      <c r="D71" s="553">
        <f>ICCPFRACT</f>
        <v>0</v>
      </c>
      <c r="E71" s="550"/>
      <c r="F71" s="555"/>
    </row>
    <row r="72" spans="1:6" ht="13.5" thickBot="1" x14ac:dyDescent="0.25">
      <c r="A72" s="443"/>
      <c r="B72" s="443"/>
      <c r="C72" s="443"/>
      <c r="D72" s="443"/>
      <c r="E72" s="550"/>
    </row>
    <row r="73" spans="1:6" ht="15.75" thickBot="1" x14ac:dyDescent="0.25">
      <c r="A73" s="849" t="s">
        <v>421</v>
      </c>
      <c r="B73" s="850"/>
      <c r="C73" s="850"/>
      <c r="D73" s="851"/>
      <c r="E73" s="550"/>
    </row>
    <row r="74" spans="1:6" x14ac:dyDescent="0.2">
      <c r="A74" s="859" t="s">
        <v>432</v>
      </c>
      <c r="B74" s="859"/>
      <c r="C74" s="859"/>
      <c r="D74" s="859"/>
      <c r="E74" s="550"/>
    </row>
    <row r="75" spans="1:6" x14ac:dyDescent="0.2">
      <c r="A75" s="443" t="s">
        <v>422</v>
      </c>
      <c r="B75" s="551">
        <v>20</v>
      </c>
      <c r="C75" s="443"/>
      <c r="D75" s="443"/>
      <c r="E75" s="550"/>
    </row>
    <row r="76" spans="1:6" x14ac:dyDescent="0.2">
      <c r="A76" s="443" t="s">
        <v>423</v>
      </c>
      <c r="B76" s="551">
        <v>12</v>
      </c>
      <c r="C76" s="443"/>
      <c r="D76" s="443"/>
      <c r="E76" s="550"/>
    </row>
    <row r="77" spans="1:6" x14ac:dyDescent="0.2">
      <c r="A77" s="443" t="s">
        <v>424</v>
      </c>
      <c r="B77" s="556">
        <v>5.38</v>
      </c>
      <c r="C77" s="443"/>
      <c r="D77" s="443"/>
      <c r="E77" s="550"/>
    </row>
    <row r="78" spans="1:6" x14ac:dyDescent="0.2">
      <c r="A78" s="443" t="s">
        <v>425</v>
      </c>
      <c r="B78" s="557">
        <v>0.5</v>
      </c>
      <c r="C78" s="548" t="s">
        <v>426</v>
      </c>
      <c r="D78" s="558">
        <f>100%-B78</f>
        <v>0.5</v>
      </c>
      <c r="E78" s="550"/>
    </row>
    <row r="79" spans="1:6" x14ac:dyDescent="0.2">
      <c r="A79" s="443" t="s">
        <v>427</v>
      </c>
      <c r="B79" s="559">
        <f>TR_SAL</f>
        <v>120</v>
      </c>
      <c r="C79" s="548" t="s">
        <v>510</v>
      </c>
      <c r="D79" s="560">
        <f>AN_TR</f>
        <v>12.400000000000002</v>
      </c>
      <c r="E79" s="550"/>
    </row>
    <row r="80" spans="1:6" x14ac:dyDescent="0.2">
      <c r="A80" s="443"/>
      <c r="B80" s="443"/>
      <c r="C80" s="443"/>
      <c r="D80" s="443"/>
      <c r="E80" s="550"/>
    </row>
    <row r="81" spans="1:5" x14ac:dyDescent="0.2">
      <c r="A81" s="859" t="s">
        <v>555</v>
      </c>
      <c r="B81" s="859"/>
      <c r="C81" s="859"/>
      <c r="D81" s="859"/>
      <c r="E81" s="550"/>
    </row>
    <row r="82" spans="1:5" x14ac:dyDescent="0.2">
      <c r="A82" s="443" t="s">
        <v>428</v>
      </c>
      <c r="B82" s="561"/>
      <c r="C82" s="443"/>
      <c r="D82" s="443"/>
      <c r="E82" s="550"/>
    </row>
    <row r="83" spans="1:5" x14ac:dyDescent="0.2">
      <c r="A83" s="443" t="s">
        <v>429</v>
      </c>
      <c r="B83" s="556">
        <v>4.75</v>
      </c>
      <c r="C83" s="548" t="s">
        <v>431</v>
      </c>
      <c r="D83" s="553">
        <f>EF_SAL</f>
        <v>0</v>
      </c>
      <c r="E83" s="550"/>
    </row>
    <row r="84" spans="1:5" x14ac:dyDescent="0.2">
      <c r="A84" s="443" t="s">
        <v>430</v>
      </c>
      <c r="B84" s="551"/>
      <c r="C84" s="548" t="s">
        <v>511</v>
      </c>
      <c r="D84" s="553">
        <f>AN_EF</f>
        <v>0</v>
      </c>
      <c r="E84" s="550"/>
    </row>
    <row r="85" spans="1:5" x14ac:dyDescent="0.2">
      <c r="A85" s="443"/>
      <c r="B85" s="443"/>
      <c r="C85" s="443"/>
      <c r="D85" s="443"/>
      <c r="E85" s="550"/>
    </row>
    <row r="86" spans="1:5" x14ac:dyDescent="0.2">
      <c r="A86" s="859" t="s">
        <v>512</v>
      </c>
      <c r="B86" s="859"/>
      <c r="C86" s="859"/>
      <c r="D86" s="859"/>
      <c r="E86" s="550"/>
    </row>
    <row r="87" spans="1:5" x14ac:dyDescent="0.2">
      <c r="A87" s="443" t="s">
        <v>513</v>
      </c>
      <c r="B87" s="551"/>
      <c r="C87" s="443"/>
      <c r="D87" s="443"/>
      <c r="E87" s="550"/>
    </row>
    <row r="88" spans="1:5" x14ac:dyDescent="0.2">
      <c r="A88" s="443" t="s">
        <v>514</v>
      </c>
      <c r="B88" s="551"/>
      <c r="C88" s="547">
        <f>IF(B88&gt;'Liste déroulante'!C51,8,IF(B88&gt;'Liste déroulante'!C50,7,IF(B88&gt;'Liste déroulante'!C49,6,IF(B88&gt;'Liste déroulante'!C48,5,IF(B88&gt;'Liste déroulante'!C47,4,IF(B88&gt;'Liste déroulante'!C46,3,IF(B88&gt;'Liste déroulante'!C45,2,1)))))))</f>
        <v>1</v>
      </c>
      <c r="D88" s="443"/>
      <c r="E88" s="550"/>
    </row>
    <row r="89" spans="1:5" x14ac:dyDescent="0.2">
      <c r="A89" s="443" t="s">
        <v>515</v>
      </c>
      <c r="B89" s="554" t="str">
        <f>VLOOKUP(C88,'Liste déroulante'!B44:D51,3,FALSE)</f>
        <v>Infèrieur à 1634,50</v>
      </c>
      <c r="C89" s="548" t="s">
        <v>517</v>
      </c>
      <c r="D89" s="553">
        <f>AN_LOG</f>
        <v>0</v>
      </c>
      <c r="E89" s="550"/>
    </row>
    <row r="90" spans="1:5" x14ac:dyDescent="0.2">
      <c r="A90" s="443"/>
      <c r="B90" s="443"/>
      <c r="C90" s="443"/>
      <c r="D90" s="443"/>
      <c r="E90" s="550"/>
    </row>
    <row r="91" spans="1:5" x14ac:dyDescent="0.2">
      <c r="A91" s="859" t="s">
        <v>524</v>
      </c>
      <c r="B91" s="859"/>
      <c r="C91" s="859"/>
      <c r="D91" s="859"/>
      <c r="E91" s="550"/>
    </row>
    <row r="92" spans="1:5" x14ac:dyDescent="0.2">
      <c r="A92" s="443" t="s">
        <v>525</v>
      </c>
      <c r="B92" s="551"/>
      <c r="C92" s="443"/>
      <c r="D92" s="443"/>
      <c r="E92" s="550"/>
    </row>
    <row r="93" spans="1:5" x14ac:dyDescent="0.2">
      <c r="A93" s="443" t="s">
        <v>462</v>
      </c>
      <c r="B93" s="551"/>
      <c r="C93" s="443"/>
      <c r="D93" s="443"/>
      <c r="E93" s="550"/>
    </row>
    <row r="94" spans="1:5" x14ac:dyDescent="0.2">
      <c r="A94" s="443" t="s">
        <v>464</v>
      </c>
      <c r="B94" s="551"/>
      <c r="C94" s="443"/>
      <c r="D94" s="443"/>
      <c r="E94" s="550"/>
    </row>
    <row r="95" spans="1:5" x14ac:dyDescent="0.2">
      <c r="A95" s="443" t="s">
        <v>466</v>
      </c>
      <c r="B95" s="551"/>
      <c r="C95" s="443"/>
      <c r="D95" s="443"/>
      <c r="E95" s="550"/>
    </row>
    <row r="96" spans="1:5" x14ac:dyDescent="0.2">
      <c r="A96" s="443" t="s">
        <v>479</v>
      </c>
      <c r="B96" s="551"/>
      <c r="C96" s="443" t="s">
        <v>526</v>
      </c>
      <c r="D96" s="788" t="s">
        <v>461</v>
      </c>
      <c r="E96" s="550"/>
    </row>
    <row r="97" spans="1:5" x14ac:dyDescent="0.2">
      <c r="A97" s="443" t="s">
        <v>480</v>
      </c>
      <c r="B97" s="551"/>
      <c r="C97" s="443" t="s">
        <v>530</v>
      </c>
      <c r="D97" s="783">
        <f>AN_VEH_HA</f>
        <v>0</v>
      </c>
      <c r="E97" s="550"/>
    </row>
    <row r="98" spans="1:5" x14ac:dyDescent="0.2">
      <c r="A98" s="443"/>
      <c r="B98" s="443"/>
      <c r="C98" s="443"/>
      <c r="D98" s="443"/>
      <c r="E98" s="550"/>
    </row>
    <row r="99" spans="1:5" x14ac:dyDescent="0.2">
      <c r="A99" s="443" t="s">
        <v>459</v>
      </c>
      <c r="B99" s="551"/>
      <c r="C99" s="443"/>
      <c r="D99" s="443"/>
      <c r="E99" s="550"/>
    </row>
    <row r="100" spans="1:5" x14ac:dyDescent="0.2">
      <c r="A100" s="443" t="s">
        <v>462</v>
      </c>
      <c r="B100" s="551"/>
      <c r="C100" s="443"/>
      <c r="D100" s="443"/>
      <c r="E100" s="550"/>
    </row>
    <row r="101" spans="1:5" x14ac:dyDescent="0.2">
      <c r="A101" s="443" t="s">
        <v>464</v>
      </c>
      <c r="B101" s="551"/>
      <c r="C101" s="443" t="s">
        <v>527</v>
      </c>
      <c r="D101" s="788" t="s">
        <v>473</v>
      </c>
      <c r="E101" s="550"/>
    </row>
    <row r="102" spans="1:5" x14ac:dyDescent="0.2">
      <c r="A102" s="443" t="s">
        <v>466</v>
      </c>
      <c r="B102" s="551"/>
      <c r="C102" s="443" t="s">
        <v>531</v>
      </c>
      <c r="D102" s="783">
        <f>AN_VEH_LOA</f>
        <v>0</v>
      </c>
      <c r="E102" s="550"/>
    </row>
    <row r="103" spans="1:5" x14ac:dyDescent="0.2">
      <c r="A103" s="443"/>
      <c r="B103" s="443"/>
      <c r="C103" s="443"/>
      <c r="D103" s="443"/>
      <c r="E103" s="550"/>
    </row>
    <row r="104" spans="1:5" x14ac:dyDescent="0.2">
      <c r="A104" s="859" t="s">
        <v>542</v>
      </c>
      <c r="B104" s="859"/>
      <c r="C104" s="859"/>
      <c r="D104" s="859"/>
      <c r="E104" s="550"/>
    </row>
    <row r="105" spans="1:5" x14ac:dyDescent="0.2">
      <c r="A105" s="443" t="s">
        <v>483</v>
      </c>
      <c r="B105" s="551"/>
      <c r="C105" s="443" t="s">
        <v>295</v>
      </c>
      <c r="D105" s="553">
        <f>ABO_TR</f>
        <v>0</v>
      </c>
      <c r="E105" s="550"/>
    </row>
    <row r="106" spans="1:5" x14ac:dyDescent="0.2">
      <c r="A106" s="443" t="s">
        <v>484</v>
      </c>
      <c r="B106" s="551"/>
      <c r="C106" s="443" t="s">
        <v>297</v>
      </c>
      <c r="D106" s="553">
        <f>TRBRUT</f>
        <v>0</v>
      </c>
      <c r="E106" s="550"/>
    </row>
    <row r="107" spans="1:5" x14ac:dyDescent="0.2">
      <c r="A107" s="443"/>
      <c r="B107" s="443"/>
      <c r="C107" s="443"/>
      <c r="D107" s="443"/>
      <c r="E107" s="550"/>
    </row>
    <row r="108" spans="1:5" x14ac:dyDescent="0.2">
      <c r="A108" s="859" t="s">
        <v>543</v>
      </c>
      <c r="B108" s="859"/>
      <c r="C108" s="859"/>
      <c r="D108" s="859"/>
      <c r="E108" s="550"/>
    </row>
    <row r="109" spans="1:5" x14ac:dyDescent="0.2">
      <c r="A109" s="443" t="s">
        <v>544</v>
      </c>
      <c r="B109" s="551"/>
      <c r="C109" s="443"/>
      <c r="D109" s="443"/>
      <c r="E109" s="550"/>
    </row>
    <row r="110" spans="1:5" x14ac:dyDescent="0.2">
      <c r="A110" s="443" t="s">
        <v>348</v>
      </c>
      <c r="B110" s="782"/>
      <c r="C110" s="443" t="s">
        <v>290</v>
      </c>
      <c r="D110" s="553">
        <f>INDREPAS</f>
        <v>0</v>
      </c>
      <c r="E110" s="550"/>
    </row>
    <row r="111" spans="1:5" x14ac:dyDescent="0.2">
      <c r="A111" s="443" t="s">
        <v>532</v>
      </c>
      <c r="B111" s="788" t="s">
        <v>533</v>
      </c>
      <c r="C111" s="443" t="s">
        <v>293</v>
      </c>
      <c r="D111" s="553">
        <f>BRUTREPAS</f>
        <v>0</v>
      </c>
      <c r="E111" s="550"/>
    </row>
    <row r="112" spans="1:5" x14ac:dyDescent="0.2">
      <c r="A112" s="443"/>
      <c r="B112" s="443"/>
      <c r="C112" s="443"/>
      <c r="D112" s="443"/>
      <c r="E112" s="550"/>
    </row>
    <row r="113" spans="1:5" x14ac:dyDescent="0.2">
      <c r="A113" s="859" t="s">
        <v>494</v>
      </c>
      <c r="B113" s="859"/>
      <c r="C113" s="859"/>
      <c r="D113" s="859"/>
      <c r="E113" s="550"/>
    </row>
    <row r="114" spans="1:5" x14ac:dyDescent="0.2">
      <c r="A114" s="443" t="s">
        <v>545</v>
      </c>
      <c r="B114" s="860" t="s">
        <v>535</v>
      </c>
      <c r="C114" s="861"/>
      <c r="D114" s="443"/>
      <c r="E114" s="550"/>
    </row>
    <row r="115" spans="1:5" x14ac:dyDescent="0.2">
      <c r="A115" s="443" t="s">
        <v>502</v>
      </c>
      <c r="B115" s="562"/>
      <c r="C115" s="443" t="s">
        <v>494</v>
      </c>
      <c r="D115" s="553">
        <f>INDDEP</f>
        <v>0</v>
      </c>
      <c r="E115" s="550"/>
    </row>
    <row r="116" spans="1:5" x14ac:dyDescent="0.2">
      <c r="A116" s="443" t="s">
        <v>546</v>
      </c>
      <c r="B116" s="551"/>
      <c r="C116" s="443" t="s">
        <v>547</v>
      </c>
      <c r="D116" s="553">
        <f>BRUTDEP</f>
        <v>0</v>
      </c>
      <c r="E116" s="550"/>
    </row>
    <row r="117" spans="1:5" x14ac:dyDescent="0.2">
      <c r="A117" s="443"/>
      <c r="B117" s="443"/>
      <c r="C117" s="443"/>
      <c r="D117" s="443"/>
      <c r="E117" s="550"/>
    </row>
    <row r="118" spans="1:5" x14ac:dyDescent="0.2">
      <c r="A118" s="859" t="s">
        <v>548</v>
      </c>
      <c r="B118" s="859"/>
      <c r="C118" s="859"/>
      <c r="D118" s="859"/>
      <c r="E118" s="550"/>
    </row>
    <row r="119" spans="1:5" x14ac:dyDescent="0.2">
      <c r="A119" s="443" t="s">
        <v>549</v>
      </c>
      <c r="B119" s="551"/>
      <c r="C119" s="443" t="s">
        <v>553</v>
      </c>
      <c r="D119" s="553">
        <f>AN!B95</f>
        <v>0</v>
      </c>
      <c r="E119" s="550"/>
    </row>
    <row r="120" spans="1:5" x14ac:dyDescent="0.2">
      <c r="A120" s="443" t="s">
        <v>550</v>
      </c>
      <c r="B120" s="551"/>
      <c r="C120" s="443" t="s">
        <v>554</v>
      </c>
      <c r="D120" s="553">
        <f>AN!B96</f>
        <v>0</v>
      </c>
      <c r="E120" s="550"/>
    </row>
    <row r="121" spans="1:5" ht="13.5" thickBot="1" x14ac:dyDescent="0.25">
      <c r="A121" s="443"/>
      <c r="B121" s="443"/>
      <c r="C121" s="443"/>
      <c r="D121" s="443"/>
      <c r="E121" s="550"/>
    </row>
    <row r="122" spans="1:5" ht="15.75" thickBot="1" x14ac:dyDescent="0.25">
      <c r="A122" s="849" t="s">
        <v>270</v>
      </c>
      <c r="B122" s="850"/>
      <c r="C122" s="850"/>
      <c r="D122" s="851"/>
      <c r="E122" s="550"/>
    </row>
    <row r="123" spans="1:5" x14ac:dyDescent="0.2">
      <c r="A123" s="443" t="s">
        <v>270</v>
      </c>
      <c r="B123" s="795" t="s">
        <v>520</v>
      </c>
      <c r="C123" s="443"/>
      <c r="D123" s="443"/>
      <c r="E123" s="550"/>
    </row>
    <row r="124" spans="1:5" x14ac:dyDescent="0.2">
      <c r="A124" s="443" t="s">
        <v>588</v>
      </c>
      <c r="B124" s="791">
        <v>118.3</v>
      </c>
      <c r="C124" s="443"/>
      <c r="D124" s="443"/>
      <c r="E124" s="550"/>
    </row>
    <row r="125" spans="1:5" x14ac:dyDescent="0.2">
      <c r="A125" s="443" t="s">
        <v>16</v>
      </c>
      <c r="B125" s="779">
        <f>'INFO G'!B27</f>
        <v>4</v>
      </c>
      <c r="C125" s="443"/>
      <c r="D125" s="443"/>
      <c r="E125" s="550"/>
    </row>
    <row r="126" spans="1:5" x14ac:dyDescent="0.2">
      <c r="A126" s="443" t="s">
        <v>596</v>
      </c>
      <c r="B126" s="791">
        <v>535.16999999999996</v>
      </c>
      <c r="C126" s="443" t="s">
        <v>597</v>
      </c>
      <c r="D126" s="553">
        <f>SAISIE_SAL</f>
        <v>0</v>
      </c>
      <c r="E126" s="550"/>
    </row>
    <row r="127" spans="1:5" ht="13.5" thickBot="1" x14ac:dyDescent="0.25">
      <c r="A127" s="443"/>
      <c r="B127" s="443"/>
      <c r="C127" s="443"/>
      <c r="D127" s="443"/>
      <c r="E127" s="550"/>
    </row>
    <row r="128" spans="1:5" ht="15.75" thickBot="1" x14ac:dyDescent="0.25">
      <c r="A128" s="849" t="s">
        <v>687</v>
      </c>
      <c r="B128" s="850"/>
      <c r="C128" s="850"/>
      <c r="D128" s="851"/>
      <c r="E128" s="550"/>
    </row>
    <row r="129" spans="1:5" x14ac:dyDescent="0.2">
      <c r="A129" s="443" t="s">
        <v>688</v>
      </c>
      <c r="B129" s="551"/>
      <c r="C129" s="443"/>
      <c r="D129" s="443"/>
      <c r="E129" s="550"/>
    </row>
    <row r="130" spans="1:5" x14ac:dyDescent="0.2">
      <c r="A130" s="443" t="s">
        <v>689</v>
      </c>
      <c r="B130" s="779">
        <f>IFERROR(B129*H_SEM/J_SEM,0)</f>
        <v>0</v>
      </c>
      <c r="C130" s="443"/>
      <c r="D130" s="443"/>
      <c r="E130" s="550"/>
    </row>
    <row r="131" spans="1:5" x14ac:dyDescent="0.2">
      <c r="A131" s="443"/>
      <c r="B131" s="443"/>
      <c r="C131" s="443"/>
      <c r="D131" s="443"/>
      <c r="E131" s="550"/>
    </row>
    <row r="132" spans="1:5" x14ac:dyDescent="0.2">
      <c r="A132" s="443"/>
      <c r="B132" s="443"/>
      <c r="C132" s="443"/>
      <c r="D132" s="443"/>
      <c r="E132" s="550"/>
    </row>
    <row r="133" spans="1:5" x14ac:dyDescent="0.2">
      <c r="A133" s="443"/>
      <c r="B133" s="443"/>
      <c r="C133" s="443"/>
      <c r="D133" s="443"/>
      <c r="E133" s="550"/>
    </row>
    <row r="134" spans="1:5" x14ac:dyDescent="0.2">
      <c r="A134" s="443"/>
      <c r="B134" s="443"/>
      <c r="C134" s="443"/>
      <c r="D134" s="443"/>
      <c r="E134" s="550"/>
    </row>
    <row r="135" spans="1:5" x14ac:dyDescent="0.2">
      <c r="A135" s="443"/>
      <c r="B135" s="443"/>
      <c r="C135" s="443"/>
      <c r="D135" s="443"/>
      <c r="E135" s="550"/>
    </row>
    <row r="136" spans="1:5" x14ac:dyDescent="0.2">
      <c r="A136" s="443"/>
      <c r="B136" s="443"/>
      <c r="C136" s="443"/>
      <c r="D136" s="443"/>
      <c r="E136" s="550"/>
    </row>
    <row r="137" spans="1:5" x14ac:dyDescent="0.2">
      <c r="A137" s="443"/>
      <c r="B137" s="443"/>
      <c r="C137" s="443"/>
      <c r="D137" s="443"/>
      <c r="E137" s="550"/>
    </row>
    <row r="138" spans="1:5" x14ac:dyDescent="0.2">
      <c r="A138" s="443"/>
      <c r="B138" s="443"/>
      <c r="C138" s="443"/>
      <c r="D138" s="443"/>
      <c r="E138" s="550"/>
    </row>
    <row r="139" spans="1:5" x14ac:dyDescent="0.2">
      <c r="A139" s="443"/>
      <c r="B139" s="443"/>
      <c r="C139" s="443"/>
      <c r="D139" s="443"/>
      <c r="E139" s="550"/>
    </row>
    <row r="140" spans="1:5" x14ac:dyDescent="0.2">
      <c r="A140" s="443"/>
      <c r="B140" s="443"/>
      <c r="C140" s="443"/>
      <c r="D140" s="443"/>
      <c r="E140" s="550"/>
    </row>
    <row r="141" spans="1:5" x14ac:dyDescent="0.2">
      <c r="A141" s="443"/>
      <c r="B141" s="443"/>
      <c r="C141" s="443"/>
      <c r="D141" s="443"/>
      <c r="E141" s="550"/>
    </row>
    <row r="142" spans="1:5" x14ac:dyDescent="0.2">
      <c r="A142" s="443"/>
      <c r="B142" s="443"/>
      <c r="C142" s="443"/>
      <c r="D142" s="443"/>
      <c r="E142" s="550"/>
    </row>
    <row r="143" spans="1:5" x14ac:dyDescent="0.2">
      <c r="A143" s="443"/>
      <c r="B143" s="443"/>
      <c r="C143" s="443"/>
      <c r="D143" s="443"/>
      <c r="E143" s="550"/>
    </row>
    <row r="144" spans="1:5" x14ac:dyDescent="0.2">
      <c r="A144" s="443"/>
      <c r="B144" s="443"/>
      <c r="C144" s="443"/>
      <c r="D144" s="443"/>
      <c r="E144" s="550"/>
    </row>
    <row r="145" spans="1:5" x14ac:dyDescent="0.2">
      <c r="A145" s="443"/>
      <c r="B145" s="443"/>
      <c r="C145" s="443"/>
      <c r="D145" s="443"/>
      <c r="E145" s="550"/>
    </row>
    <row r="146" spans="1:5" x14ac:dyDescent="0.2">
      <c r="A146" s="443"/>
      <c r="B146" s="443"/>
      <c r="C146" s="443"/>
      <c r="D146" s="443"/>
      <c r="E146" s="550"/>
    </row>
    <row r="147" spans="1:5" x14ac:dyDescent="0.2">
      <c r="A147" s="443"/>
      <c r="B147" s="443"/>
      <c r="C147" s="443"/>
      <c r="D147" s="443"/>
      <c r="E147" s="550"/>
    </row>
    <row r="148" spans="1:5" x14ac:dyDescent="0.2">
      <c r="A148" s="443"/>
      <c r="B148" s="443"/>
      <c r="C148" s="443"/>
      <c r="D148" s="443"/>
      <c r="E148" s="550"/>
    </row>
    <row r="149" spans="1:5" x14ac:dyDescent="0.2">
      <c r="A149" s="443"/>
      <c r="B149" s="443"/>
      <c r="C149" s="443"/>
      <c r="D149" s="443"/>
      <c r="E149" s="550"/>
    </row>
    <row r="150" spans="1:5" x14ac:dyDescent="0.2">
      <c r="A150" s="443"/>
      <c r="B150" s="443"/>
      <c r="C150" s="443"/>
      <c r="D150" s="443"/>
      <c r="E150" s="550"/>
    </row>
    <row r="151" spans="1:5" x14ac:dyDescent="0.2">
      <c r="A151" s="443"/>
      <c r="B151" s="443"/>
      <c r="C151" s="443"/>
      <c r="D151" s="443"/>
      <c r="E151" s="550"/>
    </row>
    <row r="152" spans="1:5" x14ac:dyDescent="0.2">
      <c r="A152" s="443"/>
      <c r="B152" s="443"/>
      <c r="C152" s="443"/>
      <c r="D152" s="443"/>
      <c r="E152" s="550"/>
    </row>
    <row r="153" spans="1:5" x14ac:dyDescent="0.2">
      <c r="A153" s="443"/>
      <c r="B153" s="443"/>
      <c r="C153" s="443"/>
      <c r="D153" s="443"/>
      <c r="E153" s="550"/>
    </row>
    <row r="154" spans="1:5" x14ac:dyDescent="0.2">
      <c r="A154" s="443"/>
      <c r="B154" s="443"/>
      <c r="C154" s="443"/>
      <c r="D154" s="443"/>
      <c r="E154" s="550"/>
    </row>
    <row r="155" spans="1:5" x14ac:dyDescent="0.2">
      <c r="A155" s="443"/>
      <c r="B155" s="443"/>
      <c r="C155" s="443"/>
      <c r="D155" s="443"/>
      <c r="E155" s="550"/>
    </row>
    <row r="156" spans="1:5" x14ac:dyDescent="0.2">
      <c r="A156" s="443"/>
      <c r="B156" s="443"/>
      <c r="C156" s="443"/>
      <c r="D156" s="443"/>
      <c r="E156" s="550"/>
    </row>
    <row r="157" spans="1:5" x14ac:dyDescent="0.2">
      <c r="A157" s="443"/>
      <c r="B157" s="443"/>
      <c r="C157" s="443"/>
      <c r="D157" s="443"/>
      <c r="E157" s="550"/>
    </row>
    <row r="158" spans="1:5" x14ac:dyDescent="0.2">
      <c r="A158" s="443"/>
      <c r="B158" s="443"/>
      <c r="C158" s="443"/>
      <c r="D158" s="443"/>
      <c r="E158" s="550"/>
    </row>
    <row r="159" spans="1:5" x14ac:dyDescent="0.2">
      <c r="A159" s="443"/>
      <c r="B159" s="443"/>
      <c r="C159" s="443"/>
      <c r="D159" s="443"/>
      <c r="E159" s="550"/>
    </row>
    <row r="160" spans="1:5" x14ac:dyDescent="0.2">
      <c r="A160" s="443"/>
      <c r="B160" s="443"/>
      <c r="C160" s="443"/>
      <c r="D160" s="443"/>
      <c r="E160" s="550"/>
    </row>
    <row r="161" spans="1:5" x14ac:dyDescent="0.2">
      <c r="A161" s="443"/>
      <c r="B161" s="443"/>
      <c r="C161" s="443"/>
      <c r="D161" s="443"/>
      <c r="E161" s="550"/>
    </row>
    <row r="162" spans="1:5" x14ac:dyDescent="0.2">
      <c r="A162" s="443"/>
      <c r="B162" s="443"/>
      <c r="C162" s="443"/>
      <c r="D162" s="443"/>
      <c r="E162" s="550"/>
    </row>
    <row r="163" spans="1:5" x14ac:dyDescent="0.2">
      <c r="A163" s="443"/>
      <c r="B163" s="443"/>
      <c r="C163" s="443"/>
      <c r="D163" s="443"/>
      <c r="E163" s="550"/>
    </row>
    <row r="164" spans="1:5" x14ac:dyDescent="0.2">
      <c r="A164" s="443"/>
      <c r="B164" s="443"/>
      <c r="C164" s="443"/>
      <c r="D164" s="443"/>
      <c r="E164" s="550"/>
    </row>
    <row r="165" spans="1:5" x14ac:dyDescent="0.2">
      <c r="A165" s="443"/>
      <c r="B165" s="443"/>
      <c r="C165" s="443"/>
      <c r="D165" s="443"/>
      <c r="E165" s="550"/>
    </row>
    <row r="166" spans="1:5" x14ac:dyDescent="0.2">
      <c r="A166" s="443"/>
      <c r="B166" s="443"/>
      <c r="C166" s="443"/>
      <c r="D166" s="443"/>
      <c r="E166" s="550"/>
    </row>
    <row r="167" spans="1:5" x14ac:dyDescent="0.2">
      <c r="A167" s="443"/>
      <c r="B167" s="443"/>
      <c r="C167" s="443"/>
      <c r="D167" s="443"/>
      <c r="E167" s="550"/>
    </row>
    <row r="168" spans="1:5" x14ac:dyDescent="0.2">
      <c r="A168" s="443"/>
      <c r="B168" s="443"/>
      <c r="C168" s="443"/>
      <c r="D168" s="443"/>
      <c r="E168" s="550"/>
    </row>
    <row r="169" spans="1:5" x14ac:dyDescent="0.2">
      <c r="A169" s="443"/>
      <c r="B169" s="443"/>
      <c r="C169" s="443"/>
      <c r="D169" s="443"/>
      <c r="E169" s="550"/>
    </row>
    <row r="170" spans="1:5" x14ac:dyDescent="0.2">
      <c r="A170" s="443"/>
      <c r="B170" s="443"/>
      <c r="C170" s="443"/>
      <c r="D170" s="443"/>
      <c r="E170" s="550"/>
    </row>
    <row r="171" spans="1:5" x14ac:dyDescent="0.2">
      <c r="A171" s="443"/>
      <c r="B171" s="443"/>
      <c r="C171" s="443"/>
      <c r="D171" s="443"/>
      <c r="E171" s="550"/>
    </row>
    <row r="172" spans="1:5" x14ac:dyDescent="0.2">
      <c r="A172" s="443"/>
      <c r="B172" s="443"/>
      <c r="C172" s="443"/>
      <c r="D172" s="443"/>
      <c r="E172" s="550"/>
    </row>
    <row r="173" spans="1:5" x14ac:dyDescent="0.2">
      <c r="A173" s="443"/>
      <c r="B173" s="443"/>
      <c r="C173" s="443"/>
      <c r="D173" s="443"/>
      <c r="E173" s="550"/>
    </row>
    <row r="174" spans="1:5" x14ac:dyDescent="0.2">
      <c r="A174" s="443"/>
      <c r="B174" s="443"/>
      <c r="C174" s="443"/>
      <c r="D174" s="443"/>
      <c r="E174" s="550"/>
    </row>
    <row r="175" spans="1:5" x14ac:dyDescent="0.2">
      <c r="A175" s="443"/>
      <c r="B175" s="443"/>
      <c r="C175" s="443"/>
      <c r="D175" s="443"/>
      <c r="E175" s="550"/>
    </row>
    <row r="176" spans="1:5" x14ac:dyDescent="0.2">
      <c r="A176" s="443"/>
      <c r="B176" s="443"/>
      <c r="C176" s="443"/>
      <c r="D176" s="443"/>
      <c r="E176" s="550"/>
    </row>
    <row r="177" spans="1:5" x14ac:dyDescent="0.2">
      <c r="A177" s="443"/>
      <c r="B177" s="443"/>
      <c r="C177" s="443"/>
      <c r="D177" s="443"/>
      <c r="E177" s="550"/>
    </row>
    <row r="178" spans="1:5" x14ac:dyDescent="0.2">
      <c r="A178" s="443"/>
      <c r="B178" s="443"/>
      <c r="C178" s="443"/>
      <c r="D178" s="443"/>
      <c r="E178" s="550"/>
    </row>
    <row r="179" spans="1:5" x14ac:dyDescent="0.2">
      <c r="A179" s="443"/>
      <c r="B179" s="443"/>
      <c r="C179" s="443"/>
      <c r="D179" s="443"/>
      <c r="E179" s="550"/>
    </row>
    <row r="180" spans="1:5" x14ac:dyDescent="0.2">
      <c r="A180" s="443"/>
      <c r="B180" s="443"/>
      <c r="C180" s="443"/>
      <c r="D180" s="443"/>
      <c r="E180" s="550"/>
    </row>
    <row r="181" spans="1:5" x14ac:dyDescent="0.2">
      <c r="A181" s="443"/>
      <c r="B181" s="443"/>
      <c r="C181" s="443"/>
      <c r="D181" s="443"/>
      <c r="E181" s="550"/>
    </row>
    <row r="182" spans="1:5" x14ac:dyDescent="0.2">
      <c r="A182" s="443"/>
      <c r="B182" s="443"/>
      <c r="C182" s="443"/>
      <c r="D182" s="443"/>
      <c r="E182" s="550"/>
    </row>
    <row r="183" spans="1:5" x14ac:dyDescent="0.2">
      <c r="A183" s="443"/>
      <c r="B183" s="443"/>
      <c r="C183" s="443"/>
      <c r="D183" s="443"/>
      <c r="E183" s="550"/>
    </row>
    <row r="184" spans="1:5" x14ac:dyDescent="0.2">
      <c r="A184" s="443"/>
      <c r="B184" s="443"/>
      <c r="C184" s="443"/>
      <c r="D184" s="443"/>
      <c r="E184" s="550"/>
    </row>
    <row r="185" spans="1:5" x14ac:dyDescent="0.2">
      <c r="A185" s="443"/>
      <c r="B185" s="443"/>
      <c r="C185" s="443"/>
      <c r="D185" s="443"/>
      <c r="E185" s="550"/>
    </row>
    <row r="186" spans="1:5" x14ac:dyDescent="0.2">
      <c r="A186" s="443"/>
      <c r="B186" s="443"/>
      <c r="C186" s="443"/>
      <c r="D186" s="443"/>
      <c r="E186" s="550"/>
    </row>
    <row r="187" spans="1:5" x14ac:dyDescent="0.2">
      <c r="A187" s="443"/>
      <c r="B187" s="443"/>
      <c r="C187" s="443"/>
      <c r="D187" s="443"/>
      <c r="E187" s="550"/>
    </row>
    <row r="188" spans="1:5" x14ac:dyDescent="0.2">
      <c r="A188" s="443"/>
      <c r="B188" s="443"/>
      <c r="C188" s="443"/>
      <c r="D188" s="443"/>
      <c r="E188" s="550"/>
    </row>
    <row r="189" spans="1:5" x14ac:dyDescent="0.2">
      <c r="A189" s="443"/>
      <c r="B189" s="443"/>
      <c r="C189" s="443"/>
      <c r="D189" s="443"/>
      <c r="E189" s="550"/>
    </row>
    <row r="190" spans="1:5" x14ac:dyDescent="0.2">
      <c r="A190" s="443"/>
      <c r="B190" s="443"/>
      <c r="C190" s="443"/>
      <c r="D190" s="443"/>
      <c r="E190" s="550"/>
    </row>
    <row r="191" spans="1:5" x14ac:dyDescent="0.2">
      <c r="A191" s="443"/>
      <c r="B191" s="443"/>
      <c r="C191" s="443"/>
      <c r="D191" s="443"/>
      <c r="E191" s="550"/>
    </row>
    <row r="192" spans="1:5" x14ac:dyDescent="0.2">
      <c r="A192" s="443"/>
      <c r="B192" s="443"/>
      <c r="C192" s="443"/>
      <c r="D192" s="443"/>
      <c r="E192" s="550"/>
    </row>
    <row r="193" spans="1:5" x14ac:dyDescent="0.2">
      <c r="A193" s="443"/>
      <c r="B193" s="443"/>
      <c r="C193" s="443"/>
      <c r="D193" s="443"/>
      <c r="E193" s="550"/>
    </row>
    <row r="194" spans="1:5" x14ac:dyDescent="0.2">
      <c r="A194" s="443"/>
      <c r="B194" s="443"/>
      <c r="C194" s="443"/>
      <c r="D194" s="443"/>
      <c r="E194" s="550"/>
    </row>
    <row r="195" spans="1:5" x14ac:dyDescent="0.2">
      <c r="A195" s="443"/>
      <c r="B195" s="443"/>
      <c r="C195" s="443"/>
      <c r="D195" s="443"/>
      <c r="E195" s="550"/>
    </row>
    <row r="196" spans="1:5" x14ac:dyDescent="0.2">
      <c r="A196" s="443"/>
      <c r="B196" s="443"/>
      <c r="C196" s="443"/>
      <c r="D196" s="443"/>
      <c r="E196" s="550"/>
    </row>
    <row r="197" spans="1:5" x14ac:dyDescent="0.2">
      <c r="A197" s="443"/>
      <c r="B197" s="443"/>
      <c r="C197" s="443"/>
      <c r="D197" s="443"/>
      <c r="E197" s="550"/>
    </row>
    <row r="198" spans="1:5" x14ac:dyDescent="0.2">
      <c r="A198" s="443"/>
      <c r="B198" s="443"/>
      <c r="C198" s="443"/>
      <c r="D198" s="443"/>
      <c r="E198" s="550"/>
    </row>
    <row r="199" spans="1:5" x14ac:dyDescent="0.2">
      <c r="A199" s="443"/>
      <c r="B199" s="443"/>
      <c r="C199" s="443"/>
      <c r="D199" s="443"/>
      <c r="E199" s="550"/>
    </row>
    <row r="200" spans="1:5" x14ac:dyDescent="0.2">
      <c r="A200" s="443"/>
      <c r="B200" s="443"/>
      <c r="C200" s="443"/>
      <c r="D200" s="443"/>
      <c r="E200" s="550"/>
    </row>
    <row r="201" spans="1:5" x14ac:dyDescent="0.2">
      <c r="A201" s="443"/>
      <c r="B201" s="443"/>
      <c r="C201" s="443"/>
      <c r="D201" s="443"/>
      <c r="E201" s="550"/>
    </row>
    <row r="202" spans="1:5" x14ac:dyDescent="0.2">
      <c r="A202" s="443"/>
      <c r="B202" s="443"/>
      <c r="C202" s="443"/>
      <c r="D202" s="443"/>
      <c r="E202" s="550"/>
    </row>
    <row r="203" spans="1:5" x14ac:dyDescent="0.2">
      <c r="A203" s="443"/>
      <c r="B203" s="443"/>
      <c r="C203" s="443"/>
      <c r="D203" s="443"/>
      <c r="E203" s="550"/>
    </row>
    <row r="204" spans="1:5" x14ac:dyDescent="0.2">
      <c r="A204" s="443"/>
      <c r="B204" s="443"/>
      <c r="C204" s="443"/>
      <c r="D204" s="443"/>
      <c r="E204" s="550"/>
    </row>
    <row r="205" spans="1:5" x14ac:dyDescent="0.2">
      <c r="A205" s="443"/>
      <c r="B205" s="443"/>
      <c r="C205" s="443"/>
      <c r="D205" s="443"/>
      <c r="E205" s="550"/>
    </row>
    <row r="206" spans="1:5" x14ac:dyDescent="0.2">
      <c r="A206" s="443"/>
      <c r="B206" s="443"/>
      <c r="C206" s="443"/>
      <c r="D206" s="443"/>
      <c r="E206" s="550"/>
    </row>
    <row r="207" spans="1:5" x14ac:dyDescent="0.2">
      <c r="A207" s="443"/>
      <c r="B207" s="443"/>
      <c r="C207" s="443"/>
      <c r="D207" s="443"/>
      <c r="E207" s="550"/>
    </row>
    <row r="208" spans="1:5" x14ac:dyDescent="0.2">
      <c r="A208" s="443"/>
      <c r="B208" s="443"/>
      <c r="C208" s="443"/>
      <c r="D208" s="443"/>
      <c r="E208" s="550"/>
    </row>
    <row r="209" spans="1:5" x14ac:dyDescent="0.2">
      <c r="A209" s="443"/>
      <c r="B209" s="443"/>
      <c r="C209" s="443"/>
      <c r="D209" s="443"/>
      <c r="E209" s="550"/>
    </row>
    <row r="210" spans="1:5" x14ac:dyDescent="0.2">
      <c r="A210" s="443"/>
      <c r="B210" s="443"/>
      <c r="C210" s="443"/>
      <c r="D210" s="443"/>
      <c r="E210" s="550"/>
    </row>
    <row r="211" spans="1:5" x14ac:dyDescent="0.2">
      <c r="A211" s="443"/>
      <c r="B211" s="443"/>
      <c r="C211" s="443"/>
      <c r="D211" s="443"/>
      <c r="E211" s="550"/>
    </row>
    <row r="212" spans="1:5" x14ac:dyDescent="0.2">
      <c r="A212" s="443"/>
      <c r="B212" s="443"/>
      <c r="C212" s="443"/>
      <c r="D212" s="443"/>
      <c r="E212" s="550"/>
    </row>
    <row r="213" spans="1:5" x14ac:dyDescent="0.2">
      <c r="A213" s="443"/>
      <c r="B213" s="443"/>
      <c r="C213" s="443"/>
      <c r="D213" s="443"/>
      <c r="E213" s="550"/>
    </row>
    <row r="214" spans="1:5" x14ac:dyDescent="0.2">
      <c r="A214" s="443"/>
      <c r="B214" s="443"/>
      <c r="C214" s="443"/>
      <c r="D214" s="443"/>
      <c r="E214" s="550"/>
    </row>
    <row r="215" spans="1:5" x14ac:dyDescent="0.2">
      <c r="A215" s="443"/>
      <c r="B215" s="443"/>
      <c r="C215" s="443"/>
      <c r="D215" s="443"/>
      <c r="E215" s="550"/>
    </row>
    <row r="216" spans="1:5" x14ac:dyDescent="0.2">
      <c r="A216" s="443"/>
      <c r="B216" s="443"/>
      <c r="C216" s="443"/>
      <c r="D216" s="443"/>
      <c r="E216" s="550"/>
    </row>
    <row r="217" spans="1:5" x14ac:dyDescent="0.2">
      <c r="A217" s="443"/>
      <c r="B217" s="443"/>
      <c r="C217" s="443"/>
      <c r="D217" s="443"/>
      <c r="E217" s="550"/>
    </row>
    <row r="218" spans="1:5" x14ac:dyDescent="0.2">
      <c r="A218" s="443"/>
      <c r="B218" s="443"/>
      <c r="C218" s="443"/>
      <c r="D218" s="443"/>
      <c r="E218" s="550"/>
    </row>
    <row r="219" spans="1:5" x14ac:dyDescent="0.2">
      <c r="A219" s="443"/>
      <c r="B219" s="443"/>
      <c r="C219" s="443"/>
      <c r="D219" s="443"/>
      <c r="E219" s="550"/>
    </row>
    <row r="220" spans="1:5" x14ac:dyDescent="0.2">
      <c r="A220" s="443"/>
      <c r="B220" s="443"/>
      <c r="C220" s="443"/>
      <c r="D220" s="443"/>
      <c r="E220" s="550"/>
    </row>
    <row r="221" spans="1:5" x14ac:dyDescent="0.2">
      <c r="A221" s="443"/>
      <c r="B221" s="443"/>
      <c r="C221" s="443"/>
      <c r="D221" s="443"/>
      <c r="E221" s="550"/>
    </row>
    <row r="222" spans="1:5" x14ac:dyDescent="0.2">
      <c r="A222" s="443"/>
      <c r="B222" s="443"/>
      <c r="C222" s="443"/>
      <c r="D222" s="443"/>
      <c r="E222" s="550"/>
    </row>
    <row r="223" spans="1:5" x14ac:dyDescent="0.2">
      <c r="A223" s="443"/>
      <c r="B223" s="443"/>
      <c r="C223" s="443"/>
      <c r="D223" s="443"/>
      <c r="E223" s="550"/>
    </row>
    <row r="224" spans="1:5" x14ac:dyDescent="0.2">
      <c r="A224" s="443"/>
      <c r="B224" s="443"/>
      <c r="C224" s="443"/>
      <c r="D224" s="443"/>
      <c r="E224" s="550"/>
    </row>
    <row r="225" spans="1:5" x14ac:dyDescent="0.2">
      <c r="A225" s="443"/>
      <c r="B225" s="443"/>
      <c r="C225" s="443"/>
      <c r="D225" s="443"/>
      <c r="E225" s="550"/>
    </row>
    <row r="226" spans="1:5" x14ac:dyDescent="0.2">
      <c r="A226" s="443"/>
      <c r="B226" s="443"/>
      <c r="C226" s="443"/>
      <c r="D226" s="443"/>
      <c r="E226" s="550"/>
    </row>
    <row r="227" spans="1:5" x14ac:dyDescent="0.2">
      <c r="A227" s="443"/>
      <c r="B227" s="443"/>
      <c r="C227" s="443"/>
      <c r="D227" s="443"/>
      <c r="E227" s="550"/>
    </row>
    <row r="228" spans="1:5" x14ac:dyDescent="0.2">
      <c r="A228" s="443"/>
      <c r="B228" s="443"/>
      <c r="C228" s="443"/>
      <c r="D228" s="443"/>
      <c r="E228" s="550"/>
    </row>
    <row r="229" spans="1:5" x14ac:dyDescent="0.2">
      <c r="A229" s="443"/>
      <c r="B229" s="443"/>
      <c r="C229" s="443"/>
      <c r="D229" s="443"/>
      <c r="E229" s="550"/>
    </row>
    <row r="230" spans="1:5" x14ac:dyDescent="0.2">
      <c r="A230" s="443"/>
      <c r="B230" s="443"/>
      <c r="C230" s="443"/>
      <c r="D230" s="443"/>
      <c r="E230" s="550"/>
    </row>
    <row r="231" spans="1:5" x14ac:dyDescent="0.2">
      <c r="A231" s="443"/>
      <c r="B231" s="443"/>
      <c r="C231" s="443"/>
      <c r="D231" s="443"/>
      <c r="E231" s="550"/>
    </row>
    <row r="232" spans="1:5" x14ac:dyDescent="0.2">
      <c r="A232" s="443"/>
      <c r="B232" s="443"/>
      <c r="C232" s="443"/>
      <c r="D232" s="443"/>
      <c r="E232" s="550"/>
    </row>
    <row r="233" spans="1:5" x14ac:dyDescent="0.2">
      <c r="A233" s="443"/>
      <c r="B233" s="443"/>
      <c r="C233" s="443"/>
      <c r="D233" s="443"/>
      <c r="E233" s="550"/>
    </row>
    <row r="234" spans="1:5" x14ac:dyDescent="0.2">
      <c r="A234" s="443"/>
      <c r="B234" s="443"/>
      <c r="C234" s="443"/>
      <c r="D234" s="443"/>
      <c r="E234" s="550"/>
    </row>
    <row r="235" spans="1:5" x14ac:dyDescent="0.2">
      <c r="A235" s="443"/>
      <c r="B235" s="443"/>
      <c r="C235" s="443"/>
      <c r="D235" s="443"/>
      <c r="E235" s="550"/>
    </row>
    <row r="236" spans="1:5" x14ac:dyDescent="0.2">
      <c r="A236" s="443"/>
      <c r="B236" s="443"/>
      <c r="C236" s="443"/>
      <c r="D236" s="443"/>
      <c r="E236" s="550"/>
    </row>
    <row r="237" spans="1:5" x14ac:dyDescent="0.2">
      <c r="A237" s="443"/>
      <c r="B237" s="443"/>
      <c r="C237" s="443"/>
      <c r="D237" s="443"/>
      <c r="E237" s="550"/>
    </row>
    <row r="238" spans="1:5" x14ac:dyDescent="0.2">
      <c r="A238" s="443"/>
      <c r="B238" s="443"/>
      <c r="C238" s="443"/>
      <c r="D238" s="443"/>
      <c r="E238" s="550"/>
    </row>
    <row r="239" spans="1:5" x14ac:dyDescent="0.2">
      <c r="A239" s="443"/>
      <c r="B239" s="443"/>
      <c r="C239" s="443"/>
      <c r="D239" s="443"/>
      <c r="E239" s="550"/>
    </row>
    <row r="240" spans="1:5" x14ac:dyDescent="0.2">
      <c r="A240" s="443"/>
      <c r="B240" s="443"/>
      <c r="C240" s="443"/>
      <c r="D240" s="443"/>
      <c r="E240" s="550"/>
    </row>
    <row r="241" spans="1:5" x14ac:dyDescent="0.2">
      <c r="A241" s="443"/>
      <c r="B241" s="443"/>
      <c r="C241" s="443"/>
      <c r="D241" s="443"/>
      <c r="E241" s="550"/>
    </row>
    <row r="242" spans="1:5" x14ac:dyDescent="0.2">
      <c r="A242" s="443"/>
      <c r="B242" s="443"/>
      <c r="C242" s="443"/>
      <c r="D242" s="443"/>
      <c r="E242" s="550"/>
    </row>
    <row r="243" spans="1:5" x14ac:dyDescent="0.2">
      <c r="A243" s="443"/>
      <c r="B243" s="443"/>
      <c r="C243" s="443"/>
      <c r="D243" s="443"/>
      <c r="E243" s="550"/>
    </row>
    <row r="244" spans="1:5" x14ac:dyDescent="0.2">
      <c r="A244" s="443"/>
      <c r="B244" s="443"/>
      <c r="C244" s="443"/>
      <c r="D244" s="443"/>
      <c r="E244" s="550"/>
    </row>
    <row r="245" spans="1:5" x14ac:dyDescent="0.2">
      <c r="A245" s="443"/>
      <c r="B245" s="443"/>
      <c r="C245" s="443"/>
      <c r="D245" s="443"/>
      <c r="E245" s="550"/>
    </row>
    <row r="246" spans="1:5" x14ac:dyDescent="0.2">
      <c r="A246" s="443"/>
      <c r="B246" s="443"/>
      <c r="C246" s="443"/>
      <c r="D246" s="443"/>
      <c r="E246" s="550"/>
    </row>
    <row r="247" spans="1:5" x14ac:dyDescent="0.2">
      <c r="A247" s="443"/>
      <c r="B247" s="443"/>
      <c r="C247" s="443"/>
      <c r="D247" s="443"/>
      <c r="E247" s="550"/>
    </row>
    <row r="248" spans="1:5" x14ac:dyDescent="0.2">
      <c r="A248" s="443"/>
      <c r="B248" s="443"/>
      <c r="C248" s="443"/>
      <c r="D248" s="443"/>
      <c r="E248" s="550"/>
    </row>
    <row r="249" spans="1:5" x14ac:dyDescent="0.2">
      <c r="A249" s="443"/>
      <c r="B249" s="443"/>
      <c r="C249" s="443"/>
      <c r="D249" s="443"/>
      <c r="E249" s="550"/>
    </row>
    <row r="250" spans="1:5" x14ac:dyDescent="0.2">
      <c r="A250" s="443"/>
      <c r="B250" s="443"/>
      <c r="C250" s="443"/>
      <c r="D250" s="443"/>
      <c r="E250" s="550"/>
    </row>
    <row r="251" spans="1:5" x14ac:dyDescent="0.2">
      <c r="A251" s="443"/>
      <c r="B251" s="443"/>
      <c r="C251" s="443"/>
      <c r="D251" s="443"/>
      <c r="E251" s="550"/>
    </row>
    <row r="252" spans="1:5" x14ac:dyDescent="0.2">
      <c r="A252" s="443"/>
      <c r="B252" s="443"/>
      <c r="C252" s="443"/>
      <c r="D252" s="443"/>
      <c r="E252" s="550"/>
    </row>
    <row r="253" spans="1:5" x14ac:dyDescent="0.2">
      <c r="A253" s="443"/>
      <c r="B253" s="443"/>
      <c r="C253" s="443"/>
      <c r="D253" s="443"/>
      <c r="E253" s="550"/>
    </row>
    <row r="254" spans="1:5" x14ac:dyDescent="0.2">
      <c r="A254" s="443"/>
      <c r="B254" s="443"/>
      <c r="C254" s="443"/>
      <c r="D254" s="443"/>
      <c r="E254" s="550"/>
    </row>
    <row r="255" spans="1:5" x14ac:dyDescent="0.2">
      <c r="A255" s="443"/>
      <c r="B255" s="443"/>
      <c r="C255" s="443"/>
      <c r="D255" s="443"/>
      <c r="E255" s="550"/>
    </row>
    <row r="256" spans="1:5" x14ac:dyDescent="0.2">
      <c r="A256" s="443"/>
      <c r="B256" s="443"/>
      <c r="C256" s="443"/>
      <c r="D256" s="443"/>
      <c r="E256" s="550"/>
    </row>
    <row r="257" spans="1:5" x14ac:dyDescent="0.2">
      <c r="A257" s="443"/>
      <c r="B257" s="443"/>
      <c r="C257" s="443"/>
      <c r="D257" s="443"/>
      <c r="E257" s="550"/>
    </row>
    <row r="258" spans="1:5" x14ac:dyDescent="0.2">
      <c r="A258" s="443"/>
      <c r="B258" s="443"/>
      <c r="C258" s="443"/>
      <c r="D258" s="443"/>
      <c r="E258" s="550"/>
    </row>
    <row r="259" spans="1:5" x14ac:dyDescent="0.2">
      <c r="A259" s="443"/>
      <c r="B259" s="443"/>
      <c r="C259" s="443"/>
      <c r="D259" s="443"/>
      <c r="E259" s="550"/>
    </row>
    <row r="260" spans="1:5" x14ac:dyDescent="0.2">
      <c r="A260" s="443"/>
      <c r="B260" s="443"/>
      <c r="C260" s="443"/>
      <c r="D260" s="443"/>
      <c r="E260" s="550"/>
    </row>
    <row r="261" spans="1:5" x14ac:dyDescent="0.2">
      <c r="A261" s="443"/>
      <c r="B261" s="443"/>
      <c r="C261" s="443"/>
      <c r="D261" s="443"/>
      <c r="E261" s="550"/>
    </row>
    <row r="262" spans="1:5" x14ac:dyDescent="0.2">
      <c r="A262" s="443"/>
      <c r="B262" s="443"/>
      <c r="C262" s="443"/>
      <c r="D262" s="443"/>
      <c r="E262" s="550"/>
    </row>
    <row r="263" spans="1:5" x14ac:dyDescent="0.2">
      <c r="A263" s="443"/>
      <c r="B263" s="443"/>
      <c r="C263" s="443"/>
      <c r="D263" s="443"/>
      <c r="E263" s="550"/>
    </row>
    <row r="264" spans="1:5" x14ac:dyDescent="0.2">
      <c r="A264" s="443"/>
      <c r="B264" s="443"/>
      <c r="C264" s="443"/>
      <c r="D264" s="443"/>
      <c r="E264" s="550"/>
    </row>
    <row r="265" spans="1:5" x14ac:dyDescent="0.2">
      <c r="A265" s="443"/>
      <c r="B265" s="443"/>
      <c r="C265" s="443"/>
      <c r="D265" s="443"/>
      <c r="E265" s="550"/>
    </row>
    <row r="266" spans="1:5" x14ac:dyDescent="0.2">
      <c r="A266" s="443"/>
      <c r="B266" s="443"/>
      <c r="C266" s="443"/>
      <c r="D266" s="443"/>
      <c r="E266" s="550"/>
    </row>
    <row r="267" spans="1:5" x14ac:dyDescent="0.2">
      <c r="A267" s="443"/>
      <c r="B267" s="443"/>
      <c r="C267" s="443"/>
      <c r="D267" s="443"/>
      <c r="E267" s="550"/>
    </row>
    <row r="268" spans="1:5" x14ac:dyDescent="0.2">
      <c r="A268" s="443"/>
      <c r="B268" s="443"/>
      <c r="C268" s="443"/>
      <c r="D268" s="443"/>
      <c r="E268" s="550"/>
    </row>
    <row r="269" spans="1:5" x14ac:dyDescent="0.2">
      <c r="A269" s="443"/>
      <c r="B269" s="443"/>
      <c r="C269" s="443"/>
      <c r="D269" s="443"/>
      <c r="E269" s="550"/>
    </row>
    <row r="270" spans="1:5" x14ac:dyDescent="0.2">
      <c r="A270" s="443"/>
      <c r="B270" s="443"/>
      <c r="C270" s="443"/>
      <c r="D270" s="443"/>
      <c r="E270" s="550"/>
    </row>
    <row r="271" spans="1:5" x14ac:dyDescent="0.2">
      <c r="A271" s="443"/>
      <c r="B271" s="443"/>
      <c r="C271" s="443"/>
      <c r="D271" s="443"/>
      <c r="E271" s="550"/>
    </row>
    <row r="272" spans="1:5" x14ac:dyDescent="0.2">
      <c r="A272" s="443"/>
      <c r="B272" s="443"/>
      <c r="C272" s="443"/>
      <c r="D272" s="443"/>
      <c r="E272" s="550"/>
    </row>
    <row r="273" spans="1:5" x14ac:dyDescent="0.2">
      <c r="A273" s="443"/>
      <c r="B273" s="443"/>
      <c r="C273" s="443"/>
      <c r="D273" s="443"/>
      <c r="E273" s="550"/>
    </row>
    <row r="274" spans="1:5" x14ac:dyDescent="0.2">
      <c r="A274" s="443"/>
      <c r="B274" s="443"/>
      <c r="C274" s="443"/>
      <c r="D274" s="443"/>
      <c r="E274" s="550"/>
    </row>
    <row r="275" spans="1:5" x14ac:dyDescent="0.2">
      <c r="A275" s="443"/>
      <c r="B275" s="443"/>
      <c r="C275" s="443"/>
      <c r="D275" s="443"/>
      <c r="E275" s="550"/>
    </row>
    <row r="276" spans="1:5" x14ac:dyDescent="0.2">
      <c r="A276" s="443"/>
      <c r="B276" s="443"/>
      <c r="C276" s="443"/>
      <c r="D276" s="443"/>
      <c r="E276" s="550"/>
    </row>
    <row r="277" spans="1:5" x14ac:dyDescent="0.2">
      <c r="A277" s="443"/>
      <c r="B277" s="443"/>
      <c r="C277" s="443"/>
      <c r="D277" s="443"/>
      <c r="E277" s="550"/>
    </row>
    <row r="278" spans="1:5" x14ac:dyDescent="0.2">
      <c r="A278" s="443"/>
      <c r="B278" s="443"/>
      <c r="C278" s="443"/>
      <c r="D278" s="443"/>
      <c r="E278" s="550"/>
    </row>
    <row r="279" spans="1:5" x14ac:dyDescent="0.2">
      <c r="A279" s="443"/>
      <c r="B279" s="443"/>
      <c r="C279" s="443"/>
      <c r="D279" s="443"/>
      <c r="E279" s="550"/>
    </row>
    <row r="280" spans="1:5" x14ac:dyDescent="0.2">
      <c r="A280" s="443"/>
      <c r="B280" s="443"/>
      <c r="C280" s="443"/>
      <c r="D280" s="443"/>
      <c r="E280" s="550"/>
    </row>
    <row r="281" spans="1:5" x14ac:dyDescent="0.2">
      <c r="A281" s="443"/>
      <c r="B281" s="443"/>
      <c r="C281" s="443"/>
      <c r="D281" s="443"/>
      <c r="E281" s="550"/>
    </row>
    <row r="282" spans="1:5" x14ac:dyDescent="0.2">
      <c r="A282" s="443"/>
      <c r="B282" s="443"/>
      <c r="C282" s="443"/>
      <c r="D282" s="443"/>
      <c r="E282" s="550"/>
    </row>
    <row r="283" spans="1:5" x14ac:dyDescent="0.2">
      <c r="A283" s="443"/>
      <c r="B283" s="443"/>
      <c r="C283" s="443"/>
      <c r="D283" s="443"/>
      <c r="E283" s="550"/>
    </row>
    <row r="284" spans="1:5" x14ac:dyDescent="0.2">
      <c r="A284" s="443"/>
      <c r="B284" s="443"/>
      <c r="C284" s="443"/>
      <c r="D284" s="443"/>
      <c r="E284" s="550"/>
    </row>
    <row r="285" spans="1:5" x14ac:dyDescent="0.2">
      <c r="A285" s="443"/>
      <c r="B285" s="443"/>
      <c r="C285" s="443"/>
      <c r="D285" s="443"/>
      <c r="E285" s="550"/>
    </row>
    <row r="286" spans="1:5" x14ac:dyDescent="0.2">
      <c r="A286" s="443"/>
      <c r="B286" s="443"/>
      <c r="C286" s="443"/>
      <c r="D286" s="443"/>
      <c r="E286" s="550"/>
    </row>
    <row r="287" spans="1:5" x14ac:dyDescent="0.2">
      <c r="A287" s="443"/>
      <c r="B287" s="443"/>
      <c r="C287" s="443"/>
      <c r="D287" s="443"/>
      <c r="E287" s="550"/>
    </row>
    <row r="288" spans="1:5" x14ac:dyDescent="0.2">
      <c r="A288" s="443"/>
      <c r="B288" s="443"/>
      <c r="C288" s="443"/>
      <c r="D288" s="443"/>
      <c r="E288" s="550"/>
    </row>
    <row r="289" spans="1:5" x14ac:dyDescent="0.2">
      <c r="A289" s="443"/>
      <c r="B289" s="443"/>
      <c r="C289" s="443"/>
      <c r="D289" s="443"/>
      <c r="E289" s="550"/>
    </row>
    <row r="290" spans="1:5" x14ac:dyDescent="0.2">
      <c r="A290" s="443"/>
      <c r="B290" s="443"/>
      <c r="C290" s="443"/>
      <c r="D290" s="443"/>
      <c r="E290" s="550"/>
    </row>
    <row r="291" spans="1:5" x14ac:dyDescent="0.2">
      <c r="A291" s="443"/>
      <c r="B291" s="443"/>
      <c r="C291" s="443"/>
      <c r="D291" s="443"/>
      <c r="E291" s="550"/>
    </row>
    <row r="292" spans="1:5" x14ac:dyDescent="0.2">
      <c r="A292" s="443"/>
      <c r="B292" s="443"/>
      <c r="C292" s="443"/>
      <c r="D292" s="443"/>
      <c r="E292" s="550"/>
    </row>
    <row r="293" spans="1:5" x14ac:dyDescent="0.2">
      <c r="A293" s="443"/>
      <c r="B293" s="443"/>
      <c r="C293" s="443"/>
      <c r="D293" s="443"/>
      <c r="E293" s="550"/>
    </row>
    <row r="294" spans="1:5" x14ac:dyDescent="0.2">
      <c r="A294" s="443"/>
      <c r="B294" s="443"/>
      <c r="C294" s="443"/>
      <c r="D294" s="443"/>
      <c r="E294" s="550"/>
    </row>
    <row r="295" spans="1:5" x14ac:dyDescent="0.2">
      <c r="A295" s="443"/>
      <c r="B295" s="443"/>
      <c r="C295" s="443"/>
      <c r="D295" s="443"/>
      <c r="E295" s="550"/>
    </row>
    <row r="296" spans="1:5" x14ac:dyDescent="0.2">
      <c r="A296" s="443"/>
      <c r="B296" s="443"/>
      <c r="C296" s="443"/>
      <c r="D296" s="443"/>
      <c r="E296" s="550"/>
    </row>
    <row r="297" spans="1:5" x14ac:dyDescent="0.2">
      <c r="A297" s="443"/>
      <c r="B297" s="443"/>
      <c r="C297" s="443"/>
      <c r="D297" s="443"/>
      <c r="E297" s="550"/>
    </row>
    <row r="298" spans="1:5" x14ac:dyDescent="0.2">
      <c r="A298" s="443"/>
      <c r="B298" s="443"/>
      <c r="C298" s="443"/>
      <c r="D298" s="443"/>
      <c r="E298" s="550"/>
    </row>
    <row r="299" spans="1:5" x14ac:dyDescent="0.2">
      <c r="A299" s="443"/>
      <c r="B299" s="443"/>
      <c r="C299" s="443"/>
      <c r="D299" s="443"/>
      <c r="E299" s="550"/>
    </row>
    <row r="300" spans="1:5" x14ac:dyDescent="0.2">
      <c r="A300" s="443"/>
      <c r="B300" s="443"/>
      <c r="C300" s="443"/>
      <c r="D300" s="443"/>
      <c r="E300" s="550"/>
    </row>
    <row r="301" spans="1:5" x14ac:dyDescent="0.2">
      <c r="A301" s="443"/>
      <c r="B301" s="443"/>
      <c r="C301" s="443"/>
      <c r="D301" s="443"/>
      <c r="E301" s="550"/>
    </row>
    <row r="302" spans="1:5" x14ac:dyDescent="0.2">
      <c r="A302" s="443"/>
      <c r="B302" s="443"/>
      <c r="C302" s="443"/>
      <c r="D302" s="443"/>
      <c r="E302" s="550"/>
    </row>
    <row r="303" spans="1:5" x14ac:dyDescent="0.2">
      <c r="A303" s="443"/>
      <c r="B303" s="443"/>
      <c r="C303" s="443"/>
      <c r="D303" s="443"/>
      <c r="E303" s="550"/>
    </row>
    <row r="304" spans="1:5" x14ac:dyDescent="0.2">
      <c r="A304" s="443"/>
      <c r="B304" s="443"/>
      <c r="C304" s="443"/>
      <c r="D304" s="443"/>
      <c r="E304" s="550"/>
    </row>
    <row r="305" spans="1:5" x14ac:dyDescent="0.2">
      <c r="A305" s="443"/>
      <c r="B305" s="443"/>
      <c r="C305" s="443"/>
      <c r="D305" s="443"/>
      <c r="E305" s="550"/>
    </row>
    <row r="306" spans="1:5" x14ac:dyDescent="0.2">
      <c r="A306" s="443"/>
      <c r="B306" s="443"/>
      <c r="C306" s="443"/>
      <c r="D306" s="443"/>
      <c r="E306" s="550"/>
    </row>
    <row r="307" spans="1:5" x14ac:dyDescent="0.2">
      <c r="A307" s="443"/>
      <c r="B307" s="443"/>
      <c r="C307" s="443"/>
      <c r="D307" s="443"/>
      <c r="E307" s="550"/>
    </row>
    <row r="308" spans="1:5" x14ac:dyDescent="0.2">
      <c r="A308" s="443"/>
      <c r="B308" s="443"/>
      <c r="C308" s="443"/>
      <c r="D308" s="443"/>
      <c r="E308" s="550"/>
    </row>
    <row r="309" spans="1:5" x14ac:dyDescent="0.2">
      <c r="A309" s="443"/>
      <c r="B309" s="443"/>
      <c r="C309" s="443"/>
      <c r="D309" s="443"/>
      <c r="E309" s="550"/>
    </row>
    <row r="310" spans="1:5" x14ac:dyDescent="0.2">
      <c r="A310" s="443"/>
      <c r="B310" s="443"/>
      <c r="C310" s="443"/>
      <c r="D310" s="443"/>
      <c r="E310" s="550"/>
    </row>
    <row r="311" spans="1:5" x14ac:dyDescent="0.2">
      <c r="A311" s="443"/>
      <c r="B311" s="443"/>
      <c r="C311" s="443"/>
      <c r="D311" s="443"/>
      <c r="E311" s="550"/>
    </row>
    <row r="312" spans="1:5" x14ac:dyDescent="0.2">
      <c r="A312" s="443"/>
      <c r="B312" s="443"/>
      <c r="C312" s="443"/>
      <c r="D312" s="443"/>
      <c r="E312" s="550"/>
    </row>
    <row r="313" spans="1:5" x14ac:dyDescent="0.2">
      <c r="A313" s="443"/>
      <c r="B313" s="443"/>
      <c r="C313" s="443"/>
      <c r="D313" s="443"/>
      <c r="E313" s="550"/>
    </row>
    <row r="314" spans="1:5" x14ac:dyDescent="0.2">
      <c r="A314" s="443"/>
      <c r="B314" s="443"/>
      <c r="C314" s="443"/>
      <c r="D314" s="443"/>
      <c r="E314" s="550"/>
    </row>
    <row r="315" spans="1:5" x14ac:dyDescent="0.2">
      <c r="A315" s="443"/>
      <c r="B315" s="443"/>
      <c r="C315" s="443"/>
      <c r="D315" s="443"/>
      <c r="E315" s="550"/>
    </row>
    <row r="316" spans="1:5" x14ac:dyDescent="0.2">
      <c r="A316" s="443"/>
      <c r="B316" s="443"/>
      <c r="C316" s="443"/>
      <c r="D316" s="443"/>
      <c r="E316" s="550"/>
    </row>
    <row r="317" spans="1:5" x14ac:dyDescent="0.2">
      <c r="A317" s="443"/>
      <c r="B317" s="443"/>
      <c r="C317" s="443"/>
      <c r="D317" s="443"/>
      <c r="E317" s="550"/>
    </row>
    <row r="318" spans="1:5" x14ac:dyDescent="0.2">
      <c r="A318" s="443"/>
      <c r="B318" s="443"/>
      <c r="C318" s="443"/>
      <c r="D318" s="443"/>
      <c r="E318" s="550"/>
    </row>
    <row r="319" spans="1:5" x14ac:dyDescent="0.2">
      <c r="A319" s="443"/>
      <c r="B319" s="443"/>
      <c r="C319" s="443"/>
      <c r="D319" s="443"/>
      <c r="E319" s="550"/>
    </row>
    <row r="320" spans="1:5" x14ac:dyDescent="0.2">
      <c r="A320" s="443"/>
      <c r="B320" s="443"/>
      <c r="C320" s="443"/>
      <c r="D320" s="443"/>
      <c r="E320" s="550"/>
    </row>
    <row r="321" spans="1:5" x14ac:dyDescent="0.2">
      <c r="A321" s="443"/>
      <c r="B321" s="443"/>
      <c r="C321" s="443"/>
      <c r="D321" s="443"/>
      <c r="E321" s="550"/>
    </row>
    <row r="322" spans="1:5" x14ac:dyDescent="0.2">
      <c r="A322" s="443"/>
      <c r="B322" s="443"/>
      <c r="C322" s="443"/>
      <c r="D322" s="443"/>
      <c r="E322" s="550"/>
    </row>
    <row r="323" spans="1:5" x14ac:dyDescent="0.2">
      <c r="A323" s="443"/>
      <c r="B323" s="443"/>
      <c r="C323" s="443"/>
      <c r="D323" s="443"/>
      <c r="E323" s="550"/>
    </row>
    <row r="324" spans="1:5" x14ac:dyDescent="0.2">
      <c r="A324" s="443"/>
      <c r="B324" s="443"/>
      <c r="C324" s="443"/>
      <c r="D324" s="443"/>
      <c r="E324" s="550"/>
    </row>
    <row r="325" spans="1:5" x14ac:dyDescent="0.2">
      <c r="A325" s="443"/>
      <c r="B325" s="443"/>
      <c r="C325" s="443"/>
      <c r="D325" s="443"/>
      <c r="E325" s="550"/>
    </row>
    <row r="326" spans="1:5" x14ac:dyDescent="0.2">
      <c r="A326" s="443"/>
      <c r="B326" s="443"/>
      <c r="C326" s="443"/>
      <c r="D326" s="443"/>
      <c r="E326" s="550"/>
    </row>
    <row r="327" spans="1:5" x14ac:dyDescent="0.2">
      <c r="A327" s="443"/>
      <c r="B327" s="443"/>
      <c r="C327" s="443"/>
      <c r="D327" s="443"/>
      <c r="E327" s="550"/>
    </row>
    <row r="328" spans="1:5" x14ac:dyDescent="0.2">
      <c r="A328" s="443"/>
      <c r="B328" s="443"/>
      <c r="C328" s="443"/>
      <c r="D328" s="443"/>
      <c r="E328" s="550"/>
    </row>
    <row r="329" spans="1:5" x14ac:dyDescent="0.2">
      <c r="A329" s="443"/>
      <c r="B329" s="443"/>
      <c r="C329" s="443"/>
      <c r="D329" s="443"/>
      <c r="E329" s="550"/>
    </row>
    <row r="330" spans="1:5" x14ac:dyDescent="0.2">
      <c r="A330" s="443"/>
      <c r="B330" s="443"/>
      <c r="C330" s="443"/>
      <c r="D330" s="443"/>
      <c r="E330" s="550"/>
    </row>
    <row r="331" spans="1:5" x14ac:dyDescent="0.2">
      <c r="A331" s="443"/>
      <c r="B331" s="443"/>
      <c r="C331" s="443"/>
      <c r="D331" s="443"/>
      <c r="E331" s="550"/>
    </row>
    <row r="332" spans="1:5" x14ac:dyDescent="0.2">
      <c r="A332" s="443"/>
      <c r="B332" s="443"/>
      <c r="C332" s="443"/>
      <c r="D332" s="443"/>
      <c r="E332" s="550"/>
    </row>
    <row r="333" spans="1:5" x14ac:dyDescent="0.2">
      <c r="A333" s="443"/>
      <c r="B333" s="443"/>
      <c r="C333" s="443"/>
      <c r="D333" s="443"/>
      <c r="E333" s="550"/>
    </row>
    <row r="334" spans="1:5" x14ac:dyDescent="0.2">
      <c r="A334" s="443"/>
      <c r="B334" s="443"/>
      <c r="C334" s="443"/>
      <c r="D334" s="443"/>
      <c r="E334" s="550"/>
    </row>
    <row r="335" spans="1:5" x14ac:dyDescent="0.2">
      <c r="A335" s="443"/>
      <c r="B335" s="443"/>
      <c r="C335" s="443"/>
      <c r="D335" s="443"/>
      <c r="E335" s="550"/>
    </row>
    <row r="336" spans="1:5" x14ac:dyDescent="0.2">
      <c r="A336" s="443"/>
      <c r="B336" s="443"/>
      <c r="C336" s="443"/>
      <c r="D336" s="443"/>
      <c r="E336" s="550"/>
    </row>
    <row r="337" spans="1:5" x14ac:dyDescent="0.2">
      <c r="A337" s="443"/>
      <c r="B337" s="443"/>
      <c r="C337" s="443"/>
      <c r="D337" s="443"/>
      <c r="E337" s="550"/>
    </row>
    <row r="338" spans="1:5" x14ac:dyDescent="0.2">
      <c r="A338" s="443"/>
      <c r="B338" s="443"/>
      <c r="C338" s="443"/>
      <c r="D338" s="443"/>
      <c r="E338" s="550"/>
    </row>
    <row r="339" spans="1:5" x14ac:dyDescent="0.2">
      <c r="A339" s="443"/>
      <c r="B339" s="443"/>
      <c r="C339" s="443"/>
      <c r="D339" s="443"/>
      <c r="E339" s="550"/>
    </row>
    <row r="340" spans="1:5" x14ac:dyDescent="0.2">
      <c r="A340" s="443"/>
      <c r="B340" s="443"/>
      <c r="C340" s="443"/>
      <c r="D340" s="443"/>
      <c r="E340" s="550"/>
    </row>
    <row r="341" spans="1:5" x14ac:dyDescent="0.2">
      <c r="A341" s="443"/>
      <c r="B341" s="443"/>
      <c r="C341" s="443"/>
      <c r="D341" s="443"/>
      <c r="E341" s="550"/>
    </row>
    <row r="342" spans="1:5" x14ac:dyDescent="0.2">
      <c r="A342" s="443"/>
      <c r="B342" s="443"/>
      <c r="C342" s="443"/>
      <c r="D342" s="443"/>
      <c r="E342" s="550"/>
    </row>
    <row r="343" spans="1:5" x14ac:dyDescent="0.2">
      <c r="A343" s="443"/>
      <c r="B343" s="443"/>
      <c r="C343" s="443"/>
      <c r="D343" s="443"/>
      <c r="E343" s="550"/>
    </row>
    <row r="344" spans="1:5" x14ac:dyDescent="0.2">
      <c r="A344" s="443"/>
      <c r="B344" s="443"/>
      <c r="C344" s="443"/>
      <c r="D344" s="443"/>
      <c r="E344" s="550"/>
    </row>
    <row r="345" spans="1:5" x14ac:dyDescent="0.2">
      <c r="A345" s="443"/>
      <c r="B345" s="443"/>
      <c r="C345" s="443"/>
      <c r="D345" s="443"/>
      <c r="E345" s="550"/>
    </row>
    <row r="346" spans="1:5" x14ac:dyDescent="0.2">
      <c r="A346" s="443"/>
      <c r="B346" s="443"/>
      <c r="C346" s="443"/>
      <c r="D346" s="443"/>
      <c r="E346" s="550"/>
    </row>
    <row r="347" spans="1:5" x14ac:dyDescent="0.2">
      <c r="A347" s="443"/>
      <c r="B347" s="443"/>
      <c r="C347" s="443"/>
      <c r="D347" s="443"/>
      <c r="E347" s="550"/>
    </row>
    <row r="348" spans="1:5" x14ac:dyDescent="0.2">
      <c r="A348" s="443"/>
      <c r="B348" s="443"/>
      <c r="C348" s="443"/>
      <c r="D348" s="443"/>
      <c r="E348" s="550"/>
    </row>
    <row r="349" spans="1:5" x14ac:dyDescent="0.2">
      <c r="A349" s="443"/>
      <c r="B349" s="443"/>
      <c r="C349" s="443"/>
      <c r="D349" s="443"/>
      <c r="E349" s="550"/>
    </row>
    <row r="350" spans="1:5" x14ac:dyDescent="0.2">
      <c r="A350" s="443"/>
      <c r="B350" s="443"/>
      <c r="C350" s="443"/>
      <c r="D350" s="443"/>
      <c r="E350" s="550"/>
    </row>
    <row r="351" spans="1:5" x14ac:dyDescent="0.2">
      <c r="A351" s="443"/>
      <c r="B351" s="443"/>
      <c r="C351" s="443"/>
      <c r="D351" s="443"/>
      <c r="E351" s="550"/>
    </row>
    <row r="352" spans="1:5" x14ac:dyDescent="0.2">
      <c r="A352" s="443"/>
      <c r="B352" s="443"/>
      <c r="C352" s="443"/>
      <c r="D352" s="443"/>
      <c r="E352" s="550"/>
    </row>
    <row r="353" spans="1:5" x14ac:dyDescent="0.2">
      <c r="A353" s="443"/>
      <c r="B353" s="443"/>
      <c r="C353" s="443"/>
      <c r="D353" s="443"/>
      <c r="E353" s="550"/>
    </row>
    <row r="354" spans="1:5" x14ac:dyDescent="0.2">
      <c r="A354" s="443"/>
      <c r="B354" s="443"/>
      <c r="C354" s="443"/>
      <c r="D354" s="443"/>
      <c r="E354" s="550"/>
    </row>
    <row r="355" spans="1:5" x14ac:dyDescent="0.2">
      <c r="A355" s="443"/>
      <c r="B355" s="443"/>
      <c r="C355" s="443"/>
      <c r="D355" s="443"/>
      <c r="E355" s="550"/>
    </row>
    <row r="356" spans="1:5" x14ac:dyDescent="0.2">
      <c r="A356" s="443"/>
      <c r="B356" s="443"/>
      <c r="C356" s="443"/>
      <c r="D356" s="443"/>
      <c r="E356" s="550"/>
    </row>
    <row r="357" spans="1:5" x14ac:dyDescent="0.2">
      <c r="A357" s="443"/>
      <c r="B357" s="443"/>
      <c r="C357" s="443"/>
      <c r="D357" s="443"/>
      <c r="E357" s="550"/>
    </row>
    <row r="358" spans="1:5" x14ac:dyDescent="0.2">
      <c r="A358" s="443"/>
      <c r="B358" s="443"/>
      <c r="C358" s="443"/>
      <c r="D358" s="443"/>
      <c r="E358" s="550"/>
    </row>
    <row r="359" spans="1:5" x14ac:dyDescent="0.2">
      <c r="A359" s="443"/>
      <c r="B359" s="443"/>
      <c r="C359" s="443"/>
      <c r="D359" s="443"/>
      <c r="E359" s="550"/>
    </row>
    <row r="360" spans="1:5" x14ac:dyDescent="0.2">
      <c r="A360" s="443"/>
      <c r="B360" s="443"/>
      <c r="C360" s="443"/>
      <c r="D360" s="443"/>
      <c r="E360" s="550"/>
    </row>
    <row r="361" spans="1:5" x14ac:dyDescent="0.2">
      <c r="A361" s="443"/>
      <c r="B361" s="443"/>
      <c r="C361" s="443"/>
      <c r="D361" s="443"/>
      <c r="E361" s="550"/>
    </row>
    <row r="362" spans="1:5" x14ac:dyDescent="0.2">
      <c r="A362" s="443"/>
      <c r="B362" s="443"/>
      <c r="C362" s="443"/>
      <c r="D362" s="443"/>
      <c r="E362" s="550"/>
    </row>
    <row r="363" spans="1:5" x14ac:dyDescent="0.2">
      <c r="A363" s="443"/>
      <c r="B363" s="443"/>
      <c r="C363" s="443"/>
      <c r="D363" s="443"/>
      <c r="E363" s="550"/>
    </row>
    <row r="364" spans="1:5" x14ac:dyDescent="0.2">
      <c r="A364" s="443"/>
      <c r="B364" s="443"/>
      <c r="C364" s="443"/>
      <c r="D364" s="443"/>
      <c r="E364" s="550"/>
    </row>
    <row r="365" spans="1:5" x14ac:dyDescent="0.2">
      <c r="A365" s="443"/>
      <c r="B365" s="443"/>
      <c r="C365" s="443"/>
      <c r="D365" s="443"/>
      <c r="E365" s="550"/>
    </row>
    <row r="366" spans="1:5" x14ac:dyDescent="0.2">
      <c r="A366" s="443"/>
      <c r="B366" s="443"/>
      <c r="C366" s="443"/>
      <c r="D366" s="443"/>
      <c r="E366" s="550"/>
    </row>
    <row r="367" spans="1:5" x14ac:dyDescent="0.2">
      <c r="A367" s="443"/>
      <c r="B367" s="443"/>
      <c r="C367" s="443"/>
      <c r="D367" s="443"/>
      <c r="E367" s="550"/>
    </row>
    <row r="368" spans="1:5" x14ac:dyDescent="0.2">
      <c r="A368" s="443"/>
      <c r="B368" s="443"/>
      <c r="C368" s="443"/>
      <c r="D368" s="443"/>
      <c r="E368" s="550"/>
    </row>
    <row r="369" spans="1:5" x14ac:dyDescent="0.2">
      <c r="A369" s="443"/>
      <c r="B369" s="443"/>
      <c r="C369" s="443"/>
      <c r="D369" s="443"/>
      <c r="E369" s="550"/>
    </row>
    <row r="370" spans="1:5" x14ac:dyDescent="0.2">
      <c r="A370" s="443"/>
      <c r="B370" s="443"/>
      <c r="C370" s="443"/>
      <c r="D370" s="443"/>
      <c r="E370" s="550"/>
    </row>
    <row r="371" spans="1:5" x14ac:dyDescent="0.2">
      <c r="A371" s="443"/>
      <c r="B371" s="443"/>
      <c r="C371" s="443"/>
      <c r="D371" s="443"/>
      <c r="E371" s="550"/>
    </row>
    <row r="372" spans="1:5" x14ac:dyDescent="0.2">
      <c r="A372" s="443"/>
      <c r="B372" s="443"/>
      <c r="C372" s="443"/>
      <c r="D372" s="443"/>
      <c r="E372" s="550"/>
    </row>
    <row r="373" spans="1:5" x14ac:dyDescent="0.2">
      <c r="A373" s="443"/>
      <c r="B373" s="443"/>
      <c r="C373" s="443"/>
      <c r="D373" s="443"/>
      <c r="E373" s="550"/>
    </row>
    <row r="374" spans="1:5" x14ac:dyDescent="0.2">
      <c r="A374" s="443"/>
      <c r="B374" s="443"/>
      <c r="C374" s="443"/>
      <c r="D374" s="443"/>
      <c r="E374" s="550"/>
    </row>
    <row r="375" spans="1:5" x14ac:dyDescent="0.2">
      <c r="A375" s="443"/>
      <c r="B375" s="443"/>
      <c r="C375" s="443"/>
      <c r="D375" s="443"/>
      <c r="E375" s="550"/>
    </row>
    <row r="376" spans="1:5" x14ac:dyDescent="0.2">
      <c r="A376" s="443"/>
      <c r="B376" s="443"/>
      <c r="C376" s="443"/>
      <c r="D376" s="443"/>
      <c r="E376" s="550"/>
    </row>
    <row r="377" spans="1:5" x14ac:dyDescent="0.2">
      <c r="A377" s="443"/>
      <c r="B377" s="443"/>
      <c r="C377" s="443"/>
      <c r="D377" s="443"/>
      <c r="E377" s="550"/>
    </row>
    <row r="378" spans="1:5" x14ac:dyDescent="0.2">
      <c r="A378" s="443"/>
      <c r="B378" s="443"/>
      <c r="C378" s="443"/>
      <c r="D378" s="443"/>
      <c r="E378" s="550"/>
    </row>
    <row r="379" spans="1:5" x14ac:dyDescent="0.2">
      <c r="A379" s="443"/>
      <c r="B379" s="443"/>
      <c r="C379" s="443"/>
      <c r="D379" s="443"/>
      <c r="E379" s="550"/>
    </row>
    <row r="380" spans="1:5" x14ac:dyDescent="0.2">
      <c r="A380" s="443"/>
      <c r="B380" s="443"/>
      <c r="C380" s="443"/>
      <c r="D380" s="443"/>
      <c r="E380" s="550"/>
    </row>
    <row r="381" spans="1:5" x14ac:dyDescent="0.2">
      <c r="A381" s="443"/>
      <c r="B381" s="443"/>
      <c r="C381" s="443"/>
      <c r="D381" s="443"/>
      <c r="E381" s="550"/>
    </row>
    <row r="382" spans="1:5" x14ac:dyDescent="0.2">
      <c r="A382" s="443"/>
      <c r="B382" s="443"/>
      <c r="C382" s="443"/>
      <c r="D382" s="443"/>
      <c r="E382" s="550"/>
    </row>
    <row r="383" spans="1:5" x14ac:dyDescent="0.2">
      <c r="A383" s="443"/>
      <c r="B383" s="443"/>
      <c r="C383" s="443"/>
      <c r="D383" s="443"/>
      <c r="E383" s="550"/>
    </row>
    <row r="384" spans="1:5" x14ac:dyDescent="0.2">
      <c r="A384" s="443"/>
      <c r="B384" s="443"/>
      <c r="C384" s="443"/>
      <c r="D384" s="443"/>
      <c r="E384" s="550"/>
    </row>
    <row r="385" spans="1:5" x14ac:dyDescent="0.2">
      <c r="A385" s="443"/>
      <c r="B385" s="443"/>
      <c r="C385" s="443"/>
      <c r="D385" s="443"/>
      <c r="E385" s="550"/>
    </row>
    <row r="386" spans="1:5" x14ac:dyDescent="0.2">
      <c r="A386" s="443"/>
      <c r="B386" s="443"/>
      <c r="C386" s="443"/>
      <c r="D386" s="443"/>
      <c r="E386" s="550"/>
    </row>
    <row r="387" spans="1:5" x14ac:dyDescent="0.2">
      <c r="A387" s="443"/>
      <c r="B387" s="443"/>
      <c r="C387" s="443"/>
      <c r="D387" s="443"/>
      <c r="E387" s="550"/>
    </row>
    <row r="388" spans="1:5" x14ac:dyDescent="0.2">
      <c r="A388" s="443"/>
      <c r="B388" s="443"/>
      <c r="C388" s="443"/>
      <c r="D388" s="443"/>
      <c r="E388" s="550"/>
    </row>
    <row r="389" spans="1:5" x14ac:dyDescent="0.2">
      <c r="A389" s="443"/>
      <c r="B389" s="443"/>
      <c r="C389" s="443"/>
      <c r="D389" s="443"/>
      <c r="E389" s="550"/>
    </row>
    <row r="390" spans="1:5" x14ac:dyDescent="0.2">
      <c r="A390" s="443"/>
      <c r="B390" s="443"/>
      <c r="C390" s="443"/>
      <c r="D390" s="443"/>
      <c r="E390" s="550"/>
    </row>
    <row r="391" spans="1:5" x14ac:dyDescent="0.2">
      <c r="A391" s="443"/>
      <c r="B391" s="443"/>
      <c r="C391" s="443"/>
      <c r="D391" s="443"/>
      <c r="E391" s="550"/>
    </row>
    <row r="392" spans="1:5" x14ac:dyDescent="0.2">
      <c r="A392" s="443"/>
      <c r="B392" s="443"/>
      <c r="C392" s="443"/>
      <c r="D392" s="443"/>
      <c r="E392" s="550"/>
    </row>
    <row r="393" spans="1:5" x14ac:dyDescent="0.2">
      <c r="A393" s="443"/>
      <c r="B393" s="443"/>
      <c r="C393" s="443"/>
      <c r="D393" s="443"/>
      <c r="E393" s="550"/>
    </row>
    <row r="394" spans="1:5" x14ac:dyDescent="0.2">
      <c r="A394" s="443"/>
      <c r="B394" s="443"/>
      <c r="C394" s="443"/>
      <c r="D394" s="443"/>
      <c r="E394" s="550"/>
    </row>
    <row r="395" spans="1:5" x14ac:dyDescent="0.2">
      <c r="A395" s="443"/>
      <c r="B395" s="443"/>
      <c r="C395" s="443"/>
      <c r="D395" s="443"/>
      <c r="E395" s="550"/>
    </row>
    <row r="396" spans="1:5" x14ac:dyDescent="0.2">
      <c r="A396" s="443"/>
      <c r="B396" s="443"/>
      <c r="C396" s="443"/>
      <c r="D396" s="443"/>
      <c r="E396" s="550"/>
    </row>
    <row r="397" spans="1:5" x14ac:dyDescent="0.2">
      <c r="A397" s="443"/>
      <c r="B397" s="443"/>
      <c r="C397" s="443"/>
      <c r="D397" s="443"/>
      <c r="E397" s="550"/>
    </row>
    <row r="398" spans="1:5" x14ac:dyDescent="0.2">
      <c r="A398" s="443"/>
      <c r="B398" s="443"/>
      <c r="C398" s="443"/>
      <c r="D398" s="443"/>
      <c r="E398" s="550"/>
    </row>
    <row r="399" spans="1:5" x14ac:dyDescent="0.2">
      <c r="A399" s="443"/>
      <c r="B399" s="443"/>
      <c r="C399" s="443"/>
      <c r="D399" s="443"/>
      <c r="E399" s="550"/>
    </row>
    <row r="400" spans="1:5" x14ac:dyDescent="0.2">
      <c r="A400" s="443"/>
      <c r="B400" s="443"/>
      <c r="C400" s="443"/>
      <c r="D400" s="443"/>
      <c r="E400" s="550"/>
    </row>
    <row r="401" spans="1:5" x14ac:dyDescent="0.2">
      <c r="A401" s="443"/>
      <c r="B401" s="443"/>
      <c r="C401" s="443"/>
      <c r="D401" s="443"/>
      <c r="E401" s="550"/>
    </row>
    <row r="402" spans="1:5" x14ac:dyDescent="0.2">
      <c r="A402" s="443"/>
      <c r="B402" s="443"/>
      <c r="C402" s="443"/>
      <c r="D402" s="443"/>
      <c r="E402" s="550"/>
    </row>
    <row r="403" spans="1:5" x14ac:dyDescent="0.2">
      <c r="A403" s="443"/>
      <c r="B403" s="443"/>
      <c r="C403" s="443"/>
      <c r="D403" s="443"/>
      <c r="E403" s="550"/>
    </row>
    <row r="404" spans="1:5" x14ac:dyDescent="0.2">
      <c r="A404" s="443"/>
      <c r="B404" s="443"/>
      <c r="C404" s="443"/>
      <c r="D404" s="443"/>
      <c r="E404" s="550"/>
    </row>
    <row r="405" spans="1:5" x14ac:dyDescent="0.2">
      <c r="A405" s="443"/>
      <c r="B405" s="443"/>
      <c r="C405" s="443"/>
      <c r="D405" s="443"/>
      <c r="E405" s="550"/>
    </row>
    <row r="406" spans="1:5" x14ac:dyDescent="0.2">
      <c r="A406" s="443"/>
      <c r="B406" s="443"/>
      <c r="C406" s="443"/>
      <c r="D406" s="443"/>
      <c r="E406" s="550"/>
    </row>
    <row r="407" spans="1:5" x14ac:dyDescent="0.2">
      <c r="A407" s="443"/>
      <c r="B407" s="443"/>
      <c r="C407" s="443"/>
      <c r="D407" s="443"/>
      <c r="E407" s="550"/>
    </row>
    <row r="408" spans="1:5" x14ac:dyDescent="0.2">
      <c r="A408" s="443"/>
      <c r="B408" s="443"/>
      <c r="C408" s="443"/>
      <c r="D408" s="443"/>
      <c r="E408" s="550"/>
    </row>
    <row r="409" spans="1:5" x14ac:dyDescent="0.2">
      <c r="A409" s="443"/>
      <c r="B409" s="443"/>
      <c r="C409" s="443"/>
      <c r="D409" s="443"/>
      <c r="E409" s="550"/>
    </row>
    <row r="410" spans="1:5" x14ac:dyDescent="0.2">
      <c r="A410" s="443"/>
      <c r="B410" s="443"/>
      <c r="C410" s="443"/>
      <c r="D410" s="443"/>
      <c r="E410" s="550"/>
    </row>
    <row r="411" spans="1:5" x14ac:dyDescent="0.2">
      <c r="A411" s="443"/>
      <c r="B411" s="443"/>
      <c r="C411" s="443"/>
      <c r="D411" s="443"/>
      <c r="E411" s="550"/>
    </row>
    <row r="412" spans="1:5" x14ac:dyDescent="0.2">
      <c r="A412" s="443"/>
      <c r="B412" s="443"/>
      <c r="C412" s="443"/>
      <c r="D412" s="443"/>
      <c r="E412" s="550"/>
    </row>
    <row r="413" spans="1:5" x14ac:dyDescent="0.2">
      <c r="A413" s="443"/>
      <c r="B413" s="443"/>
      <c r="C413" s="443"/>
      <c r="D413" s="443"/>
      <c r="E413" s="550"/>
    </row>
    <row r="414" spans="1:5" x14ac:dyDescent="0.2">
      <c r="A414" s="443"/>
      <c r="B414" s="443"/>
      <c r="C414" s="443"/>
      <c r="D414" s="443"/>
      <c r="E414" s="550"/>
    </row>
    <row r="415" spans="1:5" x14ac:dyDescent="0.2">
      <c r="A415" s="443"/>
      <c r="B415" s="443"/>
      <c r="C415" s="443"/>
      <c r="D415" s="443"/>
      <c r="E415" s="550"/>
    </row>
    <row r="416" spans="1:5" x14ac:dyDescent="0.2">
      <c r="A416" s="443"/>
      <c r="B416" s="443"/>
      <c r="C416" s="443"/>
      <c r="D416" s="443"/>
      <c r="E416" s="550"/>
    </row>
    <row r="417" spans="1:5" x14ac:dyDescent="0.2">
      <c r="A417" s="443"/>
      <c r="B417" s="443"/>
      <c r="C417" s="443"/>
      <c r="D417" s="443"/>
      <c r="E417" s="550"/>
    </row>
    <row r="418" spans="1:5" x14ac:dyDescent="0.2">
      <c r="A418" s="443"/>
      <c r="B418" s="443"/>
      <c r="C418" s="443"/>
      <c r="D418" s="443"/>
      <c r="E418" s="550"/>
    </row>
    <row r="419" spans="1:5" x14ac:dyDescent="0.2">
      <c r="A419" s="443"/>
      <c r="B419" s="443"/>
      <c r="C419" s="443"/>
      <c r="D419" s="443"/>
      <c r="E419" s="550"/>
    </row>
    <row r="420" spans="1:5" x14ac:dyDescent="0.2">
      <c r="A420" s="443"/>
      <c r="B420" s="443"/>
      <c r="C420" s="443"/>
      <c r="D420" s="443"/>
      <c r="E420" s="550"/>
    </row>
    <row r="421" spans="1:5" x14ac:dyDescent="0.2">
      <c r="A421" s="443"/>
      <c r="B421" s="443"/>
      <c r="C421" s="443"/>
      <c r="D421" s="443"/>
      <c r="E421" s="550"/>
    </row>
    <row r="422" spans="1:5" x14ac:dyDescent="0.2">
      <c r="A422" s="443"/>
      <c r="B422" s="443"/>
      <c r="C422" s="443"/>
      <c r="D422" s="443"/>
      <c r="E422" s="550"/>
    </row>
    <row r="423" spans="1:5" x14ac:dyDescent="0.2">
      <c r="A423" s="443"/>
      <c r="B423" s="443"/>
      <c r="C423" s="443"/>
      <c r="D423" s="443"/>
      <c r="E423" s="550"/>
    </row>
    <row r="424" spans="1:5" x14ac:dyDescent="0.2">
      <c r="A424" s="443"/>
      <c r="B424" s="443"/>
      <c r="C424" s="443"/>
      <c r="D424" s="443"/>
      <c r="E424" s="550"/>
    </row>
    <row r="425" spans="1:5" x14ac:dyDescent="0.2">
      <c r="A425" s="443"/>
      <c r="B425" s="443"/>
      <c r="C425" s="443"/>
      <c r="D425" s="443"/>
      <c r="E425" s="550"/>
    </row>
    <row r="426" spans="1:5" x14ac:dyDescent="0.2">
      <c r="A426" s="443"/>
      <c r="B426" s="443"/>
      <c r="C426" s="443"/>
      <c r="D426" s="443"/>
      <c r="E426" s="550"/>
    </row>
    <row r="427" spans="1:5" x14ac:dyDescent="0.2">
      <c r="A427" s="443"/>
      <c r="B427" s="443"/>
      <c r="C427" s="443"/>
      <c r="D427" s="443"/>
      <c r="E427" s="550"/>
    </row>
    <row r="428" spans="1:5" x14ac:dyDescent="0.2">
      <c r="A428" s="443"/>
      <c r="B428" s="443"/>
      <c r="C428" s="443"/>
      <c r="D428" s="443"/>
      <c r="E428" s="550"/>
    </row>
    <row r="429" spans="1:5" x14ac:dyDescent="0.2">
      <c r="A429" s="443"/>
      <c r="B429" s="443"/>
      <c r="C429" s="443"/>
      <c r="D429" s="443"/>
      <c r="E429" s="550"/>
    </row>
    <row r="430" spans="1:5" x14ac:dyDescent="0.2">
      <c r="A430" s="443"/>
      <c r="B430" s="443"/>
      <c r="C430" s="443"/>
      <c r="D430" s="443"/>
      <c r="E430" s="550"/>
    </row>
    <row r="431" spans="1:5" x14ac:dyDescent="0.2">
      <c r="A431" s="443"/>
      <c r="B431" s="443"/>
      <c r="C431" s="443"/>
      <c r="D431" s="443"/>
      <c r="E431" s="550"/>
    </row>
    <row r="432" spans="1:5" x14ac:dyDescent="0.2">
      <c r="A432" s="443"/>
      <c r="B432" s="443"/>
      <c r="C432" s="443"/>
      <c r="D432" s="443"/>
      <c r="E432" s="550"/>
    </row>
    <row r="433" spans="1:5" x14ac:dyDescent="0.2">
      <c r="A433" s="443"/>
      <c r="B433" s="443"/>
      <c r="C433" s="443"/>
      <c r="D433" s="443"/>
      <c r="E433" s="550"/>
    </row>
    <row r="434" spans="1:5" x14ac:dyDescent="0.2">
      <c r="A434" s="443"/>
      <c r="B434" s="443"/>
      <c r="C434" s="443"/>
      <c r="D434" s="443"/>
      <c r="E434" s="550"/>
    </row>
    <row r="435" spans="1:5" x14ac:dyDescent="0.2">
      <c r="A435" s="443"/>
      <c r="B435" s="443"/>
      <c r="C435" s="443"/>
      <c r="D435" s="443"/>
      <c r="E435" s="550"/>
    </row>
    <row r="436" spans="1:5" x14ac:dyDescent="0.2">
      <c r="A436" s="443"/>
      <c r="B436" s="443"/>
      <c r="C436" s="443"/>
      <c r="D436" s="443"/>
      <c r="E436" s="550"/>
    </row>
    <row r="437" spans="1:5" x14ac:dyDescent="0.2">
      <c r="A437" s="443"/>
      <c r="B437" s="443"/>
      <c r="C437" s="443"/>
      <c r="D437" s="443"/>
      <c r="E437" s="550"/>
    </row>
    <row r="438" spans="1:5" x14ac:dyDescent="0.2">
      <c r="A438" s="443"/>
      <c r="B438" s="443"/>
      <c r="C438" s="443"/>
      <c r="D438" s="443"/>
      <c r="E438" s="550"/>
    </row>
    <row r="439" spans="1:5" x14ac:dyDescent="0.2">
      <c r="A439" s="443"/>
      <c r="B439" s="443"/>
      <c r="C439" s="443"/>
      <c r="D439" s="443"/>
      <c r="E439" s="550"/>
    </row>
    <row r="440" spans="1:5" x14ac:dyDescent="0.2">
      <c r="A440" s="443"/>
      <c r="B440" s="443"/>
      <c r="C440" s="443"/>
      <c r="D440" s="443"/>
      <c r="E440" s="550"/>
    </row>
    <row r="441" spans="1:5" x14ac:dyDescent="0.2">
      <c r="A441" s="443"/>
      <c r="B441" s="443"/>
      <c r="C441" s="443"/>
      <c r="D441" s="443"/>
      <c r="E441" s="550"/>
    </row>
    <row r="442" spans="1:5" x14ac:dyDescent="0.2">
      <c r="A442" s="443"/>
      <c r="B442" s="443"/>
      <c r="C442" s="443"/>
      <c r="D442" s="443"/>
      <c r="E442" s="550"/>
    </row>
    <row r="443" spans="1:5" x14ac:dyDescent="0.2">
      <c r="A443" s="443"/>
      <c r="B443" s="443"/>
      <c r="C443" s="443"/>
      <c r="D443" s="443"/>
      <c r="E443" s="550"/>
    </row>
    <row r="444" spans="1:5" x14ac:dyDescent="0.2">
      <c r="A444" s="443"/>
      <c r="B444" s="443"/>
      <c r="C444" s="443"/>
      <c r="D444" s="443"/>
      <c r="E444" s="550"/>
    </row>
    <row r="445" spans="1:5" x14ac:dyDescent="0.2">
      <c r="A445" s="443"/>
      <c r="B445" s="443"/>
      <c r="C445" s="443"/>
      <c r="D445" s="443"/>
      <c r="E445" s="550"/>
    </row>
    <row r="446" spans="1:5" x14ac:dyDescent="0.2">
      <c r="A446" s="443"/>
      <c r="B446" s="443"/>
      <c r="C446" s="443"/>
      <c r="D446" s="443"/>
      <c r="E446" s="550"/>
    </row>
    <row r="447" spans="1:5" x14ac:dyDescent="0.2">
      <c r="A447" s="443"/>
      <c r="B447" s="443"/>
      <c r="C447" s="443"/>
      <c r="D447" s="443"/>
      <c r="E447" s="550"/>
    </row>
    <row r="448" spans="1:5" x14ac:dyDescent="0.2">
      <c r="A448" s="443"/>
      <c r="B448" s="443"/>
      <c r="C448" s="443"/>
      <c r="D448" s="443"/>
      <c r="E448" s="550"/>
    </row>
    <row r="449" spans="1:5" x14ac:dyDescent="0.2">
      <c r="A449" s="443"/>
      <c r="B449" s="443"/>
      <c r="C449" s="443"/>
      <c r="D449" s="443"/>
      <c r="E449" s="550"/>
    </row>
    <row r="450" spans="1:5" x14ac:dyDescent="0.2">
      <c r="A450" s="443"/>
      <c r="B450" s="443"/>
      <c r="C450" s="443"/>
      <c r="D450" s="443"/>
      <c r="E450" s="550"/>
    </row>
    <row r="451" spans="1:5" x14ac:dyDescent="0.2">
      <c r="A451" s="443"/>
      <c r="B451" s="443"/>
      <c r="C451" s="443"/>
      <c r="D451" s="443"/>
      <c r="E451" s="550"/>
    </row>
    <row r="452" spans="1:5" x14ac:dyDescent="0.2">
      <c r="A452" s="443"/>
      <c r="B452" s="443"/>
      <c r="C452" s="443"/>
      <c r="D452" s="443"/>
      <c r="E452" s="550"/>
    </row>
    <row r="453" spans="1:5" x14ac:dyDescent="0.2">
      <c r="A453" s="443"/>
      <c r="B453" s="443"/>
      <c r="C453" s="443"/>
      <c r="D453" s="443"/>
      <c r="E453" s="550"/>
    </row>
    <row r="454" spans="1:5" x14ac:dyDescent="0.2">
      <c r="A454" s="443"/>
      <c r="B454" s="443"/>
      <c r="C454" s="443"/>
      <c r="D454" s="443"/>
      <c r="E454" s="550"/>
    </row>
    <row r="455" spans="1:5" x14ac:dyDescent="0.2">
      <c r="A455" s="443"/>
      <c r="B455" s="443"/>
      <c r="C455" s="443"/>
      <c r="D455" s="443"/>
      <c r="E455" s="550"/>
    </row>
    <row r="456" spans="1:5" x14ac:dyDescent="0.2">
      <c r="A456" s="443"/>
      <c r="B456" s="443"/>
      <c r="C456" s="443"/>
      <c r="D456" s="443"/>
      <c r="E456" s="550"/>
    </row>
    <row r="457" spans="1:5" x14ac:dyDescent="0.2">
      <c r="A457" s="443"/>
      <c r="B457" s="443"/>
      <c r="C457" s="443"/>
      <c r="D457" s="443"/>
      <c r="E457" s="550"/>
    </row>
    <row r="458" spans="1:5" x14ac:dyDescent="0.2">
      <c r="A458" s="443"/>
      <c r="B458" s="443"/>
      <c r="C458" s="443"/>
      <c r="D458" s="443"/>
      <c r="E458" s="550"/>
    </row>
    <row r="459" spans="1:5" x14ac:dyDescent="0.2">
      <c r="A459" s="443"/>
      <c r="B459" s="443"/>
      <c r="C459" s="443"/>
      <c r="D459" s="443"/>
      <c r="E459" s="550"/>
    </row>
    <row r="460" spans="1:5" x14ac:dyDescent="0.2">
      <c r="A460" s="443"/>
      <c r="B460" s="443"/>
      <c r="C460" s="443"/>
      <c r="D460" s="443"/>
      <c r="E460" s="550"/>
    </row>
    <row r="461" spans="1:5" x14ac:dyDescent="0.2">
      <c r="A461" s="443"/>
      <c r="B461" s="443"/>
      <c r="C461" s="443"/>
      <c r="D461" s="443"/>
      <c r="E461" s="550"/>
    </row>
    <row r="462" spans="1:5" x14ac:dyDescent="0.2">
      <c r="A462" s="443"/>
      <c r="B462" s="443"/>
      <c r="C462" s="443"/>
      <c r="D462" s="443"/>
      <c r="E462" s="550"/>
    </row>
    <row r="463" spans="1:5" x14ac:dyDescent="0.2">
      <c r="A463" s="443"/>
      <c r="B463" s="443"/>
      <c r="C463" s="443"/>
      <c r="D463" s="443"/>
      <c r="E463" s="550"/>
    </row>
    <row r="464" spans="1:5" x14ac:dyDescent="0.2">
      <c r="A464" s="443"/>
      <c r="B464" s="443"/>
      <c r="C464" s="443"/>
      <c r="D464" s="443"/>
      <c r="E464" s="550"/>
    </row>
    <row r="465" spans="1:5" x14ac:dyDescent="0.2">
      <c r="A465" s="443"/>
      <c r="B465" s="443"/>
      <c r="C465" s="443"/>
      <c r="D465" s="443"/>
      <c r="E465" s="550"/>
    </row>
    <row r="466" spans="1:5" x14ac:dyDescent="0.2">
      <c r="A466" s="443"/>
      <c r="B466" s="443"/>
      <c r="C466" s="443"/>
      <c r="D466" s="443"/>
      <c r="E466" s="550"/>
    </row>
    <row r="467" spans="1:5" x14ac:dyDescent="0.2">
      <c r="A467" s="443"/>
      <c r="B467" s="443"/>
      <c r="C467" s="443"/>
      <c r="D467" s="443"/>
      <c r="E467" s="550"/>
    </row>
    <row r="468" spans="1:5" x14ac:dyDescent="0.2">
      <c r="A468" s="443"/>
      <c r="B468" s="443"/>
      <c r="C468" s="443"/>
      <c r="D468" s="443"/>
      <c r="E468" s="550"/>
    </row>
    <row r="469" spans="1:5" x14ac:dyDescent="0.2">
      <c r="A469" s="443"/>
      <c r="B469" s="443"/>
      <c r="C469" s="443"/>
      <c r="D469" s="443"/>
      <c r="E469" s="550"/>
    </row>
    <row r="470" spans="1:5" x14ac:dyDescent="0.2">
      <c r="A470" s="443"/>
      <c r="B470" s="443"/>
      <c r="C470" s="443"/>
      <c r="D470" s="443"/>
      <c r="E470" s="550"/>
    </row>
    <row r="471" spans="1:5" x14ac:dyDescent="0.2">
      <c r="A471" s="443"/>
      <c r="B471" s="443"/>
      <c r="C471" s="443"/>
      <c r="D471" s="443"/>
      <c r="E471" s="550"/>
    </row>
    <row r="472" spans="1:5" x14ac:dyDescent="0.2">
      <c r="A472" s="443"/>
      <c r="B472" s="443"/>
      <c r="C472" s="443"/>
      <c r="D472" s="443"/>
      <c r="E472" s="550"/>
    </row>
    <row r="473" spans="1:5" x14ac:dyDescent="0.2">
      <c r="A473" s="443"/>
      <c r="B473" s="443"/>
      <c r="C473" s="443"/>
      <c r="D473" s="443"/>
      <c r="E473" s="550"/>
    </row>
    <row r="474" spans="1:5" x14ac:dyDescent="0.2">
      <c r="A474" s="443"/>
      <c r="B474" s="443"/>
      <c r="C474" s="443"/>
      <c r="D474" s="443"/>
      <c r="E474" s="550"/>
    </row>
    <row r="475" spans="1:5" x14ac:dyDescent="0.2">
      <c r="A475" s="443"/>
      <c r="B475" s="443"/>
      <c r="C475" s="443"/>
      <c r="D475" s="443"/>
      <c r="E475" s="550"/>
    </row>
    <row r="476" spans="1:5" x14ac:dyDescent="0.2">
      <c r="A476" s="443"/>
      <c r="B476" s="443"/>
      <c r="C476" s="443"/>
      <c r="D476" s="443"/>
      <c r="E476" s="550"/>
    </row>
    <row r="477" spans="1:5" x14ac:dyDescent="0.2">
      <c r="A477" s="443"/>
      <c r="B477" s="443"/>
      <c r="C477" s="443"/>
      <c r="D477" s="443"/>
      <c r="E477" s="550"/>
    </row>
    <row r="478" spans="1:5" x14ac:dyDescent="0.2">
      <c r="A478" s="443"/>
      <c r="B478" s="443"/>
      <c r="C478" s="443"/>
      <c r="D478" s="443"/>
      <c r="E478" s="550"/>
    </row>
    <row r="479" spans="1:5" x14ac:dyDescent="0.2">
      <c r="A479" s="443"/>
      <c r="B479" s="443"/>
      <c r="C479" s="443"/>
      <c r="D479" s="443"/>
      <c r="E479" s="550"/>
    </row>
    <row r="480" spans="1:5" x14ac:dyDescent="0.2">
      <c r="A480" s="443"/>
      <c r="B480" s="443"/>
      <c r="C480" s="443"/>
      <c r="D480" s="443"/>
      <c r="E480" s="550"/>
    </row>
    <row r="481" spans="1:5" x14ac:dyDescent="0.2">
      <c r="A481" s="443"/>
      <c r="B481" s="443"/>
      <c r="C481" s="443"/>
      <c r="D481" s="443"/>
      <c r="E481" s="550"/>
    </row>
    <row r="482" spans="1:5" x14ac:dyDescent="0.2">
      <c r="A482" s="443"/>
      <c r="B482" s="443"/>
      <c r="C482" s="443"/>
      <c r="D482" s="443"/>
      <c r="E482" s="550"/>
    </row>
    <row r="483" spans="1:5" x14ac:dyDescent="0.2">
      <c r="A483" s="443"/>
      <c r="B483" s="443"/>
      <c r="C483" s="443"/>
      <c r="D483" s="443"/>
      <c r="E483" s="550"/>
    </row>
    <row r="484" spans="1:5" x14ac:dyDescent="0.2">
      <c r="A484" s="443"/>
      <c r="B484" s="443"/>
      <c r="C484" s="443"/>
      <c r="D484" s="443"/>
      <c r="E484" s="550"/>
    </row>
    <row r="485" spans="1:5" x14ac:dyDescent="0.2">
      <c r="A485" s="443"/>
      <c r="B485" s="443"/>
      <c r="C485" s="443"/>
      <c r="D485" s="443"/>
      <c r="E485" s="550"/>
    </row>
    <row r="486" spans="1:5" x14ac:dyDescent="0.2">
      <c r="A486" s="443"/>
      <c r="B486" s="443"/>
      <c r="C486" s="443"/>
      <c r="D486" s="443"/>
      <c r="E486" s="550"/>
    </row>
    <row r="487" spans="1:5" x14ac:dyDescent="0.2">
      <c r="A487" s="443"/>
      <c r="B487" s="443"/>
      <c r="C487" s="443"/>
      <c r="D487" s="443"/>
      <c r="E487" s="550"/>
    </row>
    <row r="488" spans="1:5" x14ac:dyDescent="0.2">
      <c r="A488" s="443"/>
      <c r="B488" s="443"/>
      <c r="C488" s="443"/>
      <c r="D488" s="443"/>
      <c r="E488" s="550"/>
    </row>
    <row r="489" spans="1:5" x14ac:dyDescent="0.2">
      <c r="A489" s="443"/>
      <c r="B489" s="443"/>
      <c r="C489" s="443"/>
      <c r="D489" s="443"/>
      <c r="E489" s="550"/>
    </row>
    <row r="490" spans="1:5" x14ac:dyDescent="0.2">
      <c r="A490" s="443"/>
      <c r="B490" s="443"/>
      <c r="C490" s="443"/>
      <c r="D490" s="443"/>
      <c r="E490" s="550"/>
    </row>
    <row r="491" spans="1:5" x14ac:dyDescent="0.2">
      <c r="A491" s="443"/>
      <c r="B491" s="443"/>
      <c r="C491" s="443"/>
      <c r="D491" s="443"/>
      <c r="E491" s="550"/>
    </row>
    <row r="492" spans="1:5" x14ac:dyDescent="0.2">
      <c r="A492" s="443"/>
      <c r="B492" s="443"/>
      <c r="C492" s="443"/>
      <c r="D492" s="443"/>
      <c r="E492" s="550"/>
    </row>
    <row r="493" spans="1:5" x14ac:dyDescent="0.2">
      <c r="A493" s="443"/>
      <c r="B493" s="443"/>
      <c r="C493" s="443"/>
      <c r="D493" s="443"/>
      <c r="E493" s="550"/>
    </row>
    <row r="494" spans="1:5" x14ac:dyDescent="0.2">
      <c r="A494" s="443"/>
      <c r="B494" s="443"/>
      <c r="C494" s="443"/>
      <c r="D494" s="443"/>
      <c r="E494" s="550"/>
    </row>
    <row r="495" spans="1:5" x14ac:dyDescent="0.2">
      <c r="A495" s="443"/>
      <c r="B495" s="443"/>
      <c r="C495" s="443"/>
      <c r="D495" s="443"/>
      <c r="E495" s="550"/>
    </row>
    <row r="496" spans="1:5" x14ac:dyDescent="0.2">
      <c r="A496" s="443"/>
      <c r="B496" s="443"/>
      <c r="C496" s="443"/>
      <c r="D496" s="443"/>
      <c r="E496" s="550"/>
    </row>
    <row r="497" spans="1:5" x14ac:dyDescent="0.2">
      <c r="A497" s="443"/>
      <c r="B497" s="443"/>
      <c r="C497" s="443"/>
      <c r="D497" s="443"/>
      <c r="E497" s="550"/>
    </row>
    <row r="498" spans="1:5" x14ac:dyDescent="0.2">
      <c r="A498" s="443"/>
      <c r="B498" s="443"/>
      <c r="C498" s="443"/>
      <c r="D498" s="443"/>
      <c r="E498" s="550"/>
    </row>
    <row r="499" spans="1:5" x14ac:dyDescent="0.2">
      <c r="A499" s="443"/>
      <c r="B499" s="443"/>
      <c r="C499" s="443"/>
      <c r="D499" s="443"/>
      <c r="E499" s="550"/>
    </row>
    <row r="500" spans="1:5" x14ac:dyDescent="0.2">
      <c r="A500" s="443"/>
      <c r="B500" s="443"/>
      <c r="C500" s="443"/>
      <c r="D500" s="443"/>
      <c r="E500" s="550"/>
    </row>
    <row r="501" spans="1:5" x14ac:dyDescent="0.2">
      <c r="A501" s="443"/>
      <c r="B501" s="443"/>
      <c r="C501" s="443"/>
      <c r="D501" s="443"/>
      <c r="E501" s="550"/>
    </row>
    <row r="502" spans="1:5" x14ac:dyDescent="0.2">
      <c r="A502" s="443"/>
      <c r="B502" s="443"/>
      <c r="C502" s="443"/>
      <c r="D502" s="443"/>
      <c r="E502" s="550"/>
    </row>
    <row r="503" spans="1:5" x14ac:dyDescent="0.2">
      <c r="A503" s="443"/>
      <c r="B503" s="443"/>
      <c r="C503" s="443"/>
      <c r="D503" s="443"/>
      <c r="E503" s="550"/>
    </row>
    <row r="504" spans="1:5" x14ac:dyDescent="0.2">
      <c r="A504" s="443"/>
      <c r="B504" s="443"/>
      <c r="C504" s="443"/>
      <c r="D504" s="443"/>
      <c r="E504" s="550"/>
    </row>
    <row r="505" spans="1:5" x14ac:dyDescent="0.2">
      <c r="A505" s="443"/>
      <c r="B505" s="443"/>
      <c r="C505" s="443"/>
      <c r="D505" s="443"/>
      <c r="E505" s="550"/>
    </row>
    <row r="506" spans="1:5" x14ac:dyDescent="0.2">
      <c r="A506" s="443"/>
      <c r="B506" s="443"/>
      <c r="C506" s="443"/>
      <c r="D506" s="443"/>
      <c r="E506" s="550"/>
    </row>
    <row r="507" spans="1:5" x14ac:dyDescent="0.2">
      <c r="A507" s="443"/>
      <c r="B507" s="443"/>
      <c r="C507" s="443"/>
      <c r="D507" s="443"/>
      <c r="E507" s="550"/>
    </row>
    <row r="508" spans="1:5" x14ac:dyDescent="0.2">
      <c r="A508" s="443"/>
      <c r="B508" s="443"/>
      <c r="C508" s="443"/>
      <c r="D508" s="443"/>
      <c r="E508" s="550"/>
    </row>
    <row r="509" spans="1:5" x14ac:dyDescent="0.2">
      <c r="A509" s="443"/>
      <c r="B509" s="443"/>
      <c r="C509" s="443"/>
      <c r="D509" s="443"/>
      <c r="E509" s="550"/>
    </row>
    <row r="510" spans="1:5" x14ac:dyDescent="0.2">
      <c r="A510" s="443"/>
      <c r="B510" s="443"/>
      <c r="C510" s="443"/>
      <c r="D510" s="443"/>
      <c r="E510" s="550"/>
    </row>
    <row r="511" spans="1:5" x14ac:dyDescent="0.2">
      <c r="A511" s="443"/>
      <c r="B511" s="443"/>
      <c r="C511" s="443"/>
      <c r="D511" s="443"/>
      <c r="E511" s="550"/>
    </row>
    <row r="512" spans="1:5" x14ac:dyDescent="0.2">
      <c r="A512" s="443"/>
      <c r="B512" s="443"/>
      <c r="C512" s="443"/>
      <c r="D512" s="443"/>
      <c r="E512" s="550"/>
    </row>
    <row r="513" spans="1:5" x14ac:dyDescent="0.2">
      <c r="A513" s="443"/>
      <c r="B513" s="443"/>
      <c r="C513" s="443"/>
      <c r="D513" s="443"/>
      <c r="E513" s="550"/>
    </row>
    <row r="514" spans="1:5" x14ac:dyDescent="0.2">
      <c r="A514" s="443"/>
      <c r="B514" s="443"/>
      <c r="C514" s="443"/>
      <c r="D514" s="443"/>
      <c r="E514" s="550"/>
    </row>
    <row r="515" spans="1:5" x14ac:dyDescent="0.2">
      <c r="A515" s="443"/>
      <c r="B515" s="443"/>
      <c r="C515" s="443"/>
      <c r="D515" s="443"/>
      <c r="E515" s="550"/>
    </row>
    <row r="516" spans="1:5" x14ac:dyDescent="0.2">
      <c r="A516" s="443"/>
      <c r="B516" s="443"/>
      <c r="C516" s="443"/>
      <c r="D516" s="443"/>
      <c r="E516" s="550"/>
    </row>
    <row r="517" spans="1:5" x14ac:dyDescent="0.2">
      <c r="A517" s="443"/>
      <c r="B517" s="443"/>
      <c r="C517" s="443"/>
      <c r="D517" s="443"/>
      <c r="E517" s="550"/>
    </row>
    <row r="518" spans="1:5" x14ac:dyDescent="0.2">
      <c r="A518" s="443"/>
      <c r="B518" s="443"/>
      <c r="C518" s="443"/>
      <c r="D518" s="443"/>
      <c r="E518" s="550"/>
    </row>
    <row r="519" spans="1:5" x14ac:dyDescent="0.2">
      <c r="A519" s="443"/>
      <c r="B519" s="443"/>
      <c r="C519" s="443"/>
      <c r="D519" s="443"/>
      <c r="E519" s="550"/>
    </row>
    <row r="520" spans="1:5" x14ac:dyDescent="0.2">
      <c r="A520" s="443"/>
      <c r="B520" s="443"/>
      <c r="C520" s="443"/>
      <c r="D520" s="443"/>
      <c r="E520" s="550"/>
    </row>
    <row r="521" spans="1:5" x14ac:dyDescent="0.2">
      <c r="A521" s="443"/>
      <c r="B521" s="443"/>
      <c r="C521" s="443"/>
      <c r="D521" s="443"/>
      <c r="E521" s="550"/>
    </row>
    <row r="522" spans="1:5" x14ac:dyDescent="0.2">
      <c r="A522" s="443"/>
      <c r="B522" s="443"/>
      <c r="C522" s="443"/>
      <c r="D522" s="443"/>
      <c r="E522" s="550"/>
    </row>
    <row r="523" spans="1:5" x14ac:dyDescent="0.2">
      <c r="A523" s="443"/>
      <c r="B523" s="443"/>
      <c r="C523" s="443"/>
      <c r="D523" s="443"/>
      <c r="E523" s="550"/>
    </row>
    <row r="524" spans="1:5" x14ac:dyDescent="0.2">
      <c r="A524" s="443"/>
      <c r="B524" s="443"/>
      <c r="C524" s="443"/>
      <c r="D524" s="443"/>
      <c r="E524" s="550"/>
    </row>
    <row r="525" spans="1:5" x14ac:dyDescent="0.2">
      <c r="A525" s="443"/>
      <c r="B525" s="443"/>
      <c r="C525" s="443"/>
      <c r="D525" s="443"/>
      <c r="E525" s="550"/>
    </row>
    <row r="526" spans="1:5" x14ac:dyDescent="0.2">
      <c r="A526" s="443"/>
      <c r="B526" s="443"/>
      <c r="C526" s="443"/>
      <c r="D526" s="443"/>
      <c r="E526" s="550"/>
    </row>
    <row r="527" spans="1:5" x14ac:dyDescent="0.2">
      <c r="A527" s="443"/>
      <c r="B527" s="443"/>
      <c r="C527" s="443"/>
      <c r="D527" s="443"/>
      <c r="E527" s="550"/>
    </row>
    <row r="528" spans="1:5" x14ac:dyDescent="0.2">
      <c r="A528" s="443"/>
      <c r="B528" s="443"/>
      <c r="C528" s="443"/>
      <c r="D528" s="443"/>
      <c r="E528" s="550"/>
    </row>
    <row r="529" spans="1:5" x14ac:dyDescent="0.2">
      <c r="A529" s="443"/>
      <c r="B529" s="443"/>
      <c r="C529" s="443"/>
      <c r="D529" s="443"/>
      <c r="E529" s="550"/>
    </row>
    <row r="530" spans="1:5" x14ac:dyDescent="0.2">
      <c r="A530" s="443"/>
      <c r="B530" s="443"/>
      <c r="C530" s="443"/>
      <c r="D530" s="443"/>
      <c r="E530" s="550"/>
    </row>
    <row r="531" spans="1:5" x14ac:dyDescent="0.2">
      <c r="A531" s="443"/>
      <c r="B531" s="443"/>
      <c r="C531" s="443"/>
      <c r="D531" s="443"/>
      <c r="E531" s="550"/>
    </row>
    <row r="532" spans="1:5" x14ac:dyDescent="0.2">
      <c r="A532" s="443"/>
      <c r="B532" s="443"/>
      <c r="C532" s="443"/>
      <c r="D532" s="443"/>
      <c r="E532" s="550"/>
    </row>
    <row r="533" spans="1:5" x14ac:dyDescent="0.2">
      <c r="A533" s="443"/>
      <c r="B533" s="443"/>
      <c r="C533" s="443"/>
      <c r="D533" s="443"/>
      <c r="E533" s="550"/>
    </row>
    <row r="534" spans="1:5" x14ac:dyDescent="0.2">
      <c r="A534" s="443"/>
      <c r="B534" s="443"/>
      <c r="C534" s="443"/>
      <c r="D534" s="443"/>
      <c r="E534" s="550"/>
    </row>
    <row r="535" spans="1:5" x14ac:dyDescent="0.2">
      <c r="A535" s="443"/>
      <c r="B535" s="443"/>
      <c r="C535" s="443"/>
      <c r="D535" s="443"/>
      <c r="E535" s="550"/>
    </row>
    <row r="536" spans="1:5" x14ac:dyDescent="0.2">
      <c r="A536" s="443"/>
      <c r="B536" s="443"/>
      <c r="C536" s="443"/>
      <c r="D536" s="443"/>
      <c r="E536" s="550"/>
    </row>
    <row r="537" spans="1:5" x14ac:dyDescent="0.2">
      <c r="A537" s="443"/>
      <c r="B537" s="443"/>
      <c r="C537" s="443"/>
      <c r="D537" s="443"/>
      <c r="E537" s="550"/>
    </row>
    <row r="538" spans="1:5" x14ac:dyDescent="0.2">
      <c r="A538" s="443"/>
      <c r="B538" s="443"/>
      <c r="C538" s="443"/>
      <c r="D538" s="443"/>
      <c r="E538" s="550"/>
    </row>
    <row r="539" spans="1:5" x14ac:dyDescent="0.2">
      <c r="A539" s="443"/>
      <c r="B539" s="443"/>
      <c r="C539" s="443"/>
      <c r="D539" s="443"/>
      <c r="E539" s="550"/>
    </row>
    <row r="540" spans="1:5" x14ac:dyDescent="0.2">
      <c r="A540" s="443"/>
      <c r="B540" s="443"/>
      <c r="C540" s="443"/>
      <c r="D540" s="443"/>
      <c r="E540" s="550"/>
    </row>
    <row r="541" spans="1:5" x14ac:dyDescent="0.2">
      <c r="A541" s="443"/>
      <c r="B541" s="443"/>
      <c r="C541" s="443"/>
      <c r="D541" s="443"/>
      <c r="E541" s="550"/>
    </row>
    <row r="542" spans="1:5" x14ac:dyDescent="0.2">
      <c r="A542" s="443"/>
      <c r="B542" s="443"/>
      <c r="C542" s="443"/>
      <c r="D542" s="443"/>
      <c r="E542" s="550"/>
    </row>
    <row r="543" spans="1:5" x14ac:dyDescent="0.2">
      <c r="A543" s="443"/>
      <c r="B543" s="443"/>
      <c r="C543" s="443"/>
      <c r="D543" s="443"/>
      <c r="E543" s="550"/>
    </row>
    <row r="544" spans="1:5" x14ac:dyDescent="0.2">
      <c r="A544" s="443"/>
      <c r="B544" s="443"/>
      <c r="C544" s="443"/>
      <c r="D544" s="443"/>
      <c r="E544" s="550"/>
    </row>
    <row r="545" spans="1:5" x14ac:dyDescent="0.2">
      <c r="A545" s="443"/>
      <c r="B545" s="443"/>
      <c r="C545" s="443"/>
      <c r="D545" s="443"/>
      <c r="E545" s="550"/>
    </row>
    <row r="546" spans="1:5" x14ac:dyDescent="0.2">
      <c r="A546" s="443"/>
      <c r="B546" s="443"/>
      <c r="C546" s="443"/>
      <c r="D546" s="443"/>
      <c r="E546" s="550"/>
    </row>
    <row r="547" spans="1:5" x14ac:dyDescent="0.2">
      <c r="A547" s="443"/>
      <c r="B547" s="443"/>
      <c r="C547" s="443"/>
      <c r="D547" s="443"/>
      <c r="E547" s="550"/>
    </row>
    <row r="548" spans="1:5" x14ac:dyDescent="0.2">
      <c r="A548" s="443"/>
      <c r="B548" s="443"/>
      <c r="C548" s="443"/>
      <c r="D548" s="443"/>
      <c r="E548" s="550"/>
    </row>
    <row r="549" spans="1:5" x14ac:dyDescent="0.2">
      <c r="A549" s="443"/>
      <c r="B549" s="443"/>
      <c r="C549" s="443"/>
      <c r="D549" s="443"/>
      <c r="E549" s="550"/>
    </row>
    <row r="550" spans="1:5" x14ac:dyDescent="0.2">
      <c r="A550" s="443"/>
      <c r="B550" s="443"/>
      <c r="C550" s="443"/>
      <c r="D550" s="443"/>
      <c r="E550" s="550"/>
    </row>
    <row r="551" spans="1:5" x14ac:dyDescent="0.2">
      <c r="A551" s="443"/>
      <c r="B551" s="443"/>
      <c r="C551" s="443"/>
      <c r="D551" s="443"/>
      <c r="E551" s="550"/>
    </row>
    <row r="552" spans="1:5" x14ac:dyDescent="0.2">
      <c r="A552" s="443"/>
      <c r="B552" s="443"/>
      <c r="C552" s="443"/>
      <c r="D552" s="443"/>
      <c r="E552" s="550"/>
    </row>
    <row r="553" spans="1:5" x14ac:dyDescent="0.2">
      <c r="A553" s="443"/>
      <c r="B553" s="443"/>
      <c r="C553" s="443"/>
      <c r="D553" s="443"/>
      <c r="E553" s="550"/>
    </row>
    <row r="554" spans="1:5" x14ac:dyDescent="0.2">
      <c r="A554" s="443"/>
      <c r="B554" s="443"/>
      <c r="C554" s="443"/>
      <c r="D554" s="443"/>
      <c r="E554" s="550"/>
    </row>
    <row r="555" spans="1:5" x14ac:dyDescent="0.2">
      <c r="A555" s="443"/>
      <c r="B555" s="443"/>
      <c r="C555" s="443"/>
      <c r="D555" s="443"/>
      <c r="E555" s="550"/>
    </row>
    <row r="556" spans="1:5" x14ac:dyDescent="0.2">
      <c r="A556" s="443"/>
      <c r="B556" s="443"/>
      <c r="C556" s="443"/>
      <c r="D556" s="443"/>
      <c r="E556" s="550"/>
    </row>
    <row r="557" spans="1:5" x14ac:dyDescent="0.2">
      <c r="A557" s="443"/>
      <c r="B557" s="443"/>
      <c r="C557" s="443"/>
      <c r="D557" s="443"/>
      <c r="E557" s="550"/>
    </row>
    <row r="558" spans="1:5" x14ac:dyDescent="0.2">
      <c r="A558" s="443"/>
      <c r="B558" s="443"/>
      <c r="C558" s="443"/>
      <c r="D558" s="443"/>
      <c r="E558" s="550"/>
    </row>
    <row r="559" spans="1:5" x14ac:dyDescent="0.2">
      <c r="A559" s="443"/>
      <c r="B559" s="443"/>
      <c r="C559" s="443"/>
      <c r="D559" s="443"/>
      <c r="E559" s="550"/>
    </row>
    <row r="560" spans="1:5" x14ac:dyDescent="0.2">
      <c r="A560" s="443"/>
      <c r="B560" s="443"/>
      <c r="C560" s="443"/>
      <c r="D560" s="443"/>
      <c r="E560" s="550"/>
    </row>
    <row r="561" spans="1:5" x14ac:dyDescent="0.2">
      <c r="A561" s="443"/>
      <c r="B561" s="443"/>
      <c r="C561" s="443"/>
      <c r="D561" s="443"/>
      <c r="E561" s="550"/>
    </row>
    <row r="562" spans="1:5" x14ac:dyDescent="0.2">
      <c r="A562" s="443"/>
      <c r="B562" s="443"/>
      <c r="C562" s="443"/>
      <c r="D562" s="443"/>
      <c r="E562" s="550"/>
    </row>
    <row r="563" spans="1:5" x14ac:dyDescent="0.2">
      <c r="A563" s="443"/>
      <c r="B563" s="443"/>
      <c r="C563" s="443"/>
      <c r="D563" s="443"/>
      <c r="E563" s="550"/>
    </row>
    <row r="564" spans="1:5" x14ac:dyDescent="0.2">
      <c r="A564" s="443"/>
      <c r="B564" s="443"/>
      <c r="C564" s="443"/>
      <c r="D564" s="443"/>
      <c r="E564" s="550"/>
    </row>
    <row r="565" spans="1:5" x14ac:dyDescent="0.2">
      <c r="A565" s="443"/>
      <c r="B565" s="443"/>
      <c r="C565" s="443"/>
      <c r="D565" s="443"/>
      <c r="E565" s="550"/>
    </row>
    <row r="566" spans="1:5" x14ac:dyDescent="0.2">
      <c r="A566" s="443"/>
      <c r="B566" s="443"/>
      <c r="C566" s="443"/>
      <c r="D566" s="443"/>
      <c r="E566" s="550"/>
    </row>
    <row r="567" spans="1:5" x14ac:dyDescent="0.2">
      <c r="A567" s="443"/>
      <c r="B567" s="443"/>
      <c r="C567" s="443"/>
      <c r="D567" s="443"/>
      <c r="E567" s="550"/>
    </row>
    <row r="568" spans="1:5" x14ac:dyDescent="0.2">
      <c r="A568" s="443"/>
      <c r="B568" s="443"/>
      <c r="C568" s="443"/>
      <c r="D568" s="443"/>
      <c r="E568" s="550"/>
    </row>
    <row r="569" spans="1:5" x14ac:dyDescent="0.2">
      <c r="A569" s="443"/>
      <c r="B569" s="443"/>
      <c r="C569" s="443"/>
      <c r="D569" s="443"/>
      <c r="E569" s="550"/>
    </row>
    <row r="570" spans="1:5" x14ac:dyDescent="0.2">
      <c r="A570" s="443"/>
      <c r="B570" s="443"/>
      <c r="C570" s="443"/>
      <c r="D570" s="443"/>
      <c r="E570" s="550"/>
    </row>
    <row r="571" spans="1:5" x14ac:dyDescent="0.2">
      <c r="A571" s="443"/>
      <c r="B571" s="443"/>
      <c r="C571" s="443"/>
      <c r="D571" s="443"/>
      <c r="E571" s="550"/>
    </row>
    <row r="572" spans="1:5" x14ac:dyDescent="0.2">
      <c r="A572" s="443"/>
      <c r="B572" s="443"/>
      <c r="C572" s="443"/>
      <c r="D572" s="443"/>
      <c r="E572" s="550"/>
    </row>
    <row r="573" spans="1:5" x14ac:dyDescent="0.2">
      <c r="A573" s="443"/>
      <c r="B573" s="443"/>
      <c r="C573" s="443"/>
      <c r="D573" s="443"/>
      <c r="E573" s="550"/>
    </row>
    <row r="574" spans="1:5" x14ac:dyDescent="0.2">
      <c r="A574" s="443"/>
      <c r="B574" s="443"/>
      <c r="C574" s="443"/>
      <c r="D574" s="443"/>
      <c r="E574" s="550"/>
    </row>
    <row r="575" spans="1:5" x14ac:dyDescent="0.2">
      <c r="A575" s="443"/>
      <c r="B575" s="443"/>
      <c r="C575" s="443"/>
      <c r="D575" s="443"/>
      <c r="E575" s="550"/>
    </row>
    <row r="576" spans="1:5" x14ac:dyDescent="0.2">
      <c r="A576" s="443"/>
      <c r="B576" s="443"/>
      <c r="C576" s="443"/>
      <c r="D576" s="443"/>
      <c r="E576" s="550"/>
    </row>
    <row r="577" spans="1:5" x14ac:dyDescent="0.2">
      <c r="A577" s="443"/>
      <c r="B577" s="443"/>
      <c r="C577" s="443"/>
      <c r="D577" s="443"/>
      <c r="E577" s="550"/>
    </row>
    <row r="578" spans="1:5" x14ac:dyDescent="0.2">
      <c r="A578" s="443"/>
      <c r="B578" s="443"/>
      <c r="C578" s="443"/>
      <c r="D578" s="443"/>
      <c r="E578" s="550"/>
    </row>
    <row r="579" spans="1:5" x14ac:dyDescent="0.2">
      <c r="A579" s="443"/>
      <c r="B579" s="443"/>
      <c r="C579" s="443"/>
      <c r="D579" s="443"/>
      <c r="E579" s="550"/>
    </row>
    <row r="580" spans="1:5" x14ac:dyDescent="0.2">
      <c r="A580" s="443"/>
      <c r="B580" s="443"/>
      <c r="C580" s="443"/>
      <c r="D580" s="443"/>
      <c r="E580" s="550"/>
    </row>
    <row r="581" spans="1:5" x14ac:dyDescent="0.2">
      <c r="A581" s="443"/>
      <c r="B581" s="443"/>
      <c r="C581" s="443"/>
      <c r="D581" s="443"/>
      <c r="E581" s="550"/>
    </row>
    <row r="582" spans="1:5" x14ac:dyDescent="0.2">
      <c r="A582" s="443"/>
      <c r="B582" s="443"/>
      <c r="C582" s="443"/>
      <c r="D582" s="443"/>
      <c r="E582" s="550"/>
    </row>
    <row r="583" spans="1:5" x14ac:dyDescent="0.2">
      <c r="A583" s="443"/>
      <c r="B583" s="443"/>
      <c r="C583" s="443"/>
      <c r="D583" s="443"/>
      <c r="E583" s="550"/>
    </row>
    <row r="584" spans="1:5" x14ac:dyDescent="0.2">
      <c r="A584" s="443"/>
      <c r="B584" s="443"/>
      <c r="C584" s="443"/>
      <c r="D584" s="443"/>
      <c r="E584" s="550"/>
    </row>
    <row r="585" spans="1:5" x14ac:dyDescent="0.2">
      <c r="A585" s="443"/>
      <c r="B585" s="443"/>
      <c r="C585" s="443"/>
      <c r="D585" s="443"/>
      <c r="E585" s="550"/>
    </row>
    <row r="586" spans="1:5" x14ac:dyDescent="0.2">
      <c r="A586" s="443"/>
      <c r="B586" s="443"/>
      <c r="C586" s="443"/>
      <c r="D586" s="443"/>
      <c r="E586" s="550"/>
    </row>
    <row r="587" spans="1:5" x14ac:dyDescent="0.2">
      <c r="A587" s="443"/>
      <c r="B587" s="443"/>
      <c r="C587" s="443"/>
      <c r="D587" s="443"/>
      <c r="E587" s="550"/>
    </row>
    <row r="588" spans="1:5" x14ac:dyDescent="0.2">
      <c r="A588" s="443"/>
      <c r="B588" s="443"/>
      <c r="C588" s="443"/>
      <c r="D588" s="443"/>
      <c r="E588" s="550"/>
    </row>
    <row r="589" spans="1:5" x14ac:dyDescent="0.2">
      <c r="A589" s="443"/>
      <c r="B589" s="443"/>
      <c r="C589" s="443"/>
      <c r="D589" s="443"/>
      <c r="E589" s="550"/>
    </row>
    <row r="590" spans="1:5" x14ac:dyDescent="0.2">
      <c r="A590" s="443"/>
      <c r="B590" s="443"/>
      <c r="C590" s="443"/>
      <c r="D590" s="443"/>
      <c r="E590" s="550"/>
    </row>
    <row r="591" spans="1:5" x14ac:dyDescent="0.2">
      <c r="A591" s="443"/>
      <c r="B591" s="443"/>
      <c r="C591" s="443"/>
      <c r="D591" s="443"/>
      <c r="E591" s="550"/>
    </row>
    <row r="592" spans="1:5" x14ac:dyDescent="0.2">
      <c r="A592" s="443"/>
      <c r="B592" s="443"/>
      <c r="C592" s="443"/>
      <c r="D592" s="443"/>
      <c r="E592" s="550"/>
    </row>
    <row r="593" spans="1:5" x14ac:dyDescent="0.2">
      <c r="A593" s="443"/>
      <c r="B593" s="443"/>
      <c r="C593" s="443"/>
      <c r="D593" s="443"/>
      <c r="E593" s="550"/>
    </row>
    <row r="594" spans="1:5" x14ac:dyDescent="0.2">
      <c r="A594" s="443"/>
      <c r="B594" s="443"/>
      <c r="C594" s="443"/>
      <c r="D594" s="443"/>
      <c r="E594" s="550"/>
    </row>
    <row r="595" spans="1:5" x14ac:dyDescent="0.2">
      <c r="A595" s="443"/>
      <c r="B595" s="443"/>
      <c r="C595" s="443"/>
      <c r="D595" s="443"/>
      <c r="E595" s="550"/>
    </row>
    <row r="596" spans="1:5" x14ac:dyDescent="0.2">
      <c r="A596" s="443"/>
      <c r="B596" s="443"/>
      <c r="C596" s="443"/>
      <c r="D596" s="443"/>
      <c r="E596" s="550"/>
    </row>
    <row r="597" spans="1:5" x14ac:dyDescent="0.2">
      <c r="A597" s="443"/>
      <c r="B597" s="443"/>
      <c r="C597" s="443"/>
      <c r="D597" s="443"/>
      <c r="E597" s="550"/>
    </row>
    <row r="598" spans="1:5" x14ac:dyDescent="0.2">
      <c r="A598" s="443"/>
      <c r="B598" s="443"/>
      <c r="C598" s="443"/>
      <c r="D598" s="443"/>
      <c r="E598" s="550"/>
    </row>
    <row r="599" spans="1:5" x14ac:dyDescent="0.2">
      <c r="A599" s="443"/>
      <c r="B599" s="443"/>
      <c r="C599" s="443"/>
      <c r="D599" s="443"/>
      <c r="E599" s="550"/>
    </row>
    <row r="600" spans="1:5" x14ac:dyDescent="0.2">
      <c r="A600" s="443"/>
      <c r="B600" s="443"/>
      <c r="C600" s="443"/>
      <c r="D600" s="443"/>
      <c r="E600" s="550"/>
    </row>
    <row r="601" spans="1:5" x14ac:dyDescent="0.2">
      <c r="A601" s="443"/>
      <c r="B601" s="443"/>
      <c r="C601" s="443"/>
      <c r="D601" s="443"/>
      <c r="E601" s="550"/>
    </row>
    <row r="602" spans="1:5" x14ac:dyDescent="0.2">
      <c r="A602" s="443"/>
      <c r="B602" s="443"/>
      <c r="C602" s="443"/>
      <c r="D602" s="443"/>
      <c r="E602" s="550"/>
    </row>
    <row r="603" spans="1:5" x14ac:dyDescent="0.2">
      <c r="A603" s="443"/>
      <c r="B603" s="443"/>
      <c r="C603" s="443"/>
      <c r="D603" s="443"/>
      <c r="E603" s="550"/>
    </row>
    <row r="604" spans="1:5" x14ac:dyDescent="0.2">
      <c r="A604" s="443"/>
      <c r="B604" s="443"/>
      <c r="C604" s="443"/>
      <c r="D604" s="443"/>
      <c r="E604" s="550"/>
    </row>
    <row r="605" spans="1:5" x14ac:dyDescent="0.2">
      <c r="A605" s="443"/>
      <c r="B605" s="443"/>
      <c r="C605" s="443"/>
      <c r="D605" s="443"/>
      <c r="E605" s="550"/>
    </row>
    <row r="606" spans="1:5" x14ac:dyDescent="0.2">
      <c r="A606" s="443"/>
      <c r="B606" s="443"/>
      <c r="C606" s="443"/>
      <c r="D606" s="443"/>
      <c r="E606" s="550"/>
    </row>
    <row r="607" spans="1:5" x14ac:dyDescent="0.2">
      <c r="A607" s="443"/>
      <c r="B607" s="443"/>
      <c r="C607" s="443"/>
      <c r="D607" s="443"/>
      <c r="E607" s="550"/>
    </row>
    <row r="608" spans="1:5" x14ac:dyDescent="0.2">
      <c r="A608" s="443"/>
      <c r="B608" s="443"/>
      <c r="C608" s="443"/>
      <c r="D608" s="443"/>
      <c r="E608" s="550"/>
    </row>
    <row r="609" spans="1:5" x14ac:dyDescent="0.2">
      <c r="A609" s="443"/>
      <c r="B609" s="443"/>
      <c r="C609" s="443"/>
      <c r="D609" s="443"/>
      <c r="E609" s="550"/>
    </row>
    <row r="610" spans="1:5" x14ac:dyDescent="0.2">
      <c r="A610" s="443"/>
      <c r="B610" s="443"/>
      <c r="C610" s="443"/>
      <c r="D610" s="443"/>
      <c r="E610" s="550"/>
    </row>
    <row r="611" spans="1:5" x14ac:dyDescent="0.2">
      <c r="A611" s="443"/>
      <c r="B611" s="443"/>
      <c r="C611" s="443"/>
      <c r="D611" s="443"/>
      <c r="E611" s="550"/>
    </row>
    <row r="612" spans="1:5" x14ac:dyDescent="0.2">
      <c r="A612" s="443"/>
      <c r="B612" s="443"/>
      <c r="C612" s="443"/>
      <c r="D612" s="443"/>
      <c r="E612" s="550"/>
    </row>
    <row r="613" spans="1:5" x14ac:dyDescent="0.2">
      <c r="A613" s="443"/>
      <c r="B613" s="443"/>
      <c r="C613" s="443"/>
      <c r="D613" s="443"/>
      <c r="E613" s="550"/>
    </row>
    <row r="614" spans="1:5" x14ac:dyDescent="0.2">
      <c r="A614" s="443"/>
      <c r="B614" s="443"/>
      <c r="C614" s="443"/>
      <c r="D614" s="443"/>
      <c r="E614" s="550"/>
    </row>
    <row r="615" spans="1:5" x14ac:dyDescent="0.2">
      <c r="A615" s="443"/>
      <c r="B615" s="443"/>
      <c r="C615" s="443"/>
      <c r="D615" s="443"/>
      <c r="E615" s="550"/>
    </row>
    <row r="616" spans="1:5" x14ac:dyDescent="0.2">
      <c r="A616" s="443"/>
      <c r="B616" s="443"/>
      <c r="C616" s="443"/>
      <c r="D616" s="443"/>
      <c r="E616" s="550"/>
    </row>
    <row r="617" spans="1:5" x14ac:dyDescent="0.2">
      <c r="A617" s="443"/>
      <c r="B617" s="443"/>
      <c r="C617" s="443"/>
      <c r="D617" s="443"/>
      <c r="E617" s="550"/>
    </row>
    <row r="618" spans="1:5" x14ac:dyDescent="0.2">
      <c r="A618" s="443"/>
      <c r="B618" s="443"/>
      <c r="C618" s="443"/>
      <c r="D618" s="443"/>
      <c r="E618" s="550"/>
    </row>
    <row r="619" spans="1:5" x14ac:dyDescent="0.2">
      <c r="A619" s="443"/>
      <c r="B619" s="443"/>
      <c r="C619" s="443"/>
      <c r="D619" s="443"/>
      <c r="E619" s="550"/>
    </row>
    <row r="620" spans="1:5" x14ac:dyDescent="0.2">
      <c r="A620" s="443"/>
      <c r="B620" s="443"/>
      <c r="C620" s="443"/>
      <c r="D620" s="443"/>
      <c r="E620" s="550"/>
    </row>
    <row r="621" spans="1:5" x14ac:dyDescent="0.2">
      <c r="A621" s="443"/>
      <c r="B621" s="443"/>
      <c r="C621" s="443"/>
      <c r="D621" s="443"/>
      <c r="E621" s="550"/>
    </row>
    <row r="622" spans="1:5" x14ac:dyDescent="0.2">
      <c r="A622" s="443"/>
      <c r="B622" s="443"/>
      <c r="C622" s="443"/>
      <c r="D622" s="443"/>
      <c r="E622" s="550"/>
    </row>
    <row r="623" spans="1:5" x14ac:dyDescent="0.2">
      <c r="A623" s="443"/>
      <c r="B623" s="443"/>
      <c r="C623" s="443"/>
      <c r="D623" s="443"/>
      <c r="E623" s="550"/>
    </row>
    <row r="624" spans="1:5" x14ac:dyDescent="0.2">
      <c r="A624" s="443"/>
      <c r="B624" s="443"/>
      <c r="C624" s="443"/>
      <c r="D624" s="443"/>
      <c r="E624" s="550"/>
    </row>
    <row r="625" spans="1:5" x14ac:dyDescent="0.2">
      <c r="A625" s="443"/>
      <c r="B625" s="443"/>
      <c r="C625" s="443"/>
      <c r="D625" s="443"/>
      <c r="E625" s="550"/>
    </row>
    <row r="626" spans="1:5" x14ac:dyDescent="0.2">
      <c r="A626" s="443"/>
      <c r="B626" s="443"/>
      <c r="C626" s="443"/>
      <c r="D626" s="443"/>
      <c r="E626" s="550"/>
    </row>
    <row r="627" spans="1:5" x14ac:dyDescent="0.2">
      <c r="A627" s="443"/>
      <c r="B627" s="443"/>
      <c r="C627" s="443"/>
      <c r="D627" s="443"/>
      <c r="E627" s="550"/>
    </row>
    <row r="628" spans="1:5" x14ac:dyDescent="0.2">
      <c r="A628" s="443"/>
      <c r="B628" s="443"/>
      <c r="C628" s="443"/>
      <c r="D628" s="443"/>
      <c r="E628" s="550"/>
    </row>
    <row r="629" spans="1:5" x14ac:dyDescent="0.2">
      <c r="A629" s="443"/>
      <c r="B629" s="443"/>
      <c r="C629" s="443"/>
      <c r="D629" s="443"/>
      <c r="E629" s="550"/>
    </row>
    <row r="630" spans="1:5" x14ac:dyDescent="0.2">
      <c r="A630" s="443"/>
      <c r="B630" s="443"/>
      <c r="C630" s="443"/>
      <c r="D630" s="443"/>
      <c r="E630" s="550"/>
    </row>
    <row r="631" spans="1:5" x14ac:dyDescent="0.2">
      <c r="A631" s="443"/>
      <c r="B631" s="443"/>
      <c r="C631" s="443"/>
      <c r="D631" s="443"/>
      <c r="E631" s="550"/>
    </row>
    <row r="632" spans="1:5" x14ac:dyDescent="0.2">
      <c r="A632" s="443"/>
      <c r="B632" s="443"/>
      <c r="C632" s="443"/>
      <c r="D632" s="443"/>
      <c r="E632" s="550"/>
    </row>
    <row r="633" spans="1:5" x14ac:dyDescent="0.2">
      <c r="A633" s="443"/>
      <c r="B633" s="443"/>
      <c r="C633" s="443"/>
      <c r="D633" s="443"/>
      <c r="E633" s="550"/>
    </row>
    <row r="634" spans="1:5" x14ac:dyDescent="0.2">
      <c r="A634" s="443"/>
      <c r="B634" s="443"/>
      <c r="C634" s="443"/>
      <c r="D634" s="443"/>
      <c r="E634" s="550"/>
    </row>
    <row r="635" spans="1:5" x14ac:dyDescent="0.2">
      <c r="A635" s="443"/>
      <c r="B635" s="443"/>
      <c r="C635" s="443"/>
      <c r="D635" s="443"/>
      <c r="E635" s="550"/>
    </row>
    <row r="636" spans="1:5" x14ac:dyDescent="0.2">
      <c r="A636" s="443"/>
      <c r="B636" s="443"/>
      <c r="C636" s="443"/>
      <c r="D636" s="443"/>
      <c r="E636" s="550"/>
    </row>
    <row r="637" spans="1:5" x14ac:dyDescent="0.2">
      <c r="A637" s="443"/>
      <c r="B637" s="443"/>
      <c r="C637" s="443"/>
      <c r="D637" s="443"/>
      <c r="E637" s="550"/>
    </row>
    <row r="638" spans="1:5" x14ac:dyDescent="0.2">
      <c r="A638" s="443"/>
      <c r="B638" s="443"/>
      <c r="C638" s="443"/>
      <c r="D638" s="443"/>
      <c r="E638" s="550"/>
    </row>
    <row r="639" spans="1:5" x14ac:dyDescent="0.2">
      <c r="A639" s="443"/>
      <c r="B639" s="443"/>
      <c r="C639" s="443"/>
      <c r="D639" s="443"/>
      <c r="E639" s="550"/>
    </row>
    <row r="640" spans="1:5" x14ac:dyDescent="0.2">
      <c r="A640" s="443"/>
      <c r="B640" s="443"/>
      <c r="C640" s="443"/>
      <c r="D640" s="443"/>
      <c r="E640" s="550"/>
    </row>
    <row r="641" spans="1:5" x14ac:dyDescent="0.2">
      <c r="A641" s="443"/>
      <c r="B641" s="443"/>
      <c r="C641" s="443"/>
      <c r="D641" s="443"/>
      <c r="E641" s="550"/>
    </row>
    <row r="642" spans="1:5" x14ac:dyDescent="0.2">
      <c r="A642" s="443"/>
      <c r="B642" s="443"/>
      <c r="C642" s="443"/>
      <c r="D642" s="443"/>
      <c r="E642" s="550"/>
    </row>
    <row r="643" spans="1:5" x14ac:dyDescent="0.2">
      <c r="A643" s="443"/>
      <c r="B643" s="443"/>
      <c r="C643" s="443"/>
      <c r="D643" s="443"/>
      <c r="E643" s="550"/>
    </row>
    <row r="644" spans="1:5" x14ac:dyDescent="0.2">
      <c r="A644" s="443"/>
      <c r="B644" s="443"/>
      <c r="C644" s="443"/>
      <c r="D644" s="443"/>
      <c r="E644" s="550"/>
    </row>
    <row r="645" spans="1:5" x14ac:dyDescent="0.2">
      <c r="A645" s="443"/>
      <c r="B645" s="443"/>
      <c r="C645" s="443"/>
      <c r="D645" s="443"/>
      <c r="E645" s="550"/>
    </row>
    <row r="646" spans="1:5" x14ac:dyDescent="0.2">
      <c r="A646" s="443"/>
      <c r="B646" s="443"/>
      <c r="C646" s="443"/>
      <c r="D646" s="443"/>
      <c r="E646" s="550"/>
    </row>
    <row r="647" spans="1:5" x14ac:dyDescent="0.2">
      <c r="A647" s="443"/>
      <c r="B647" s="443"/>
      <c r="C647" s="443"/>
      <c r="D647" s="443"/>
      <c r="E647" s="550"/>
    </row>
    <row r="648" spans="1:5" x14ac:dyDescent="0.2">
      <c r="A648" s="443"/>
      <c r="B648" s="443"/>
      <c r="C648" s="443"/>
      <c r="D648" s="443"/>
      <c r="E648" s="550"/>
    </row>
    <row r="649" spans="1:5" x14ac:dyDescent="0.2">
      <c r="A649" s="443"/>
      <c r="B649" s="443"/>
      <c r="C649" s="443"/>
      <c r="D649" s="443"/>
      <c r="E649" s="550"/>
    </row>
    <row r="650" spans="1:5" x14ac:dyDescent="0.2">
      <c r="A650" s="443"/>
      <c r="B650" s="443"/>
      <c r="C650" s="443"/>
      <c r="D650" s="443"/>
      <c r="E650" s="550"/>
    </row>
    <row r="651" spans="1:5" x14ac:dyDescent="0.2">
      <c r="A651" s="443"/>
      <c r="B651" s="443"/>
      <c r="C651" s="443"/>
      <c r="D651" s="443"/>
      <c r="E651" s="550"/>
    </row>
    <row r="652" spans="1:5" x14ac:dyDescent="0.2">
      <c r="A652" s="443"/>
      <c r="B652" s="443"/>
      <c r="C652" s="443"/>
      <c r="D652" s="443"/>
      <c r="E652" s="550"/>
    </row>
    <row r="653" spans="1:5" x14ac:dyDescent="0.2">
      <c r="A653" s="443"/>
      <c r="B653" s="443"/>
      <c r="C653" s="443"/>
      <c r="D653" s="443"/>
      <c r="E653" s="550"/>
    </row>
    <row r="654" spans="1:5" x14ac:dyDescent="0.2">
      <c r="A654" s="443"/>
      <c r="B654" s="443"/>
      <c r="C654" s="443"/>
      <c r="D654" s="443"/>
      <c r="E654" s="550"/>
    </row>
    <row r="655" spans="1:5" x14ac:dyDescent="0.2">
      <c r="A655" s="443"/>
      <c r="B655" s="443"/>
      <c r="C655" s="443"/>
      <c r="D655" s="443"/>
      <c r="E655" s="550"/>
    </row>
    <row r="656" spans="1:5" x14ac:dyDescent="0.2">
      <c r="A656" s="443"/>
      <c r="B656" s="443"/>
      <c r="C656" s="443"/>
      <c r="D656" s="443"/>
      <c r="E656" s="550"/>
    </row>
    <row r="657" spans="1:5" x14ac:dyDescent="0.2">
      <c r="A657" s="443"/>
      <c r="B657" s="443"/>
      <c r="C657" s="443"/>
      <c r="D657" s="443"/>
      <c r="E657" s="550"/>
    </row>
    <row r="658" spans="1:5" x14ac:dyDescent="0.2">
      <c r="A658" s="443"/>
      <c r="B658" s="443"/>
      <c r="C658" s="443"/>
      <c r="D658" s="443"/>
      <c r="E658" s="550"/>
    </row>
    <row r="659" spans="1:5" x14ac:dyDescent="0.2">
      <c r="A659" s="443"/>
      <c r="B659" s="443"/>
      <c r="C659" s="443"/>
      <c r="D659" s="443"/>
      <c r="E659" s="550"/>
    </row>
    <row r="660" spans="1:5" x14ac:dyDescent="0.2">
      <c r="A660" s="443"/>
      <c r="B660" s="443"/>
      <c r="C660" s="443"/>
      <c r="D660" s="443"/>
      <c r="E660" s="550"/>
    </row>
    <row r="661" spans="1:5" x14ac:dyDescent="0.2">
      <c r="A661" s="443"/>
      <c r="B661" s="443"/>
      <c r="C661" s="443"/>
      <c r="D661" s="443"/>
      <c r="E661" s="550"/>
    </row>
    <row r="662" spans="1:5" x14ac:dyDescent="0.2">
      <c r="A662" s="443"/>
      <c r="B662" s="443"/>
      <c r="C662" s="443"/>
      <c r="D662" s="443"/>
      <c r="E662" s="550"/>
    </row>
    <row r="663" spans="1:5" x14ac:dyDescent="0.2">
      <c r="A663" s="443"/>
      <c r="B663" s="443"/>
      <c r="C663" s="443"/>
      <c r="D663" s="443"/>
      <c r="E663" s="550"/>
    </row>
    <row r="664" spans="1:5" x14ac:dyDescent="0.2">
      <c r="A664" s="443"/>
      <c r="B664" s="443"/>
      <c r="C664" s="443"/>
      <c r="D664" s="443"/>
      <c r="E664" s="550"/>
    </row>
    <row r="665" spans="1:5" x14ac:dyDescent="0.2">
      <c r="A665" s="443"/>
      <c r="B665" s="443"/>
      <c r="C665" s="443"/>
      <c r="D665" s="443"/>
      <c r="E665" s="550"/>
    </row>
    <row r="666" spans="1:5" x14ac:dyDescent="0.2">
      <c r="A666" s="443"/>
      <c r="B666" s="443"/>
      <c r="C666" s="443"/>
      <c r="D666" s="443"/>
      <c r="E666" s="550"/>
    </row>
    <row r="667" spans="1:5" x14ac:dyDescent="0.2">
      <c r="A667" s="443"/>
      <c r="B667" s="443"/>
      <c r="C667" s="443"/>
      <c r="D667" s="443"/>
      <c r="E667" s="550"/>
    </row>
    <row r="668" spans="1:5" x14ac:dyDescent="0.2">
      <c r="A668" s="443"/>
      <c r="B668" s="443"/>
      <c r="C668" s="443"/>
      <c r="D668" s="443"/>
      <c r="E668" s="550"/>
    </row>
    <row r="669" spans="1:5" x14ac:dyDescent="0.2">
      <c r="A669" s="443"/>
      <c r="B669" s="443"/>
      <c r="C669" s="443"/>
      <c r="D669" s="443"/>
      <c r="E669" s="550"/>
    </row>
    <row r="670" spans="1:5" x14ac:dyDescent="0.2">
      <c r="A670" s="443"/>
      <c r="B670" s="443"/>
      <c r="C670" s="443"/>
      <c r="D670" s="443"/>
      <c r="E670" s="550"/>
    </row>
    <row r="671" spans="1:5" x14ac:dyDescent="0.2">
      <c r="A671" s="443"/>
      <c r="B671" s="443"/>
      <c r="C671" s="443"/>
      <c r="D671" s="443"/>
      <c r="E671" s="550"/>
    </row>
    <row r="672" spans="1:5" x14ac:dyDescent="0.2">
      <c r="A672" s="443"/>
      <c r="B672" s="443"/>
      <c r="C672" s="443"/>
      <c r="D672" s="443"/>
      <c r="E672" s="550"/>
    </row>
    <row r="673" spans="1:5" x14ac:dyDescent="0.2">
      <c r="A673" s="443"/>
      <c r="B673" s="443"/>
      <c r="C673" s="443"/>
      <c r="D673" s="443"/>
      <c r="E673" s="550"/>
    </row>
    <row r="674" spans="1:5" x14ac:dyDescent="0.2">
      <c r="A674" s="443"/>
      <c r="B674" s="443"/>
      <c r="C674" s="443"/>
      <c r="D674" s="443"/>
      <c r="E674" s="550"/>
    </row>
    <row r="675" spans="1:5" x14ac:dyDescent="0.2">
      <c r="A675" s="443"/>
      <c r="B675" s="443"/>
      <c r="C675" s="443"/>
      <c r="D675" s="443"/>
      <c r="E675" s="550"/>
    </row>
    <row r="676" spans="1:5" x14ac:dyDescent="0.2">
      <c r="A676" s="443"/>
      <c r="B676" s="443"/>
      <c r="C676" s="443"/>
      <c r="D676" s="443"/>
      <c r="E676" s="550"/>
    </row>
    <row r="677" spans="1:5" x14ac:dyDescent="0.2">
      <c r="A677" s="443"/>
      <c r="B677" s="443"/>
      <c r="C677" s="443"/>
      <c r="D677" s="443"/>
      <c r="E677" s="550"/>
    </row>
    <row r="678" spans="1:5" x14ac:dyDescent="0.2">
      <c r="A678" s="443"/>
      <c r="B678" s="443"/>
      <c r="C678" s="443"/>
      <c r="D678" s="443"/>
      <c r="E678" s="550"/>
    </row>
    <row r="679" spans="1:5" x14ac:dyDescent="0.2">
      <c r="A679" s="443"/>
      <c r="B679" s="443"/>
      <c r="C679" s="443"/>
      <c r="D679" s="443"/>
      <c r="E679" s="550"/>
    </row>
    <row r="680" spans="1:5" x14ac:dyDescent="0.2">
      <c r="A680" s="443"/>
      <c r="B680" s="443"/>
      <c r="C680" s="443"/>
      <c r="D680" s="443"/>
      <c r="E680" s="550"/>
    </row>
    <row r="681" spans="1:5" x14ac:dyDescent="0.2">
      <c r="A681" s="443"/>
      <c r="B681" s="443"/>
      <c r="C681" s="443"/>
      <c r="D681" s="443"/>
      <c r="E681" s="550"/>
    </row>
    <row r="682" spans="1:5" x14ac:dyDescent="0.2">
      <c r="A682" s="443"/>
      <c r="B682" s="443"/>
      <c r="C682" s="443"/>
      <c r="D682" s="443"/>
      <c r="E682" s="550"/>
    </row>
    <row r="683" spans="1:5" x14ac:dyDescent="0.2">
      <c r="A683" s="443"/>
      <c r="B683" s="443"/>
      <c r="C683" s="443"/>
      <c r="D683" s="443"/>
      <c r="E683" s="550"/>
    </row>
    <row r="684" spans="1:5" x14ac:dyDescent="0.2">
      <c r="A684" s="443"/>
      <c r="B684" s="443"/>
      <c r="C684" s="443"/>
      <c r="D684" s="443"/>
      <c r="E684" s="550"/>
    </row>
    <row r="685" spans="1:5" x14ac:dyDescent="0.2">
      <c r="A685" s="443"/>
      <c r="B685" s="443"/>
      <c r="C685" s="443"/>
      <c r="D685" s="443"/>
      <c r="E685" s="550"/>
    </row>
    <row r="686" spans="1:5" x14ac:dyDescent="0.2">
      <c r="A686" s="443"/>
      <c r="B686" s="443"/>
      <c r="C686" s="443"/>
      <c r="D686" s="443"/>
      <c r="E686" s="550"/>
    </row>
    <row r="687" spans="1:5" x14ac:dyDescent="0.2">
      <c r="A687" s="443"/>
      <c r="B687" s="443"/>
      <c r="C687" s="443"/>
      <c r="D687" s="443"/>
      <c r="E687" s="550"/>
    </row>
    <row r="688" spans="1:5" x14ac:dyDescent="0.2">
      <c r="A688" s="443"/>
      <c r="B688" s="443"/>
      <c r="C688" s="443"/>
      <c r="D688" s="443"/>
      <c r="E688" s="550"/>
    </row>
    <row r="689" spans="1:5" x14ac:dyDescent="0.2">
      <c r="A689" s="443"/>
      <c r="B689" s="443"/>
      <c r="C689" s="443"/>
      <c r="D689" s="443"/>
      <c r="E689" s="550"/>
    </row>
    <row r="690" spans="1:5" x14ac:dyDescent="0.2">
      <c r="A690" s="443"/>
      <c r="B690" s="443"/>
      <c r="C690" s="443"/>
      <c r="D690" s="443"/>
      <c r="E690" s="550"/>
    </row>
    <row r="691" spans="1:5" x14ac:dyDescent="0.2">
      <c r="A691" s="443"/>
      <c r="B691" s="443"/>
      <c r="C691" s="443"/>
      <c r="D691" s="443"/>
      <c r="E691" s="550"/>
    </row>
    <row r="692" spans="1:5" x14ac:dyDescent="0.2">
      <c r="A692" s="443"/>
      <c r="B692" s="443"/>
      <c r="C692" s="443"/>
      <c r="D692" s="443"/>
      <c r="E692" s="550"/>
    </row>
    <row r="693" spans="1:5" x14ac:dyDescent="0.2">
      <c r="A693" s="443"/>
      <c r="B693" s="443"/>
      <c r="C693" s="443"/>
      <c r="D693" s="443"/>
      <c r="E693" s="550"/>
    </row>
    <row r="694" spans="1:5" x14ac:dyDescent="0.2">
      <c r="A694" s="443"/>
      <c r="B694" s="443"/>
      <c r="C694" s="443"/>
      <c r="D694" s="443"/>
      <c r="E694" s="550"/>
    </row>
    <row r="695" spans="1:5" x14ac:dyDescent="0.2">
      <c r="A695" s="443"/>
      <c r="B695" s="443"/>
      <c r="C695" s="443"/>
      <c r="D695" s="443"/>
      <c r="E695" s="550"/>
    </row>
  </sheetData>
  <mergeCells count="26">
    <mergeCell ref="A113:D113"/>
    <mergeCell ref="B114:C114"/>
    <mergeCell ref="A118:D118"/>
    <mergeCell ref="A122:D122"/>
    <mergeCell ref="A74:D74"/>
    <mergeCell ref="A81:D81"/>
    <mergeCell ref="A86:D86"/>
    <mergeCell ref="A91:D91"/>
    <mergeCell ref="A104:D104"/>
    <mergeCell ref="A108:D108"/>
    <mergeCell ref="A128:D128"/>
    <mergeCell ref="A42:B42"/>
    <mergeCell ref="A1:D1"/>
    <mergeCell ref="A12:D12"/>
    <mergeCell ref="A17:D17"/>
    <mergeCell ref="B25:D25"/>
    <mergeCell ref="A24:D24"/>
    <mergeCell ref="A34:D34"/>
    <mergeCell ref="C36:D37"/>
    <mergeCell ref="A40:D40"/>
    <mergeCell ref="A41:D41"/>
    <mergeCell ref="A50:D50"/>
    <mergeCell ref="A56:D56"/>
    <mergeCell ref="A62:D62"/>
    <mergeCell ref="A68:D68"/>
    <mergeCell ref="A73:D73"/>
  </mergeCells>
  <hyperlinks>
    <hyperlink ref="A2" location="ABSENCE_NON_REMUNEREE" display="Absence non rémunérée" xr:uid="{00000000-0004-0000-0100-000000000000}"/>
    <hyperlink ref="A3" location="PRIMES" display="Primes " xr:uid="{00000000-0004-0000-0100-000001000000}"/>
    <hyperlink ref="A4" location="CONGE_PAYE" display="Congé payés" xr:uid="{00000000-0004-0000-0100-000002000000}"/>
    <hyperlink ref="B2" location="TICKET_RESTO" display="Ticket restaurant" xr:uid="{00000000-0004-0000-0100-000003000000}"/>
    <hyperlink ref="B3" location="REPAS" display="Repas" xr:uid="{00000000-0004-0000-0100-000004000000}"/>
    <hyperlink ref="B4" location="LOGEMENT" display="Logement" xr:uid="{00000000-0004-0000-0100-000005000000}"/>
    <hyperlink ref="B5" location="VEHICULE" display="Véhicule" xr:uid="{00000000-0004-0000-0100-000006000000}"/>
    <hyperlink ref="B6" location="TRANSPORT" display="Transport" xr:uid="{00000000-0004-0000-0100-000007000000}"/>
    <hyperlink ref="C2" location="FRAIS_DE_REPAS" display="Frais de repas chantier / hors locaux / resto" xr:uid="{00000000-0004-0000-0100-000008000000}"/>
    <hyperlink ref="C3" location="DEPLACEMENT" display="Déplacement" xr:uid="{00000000-0004-0000-0100-000009000000}"/>
    <hyperlink ref="C4" location="TECHNOLOGIE" display="Nvelle Technologie" xr:uid="{00000000-0004-0000-0100-00000A000000}"/>
    <hyperlink ref="A6" location="SAISIE_SALAIRE" display="Saisie sur salaire" xr:uid="{00000000-0004-0000-0100-00000B000000}"/>
    <hyperlink ref="A5" location="RTT" display="Solde de RTT" xr:uid="{00000000-0004-0000-0100-00000C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116" r:id="rId4" name="Bouton 20">
              <controlPr defaultSize="0" print="0" autoFill="0" autoPict="0" macro="[0]!Test_Effacer_Orange_INFOPAIE">
                <anchor moveWithCells="1" sizeWithCells="1">
                  <from>
                    <xdr:col>3</xdr:col>
                    <xdr:colOff>152400</xdr:colOff>
                    <xdr:row>2</xdr:row>
                    <xdr:rowOff>19050</xdr:rowOff>
                  </from>
                  <to>
                    <xdr:col>3</xdr:col>
                    <xdr:colOff>1704975</xdr:colOff>
                    <xdr:row>4</xdr:row>
                    <xdr:rowOff>85725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8">
        <x14:dataValidation type="list" allowBlank="1" showInputMessage="1" showErrorMessage="1" xr:uid="{00000000-0002-0000-0100-000000000000}">
          <x14:formula1>
            <xm:f>'Liste déroulante'!$B$27:$B$31</xm:f>
          </x14:formula1>
          <xm:sqref>B25</xm:sqref>
        </x14:dataValidation>
        <x14:dataValidation type="list" allowBlank="1" showInputMessage="1" showErrorMessage="1" xr:uid="{00000000-0002-0000-0100-000001000000}">
          <x14:formula1>
            <xm:f>'Liste déroulante'!$B$34:$B$41</xm:f>
          </x14:formula1>
          <xm:sqref>C30</xm:sqref>
        </x14:dataValidation>
        <x14:dataValidation type="list" allowBlank="1" showInputMessage="1" showErrorMessage="1" xr:uid="{00000000-0002-0000-0100-000002000000}">
          <x14:formula1>
            <xm:f>'Liste déroulante'!$B$36:$B$39</xm:f>
          </x14:formula1>
          <xm:sqref>C42</xm:sqref>
        </x14:dataValidation>
        <x14:dataValidation type="list" allowBlank="1" showInputMessage="1" showErrorMessage="1" xr:uid="{00000000-0002-0000-0100-000003000000}">
          <x14:formula1>
            <xm:f>'Liste déroulante'!$B$53:$B$58</xm:f>
          </x14:formula1>
          <xm:sqref>D96</xm:sqref>
        </x14:dataValidation>
        <x14:dataValidation type="list" allowBlank="1" showInputMessage="1" showErrorMessage="1" xr:uid="{00000000-0002-0000-0100-000004000000}">
          <x14:formula1>
            <xm:f>'Liste déroulante'!$B$60:$B$63</xm:f>
          </x14:formula1>
          <xm:sqref>D101</xm:sqref>
        </x14:dataValidation>
        <x14:dataValidation type="list" allowBlank="1" showInputMessage="1" showErrorMessage="1" xr:uid="{00000000-0002-0000-0100-000005000000}">
          <x14:formula1>
            <xm:f>'Liste déroulante'!$B$66:$B$68</xm:f>
          </x14:formula1>
          <xm:sqref>B111</xm:sqref>
        </x14:dataValidation>
        <x14:dataValidation type="list" allowBlank="1" showInputMessage="1" showErrorMessage="1" xr:uid="{00000000-0002-0000-0100-000006000000}">
          <x14:formula1>
            <xm:f>'Liste déroulante'!$B$71:$B$76</xm:f>
          </x14:formula1>
          <xm:sqref>B114</xm:sqref>
        </x14:dataValidation>
        <x14:dataValidation type="list" allowBlank="1" showInputMessage="1" showErrorMessage="1" xr:uid="{00000000-0002-0000-0100-000007000000}">
          <x14:formula1>
            <xm:f>'Liste déroulante'!$D$2:$D$3</xm:f>
          </x14:formula1>
          <xm:sqref>D16 B123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P49"/>
  <sheetViews>
    <sheetView zoomScale="90" zoomScaleNormal="90" workbookViewId="0">
      <selection activeCell="M14" sqref="M14"/>
    </sheetView>
  </sheetViews>
  <sheetFormatPr baseColWidth="10" defaultRowHeight="15" x14ac:dyDescent="0.25"/>
  <cols>
    <col min="1" max="1" width="11.42578125" style="159"/>
    <col min="2" max="2" width="51.42578125" style="159" customWidth="1"/>
    <col min="3" max="3" width="3.140625" style="159" customWidth="1"/>
    <col min="4" max="6" width="11.42578125" style="159"/>
    <col min="7" max="7" width="2.7109375" style="159" customWidth="1"/>
    <col min="8" max="8" width="3.7109375" style="159" customWidth="1"/>
    <col min="9" max="9" width="13.140625" style="159" bestFit="1" customWidth="1"/>
    <col min="10" max="10" width="11.42578125" style="159"/>
    <col min="11" max="11" width="3" style="159" customWidth="1"/>
    <col min="12" max="12" width="12.85546875" style="159" customWidth="1"/>
    <col min="13" max="13" width="43.85546875" style="159" bestFit="1" customWidth="1"/>
    <col min="14" max="15" width="11.42578125" style="159"/>
    <col min="16" max="16" width="3.42578125" style="159" hidden="1" customWidth="1"/>
    <col min="17" max="16384" width="11.42578125" style="159"/>
  </cols>
  <sheetData>
    <row r="1" spans="1:16" ht="27" thickBot="1" x14ac:dyDescent="0.3">
      <c r="A1" s="155" t="s">
        <v>261</v>
      </c>
      <c r="B1" s="156"/>
      <c r="C1" s="156"/>
      <c r="D1" s="157" t="s">
        <v>262</v>
      </c>
      <c r="E1" s="156"/>
      <c r="F1" s="218">
        <f>COUNT(G3:G49)</f>
        <v>4</v>
      </c>
      <c r="G1" s="158"/>
      <c r="I1" s="863" t="s">
        <v>287</v>
      </c>
      <c r="J1" s="864"/>
      <c r="L1" s="155" t="s">
        <v>264</v>
      </c>
      <c r="M1" s="156"/>
      <c r="N1" s="160" t="s">
        <v>262</v>
      </c>
      <c r="O1" s="218">
        <f>COUNT(P3:P49)</f>
        <v>2</v>
      </c>
    </row>
    <row r="2" spans="1:16" ht="26.25" x14ac:dyDescent="0.25">
      <c r="A2" s="161"/>
      <c r="C2" s="162"/>
      <c r="G2" s="158"/>
      <c r="I2" s="177" t="s">
        <v>230</v>
      </c>
      <c r="J2" s="178">
        <f>MOIS_BULLETIN</f>
        <v>43070</v>
      </c>
      <c r="L2" s="163"/>
    </row>
    <row r="3" spans="1:16" x14ac:dyDescent="0.25">
      <c r="A3" s="867" t="s">
        <v>265</v>
      </c>
      <c r="B3" s="776" t="str">
        <f>IF('INFO G'!B36='Liste déroulante'!B5,"Salaire de Base "&amp; TEXT(TXAPP,"0,00%"),"Salaire de Base")</f>
        <v>Salaire de Base</v>
      </c>
      <c r="C3" s="165" t="s">
        <v>267</v>
      </c>
      <c r="D3" s="166">
        <f>DUREE_CT</f>
        <v>151.66666666666666</v>
      </c>
      <c r="E3" s="166">
        <f>Taux_Horaire</f>
        <v>10.87912087912088</v>
      </c>
      <c r="F3" s="167">
        <f>'INFO BULL'!B14</f>
        <v>1650</v>
      </c>
      <c r="G3" s="168">
        <f>IF(F3=0,"",1)</f>
        <v>1</v>
      </c>
      <c r="I3" s="184" t="s">
        <v>292</v>
      </c>
      <c r="J3" s="185">
        <f>'INFO BULL'!B11</f>
        <v>1</v>
      </c>
      <c r="L3" s="169" t="s">
        <v>269</v>
      </c>
      <c r="M3" s="170" t="s">
        <v>270</v>
      </c>
      <c r="N3" s="171"/>
      <c r="O3" s="172">
        <f>IF('INFO BULL'!B123='Liste déroulante'!D2,SAISIE_SAL,0)</f>
        <v>0</v>
      </c>
      <c r="P3" s="159" t="str">
        <f>IF(O3=0,"",1)</f>
        <v/>
      </c>
    </row>
    <row r="4" spans="1:16" x14ac:dyDescent="0.25">
      <c r="A4" s="867"/>
      <c r="B4" s="173" t="s">
        <v>271</v>
      </c>
      <c r="C4" s="174"/>
      <c r="D4" s="175"/>
      <c r="E4" s="175"/>
      <c r="F4" s="176">
        <f>CPLT_SMIC</f>
        <v>0</v>
      </c>
      <c r="G4" s="168" t="str">
        <f t="shared" ref="G4:G49" si="0">IF(F4=0,"",1)</f>
        <v/>
      </c>
      <c r="L4" s="868" t="s">
        <v>273</v>
      </c>
      <c r="M4" s="179" t="s">
        <v>274</v>
      </c>
      <c r="N4" s="445">
        <f>'INFO BULL'!B75</f>
        <v>20</v>
      </c>
      <c r="O4" s="167">
        <f>-TR_SAL</f>
        <v>-120</v>
      </c>
      <c r="P4" s="159">
        <f t="shared" ref="P4:P49" si="1">IF(O4=0,"",1)</f>
        <v>1</v>
      </c>
    </row>
    <row r="5" spans="1:16" x14ac:dyDescent="0.25">
      <c r="A5" s="169" t="s">
        <v>275</v>
      </c>
      <c r="B5" s="180" t="str">
        <f>IF('INFO BULL'!B25:D25='Liste déroulante'!B29,'Liste déroulante'!B29&amp;TEXT(D_ENTREE,"jj/mm/aaaa"),IF('INFO BULL'!B25:D25='Liste déroulante'!B30,'Liste déroulante'!B30&amp;TEXT(D_SORTIE,"jj/mm/aaaa"),IF('INFO BULL'!B25:D25='Liste déroulante'!B27,'Liste déroulante'!B27 &amp; TEXT(Début_ABSNR,"jj/mm/aaa")&amp;" au "&amp;TEXT(Fin_ABSNR,"jj/mm/aaaa"),IF('INFO BULL'!B25:D25='Liste déroulante'!B28,'Liste déroulante'!B28&amp;TEXT(MOIS_BULLETIN,"mmmm aaaa"),'Liste déroulante'!B31))))</f>
        <v>Pas d'entrée sortie</v>
      </c>
      <c r="C5" s="181" t="s">
        <v>267</v>
      </c>
      <c r="D5" s="182">
        <f>-Heure_ABSNR</f>
        <v>0</v>
      </c>
      <c r="E5" s="182"/>
      <c r="F5" s="183">
        <f>-'INFO BULL'!D31</f>
        <v>0</v>
      </c>
      <c r="G5" s="168" t="str">
        <f t="shared" si="0"/>
        <v/>
      </c>
      <c r="I5" s="191" t="s">
        <v>282</v>
      </c>
      <c r="J5" s="183">
        <f>PSS_BULLETIN</f>
        <v>3269</v>
      </c>
      <c r="L5" s="869"/>
      <c r="M5" s="186" t="s">
        <v>277</v>
      </c>
      <c r="N5" s="446">
        <f>'INFO BULL'!B75</f>
        <v>20</v>
      </c>
      <c r="O5" s="188">
        <f>-AN_TR</f>
        <v>-12.400000000000002</v>
      </c>
      <c r="P5" s="159">
        <f t="shared" si="1"/>
        <v>1</v>
      </c>
    </row>
    <row r="6" spans="1:16" ht="15.75" thickBot="1" x14ac:dyDescent="0.3">
      <c r="A6" s="169" t="s">
        <v>278</v>
      </c>
      <c r="B6" s="189" t="s">
        <v>279</v>
      </c>
      <c r="C6" s="181" t="s">
        <v>267</v>
      </c>
      <c r="D6" s="182">
        <f>'INFO BULL'!B130</f>
        <v>0</v>
      </c>
      <c r="E6" s="182">
        <f>'INFO BULL'!B16</f>
        <v>10.87912087912088</v>
      </c>
      <c r="F6" s="183">
        <f>E6*D6</f>
        <v>0</v>
      </c>
      <c r="G6" s="168" t="str">
        <f t="shared" si="0"/>
        <v/>
      </c>
      <c r="L6" s="869"/>
      <c r="M6" s="186" t="s">
        <v>280</v>
      </c>
      <c r="N6" s="446">
        <f>'INFO BULL'!B84</f>
        <v>0</v>
      </c>
      <c r="O6" s="188">
        <f>-'INFO BULL'!D83</f>
        <v>0</v>
      </c>
      <c r="P6" s="159" t="str">
        <f t="shared" si="1"/>
        <v/>
      </c>
    </row>
    <row r="7" spans="1:16" ht="16.5" thickBot="1" x14ac:dyDescent="0.3">
      <c r="A7" s="862" t="s">
        <v>281</v>
      </c>
      <c r="B7" s="190" t="str">
        <f>'INFO BULL'!A35</f>
        <v>Prime de: xxx</v>
      </c>
      <c r="C7" s="165"/>
      <c r="D7" s="166"/>
      <c r="E7" s="166"/>
      <c r="F7" s="167">
        <f>'INFO BULL'!B35</f>
        <v>0</v>
      </c>
      <c r="G7" s="168" t="str">
        <f t="shared" si="0"/>
        <v/>
      </c>
      <c r="I7" s="865" t="s">
        <v>263</v>
      </c>
      <c r="J7" s="866"/>
      <c r="L7" s="869"/>
      <c r="M7" s="186" t="s">
        <v>283</v>
      </c>
      <c r="N7" s="446">
        <f>'INFO BULL'!B84</f>
        <v>0</v>
      </c>
      <c r="O7" s="188">
        <f>-'INFO BULL'!D84</f>
        <v>0</v>
      </c>
      <c r="P7" s="159" t="str">
        <f t="shared" si="1"/>
        <v/>
      </c>
    </row>
    <row r="8" spans="1:16" x14ac:dyDescent="0.25">
      <c r="A8" s="862"/>
      <c r="B8" s="192" t="str">
        <f>'INFO BULL'!A36</f>
        <v>Prime d'anciènneté</v>
      </c>
      <c r="C8" s="193"/>
      <c r="D8" s="194"/>
      <c r="E8" s="194"/>
      <c r="F8" s="188">
        <f>'INFO BULL'!B36</f>
        <v>25</v>
      </c>
      <c r="G8" s="168">
        <f t="shared" si="0"/>
        <v>1</v>
      </c>
      <c r="L8" s="869"/>
      <c r="M8" s="186" t="s">
        <v>285</v>
      </c>
      <c r="N8" s="446">
        <f>'INFO BULL'!B115</f>
        <v>0</v>
      </c>
      <c r="O8" s="188">
        <f>INDDEP</f>
        <v>0</v>
      </c>
      <c r="P8" s="159" t="str">
        <f t="shared" si="1"/>
        <v/>
      </c>
    </row>
    <row r="9" spans="1:16" x14ac:dyDescent="0.25">
      <c r="A9" s="862"/>
      <c r="B9" s="192" t="str">
        <f>'INFO BULL'!A37</f>
        <v>Prime de rendement</v>
      </c>
      <c r="C9" s="193"/>
      <c r="D9" s="194"/>
      <c r="E9" s="194"/>
      <c r="F9" s="188">
        <f>'INFO BULL'!B37</f>
        <v>0</v>
      </c>
      <c r="G9" s="168" t="str">
        <f t="shared" si="0"/>
        <v/>
      </c>
      <c r="I9" s="177" t="s">
        <v>522</v>
      </c>
      <c r="J9" s="198">
        <f>NC_TR1</f>
        <v>1875.9351648351649</v>
      </c>
      <c r="L9" s="869"/>
      <c r="M9" s="186" t="s">
        <v>288</v>
      </c>
      <c r="N9" s="446">
        <f>'INFO BULL'!B115</f>
        <v>0</v>
      </c>
      <c r="O9" s="188">
        <f>-BRUTDEP</f>
        <v>0</v>
      </c>
      <c r="P9" s="159" t="str">
        <f t="shared" si="1"/>
        <v/>
      </c>
    </row>
    <row r="10" spans="1:16" x14ac:dyDescent="0.25">
      <c r="A10" s="862"/>
      <c r="B10" s="195" t="str">
        <f>'INFO BULL'!A38</f>
        <v>Prime exceptionnelle</v>
      </c>
      <c r="C10" s="174"/>
      <c r="D10" s="175"/>
      <c r="E10" s="175"/>
      <c r="F10" s="176">
        <f>'INFO BULL'!B38</f>
        <v>0</v>
      </c>
      <c r="G10" s="168" t="str">
        <f t="shared" si="0"/>
        <v/>
      </c>
      <c r="I10" s="184" t="s">
        <v>523</v>
      </c>
      <c r="J10" s="201">
        <f>NC_TR2</f>
        <v>0</v>
      </c>
      <c r="L10" s="869"/>
      <c r="M10" s="186" t="s">
        <v>290</v>
      </c>
      <c r="N10" s="446">
        <f>'INFO BULL'!B109</f>
        <v>0</v>
      </c>
      <c r="O10" s="188">
        <f>INDREPAS</f>
        <v>0</v>
      </c>
      <c r="P10" s="159" t="str">
        <f t="shared" si="1"/>
        <v/>
      </c>
    </row>
    <row r="11" spans="1:16" x14ac:dyDescent="0.25">
      <c r="A11" s="987" t="s">
        <v>136</v>
      </c>
      <c r="B11" s="164" t="s">
        <v>291</v>
      </c>
      <c r="C11" s="165" t="s">
        <v>267</v>
      </c>
      <c r="D11" s="166">
        <f>HSUP10</f>
        <v>0</v>
      </c>
      <c r="E11" s="166">
        <f>TXH_10</f>
        <v>11.967032967032969</v>
      </c>
      <c r="F11" s="167">
        <f>IFERROR(E11*D11,0)</f>
        <v>0</v>
      </c>
      <c r="G11" s="168" t="str">
        <f t="shared" si="0"/>
        <v/>
      </c>
      <c r="L11" s="869"/>
      <c r="M11" s="196" t="s">
        <v>293</v>
      </c>
      <c r="N11" s="446">
        <f>'INFO BULL'!B109</f>
        <v>0</v>
      </c>
      <c r="O11" s="188">
        <f>-BRUTREPAS</f>
        <v>0</v>
      </c>
      <c r="P11" s="159" t="str">
        <f t="shared" si="1"/>
        <v/>
      </c>
    </row>
    <row r="12" spans="1:16" x14ac:dyDescent="0.25">
      <c r="A12" s="988"/>
      <c r="B12" s="197" t="s">
        <v>294</v>
      </c>
      <c r="C12" s="193" t="s">
        <v>267</v>
      </c>
      <c r="D12" s="194">
        <f>HSUP25</f>
        <v>0</v>
      </c>
      <c r="E12" s="194">
        <f>TXH_25</f>
        <v>13.598901098901099</v>
      </c>
      <c r="F12" s="188">
        <f>IFERROR(E12*D12,0)</f>
        <v>0</v>
      </c>
      <c r="G12" s="168" t="str">
        <f t="shared" si="0"/>
        <v/>
      </c>
      <c r="I12" s="177" t="s">
        <v>268</v>
      </c>
      <c r="J12" s="198">
        <f>C_TRA</f>
        <v>0</v>
      </c>
      <c r="L12" s="869"/>
      <c r="M12" s="186" t="s">
        <v>295</v>
      </c>
      <c r="N12" s="446"/>
      <c r="O12" s="188">
        <f>ABO_TR</f>
        <v>0</v>
      </c>
      <c r="P12" s="159" t="str">
        <f t="shared" si="1"/>
        <v/>
      </c>
    </row>
    <row r="13" spans="1:16" x14ac:dyDescent="0.25">
      <c r="A13" s="988"/>
      <c r="B13" s="197" t="s">
        <v>296</v>
      </c>
      <c r="C13" s="193" t="s">
        <v>267</v>
      </c>
      <c r="D13" s="194">
        <f>HSUP50</f>
        <v>0</v>
      </c>
      <c r="E13" s="194">
        <f>TXH_50</f>
        <v>16.318681318681321</v>
      </c>
      <c r="F13" s="188">
        <f>IFERROR(E13*D13,0)</f>
        <v>0</v>
      </c>
      <c r="G13" s="168" t="str">
        <f t="shared" si="0"/>
        <v/>
      </c>
      <c r="I13" s="199" t="s">
        <v>272</v>
      </c>
      <c r="J13" s="200">
        <f>C_TRB</f>
        <v>0</v>
      </c>
      <c r="L13" s="869"/>
      <c r="M13" s="196" t="s">
        <v>297</v>
      </c>
      <c r="N13" s="446"/>
      <c r="O13" s="188">
        <f>-TRBRUT</f>
        <v>0</v>
      </c>
      <c r="P13" s="159" t="str">
        <f t="shared" si="1"/>
        <v/>
      </c>
    </row>
    <row r="14" spans="1:16" x14ac:dyDescent="0.25">
      <c r="A14" s="989"/>
      <c r="B14" s="213" t="s">
        <v>701</v>
      </c>
      <c r="C14" s="174" t="s">
        <v>267</v>
      </c>
      <c r="D14" s="175">
        <f>'INFO BULL'!B18</f>
        <v>17.329999999999998</v>
      </c>
      <c r="E14" s="175">
        <f>'INFO BULL'!B16</f>
        <v>10.87912087912088</v>
      </c>
      <c r="F14" s="176">
        <f>E14*D14</f>
        <v>188.53516483516484</v>
      </c>
      <c r="G14" s="168">
        <f t="shared" si="0"/>
        <v>1</v>
      </c>
      <c r="I14" s="184" t="s">
        <v>276</v>
      </c>
      <c r="J14" s="201">
        <f>C_TRC</f>
        <v>0</v>
      </c>
      <c r="L14" s="869"/>
      <c r="M14" s="186" t="s">
        <v>299</v>
      </c>
      <c r="N14" s="446"/>
      <c r="O14" s="188">
        <f>-AN_LOG</f>
        <v>0</v>
      </c>
      <c r="P14" s="159" t="str">
        <f t="shared" si="1"/>
        <v/>
      </c>
    </row>
    <row r="15" spans="1:16" x14ac:dyDescent="0.25">
      <c r="A15" s="868" t="s">
        <v>273</v>
      </c>
      <c r="B15" s="179" t="s">
        <v>277</v>
      </c>
      <c r="C15" s="193"/>
      <c r="D15" s="446">
        <f>'INFO BULL'!B75</f>
        <v>20</v>
      </c>
      <c r="E15" s="194"/>
      <c r="F15" s="188">
        <f>AN_TR</f>
        <v>12.400000000000002</v>
      </c>
      <c r="G15" s="168">
        <f t="shared" si="0"/>
        <v>1</v>
      </c>
      <c r="I15" s="219" t="s">
        <v>108</v>
      </c>
      <c r="J15" s="172">
        <f>C_GMP</f>
        <v>0</v>
      </c>
      <c r="L15" s="869"/>
      <c r="M15" s="186" t="s">
        <v>301</v>
      </c>
      <c r="N15" s="446"/>
      <c r="O15" s="188">
        <f>-(AN_VEH_HA+AN_VEH_LOA)</f>
        <v>0</v>
      </c>
      <c r="P15" s="159" t="str">
        <f t="shared" si="1"/>
        <v/>
      </c>
    </row>
    <row r="16" spans="1:16" x14ac:dyDescent="0.25">
      <c r="A16" s="869"/>
      <c r="B16" s="186" t="s">
        <v>283</v>
      </c>
      <c r="C16" s="193"/>
      <c r="D16" s="446">
        <f>'INFO BULL'!B84</f>
        <v>0</v>
      </c>
      <c r="E16" s="194"/>
      <c r="F16" s="188">
        <f>'INFO BULL'!D84</f>
        <v>0</v>
      </c>
      <c r="G16" s="168" t="str">
        <f t="shared" si="0"/>
        <v/>
      </c>
      <c r="L16" s="870"/>
      <c r="M16" s="202" t="s">
        <v>303</v>
      </c>
      <c r="N16" s="447"/>
      <c r="O16" s="176">
        <f>-(AN!B95+AN!B96)</f>
        <v>0</v>
      </c>
      <c r="P16" s="159" t="str">
        <f t="shared" si="1"/>
        <v/>
      </c>
    </row>
    <row r="17" spans="1:16" x14ac:dyDescent="0.25">
      <c r="A17" s="869"/>
      <c r="B17" s="197" t="s">
        <v>299</v>
      </c>
      <c r="C17" s="193"/>
      <c r="D17" s="446"/>
      <c r="E17" s="194"/>
      <c r="F17" s="188">
        <f>'INFO BULL'!D89</f>
        <v>0</v>
      </c>
      <c r="G17" s="168" t="str">
        <f t="shared" si="0"/>
        <v/>
      </c>
      <c r="I17" s="177" t="s">
        <v>298</v>
      </c>
      <c r="J17" s="167">
        <f>'Bulletin Mois'!L1</f>
        <v>1875.9351648351649</v>
      </c>
      <c r="L17" s="169" t="s">
        <v>305</v>
      </c>
      <c r="M17" s="170" t="s">
        <v>306</v>
      </c>
      <c r="N17" s="171"/>
      <c r="O17" s="172">
        <f>IFERROR(IF('INFO BULL'!B123='Liste déroulante'!D2,-SNETCOT*10%,0),0)</f>
        <v>0</v>
      </c>
      <c r="P17" s="159" t="str">
        <f>IF(O17=0,"",1)</f>
        <v/>
      </c>
    </row>
    <row r="18" spans="1:16" x14ac:dyDescent="0.25">
      <c r="A18" s="869"/>
      <c r="B18" s="197" t="s">
        <v>301</v>
      </c>
      <c r="C18" s="193"/>
      <c r="D18" s="446"/>
      <c r="E18" s="194"/>
      <c r="F18" s="188">
        <f>AN_VEH_HA+AN_VEH_LOA</f>
        <v>0</v>
      </c>
      <c r="G18" s="168" t="str">
        <f t="shared" si="0"/>
        <v/>
      </c>
      <c r="I18" s="214" t="s">
        <v>300</v>
      </c>
      <c r="J18" s="215">
        <f>'Bulletin Mois'!L2</f>
        <v>519.40604802197799</v>
      </c>
      <c r="L18" s="169" t="s">
        <v>308</v>
      </c>
      <c r="M18" s="170" t="s">
        <v>309</v>
      </c>
      <c r="N18" s="171"/>
      <c r="O18" s="172">
        <f>-'INFO BULL'!D14</f>
        <v>0</v>
      </c>
      <c r="P18" s="159" t="str">
        <f t="shared" si="1"/>
        <v/>
      </c>
    </row>
    <row r="19" spans="1:16" x14ac:dyDescent="0.25">
      <c r="A19" s="869"/>
      <c r="B19" s="197" t="s">
        <v>303</v>
      </c>
      <c r="C19" s="193"/>
      <c r="E19" s="194"/>
      <c r="F19" s="188">
        <f>AN!B95+AN!B96</f>
        <v>0</v>
      </c>
      <c r="G19" s="168" t="str">
        <f t="shared" si="0"/>
        <v/>
      </c>
      <c r="I19" s="214" t="s">
        <v>302</v>
      </c>
      <c r="J19" s="215">
        <f>'Bulletin Mois'!L3</f>
        <v>547.73434299113296</v>
      </c>
      <c r="L19" s="203"/>
      <c r="M19" s="204"/>
      <c r="N19" s="205"/>
      <c r="O19" s="206"/>
      <c r="P19" s="159" t="str">
        <f t="shared" si="1"/>
        <v/>
      </c>
    </row>
    <row r="20" spans="1:16" x14ac:dyDescent="0.25">
      <c r="A20" s="869"/>
      <c r="B20" s="196" t="s">
        <v>310</v>
      </c>
      <c r="C20" s="193"/>
      <c r="D20" s="446">
        <f>'INFO BULL'!B115</f>
        <v>0</v>
      </c>
      <c r="E20" s="194"/>
      <c r="F20" s="188">
        <f>BRUTDEP</f>
        <v>0</v>
      </c>
      <c r="G20" s="168" t="str">
        <f t="shared" si="0"/>
        <v/>
      </c>
      <c r="I20" s="214" t="s">
        <v>304</v>
      </c>
      <c r="J20" s="215">
        <f>'Bulletin Mois'!L6</f>
        <v>1224.1291168131868</v>
      </c>
      <c r="L20" s="207"/>
      <c r="M20" s="208"/>
      <c r="N20" s="187"/>
      <c r="O20" s="209"/>
      <c r="P20" s="159" t="str">
        <f t="shared" si="1"/>
        <v/>
      </c>
    </row>
    <row r="21" spans="1:16" ht="15.75" customHeight="1" x14ac:dyDescent="0.25">
      <c r="A21" s="869"/>
      <c r="B21" s="196" t="s">
        <v>293</v>
      </c>
      <c r="C21" s="193"/>
      <c r="D21" s="446">
        <f>'INFO BULL'!B109</f>
        <v>0</v>
      </c>
      <c r="E21" s="194"/>
      <c r="F21" s="188">
        <f>BRUTREPAS</f>
        <v>0</v>
      </c>
      <c r="G21" s="168" t="str">
        <f t="shared" si="0"/>
        <v/>
      </c>
      <c r="I21" s="216" t="s">
        <v>307</v>
      </c>
      <c r="J21" s="217">
        <f>'Bulletin Mois'!L7</f>
        <v>1355.8422418928571</v>
      </c>
      <c r="L21" s="207"/>
      <c r="M21" s="211"/>
      <c r="N21" s="187"/>
      <c r="O21" s="209"/>
      <c r="P21" s="159" t="str">
        <f t="shared" si="1"/>
        <v/>
      </c>
    </row>
    <row r="22" spans="1:16" x14ac:dyDescent="0.25">
      <c r="A22" s="870"/>
      <c r="B22" s="210" t="s">
        <v>297</v>
      </c>
      <c r="C22" s="174"/>
      <c r="D22" s="175"/>
      <c r="E22" s="175"/>
      <c r="F22" s="176">
        <f>TRBRUT</f>
        <v>0</v>
      </c>
      <c r="G22" s="168" t="str">
        <f t="shared" si="0"/>
        <v/>
      </c>
      <c r="L22" s="207"/>
      <c r="M22" s="208"/>
      <c r="N22" s="187"/>
      <c r="O22" s="209"/>
      <c r="P22" s="159" t="str">
        <f t="shared" si="1"/>
        <v/>
      </c>
    </row>
    <row r="23" spans="1:16" x14ac:dyDescent="0.25">
      <c r="A23" s="868" t="s">
        <v>311</v>
      </c>
      <c r="B23" s="212" t="str">
        <f>"Retenue pour Congé payé du " &amp; TEXT('INFO BULL'!B44,"jj/mm/aaaa") &amp; " au " &amp; TEXT('INFO BULL'!B45,"jj/mm/aaaa")</f>
        <v>Retenue pour Congé payé du 00/01/1900 au 00/01/1900</v>
      </c>
      <c r="C23" s="165" t="s">
        <v>312</v>
      </c>
      <c r="D23" s="166">
        <f>'INFO BULL'!B46</f>
        <v>0</v>
      </c>
      <c r="E23" s="166"/>
      <c r="F23" s="167">
        <f>-ABS_CP</f>
        <v>0</v>
      </c>
      <c r="G23" s="168" t="str">
        <f t="shared" si="0"/>
        <v/>
      </c>
      <c r="I23" s="163"/>
      <c r="L23" s="207"/>
      <c r="M23" s="208"/>
      <c r="N23" s="187"/>
      <c r="O23" s="209"/>
      <c r="P23" s="159" t="str">
        <f t="shared" si="1"/>
        <v/>
      </c>
    </row>
    <row r="24" spans="1:16" x14ac:dyDescent="0.25">
      <c r="A24" s="869"/>
      <c r="B24" s="197" t="s">
        <v>313</v>
      </c>
      <c r="C24" s="994" t="s">
        <v>312</v>
      </c>
      <c r="D24" s="995"/>
      <c r="E24" s="995"/>
      <c r="F24" s="996">
        <f>ICCP</f>
        <v>0</v>
      </c>
      <c r="G24" s="168" t="str">
        <f t="shared" si="0"/>
        <v/>
      </c>
      <c r="I24" s="163"/>
      <c r="L24" s="207"/>
      <c r="M24" s="208"/>
      <c r="N24" s="187"/>
      <c r="O24" s="209"/>
      <c r="P24" s="159" t="str">
        <f t="shared" si="1"/>
        <v/>
      </c>
    </row>
    <row r="25" spans="1:16" x14ac:dyDescent="0.25">
      <c r="A25" s="869"/>
      <c r="B25" s="197" t="s">
        <v>314</v>
      </c>
      <c r="C25" s="994" t="s">
        <v>312</v>
      </c>
      <c r="D25" s="995"/>
      <c r="E25" s="995"/>
      <c r="F25" s="996">
        <f>SoldeICCPN1</f>
        <v>0</v>
      </c>
      <c r="G25" s="168" t="str">
        <f t="shared" si="0"/>
        <v/>
      </c>
      <c r="L25" s="207"/>
      <c r="M25" s="208"/>
      <c r="N25" s="187"/>
      <c r="O25" s="209"/>
      <c r="P25" s="159" t="str">
        <f t="shared" si="1"/>
        <v/>
      </c>
    </row>
    <row r="26" spans="1:16" x14ac:dyDescent="0.25">
      <c r="A26" s="869"/>
      <c r="B26" s="197" t="s">
        <v>315</v>
      </c>
      <c r="C26" s="994" t="s">
        <v>312</v>
      </c>
      <c r="D26" s="995"/>
      <c r="E26" s="995"/>
      <c r="F26" s="996">
        <f>SoldeICCPN</f>
        <v>0</v>
      </c>
      <c r="G26" s="168" t="str">
        <f t="shared" si="0"/>
        <v/>
      </c>
      <c r="L26" s="207"/>
      <c r="M26" s="208"/>
      <c r="N26" s="187"/>
      <c r="O26" s="209"/>
      <c r="P26" s="159" t="str">
        <f t="shared" si="1"/>
        <v/>
      </c>
    </row>
    <row r="27" spans="1:16" x14ac:dyDescent="0.25">
      <c r="A27" s="870"/>
      <c r="B27" s="997" t="s">
        <v>316</v>
      </c>
      <c r="C27" s="174" t="s">
        <v>312</v>
      </c>
      <c r="D27" s="175"/>
      <c r="E27" s="175"/>
      <c r="F27" s="176">
        <f>'INFO BULL'!D71</f>
        <v>0</v>
      </c>
      <c r="G27" s="168" t="str">
        <f t="shared" si="0"/>
        <v/>
      </c>
      <c r="L27" s="207"/>
      <c r="M27" s="208"/>
      <c r="N27" s="187"/>
      <c r="O27" s="209"/>
      <c r="P27" s="159" t="str">
        <f t="shared" si="1"/>
        <v/>
      </c>
    </row>
    <row r="28" spans="1:16" x14ac:dyDescent="0.25">
      <c r="A28" s="986"/>
      <c r="B28" s="990"/>
      <c r="C28" s="991"/>
      <c r="D28" s="992"/>
      <c r="E28" s="992"/>
      <c r="F28" s="993"/>
      <c r="G28" s="168" t="str">
        <f t="shared" si="0"/>
        <v/>
      </c>
      <c r="L28" s="207"/>
      <c r="M28" s="208"/>
      <c r="N28" s="187"/>
      <c r="O28" s="209"/>
      <c r="P28" s="159" t="str">
        <f t="shared" si="1"/>
        <v/>
      </c>
    </row>
    <row r="29" spans="1:16" x14ac:dyDescent="0.25">
      <c r="A29" s="207"/>
      <c r="B29" s="208"/>
      <c r="C29" s="193"/>
      <c r="D29" s="187"/>
      <c r="E29" s="187"/>
      <c r="F29" s="209"/>
      <c r="G29" s="168" t="str">
        <f t="shared" si="0"/>
        <v/>
      </c>
      <c r="I29" s="163"/>
      <c r="L29" s="207"/>
      <c r="M29" s="208"/>
      <c r="N29" s="187"/>
      <c r="O29" s="209"/>
      <c r="P29" s="159" t="str">
        <f t="shared" si="1"/>
        <v/>
      </c>
    </row>
    <row r="30" spans="1:16" x14ac:dyDescent="0.25">
      <c r="A30" s="207"/>
      <c r="B30" s="208"/>
      <c r="C30" s="193"/>
      <c r="D30" s="187"/>
      <c r="E30" s="187"/>
      <c r="F30" s="209"/>
      <c r="G30" s="168" t="str">
        <f t="shared" si="0"/>
        <v/>
      </c>
      <c r="I30" s="163"/>
      <c r="L30" s="207"/>
      <c r="M30" s="208"/>
      <c r="N30" s="187"/>
      <c r="O30" s="209"/>
      <c r="P30" s="159" t="str">
        <f t="shared" si="1"/>
        <v/>
      </c>
    </row>
    <row r="31" spans="1:16" x14ac:dyDescent="0.25">
      <c r="A31" s="207"/>
      <c r="B31" s="208"/>
      <c r="C31" s="193"/>
      <c r="D31" s="187"/>
      <c r="E31" s="187"/>
      <c r="F31" s="209"/>
      <c r="G31" s="168" t="str">
        <f t="shared" si="0"/>
        <v/>
      </c>
      <c r="I31" s="163"/>
      <c r="L31" s="207"/>
      <c r="M31" s="208"/>
      <c r="N31" s="187"/>
      <c r="O31" s="209"/>
      <c r="P31" s="159" t="str">
        <f t="shared" si="1"/>
        <v/>
      </c>
    </row>
    <row r="32" spans="1:16" x14ac:dyDescent="0.25">
      <c r="A32" s="207"/>
      <c r="B32" s="208"/>
      <c r="C32" s="193"/>
      <c r="D32" s="187"/>
      <c r="E32" s="187"/>
      <c r="F32" s="209"/>
      <c r="G32" s="168" t="str">
        <f t="shared" si="0"/>
        <v/>
      </c>
      <c r="I32" s="163"/>
      <c r="L32" s="207"/>
      <c r="M32" s="208"/>
      <c r="N32" s="187"/>
      <c r="O32" s="209"/>
      <c r="P32" s="159" t="str">
        <f t="shared" si="1"/>
        <v/>
      </c>
    </row>
    <row r="33" spans="1:16" x14ac:dyDescent="0.25">
      <c r="A33" s="207"/>
      <c r="B33" s="208"/>
      <c r="C33" s="193"/>
      <c r="D33" s="187"/>
      <c r="E33" s="187"/>
      <c r="F33" s="209"/>
      <c r="G33" s="168" t="str">
        <f t="shared" si="0"/>
        <v/>
      </c>
      <c r="I33" s="163"/>
      <c r="L33" s="207"/>
      <c r="M33" s="208"/>
      <c r="N33" s="187"/>
      <c r="O33" s="209"/>
      <c r="P33" s="159" t="str">
        <f t="shared" si="1"/>
        <v/>
      </c>
    </row>
    <row r="34" spans="1:16" x14ac:dyDescent="0.25">
      <c r="A34" s="207"/>
      <c r="B34" s="208"/>
      <c r="C34" s="193"/>
      <c r="D34" s="187"/>
      <c r="E34" s="187"/>
      <c r="F34" s="209"/>
      <c r="G34" s="168" t="str">
        <f t="shared" si="0"/>
        <v/>
      </c>
      <c r="I34" s="163"/>
      <c r="L34" s="207"/>
      <c r="M34" s="208"/>
      <c r="N34" s="187"/>
      <c r="O34" s="209"/>
      <c r="P34" s="159" t="str">
        <f t="shared" si="1"/>
        <v/>
      </c>
    </row>
    <row r="35" spans="1:16" x14ac:dyDescent="0.25">
      <c r="A35" s="207"/>
      <c r="C35" s="193"/>
      <c r="D35" s="187"/>
      <c r="E35" s="187"/>
      <c r="F35" s="209"/>
      <c r="G35" s="168" t="str">
        <f t="shared" si="0"/>
        <v/>
      </c>
      <c r="I35" s="163"/>
      <c r="L35" s="207"/>
      <c r="M35" s="208"/>
      <c r="N35" s="187"/>
      <c r="O35" s="209"/>
      <c r="P35" s="159" t="str">
        <f t="shared" si="1"/>
        <v/>
      </c>
    </row>
    <row r="36" spans="1:16" x14ac:dyDescent="0.25">
      <c r="A36" s="207"/>
      <c r="B36" s="208"/>
      <c r="C36" s="193"/>
      <c r="D36" s="187"/>
      <c r="E36" s="187"/>
      <c r="F36" s="209"/>
      <c r="G36" s="168" t="str">
        <f t="shared" si="0"/>
        <v/>
      </c>
      <c r="I36" s="163"/>
      <c r="L36" s="207"/>
      <c r="M36" s="208"/>
      <c r="N36" s="187"/>
      <c r="O36" s="209"/>
      <c r="P36" s="159" t="str">
        <f t="shared" si="1"/>
        <v/>
      </c>
    </row>
    <row r="37" spans="1:16" x14ac:dyDescent="0.25">
      <c r="A37" s="207"/>
      <c r="B37" s="208"/>
      <c r="C37" s="193"/>
      <c r="D37" s="187"/>
      <c r="E37" s="187"/>
      <c r="F37" s="209"/>
      <c r="G37" s="168" t="str">
        <f t="shared" si="0"/>
        <v/>
      </c>
      <c r="I37" s="163"/>
      <c r="L37" s="207"/>
      <c r="M37" s="208"/>
      <c r="N37" s="187"/>
      <c r="O37" s="209"/>
      <c r="P37" s="159" t="str">
        <f t="shared" si="1"/>
        <v/>
      </c>
    </row>
    <row r="38" spans="1:16" x14ac:dyDescent="0.25">
      <c r="A38" s="207"/>
      <c r="B38" s="208"/>
      <c r="C38" s="193"/>
      <c r="D38" s="187"/>
      <c r="E38" s="187"/>
      <c r="F38" s="209"/>
      <c r="G38" s="168" t="str">
        <f t="shared" si="0"/>
        <v/>
      </c>
      <c r="I38" s="163"/>
      <c r="L38" s="207"/>
      <c r="M38" s="208"/>
      <c r="N38" s="187"/>
      <c r="O38" s="209"/>
      <c r="P38" s="159" t="str">
        <f t="shared" si="1"/>
        <v/>
      </c>
    </row>
    <row r="39" spans="1:16" x14ac:dyDescent="0.25">
      <c r="A39" s="207"/>
      <c r="B39" s="208"/>
      <c r="C39" s="193"/>
      <c r="D39" s="187"/>
      <c r="E39" s="187"/>
      <c r="F39" s="209"/>
      <c r="G39" s="168" t="str">
        <f t="shared" si="0"/>
        <v/>
      </c>
      <c r="I39" s="163"/>
      <c r="L39" s="207"/>
      <c r="M39" s="208"/>
      <c r="N39" s="187"/>
      <c r="O39" s="209"/>
      <c r="P39" s="159" t="str">
        <f t="shared" si="1"/>
        <v/>
      </c>
    </row>
    <row r="40" spans="1:16" x14ac:dyDescent="0.25">
      <c r="A40" s="207"/>
      <c r="B40" s="208"/>
      <c r="C40" s="193"/>
      <c r="D40" s="187"/>
      <c r="E40" s="187"/>
      <c r="F40" s="209"/>
      <c r="G40" s="168" t="str">
        <f t="shared" si="0"/>
        <v/>
      </c>
      <c r="I40" s="163"/>
      <c r="L40" s="207"/>
      <c r="M40" s="208"/>
      <c r="N40" s="187"/>
      <c r="O40" s="209"/>
      <c r="P40" s="159" t="str">
        <f t="shared" si="1"/>
        <v/>
      </c>
    </row>
    <row r="41" spans="1:16" x14ac:dyDescent="0.25">
      <c r="A41" s="207"/>
      <c r="B41" s="208"/>
      <c r="C41" s="193"/>
      <c r="D41" s="187"/>
      <c r="E41" s="187"/>
      <c r="F41" s="209"/>
      <c r="G41" s="168" t="str">
        <f t="shared" si="0"/>
        <v/>
      </c>
      <c r="I41" s="163"/>
      <c r="L41" s="207"/>
      <c r="M41" s="208"/>
      <c r="N41" s="187"/>
      <c r="O41" s="209"/>
      <c r="P41" s="159" t="str">
        <f t="shared" si="1"/>
        <v/>
      </c>
    </row>
    <row r="42" spans="1:16" x14ac:dyDescent="0.25">
      <c r="A42" s="207"/>
      <c r="B42" s="208"/>
      <c r="C42" s="193"/>
      <c r="D42" s="187"/>
      <c r="E42" s="187"/>
      <c r="F42" s="209"/>
      <c r="G42" s="168" t="str">
        <f t="shared" si="0"/>
        <v/>
      </c>
      <c r="I42" s="163"/>
      <c r="L42" s="207"/>
      <c r="M42" s="208"/>
      <c r="N42" s="187"/>
      <c r="O42" s="209"/>
      <c r="P42" s="159" t="str">
        <f t="shared" si="1"/>
        <v/>
      </c>
    </row>
    <row r="43" spans="1:16" x14ac:dyDescent="0.25">
      <c r="A43" s="207"/>
      <c r="B43" s="208"/>
      <c r="C43" s="193"/>
      <c r="D43" s="187"/>
      <c r="E43" s="187"/>
      <c r="F43" s="209"/>
      <c r="G43" s="168" t="str">
        <f t="shared" si="0"/>
        <v/>
      </c>
      <c r="I43" s="163"/>
      <c r="L43" s="207"/>
      <c r="M43" s="208"/>
      <c r="N43" s="187"/>
      <c r="O43" s="209"/>
      <c r="P43" s="159" t="str">
        <f t="shared" si="1"/>
        <v/>
      </c>
    </row>
    <row r="44" spans="1:16" x14ac:dyDescent="0.25">
      <c r="A44" s="207"/>
      <c r="B44" s="208"/>
      <c r="C44" s="193"/>
      <c r="D44" s="187"/>
      <c r="E44" s="187"/>
      <c r="F44" s="209"/>
      <c r="G44" s="168" t="str">
        <f t="shared" si="0"/>
        <v/>
      </c>
      <c r="I44" s="163"/>
      <c r="L44" s="207"/>
      <c r="M44" s="208"/>
      <c r="N44" s="187"/>
      <c r="O44" s="209"/>
      <c r="P44" s="159" t="str">
        <f t="shared" si="1"/>
        <v/>
      </c>
    </row>
    <row r="45" spans="1:16" x14ac:dyDescent="0.25">
      <c r="A45" s="207"/>
      <c r="B45" s="208"/>
      <c r="C45" s="193"/>
      <c r="D45" s="187"/>
      <c r="E45" s="187"/>
      <c r="F45" s="209"/>
      <c r="G45" s="168" t="str">
        <f t="shared" si="0"/>
        <v/>
      </c>
      <c r="I45" s="163"/>
      <c r="L45" s="207"/>
      <c r="M45" s="208"/>
      <c r="N45" s="187"/>
      <c r="O45" s="209"/>
      <c r="P45" s="159" t="str">
        <f t="shared" si="1"/>
        <v/>
      </c>
    </row>
    <row r="46" spans="1:16" x14ac:dyDescent="0.25">
      <c r="A46" s="207"/>
      <c r="B46" s="208"/>
      <c r="C46" s="193"/>
      <c r="D46" s="187"/>
      <c r="E46" s="187"/>
      <c r="F46" s="209"/>
      <c r="G46" s="168" t="str">
        <f t="shared" si="0"/>
        <v/>
      </c>
      <c r="I46" s="163"/>
      <c r="L46" s="207"/>
      <c r="M46" s="208"/>
      <c r="N46" s="187"/>
      <c r="O46" s="209"/>
      <c r="P46" s="159" t="str">
        <f t="shared" si="1"/>
        <v/>
      </c>
    </row>
    <row r="47" spans="1:16" x14ac:dyDescent="0.25">
      <c r="A47" s="207"/>
      <c r="B47" s="208"/>
      <c r="C47" s="193"/>
      <c r="D47" s="187"/>
      <c r="E47" s="187"/>
      <c r="F47" s="209"/>
      <c r="G47" s="168" t="str">
        <f t="shared" si="0"/>
        <v/>
      </c>
      <c r="I47" s="163"/>
      <c r="L47" s="207"/>
      <c r="M47" s="208"/>
      <c r="N47" s="187"/>
      <c r="O47" s="209"/>
      <c r="P47" s="159" t="str">
        <f t="shared" si="1"/>
        <v/>
      </c>
    </row>
    <row r="48" spans="1:16" x14ac:dyDescent="0.25">
      <c r="A48" s="207"/>
      <c r="B48" s="208"/>
      <c r="C48" s="193"/>
      <c r="D48" s="187"/>
      <c r="E48" s="187"/>
      <c r="F48" s="209"/>
      <c r="G48" s="168" t="str">
        <f t="shared" si="0"/>
        <v/>
      </c>
      <c r="I48" s="163"/>
      <c r="L48" s="207"/>
      <c r="M48" s="208"/>
      <c r="N48" s="187"/>
      <c r="O48" s="209"/>
      <c r="P48" s="159" t="str">
        <f t="shared" si="1"/>
        <v/>
      </c>
    </row>
    <row r="49" spans="1:16" x14ac:dyDescent="0.25">
      <c r="A49" s="207"/>
      <c r="B49" s="208"/>
      <c r="C49" s="193"/>
      <c r="D49" s="187"/>
      <c r="E49" s="187"/>
      <c r="F49" s="209"/>
      <c r="G49" s="168" t="str">
        <f t="shared" si="0"/>
        <v/>
      </c>
      <c r="I49" s="163"/>
      <c r="L49" s="207"/>
      <c r="M49" s="208"/>
      <c r="N49" s="187"/>
      <c r="O49" s="209"/>
      <c r="P49" s="159" t="str">
        <f t="shared" si="1"/>
        <v/>
      </c>
    </row>
  </sheetData>
  <mergeCells count="8">
    <mergeCell ref="I1:J1"/>
    <mergeCell ref="I7:J7"/>
    <mergeCell ref="A3:A4"/>
    <mergeCell ref="L4:L16"/>
    <mergeCell ref="A7:A10"/>
    <mergeCell ref="A23:A27"/>
    <mergeCell ref="A15:A22"/>
    <mergeCell ref="A11:A14"/>
  </mergeCells>
  <conditionalFormatting sqref="M3:P49">
    <cfRule type="expression" dxfId="1" priority="3">
      <formula>$P3=1</formula>
    </cfRule>
  </conditionalFormatting>
  <conditionalFormatting sqref="B3:G49">
    <cfRule type="expression" dxfId="0" priority="1">
      <formula>$G3=1</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9"/>
  <dimension ref="A1:L141"/>
  <sheetViews>
    <sheetView tabSelected="1" zoomScaleNormal="100" workbookViewId="0">
      <selection activeCell="I76" sqref="I76"/>
    </sheetView>
  </sheetViews>
  <sheetFormatPr baseColWidth="10" defaultRowHeight="15" x14ac:dyDescent="0.25"/>
  <cols>
    <col min="1" max="1" width="18.28515625" customWidth="1"/>
    <col min="2" max="2" width="36" customWidth="1"/>
    <col min="3" max="3" width="5.7109375" customWidth="1"/>
    <col min="5" max="5" width="15.7109375" customWidth="1"/>
    <col min="6" max="6" width="19.7109375" bestFit="1" customWidth="1"/>
    <col min="7" max="7" width="5.140625" customWidth="1"/>
    <col min="8" max="8" width="14.5703125" customWidth="1"/>
    <col min="9" max="9" width="20.85546875" bestFit="1" customWidth="1"/>
  </cols>
  <sheetData>
    <row r="1" spans="1:12" ht="10.5" customHeight="1" x14ac:dyDescent="0.25">
      <c r="A1" s="871" t="s">
        <v>337</v>
      </c>
      <c r="B1" s="871"/>
      <c r="C1" s="230"/>
      <c r="D1" s="231" t="s">
        <v>0</v>
      </c>
      <c r="E1" s="232"/>
      <c r="F1" s="232"/>
      <c r="G1" s="232"/>
      <c r="H1" s="232"/>
      <c r="I1" s="233"/>
      <c r="K1" s="491" t="s">
        <v>226</v>
      </c>
      <c r="L1" s="492">
        <f>SBRUT</f>
        <v>1875.9351648351649</v>
      </c>
    </row>
    <row r="2" spans="1:12" ht="10.5" customHeight="1" x14ac:dyDescent="0.25">
      <c r="A2" s="871"/>
      <c r="B2" s="871"/>
      <c r="C2" s="230"/>
      <c r="D2" s="234"/>
      <c r="E2" s="235" t="s">
        <v>338</v>
      </c>
      <c r="F2" s="314" t="str">
        <f>IF('INFO G'!B7="","",'INFO G'!B7)</f>
        <v>XXXXX</v>
      </c>
      <c r="G2" s="236"/>
      <c r="H2" s="236"/>
      <c r="I2" s="237"/>
      <c r="K2" s="491" t="s">
        <v>351</v>
      </c>
      <c r="L2" s="492">
        <f>COTSAL</f>
        <v>519.40604802197799</v>
      </c>
    </row>
    <row r="3" spans="1:12" ht="10.5" customHeight="1" x14ac:dyDescent="0.25">
      <c r="A3" s="238"/>
      <c r="B3" s="238"/>
      <c r="C3" s="238"/>
      <c r="D3" s="234"/>
      <c r="E3" s="236" t="s">
        <v>5</v>
      </c>
      <c r="F3" s="894" t="str">
        <f>IF('INFO G'!B8="","",'INFO G'!B8)</f>
        <v/>
      </c>
      <c r="G3" s="894"/>
      <c r="H3" s="894"/>
      <c r="I3" s="895"/>
      <c r="K3" s="491" t="s">
        <v>353</v>
      </c>
      <c r="L3" s="492">
        <f>COTPAT</f>
        <v>547.73434299113296</v>
      </c>
    </row>
    <row r="4" spans="1:12" ht="10.5" customHeight="1" x14ac:dyDescent="0.25">
      <c r="A4" s="238"/>
      <c r="B4" s="238"/>
      <c r="C4" s="238"/>
      <c r="D4" s="234"/>
      <c r="E4" s="236" t="s">
        <v>8</v>
      </c>
      <c r="F4" s="236" t="str">
        <f>IF('INFO G'!B9="","",'INFO G'!B9)</f>
        <v/>
      </c>
      <c r="G4" s="236"/>
      <c r="H4" s="236" t="s">
        <v>11</v>
      </c>
      <c r="I4" s="237" t="str">
        <f>IF('INFO G'!D9="","",'INFO G'!D9)</f>
        <v/>
      </c>
      <c r="K4" s="491" t="s">
        <v>564</v>
      </c>
      <c r="L4" s="492">
        <f>SNETCOT</f>
        <v>1356.5291168131869</v>
      </c>
    </row>
    <row r="5" spans="1:12" ht="10.5" customHeight="1" x14ac:dyDescent="0.25">
      <c r="A5" s="239" t="s">
        <v>339</v>
      </c>
      <c r="B5" s="312">
        <f>MOIS_BULLETIN</f>
        <v>43070</v>
      </c>
      <c r="C5" s="238"/>
      <c r="D5" s="234"/>
      <c r="E5" s="236" t="s">
        <v>7</v>
      </c>
      <c r="F5" s="236" t="str">
        <f>IF('INFO G'!B10="","",'INFO G'!B10)</f>
        <v/>
      </c>
      <c r="G5" s="236"/>
      <c r="H5" s="236"/>
      <c r="I5" s="237"/>
      <c r="K5" s="491" t="s">
        <v>565</v>
      </c>
      <c r="L5" s="492">
        <f>Total_RETENUE</f>
        <v>-132.4</v>
      </c>
    </row>
    <row r="6" spans="1:12" ht="10.5" customHeight="1" x14ac:dyDescent="0.25">
      <c r="A6" s="238"/>
      <c r="B6" s="238"/>
      <c r="C6" s="238"/>
      <c r="D6" s="234"/>
      <c r="E6" s="236" t="s">
        <v>10</v>
      </c>
      <c r="F6" s="236" t="str">
        <f>IF('INFO G'!D10="","",'INFO G'!D10)</f>
        <v/>
      </c>
      <c r="G6" s="313" t="s">
        <v>15</v>
      </c>
      <c r="H6" s="898" t="str">
        <f>IF('INFO G'!B11="","",'INFO G'!B11)</f>
        <v/>
      </c>
      <c r="I6" s="899"/>
      <c r="K6" s="491" t="s">
        <v>566</v>
      </c>
      <c r="L6" s="492">
        <f>SNAP</f>
        <v>1224.1291168131868</v>
      </c>
    </row>
    <row r="7" spans="1:12" ht="10.5" customHeight="1" x14ac:dyDescent="0.25">
      <c r="A7" s="243" t="s">
        <v>340</v>
      </c>
      <c r="B7" s="244" t="str">
        <f>IF('INFO G'!B28="","",'INFO G'!B28)</f>
        <v/>
      </c>
      <c r="C7" s="238"/>
      <c r="D7" s="240"/>
      <c r="E7" s="241" t="s">
        <v>12</v>
      </c>
      <c r="F7" s="241"/>
      <c r="G7" s="896" t="str">
        <f>IF('INFO G'!B12="","",'INFO G'!B12)</f>
        <v/>
      </c>
      <c r="H7" s="896"/>
      <c r="I7" s="897"/>
      <c r="K7" s="491" t="s">
        <v>567</v>
      </c>
      <c r="L7" s="492">
        <f>I114</f>
        <v>1355.8422418928571</v>
      </c>
    </row>
    <row r="8" spans="1:12" ht="10.5" customHeight="1" x14ac:dyDescent="0.25">
      <c r="A8" s="234" t="s">
        <v>341</v>
      </c>
      <c r="B8" s="246" t="str">
        <f>IF('INFO G'!D28="","",'INFO G'!D28)</f>
        <v/>
      </c>
      <c r="C8" s="238"/>
      <c r="D8" s="238"/>
      <c r="E8" s="238"/>
      <c r="F8" s="238"/>
      <c r="G8" s="238"/>
      <c r="H8" s="238"/>
      <c r="I8" s="238"/>
    </row>
    <row r="9" spans="1:12" ht="10.5" customHeight="1" x14ac:dyDescent="0.25">
      <c r="A9" s="234" t="s">
        <v>645</v>
      </c>
      <c r="B9" s="246" t="str">
        <f>'INFO G'!D29</f>
        <v>Ouvrier</v>
      </c>
      <c r="C9" s="245"/>
      <c r="D9" s="238"/>
      <c r="E9" s="238"/>
      <c r="F9" s="238"/>
      <c r="G9" s="238"/>
      <c r="H9" s="238"/>
      <c r="I9" s="238"/>
    </row>
    <row r="10" spans="1:12" ht="10.5" customHeight="1" x14ac:dyDescent="0.25">
      <c r="A10" s="234" t="s">
        <v>6</v>
      </c>
      <c r="B10" s="246" t="str">
        <f>IF('INFO G'!B29="","",'INFO G'!B29)</f>
        <v/>
      </c>
      <c r="C10" s="245"/>
      <c r="D10" s="231" t="s">
        <v>1</v>
      </c>
      <c r="E10" s="232"/>
      <c r="F10" s="232"/>
      <c r="G10" s="232"/>
      <c r="H10" s="232"/>
      <c r="I10" s="233"/>
    </row>
    <row r="11" spans="1:12" ht="10.5" customHeight="1" x14ac:dyDescent="0.25">
      <c r="A11" s="234" t="s">
        <v>342</v>
      </c>
      <c r="B11" s="246" t="str">
        <f>IF('INFO G'!B30="","",'INFO G'!B30)</f>
        <v/>
      </c>
      <c r="C11" s="245"/>
      <c r="D11" s="234"/>
      <c r="E11" s="235" t="s">
        <v>343</v>
      </c>
      <c r="F11" s="236" t="str">
        <f>IF('INFO G'!B23="","",'INFO G'!B23)</f>
        <v>DURAND</v>
      </c>
      <c r="G11" s="236"/>
      <c r="H11" s="236" t="str">
        <f>IF('INFO G'!D23="","",'INFO G'!D23)</f>
        <v>PATRICK</v>
      </c>
      <c r="I11" s="237"/>
    </row>
    <row r="12" spans="1:12" ht="10.5" customHeight="1" x14ac:dyDescent="0.25">
      <c r="A12" s="234" t="s">
        <v>344</v>
      </c>
      <c r="B12" s="237" t="str">
        <f>IF('INFO G'!B31="","",'INFO G'!B31)</f>
        <v/>
      </c>
      <c r="C12" s="245"/>
      <c r="D12" s="234"/>
      <c r="E12" s="236" t="s">
        <v>5</v>
      </c>
      <c r="F12" s="894" t="str">
        <f>IF('INFO G'!B24="","",'INFO G'!B24)</f>
        <v/>
      </c>
      <c r="G12" s="894"/>
      <c r="H12" s="894"/>
      <c r="I12" s="895"/>
    </row>
    <row r="13" spans="1:12" ht="10.5" customHeight="1" x14ac:dyDescent="0.25">
      <c r="A13" s="234" t="s">
        <v>345</v>
      </c>
      <c r="B13" s="247">
        <f>D_ENTREE</f>
        <v>42750</v>
      </c>
      <c r="C13" s="245"/>
      <c r="D13" s="234"/>
      <c r="E13" s="236" t="s">
        <v>8</v>
      </c>
      <c r="F13" s="236" t="str">
        <f>IF('INFO G'!B25="","",'INFO G'!B25)</f>
        <v/>
      </c>
      <c r="G13" s="236"/>
      <c r="H13" s="236" t="s">
        <v>11</v>
      </c>
      <c r="I13" s="237" t="str">
        <f>IF('INFO G'!D25="","",'INFO G'!D25)</f>
        <v/>
      </c>
    </row>
    <row r="14" spans="1:12" ht="10.5" customHeight="1" x14ac:dyDescent="0.25">
      <c r="A14" s="240" t="s">
        <v>346</v>
      </c>
      <c r="B14" s="248">
        <f>PSS_BULLETIN</f>
        <v>3269</v>
      </c>
      <c r="C14" s="245"/>
      <c r="D14" s="240"/>
      <c r="E14" s="241"/>
      <c r="F14" s="241"/>
      <c r="G14" s="241"/>
      <c r="H14" s="241"/>
      <c r="I14" s="242"/>
    </row>
    <row r="15" spans="1:12" ht="15.75" thickBot="1" x14ac:dyDescent="0.3">
      <c r="A15" s="230"/>
      <c r="B15" s="230"/>
      <c r="C15" s="230"/>
      <c r="D15" s="230"/>
      <c r="E15" s="230"/>
      <c r="F15" s="230"/>
      <c r="G15" s="230"/>
      <c r="H15" s="230"/>
      <c r="I15" s="230"/>
      <c r="K15" s="1000" t="s">
        <v>705</v>
      </c>
      <c r="L15" s="1001" t="str">
        <f>LEFT(F11,3)&amp;"."&amp;LEFT(H11,3)&amp;"." &amp;'INFO BULL'!B11</f>
        <v>DUR.PAT.1</v>
      </c>
    </row>
    <row r="16" spans="1:12" ht="15.75" thickBot="1" x14ac:dyDescent="0.3">
      <c r="A16" s="872" t="s">
        <v>347</v>
      </c>
      <c r="B16" s="873"/>
      <c r="C16" s="249"/>
      <c r="D16" s="250" t="s">
        <v>102</v>
      </c>
      <c r="E16" s="251" t="s">
        <v>47</v>
      </c>
      <c r="F16" s="251" t="s">
        <v>348</v>
      </c>
      <c r="G16" s="252"/>
      <c r="H16" s="252"/>
      <c r="I16" s="253"/>
    </row>
    <row r="17" spans="1:11" x14ac:dyDescent="0.25">
      <c r="A17" s="26"/>
      <c r="B17" s="26"/>
      <c r="C17" s="26"/>
      <c r="D17" s="26"/>
      <c r="E17" s="26"/>
      <c r="F17" s="265"/>
      <c r="G17" s="26"/>
      <c r="H17" s="26"/>
      <c r="I17" s="254"/>
      <c r="K17" t="s">
        <v>640</v>
      </c>
    </row>
    <row r="18" spans="1:11" x14ac:dyDescent="0.25">
      <c r="A18" s="880" t="s">
        <v>266</v>
      </c>
      <c r="B18" s="880"/>
      <c r="C18" s="296" t="str">
        <f>IFERROR(IF(VLOOKUP(A18,'Récap Bulletin'!$B$2:$F$49,2,FALSE)="","",VLOOKUP(A18,'Récap Bulletin'!$B$2:$F$49,2,FALSE)),"")</f>
        <v>h</v>
      </c>
      <c r="D18" s="315">
        <f>IFERROR(IF(VLOOKUP(A18,'Récap Bulletin'!$B$2:$F$49,3,FALSE)="","",VLOOKUP(A18,'Récap Bulletin'!$B$2:$F$49,3,FALSE)),"")</f>
        <v>151.66666666666666</v>
      </c>
      <c r="E18" s="315">
        <f>IFERROR(IF(VLOOKUP(A18,'Récap Bulletin'!$B$2:$F$49,4,FALSE)="","",VLOOKUP(A18,'Récap Bulletin'!$B$2:$F$49,4,FALSE)),"")</f>
        <v>10.87912087912088</v>
      </c>
      <c r="F18" s="998">
        <f>IFERROR(IF(VLOOKUP(A18,'Récap Bulletin'!$B$2:$F$49,5,FALSE)="","",VLOOKUP(A18,'Récap Bulletin'!$B$2:$F$49,5,FALSE)),"")</f>
        <v>1650</v>
      </c>
      <c r="G18" s="28"/>
      <c r="H18" s="28"/>
      <c r="I18" s="257"/>
      <c r="K18" s="545" t="s">
        <v>641</v>
      </c>
    </row>
    <row r="19" spans="1:11" x14ac:dyDescent="0.25">
      <c r="A19" s="880" t="s">
        <v>701</v>
      </c>
      <c r="B19" s="880"/>
      <c r="C19" s="296" t="str">
        <f>IFERROR(IF(VLOOKUP(A19,'Récap Bulletin'!$B$2:$F$49,2,FALSE)="","",VLOOKUP(A19,'Récap Bulletin'!$B$2:$F$49,2,FALSE)),"")</f>
        <v>h</v>
      </c>
      <c r="D19" s="315">
        <f>IFERROR(IF(VLOOKUP(A19,'Récap Bulletin'!$B$2:$F$49,3,FALSE)="","",VLOOKUP(A19,'Récap Bulletin'!$B$2:$F$49,3,FALSE)),"")</f>
        <v>17.329999999999998</v>
      </c>
      <c r="E19" s="315">
        <f>IFERROR(IF(VLOOKUP(A19,'Récap Bulletin'!$B$2:$F$49,4,FALSE)="","",VLOOKUP(A19,'Récap Bulletin'!$B$2:$F$49,4,FALSE)),"")</f>
        <v>10.87912087912088</v>
      </c>
      <c r="F19" s="998">
        <f>IFERROR(IF(VLOOKUP(A19,'Récap Bulletin'!$B$2:$F$49,5,FALSE)="","",VLOOKUP(A19,'Récap Bulletin'!$B$2:$F$49,5,FALSE)),"")</f>
        <v>188.53516483516484</v>
      </c>
      <c r="G19" s="28"/>
      <c r="H19" s="28"/>
      <c r="I19" s="257"/>
      <c r="K19" s="545" t="s">
        <v>642</v>
      </c>
    </row>
    <row r="20" spans="1:11" x14ac:dyDescent="0.25">
      <c r="A20" s="880" t="s">
        <v>284</v>
      </c>
      <c r="B20" s="880"/>
      <c r="C20" s="296" t="str">
        <f>IFERROR(IF(VLOOKUP(A20,'Récap Bulletin'!$B$2:$F$49,2,FALSE)="","",VLOOKUP(A20,'Récap Bulletin'!$B$2:$F$49,2,FALSE)),"")</f>
        <v/>
      </c>
      <c r="D20" s="315" t="str">
        <f>IFERROR(IF(VLOOKUP(A20,'Récap Bulletin'!$B$2:$F$49,3,FALSE)="","",VLOOKUP(A20,'Récap Bulletin'!$B$2:$F$49,3,FALSE)),"")</f>
        <v/>
      </c>
      <c r="E20" s="315" t="str">
        <f>IFERROR(IF(VLOOKUP(A20,'Récap Bulletin'!$B$2:$F$49,4,FALSE)="","",VLOOKUP(A20,'Récap Bulletin'!$B$2:$F$49,4,FALSE)),"")</f>
        <v/>
      </c>
      <c r="F20" s="998">
        <f>IFERROR(IF(VLOOKUP(A20,'Récap Bulletin'!$B$2:$F$49,5,FALSE)="","",VLOOKUP(A20,'Récap Bulletin'!$B$2:$F$49,5,FALSE)),"")</f>
        <v>25</v>
      </c>
      <c r="G20" s="28"/>
      <c r="H20" s="28"/>
      <c r="I20" s="257"/>
      <c r="K20" s="545" t="s">
        <v>643</v>
      </c>
    </row>
    <row r="21" spans="1:11" x14ac:dyDescent="0.25">
      <c r="A21" s="880" t="s">
        <v>277</v>
      </c>
      <c r="B21" s="880"/>
      <c r="C21" s="296" t="str">
        <f>IFERROR(IF(VLOOKUP(A21,'Récap Bulletin'!$B$2:$F$49,2,FALSE)="","",VLOOKUP(A21,'Récap Bulletin'!$B$2:$F$49,2,FALSE)),"")</f>
        <v/>
      </c>
      <c r="D21" s="315">
        <f>IFERROR(IF(VLOOKUP(A21,'Récap Bulletin'!$B$2:$F$49,3,FALSE)="","",VLOOKUP(A21,'Récap Bulletin'!$B$2:$F$49,3,FALSE)),"")</f>
        <v>20</v>
      </c>
      <c r="E21" s="315" t="str">
        <f>IFERROR(IF(VLOOKUP(A21,'Récap Bulletin'!$B$2:$F$49,4,FALSE)="","",VLOOKUP(A21,'Récap Bulletin'!$B$2:$F$49,4,FALSE)),"")</f>
        <v/>
      </c>
      <c r="F21" s="998">
        <f>IFERROR(IF(VLOOKUP(A21,'Récap Bulletin'!$B$2:$F$49,5,FALSE)="","",VLOOKUP(A21,'Récap Bulletin'!$B$2:$F$49,5,FALSE)),"")</f>
        <v>12.400000000000002</v>
      </c>
      <c r="G21" s="28"/>
      <c r="H21" s="28"/>
      <c r="I21" s="257"/>
      <c r="K21" s="545" t="s">
        <v>644</v>
      </c>
    </row>
    <row r="22" spans="1:11" x14ac:dyDescent="0.25">
      <c r="A22" s="880"/>
      <c r="B22" s="880"/>
      <c r="C22" s="296" t="str">
        <f>IFERROR(IF(VLOOKUP(A22,'Récap Bulletin'!$B$2:$F$49,2,FALSE)="","",VLOOKUP(A22,'Récap Bulletin'!$B$2:$F$49,2,FALSE)),"")</f>
        <v/>
      </c>
      <c r="D22" s="315" t="str">
        <f>IFERROR(IF(VLOOKUP(A22,'Récap Bulletin'!$B$2:$F$49,3,FALSE)="","",VLOOKUP(A22,'Récap Bulletin'!$B$2:$F$49,3,FALSE)),"")</f>
        <v/>
      </c>
      <c r="E22" s="315" t="str">
        <f>IFERROR(IF(VLOOKUP(A22,'Récap Bulletin'!$B$2:$F$49,4,FALSE)="","",VLOOKUP(A22,'Récap Bulletin'!$B$2:$F$49,4,FALSE)),"")</f>
        <v/>
      </c>
      <c r="F22" s="998" t="str">
        <f>IFERROR(IF(VLOOKUP(A22,'Récap Bulletin'!$B$2:$F$49,5,FALSE)="","",VLOOKUP(A22,'Récap Bulletin'!$B$2:$F$49,5,FALSE)),"")</f>
        <v/>
      </c>
      <c r="G22" s="28"/>
      <c r="H22" s="28"/>
      <c r="I22" s="257"/>
    </row>
    <row r="23" spans="1:11" x14ac:dyDescent="0.25">
      <c r="A23" s="880"/>
      <c r="B23" s="880"/>
      <c r="C23" s="296" t="str">
        <f>IFERROR(IF(VLOOKUP(A23,'Récap Bulletin'!$B$2:$F$49,2,FALSE)="","",VLOOKUP(A23,'Récap Bulletin'!$B$2:$F$49,2,FALSE)),"")</f>
        <v/>
      </c>
      <c r="D23" s="315" t="str">
        <f>IFERROR(IF(VLOOKUP(A23,'Récap Bulletin'!$B$2:$F$49,3,FALSE)="","",VLOOKUP(A23,'Récap Bulletin'!$B$2:$F$49,3,FALSE)),"")</f>
        <v/>
      </c>
      <c r="E23" s="315" t="str">
        <f>IFERROR(IF(VLOOKUP(A23,'Récap Bulletin'!$B$2:$F$49,4,FALSE)="","",VLOOKUP(A23,'Récap Bulletin'!$B$2:$F$49,4,FALSE)),"")</f>
        <v/>
      </c>
      <c r="F23" s="998" t="str">
        <f>IFERROR(IF(VLOOKUP(A23,'Récap Bulletin'!$B$2:$F$49,5,FALSE)="","",VLOOKUP(A23,'Récap Bulletin'!$B$2:$F$49,5,FALSE)),"")</f>
        <v/>
      </c>
      <c r="G23" s="28"/>
      <c r="H23" s="28"/>
      <c r="I23" s="257"/>
    </row>
    <row r="24" spans="1:11" x14ac:dyDescent="0.25">
      <c r="A24" s="880"/>
      <c r="B24" s="880"/>
      <c r="C24" s="296" t="str">
        <f>IFERROR(IF(VLOOKUP(A24,'Récap Bulletin'!$B$2:$F$49,2,FALSE)="","",VLOOKUP(A24,'Récap Bulletin'!$B$2:$F$49,2,FALSE)),"")</f>
        <v/>
      </c>
      <c r="D24" s="315" t="str">
        <f>IFERROR(IF(VLOOKUP(A24,'Récap Bulletin'!$B$2:$F$49,3,FALSE)="","",VLOOKUP(A24,'Récap Bulletin'!$B$2:$F$49,3,FALSE)),"")</f>
        <v/>
      </c>
      <c r="E24" s="315" t="str">
        <f>IFERROR(IF(VLOOKUP(A24,'Récap Bulletin'!$B$2:$F$49,4,FALSE)="","",VLOOKUP(A24,'Récap Bulletin'!$B$2:$F$49,4,FALSE)),"")</f>
        <v/>
      </c>
      <c r="F24" s="998" t="str">
        <f>IFERROR(IF(VLOOKUP(A24,'Récap Bulletin'!$B$2:$F$49,5,FALSE)="","",VLOOKUP(A24,'Récap Bulletin'!$B$2:$F$49,5,FALSE)),"")</f>
        <v/>
      </c>
      <c r="G24" s="28"/>
      <c r="H24" s="28"/>
      <c r="I24" s="257"/>
    </row>
    <row r="25" spans="1:11" x14ac:dyDescent="0.25">
      <c r="A25" s="880"/>
      <c r="B25" s="880"/>
      <c r="C25" s="296" t="str">
        <f>IFERROR(IF(VLOOKUP(A25,'Récap Bulletin'!$B$2:$F$49,2,FALSE)="","",VLOOKUP(A25,'Récap Bulletin'!$B$2:$F$49,2,FALSE)),"")</f>
        <v/>
      </c>
      <c r="D25" s="315" t="str">
        <f>IFERROR(IF(VLOOKUP(A25,'Récap Bulletin'!$B$2:$F$49,3,FALSE)="","",VLOOKUP(A25,'Récap Bulletin'!$B$2:$F$49,3,FALSE)),"")</f>
        <v/>
      </c>
      <c r="E25" s="315" t="str">
        <f>IFERROR(IF(VLOOKUP(A25,'Récap Bulletin'!$B$2:$F$49,4,FALSE)="","",VLOOKUP(A25,'Récap Bulletin'!$B$2:$F$49,4,FALSE)),"")</f>
        <v/>
      </c>
      <c r="F25" s="998" t="str">
        <f>IFERROR(IF(VLOOKUP(A25,'Récap Bulletin'!$B$2:$F$49,5,FALSE)="","",VLOOKUP(A25,'Récap Bulletin'!$B$2:$F$49,5,FALSE)),"")</f>
        <v/>
      </c>
      <c r="G25" s="28"/>
      <c r="H25" s="28"/>
      <c r="I25" s="257"/>
    </row>
    <row r="26" spans="1:11" x14ac:dyDescent="0.25">
      <c r="A26" s="880"/>
      <c r="B26" s="880"/>
      <c r="C26" s="296" t="str">
        <f>IFERROR(IF(VLOOKUP(A26,'Récap Bulletin'!$B$2:$F$49,2,FALSE)="","",VLOOKUP(A26,'Récap Bulletin'!$B$2:$F$49,2,FALSE)),"")</f>
        <v/>
      </c>
      <c r="D26" s="315" t="str">
        <f>IFERROR(IF(VLOOKUP(A26,'Récap Bulletin'!$B$2:$F$49,3,FALSE)="","",VLOOKUP(A26,'Récap Bulletin'!$B$2:$F$49,3,FALSE)),"")</f>
        <v/>
      </c>
      <c r="E26" s="315" t="str">
        <f>IFERROR(IF(VLOOKUP(A26,'Récap Bulletin'!$B$2:$F$49,4,FALSE)="","",VLOOKUP(A26,'Récap Bulletin'!$B$2:$F$49,4,FALSE)),"")</f>
        <v/>
      </c>
      <c r="F26" s="998" t="str">
        <f>IFERROR(IF(VLOOKUP(A26,'Récap Bulletin'!$B$2:$F$49,5,FALSE)="","",VLOOKUP(A26,'Récap Bulletin'!$B$2:$F$49,5,FALSE)),"")</f>
        <v/>
      </c>
      <c r="G26" s="28"/>
      <c r="H26" s="28"/>
      <c r="I26" s="257"/>
    </row>
    <row r="27" spans="1:11" x14ac:dyDescent="0.25">
      <c r="A27" s="880"/>
      <c r="B27" s="880"/>
      <c r="C27" s="296" t="str">
        <f>IFERROR(IF(VLOOKUP(A27,'Récap Bulletin'!$B$2:$F$49,2,FALSE)="","",VLOOKUP(A27,'Récap Bulletin'!$B$2:$F$49,2,FALSE)),"")</f>
        <v/>
      </c>
      <c r="D27" s="315" t="str">
        <f>IFERROR(IF(VLOOKUP(A27,'Récap Bulletin'!$B$2:$F$49,3,FALSE)="","",VLOOKUP(A27,'Récap Bulletin'!$B$2:$F$49,3,FALSE)),"")</f>
        <v/>
      </c>
      <c r="E27" s="315" t="str">
        <f>IFERROR(IF(VLOOKUP(A27,'Récap Bulletin'!$B$2:$F$49,4,FALSE)="","",VLOOKUP(A27,'Récap Bulletin'!$B$2:$F$49,4,FALSE)),"")</f>
        <v/>
      </c>
      <c r="F27" s="998" t="str">
        <f>IFERROR(IF(VLOOKUP(A27,'Récap Bulletin'!$B$2:$F$49,5,FALSE)="","",VLOOKUP(A27,'Récap Bulletin'!$B$2:$F$49,5,FALSE)),"")</f>
        <v/>
      </c>
      <c r="G27" s="28"/>
      <c r="H27" s="28"/>
      <c r="I27" s="257"/>
    </row>
    <row r="28" spans="1:11" x14ac:dyDescent="0.25">
      <c r="A28" s="880"/>
      <c r="B28" s="880"/>
      <c r="C28" s="296" t="str">
        <f>IFERROR(IF(VLOOKUP(A28,'Récap Bulletin'!$B$2:$F$49,2,FALSE)="","",VLOOKUP(A28,'Récap Bulletin'!$B$2:$F$49,2,FALSE)),"")</f>
        <v/>
      </c>
      <c r="D28" s="315" t="str">
        <f>IFERROR(IF(VLOOKUP(A28,'Récap Bulletin'!$B$2:$F$49,3,FALSE)="","",VLOOKUP(A28,'Récap Bulletin'!$B$2:$F$49,3,FALSE)),"")</f>
        <v/>
      </c>
      <c r="E28" s="315" t="str">
        <f>IFERROR(IF(VLOOKUP(A28,'Récap Bulletin'!$B$2:$F$49,4,FALSE)="","",VLOOKUP(A28,'Récap Bulletin'!$B$2:$F$49,4,FALSE)),"")</f>
        <v/>
      </c>
      <c r="F28" s="998" t="str">
        <f>IFERROR(IF(VLOOKUP(A28,'Récap Bulletin'!$B$2:$F$49,5,FALSE)="","",VLOOKUP(A28,'Récap Bulletin'!$B$2:$F$49,5,FALSE)),"")</f>
        <v/>
      </c>
      <c r="G28" s="28"/>
      <c r="H28" s="28"/>
      <c r="I28" s="257"/>
    </row>
    <row r="29" spans="1:11" x14ac:dyDescent="0.25">
      <c r="A29" s="880"/>
      <c r="B29" s="880"/>
      <c r="C29" s="296" t="str">
        <f>IFERROR(IF(VLOOKUP(A29,'Récap Bulletin'!$B$2:$F$49,2,FALSE)="","",VLOOKUP(A29,'Récap Bulletin'!$B$2:$F$49,2,FALSE)),"")</f>
        <v/>
      </c>
      <c r="D29" s="315" t="str">
        <f>IFERROR(IF(VLOOKUP(A29,'Récap Bulletin'!$B$2:$F$49,3,FALSE)="","",VLOOKUP(A29,'Récap Bulletin'!$B$2:$F$49,3,FALSE)),"")</f>
        <v/>
      </c>
      <c r="E29" s="315" t="str">
        <f>IFERROR(IF(VLOOKUP(A29,'Récap Bulletin'!$B$2:$F$49,4,FALSE)="","",VLOOKUP(A29,'Récap Bulletin'!$B$2:$F$49,4,FALSE)),"")</f>
        <v/>
      </c>
      <c r="F29" s="998" t="str">
        <f>IFERROR(IF(VLOOKUP(A29,'Récap Bulletin'!$B$2:$F$49,5,FALSE)="","",VLOOKUP(A29,'Récap Bulletin'!$B$2:$F$49,5,FALSE)),"")</f>
        <v/>
      </c>
      <c r="G29" s="28"/>
      <c r="H29" s="28"/>
      <c r="I29" s="257"/>
    </row>
    <row r="30" spans="1:11" x14ac:dyDescent="0.25">
      <c r="A30" s="880"/>
      <c r="B30" s="880"/>
      <c r="C30" s="296" t="str">
        <f>IFERROR(IF(VLOOKUP(A30,'Récap Bulletin'!$B$2:$F$49,2,FALSE)="","",VLOOKUP(A30,'Récap Bulletin'!$B$2:$F$49,2,FALSE)),"")</f>
        <v/>
      </c>
      <c r="D30" s="315" t="str">
        <f>IFERROR(IF(VLOOKUP(A30,'Récap Bulletin'!$B$2:$F$49,3,FALSE)="","",VLOOKUP(A30,'Récap Bulletin'!$B$2:$F$49,3,FALSE)),"")</f>
        <v/>
      </c>
      <c r="E30" s="315" t="str">
        <f>IFERROR(IF(VLOOKUP(A30,'Récap Bulletin'!$B$2:$F$49,4,FALSE)="","",VLOOKUP(A30,'Récap Bulletin'!$B$2:$F$49,4,FALSE)),"")</f>
        <v/>
      </c>
      <c r="F30" s="998" t="str">
        <f>IFERROR(IF(VLOOKUP(A30,'Récap Bulletin'!$B$2:$F$49,5,FALSE)="","",VLOOKUP(A30,'Récap Bulletin'!$B$2:$F$49,5,FALSE)),"")</f>
        <v/>
      </c>
      <c r="G30" s="28"/>
      <c r="H30" s="28"/>
      <c r="I30" s="257"/>
    </row>
    <row r="31" spans="1:11" x14ac:dyDescent="0.25">
      <c r="A31" s="880"/>
      <c r="B31" s="880"/>
      <c r="C31" s="296" t="str">
        <f>IFERROR(IF(VLOOKUP(A31,'Récap Bulletin'!$B$2:$F$49,2,FALSE)="","",VLOOKUP(A31,'Récap Bulletin'!$B$2:$F$49,2,FALSE)),"")</f>
        <v/>
      </c>
      <c r="D31" s="315" t="str">
        <f>IFERROR(IF(VLOOKUP(A31,'Récap Bulletin'!$B$2:$F$49,3,FALSE)="","",VLOOKUP(A31,'Récap Bulletin'!$B$2:$F$49,3,FALSE)),"")</f>
        <v/>
      </c>
      <c r="E31" s="315" t="str">
        <f>IFERROR(IF(VLOOKUP(A31,'Récap Bulletin'!$B$2:$F$49,4,FALSE)="","",VLOOKUP(A31,'Récap Bulletin'!$B$2:$F$49,4,FALSE)),"")</f>
        <v/>
      </c>
      <c r="F31" s="998" t="str">
        <f>IFERROR(IF(VLOOKUP(A31,'Récap Bulletin'!$B$2:$F$49,5,FALSE)="","",VLOOKUP(A31,'Récap Bulletin'!$B$2:$F$49,5,FALSE)),"")</f>
        <v/>
      </c>
      <c r="G31" s="28"/>
      <c r="H31" s="28"/>
      <c r="I31" s="257"/>
    </row>
    <row r="32" spans="1:11" x14ac:dyDescent="0.25">
      <c r="A32" s="880"/>
      <c r="B32" s="880"/>
      <c r="C32" s="296" t="str">
        <f>IFERROR(IF(VLOOKUP(A32,'Récap Bulletin'!$B$2:$F$49,2,FALSE)="","",VLOOKUP(A32,'Récap Bulletin'!$B$2:$F$49,2,FALSE)),"")</f>
        <v/>
      </c>
      <c r="D32" s="315" t="str">
        <f>IFERROR(IF(VLOOKUP(A32,'Récap Bulletin'!$B$2:$F$49,3,FALSE)="","",VLOOKUP(A32,'Récap Bulletin'!$B$2:$F$49,3,FALSE)),"")</f>
        <v/>
      </c>
      <c r="E32" s="315" t="str">
        <f>IFERROR(IF(VLOOKUP(A32,'Récap Bulletin'!$B$2:$F$49,4,FALSE)="","",VLOOKUP(A32,'Récap Bulletin'!$B$2:$F$49,4,FALSE)),"")</f>
        <v/>
      </c>
      <c r="F32" s="998" t="str">
        <f>IFERROR(IF(VLOOKUP(A32,'Récap Bulletin'!$B$2:$F$49,5,FALSE)="","",VLOOKUP(A32,'Récap Bulletin'!$B$2:$F$49,5,FALSE)),"")</f>
        <v/>
      </c>
      <c r="G32" s="28"/>
      <c r="H32" s="28"/>
      <c r="I32" s="257"/>
    </row>
    <row r="33" spans="1:9" x14ac:dyDescent="0.25">
      <c r="A33" s="880"/>
      <c r="B33" s="880"/>
      <c r="C33" s="296" t="str">
        <f>IFERROR(IF(VLOOKUP(A33,'Récap Bulletin'!$B$2:$F$49,2,FALSE)="","",VLOOKUP(A33,'Récap Bulletin'!$B$2:$F$49,2,FALSE)),"")</f>
        <v/>
      </c>
      <c r="D33" s="315" t="str">
        <f>IFERROR(IF(VLOOKUP(A33,'Récap Bulletin'!$B$2:$F$49,3,FALSE)="","",VLOOKUP(A33,'Récap Bulletin'!$B$2:$F$49,3,FALSE)),"")</f>
        <v/>
      </c>
      <c r="E33" s="315" t="str">
        <f>IFERROR(IF(VLOOKUP(A33,'Récap Bulletin'!$B$2:$F$49,4,FALSE)="","",VLOOKUP(A33,'Récap Bulletin'!$B$2:$F$49,4,FALSE)),"")</f>
        <v/>
      </c>
      <c r="F33" s="998" t="str">
        <f>IFERROR(IF(VLOOKUP(A33,'Récap Bulletin'!$B$2:$F$49,5,FALSE)="","",VLOOKUP(A33,'Récap Bulletin'!$B$2:$F$49,5,FALSE)),"")</f>
        <v/>
      </c>
      <c r="G33" s="28"/>
      <c r="H33" s="28"/>
      <c r="I33" s="257"/>
    </row>
    <row r="34" spans="1:9" x14ac:dyDescent="0.25">
      <c r="A34" s="880"/>
      <c r="B34" s="880"/>
      <c r="C34" s="296" t="str">
        <f>IFERROR(IF(VLOOKUP(A34,'Récap Bulletin'!$B$2:$F$49,2,FALSE)="","",VLOOKUP(A34,'Récap Bulletin'!$B$2:$F$49,2,FALSE)),"")</f>
        <v/>
      </c>
      <c r="D34" s="315" t="str">
        <f>IFERROR(IF(VLOOKUP(A34,'Récap Bulletin'!$B$2:$F$49,3,FALSE)="","",VLOOKUP(A34,'Récap Bulletin'!$B$2:$F$49,3,FALSE)),"")</f>
        <v/>
      </c>
      <c r="E34" s="315" t="str">
        <f>IFERROR(IF(VLOOKUP(A34,'Récap Bulletin'!$B$2:$F$49,4,FALSE)="","",VLOOKUP(A34,'Récap Bulletin'!$B$2:$F$49,4,FALSE)),"")</f>
        <v/>
      </c>
      <c r="F34" s="998" t="str">
        <f>IFERROR(IF(VLOOKUP(A34,'Récap Bulletin'!$B$2:$F$49,5,FALSE)="","",VLOOKUP(A34,'Récap Bulletin'!$B$2:$F$49,5,FALSE)),"")</f>
        <v/>
      </c>
      <c r="G34" s="28"/>
      <c r="H34" s="28"/>
      <c r="I34" s="257"/>
    </row>
    <row r="35" spans="1:9" x14ac:dyDescent="0.25">
      <c r="A35" s="880"/>
      <c r="B35" s="880"/>
      <c r="C35" s="296" t="str">
        <f>IFERROR(IF(VLOOKUP(A35,'Récap Bulletin'!$B$2:$F$49,2,FALSE)="","",VLOOKUP(A35,'Récap Bulletin'!$B$2:$F$49,2,FALSE)),"")</f>
        <v/>
      </c>
      <c r="D35" s="315" t="str">
        <f>IFERROR(IF(VLOOKUP(A35,'Récap Bulletin'!$B$2:$F$49,3,FALSE)="","",VLOOKUP(A35,'Récap Bulletin'!$B$2:$F$49,3,FALSE)),"")</f>
        <v/>
      </c>
      <c r="E35" s="315" t="str">
        <f>IFERROR(IF(VLOOKUP(A35,'Récap Bulletin'!$B$2:$F$49,4,FALSE)="","",VLOOKUP(A35,'Récap Bulletin'!$B$2:$F$49,4,FALSE)),"")</f>
        <v/>
      </c>
      <c r="F35" s="998" t="str">
        <f>IFERROR(IF(VLOOKUP(A35,'Récap Bulletin'!$B$2:$F$49,5,FALSE)="","",VLOOKUP(A35,'Récap Bulletin'!$B$2:$F$49,5,FALSE)),"")</f>
        <v/>
      </c>
      <c r="G35" s="28"/>
      <c r="H35" s="28"/>
      <c r="I35" s="257"/>
    </row>
    <row r="36" spans="1:9" ht="15.75" thickBot="1" x14ac:dyDescent="0.3">
      <c r="A36" s="259"/>
      <c r="B36" s="259"/>
      <c r="C36" s="259"/>
      <c r="D36" s="286"/>
      <c r="E36" s="259"/>
      <c r="F36" s="999"/>
      <c r="G36" s="259"/>
      <c r="H36" s="259"/>
      <c r="I36" s="257"/>
    </row>
    <row r="37" spans="1:9" ht="15.75" thickBot="1" x14ac:dyDescent="0.3">
      <c r="A37" s="874" t="s">
        <v>349</v>
      </c>
      <c r="B37" s="875"/>
      <c r="C37" s="408" t="s">
        <v>267</v>
      </c>
      <c r="D37" s="409">
        <f>SUMIF(C18:C36,C37,D18:D36)</f>
        <v>168.99666666666667</v>
      </c>
      <c r="E37" s="410"/>
      <c r="F37" s="411">
        <f>SUM(F18:F36)</f>
        <v>1875.9351648351649</v>
      </c>
      <c r="G37" s="28"/>
      <c r="H37" s="28"/>
      <c r="I37" s="257"/>
    </row>
    <row r="38" spans="1:9" ht="15.75" thickBot="1" x14ac:dyDescent="0.3">
      <c r="A38" s="876"/>
      <c r="B38" s="877"/>
      <c r="C38" s="260"/>
      <c r="D38" s="261"/>
      <c r="E38" s="261"/>
      <c r="F38" s="261"/>
      <c r="G38" s="36"/>
      <c r="H38" s="36"/>
      <c r="I38" s="262"/>
    </row>
    <row r="39" spans="1:9" ht="15.75" thickBot="1" x14ac:dyDescent="0.3">
      <c r="A39" s="878" t="s">
        <v>68</v>
      </c>
      <c r="B39" s="879"/>
      <c r="C39" s="40"/>
      <c r="D39" s="40" t="s">
        <v>102</v>
      </c>
      <c r="E39" s="41" t="s">
        <v>350</v>
      </c>
      <c r="F39" s="41" t="s">
        <v>351</v>
      </c>
      <c r="G39" s="41"/>
      <c r="H39" s="41" t="s">
        <v>352</v>
      </c>
      <c r="I39" s="263" t="s">
        <v>353</v>
      </c>
    </row>
    <row r="40" spans="1:9" x14ac:dyDescent="0.25">
      <c r="A40" s="21" t="s">
        <v>69</v>
      </c>
      <c r="B40" s="26"/>
      <c r="C40" s="264"/>
      <c r="D40" s="479">
        <f>'INFO G'!B82</f>
        <v>1955.6250027472529</v>
      </c>
      <c r="E40" s="480">
        <f>IF('INFO G'!B36='Liste déroulante'!B5,0,'INFO G'!C82)</f>
        <v>5.0999999999999997E-2</v>
      </c>
      <c r="F40" s="479">
        <f>IFERROR(E40*D40,0)</f>
        <v>99.736875140109888</v>
      </c>
      <c r="G40" s="265"/>
      <c r="H40" s="266"/>
      <c r="I40" s="267"/>
    </row>
    <row r="41" spans="1:9" ht="15.75" thickBot="1" x14ac:dyDescent="0.3">
      <c r="A41" s="903"/>
      <c r="B41" s="904"/>
      <c r="C41" s="35"/>
      <c r="D41" s="268"/>
      <c r="E41" s="268"/>
      <c r="F41" s="268"/>
      <c r="G41" s="268"/>
      <c r="H41" s="268"/>
      <c r="I41" s="269"/>
    </row>
    <row r="42" spans="1:9" ht="15.75" thickBot="1" x14ac:dyDescent="0.3">
      <c r="A42" s="878" t="s">
        <v>77</v>
      </c>
      <c r="B42" s="879"/>
      <c r="C42" s="40"/>
      <c r="D42" s="270" t="s">
        <v>102</v>
      </c>
      <c r="E42" s="271" t="s">
        <v>350</v>
      </c>
      <c r="F42" s="271" t="s">
        <v>351</v>
      </c>
      <c r="G42" s="271"/>
      <c r="H42" s="271" t="s">
        <v>352</v>
      </c>
      <c r="I42" s="272" t="s">
        <v>353</v>
      </c>
    </row>
    <row r="43" spans="1:9" x14ac:dyDescent="0.25">
      <c r="A43" s="22" t="s">
        <v>70</v>
      </c>
      <c r="B43" s="27"/>
      <c r="C43" s="273"/>
      <c r="D43" s="481">
        <f>'INFO G'!B85</f>
        <v>1875.9351648351649</v>
      </c>
      <c r="E43" s="482">
        <f>IF('INFO G'!$B$36='Liste déroulante'!$B$5,0,'INFO G'!C85)</f>
        <v>7.4999999999999997E-3</v>
      </c>
      <c r="F43" s="485">
        <f>IFERROR(E43*D43,0)</f>
        <v>14.069513736263737</v>
      </c>
      <c r="G43" s="483"/>
      <c r="H43" s="484">
        <f>IF('INFO G'!$B$36='Liste déroulante'!$B$5,0,'INFO G'!D85)</f>
        <v>0.12889999999999999</v>
      </c>
      <c r="I43" s="486">
        <f>IFERROR(IF(AND('INFO G'!$B$36='Liste déroulante'!$B$4,'INFO G'!$D$26&gt;45),'INFO G'!$D$78*H43,D43*H43),0)</f>
        <v>241.80804274725273</v>
      </c>
    </row>
    <row r="44" spans="1:9" x14ac:dyDescent="0.25">
      <c r="A44" s="23" t="s">
        <v>71</v>
      </c>
      <c r="B44" s="28"/>
      <c r="C44" s="255"/>
      <c r="D44" s="256">
        <f>'INFO G'!B86</f>
        <v>1875.9351648351649</v>
      </c>
      <c r="E44" s="484">
        <f>IF('INFO G'!$B$36='Liste déroulante'!$B$5,0,'INFO G'!C86)</f>
        <v>6.9000000000000006E-2</v>
      </c>
      <c r="F44" s="485">
        <f>IFERROR(E44*D44,0)</f>
        <v>129.43952637362639</v>
      </c>
      <c r="G44" s="485"/>
      <c r="H44" s="484">
        <f>IF('INFO G'!$B$36='Liste déroulante'!$B$5,0,'INFO G'!D86)</f>
        <v>8.5500000000000007E-2</v>
      </c>
      <c r="I44" s="486">
        <f>IFERROR(IF(AND('INFO G'!$B$36='Liste déroulante'!$B$4,'INFO G'!$D$26&gt;45),'INFO G'!$D$78*H44,D44*H44),0)</f>
        <v>160.39245659340662</v>
      </c>
    </row>
    <row r="45" spans="1:9" x14ac:dyDescent="0.25">
      <c r="A45" s="24" t="s">
        <v>72</v>
      </c>
      <c r="B45" s="28"/>
      <c r="C45" s="255"/>
      <c r="D45" s="256">
        <f>'INFO G'!B87</f>
        <v>1875.9351648351649</v>
      </c>
      <c r="E45" s="484">
        <f>IF('INFO G'!$B$36='Liste déroulante'!$B$5,0,'INFO G'!C87)</f>
        <v>4.0000000000000001E-3</v>
      </c>
      <c r="F45" s="485">
        <f>IFERROR(E45*D45,0)</f>
        <v>7.5037406593406599</v>
      </c>
      <c r="G45" s="485"/>
      <c r="H45" s="484">
        <f>IF('INFO G'!$B$36='Liste déroulante'!$B$5,0,'INFO G'!D87)</f>
        <v>1.9E-2</v>
      </c>
      <c r="I45" s="486">
        <f>IFERROR(IF(AND('INFO G'!$B$36='Liste déroulante'!$B$4,'INFO G'!$D$26&gt;45),'INFO G'!$D$78*H45,D45*H45),0)</f>
        <v>35.642768131868131</v>
      </c>
    </row>
    <row r="46" spans="1:9" x14ac:dyDescent="0.25">
      <c r="A46" s="24" t="s">
        <v>73</v>
      </c>
      <c r="B46" s="28"/>
      <c r="C46" s="255"/>
      <c r="D46" s="256">
        <f>'INFO G'!B88</f>
        <v>1875.9351648351649</v>
      </c>
      <c r="E46" s="487"/>
      <c r="F46" s="488"/>
      <c r="G46" s="485"/>
      <c r="H46" s="484">
        <f>IF('INFO G'!$B$36='Liste déroulante'!$B$5,0,'INFO G'!D88)</f>
        <v>3.4500000000000003E-2</v>
      </c>
      <c r="I46" s="486">
        <f>IFERROR(IF(AND('INFO G'!$B$36='Liste déroulante'!$B$4,'INFO G'!$D$26&gt;45),'INFO G'!$D$78*H46,D46*H46),0)</f>
        <v>64.719763186813196</v>
      </c>
    </row>
    <row r="47" spans="1:9" x14ac:dyDescent="0.25">
      <c r="A47" s="24" t="s">
        <v>74</v>
      </c>
      <c r="B47" s="28"/>
      <c r="C47" s="255"/>
      <c r="D47" s="256">
        <f>'INFO G'!B89</f>
        <v>1875.9351648351649</v>
      </c>
      <c r="E47" s="487"/>
      <c r="F47" s="488"/>
      <c r="G47" s="485"/>
      <c r="H47" s="484">
        <f>'INFO G'!D89</f>
        <v>1.2500000000000001E-2</v>
      </c>
      <c r="I47" s="486">
        <f t="shared" ref="I47" si="0">IFERROR(D47*H47,0)</f>
        <v>23.449189560439564</v>
      </c>
    </row>
    <row r="48" spans="1:9" x14ac:dyDescent="0.25">
      <c r="A48" s="23" t="s">
        <v>75</v>
      </c>
      <c r="B48" s="28"/>
      <c r="C48" s="255"/>
      <c r="D48" s="256">
        <f>'INFO G'!B90</f>
        <v>112.51870329670331</v>
      </c>
      <c r="E48" s="487"/>
      <c r="F48" s="488"/>
      <c r="G48" s="485"/>
      <c r="H48" s="484">
        <f>'INFO G'!D90</f>
        <v>0.08</v>
      </c>
      <c r="I48" s="486">
        <f>IFERROR(D48*H48,0)</f>
        <v>9.0014962637362643</v>
      </c>
    </row>
    <row r="49" spans="1:9" x14ac:dyDescent="0.25">
      <c r="A49" s="24" t="s">
        <v>76</v>
      </c>
      <c r="B49" s="28"/>
      <c r="C49" s="255"/>
      <c r="D49" s="256">
        <f>'INFO G'!B91</f>
        <v>1875.9351648351649</v>
      </c>
      <c r="E49" s="487"/>
      <c r="F49" s="488"/>
      <c r="G49" s="485"/>
      <c r="H49" s="484">
        <f>'INFO G'!D91</f>
        <v>3.0000000000000001E-3</v>
      </c>
      <c r="I49" s="486">
        <f>IFERROR(D49*H49,0)</f>
        <v>5.6278054945054947</v>
      </c>
    </row>
    <row r="50" spans="1:9" ht="15.75" thickBot="1" x14ac:dyDescent="0.3">
      <c r="A50" s="901"/>
      <c r="B50" s="902"/>
      <c r="C50" s="37"/>
      <c r="D50" s="283"/>
      <c r="E50" s="283"/>
      <c r="F50" s="283"/>
      <c r="G50" s="283"/>
      <c r="H50" s="283"/>
      <c r="I50" s="284"/>
    </row>
    <row r="51" spans="1:9" ht="15.75" thickBot="1" x14ac:dyDescent="0.3">
      <c r="A51" s="878" t="s">
        <v>78</v>
      </c>
      <c r="B51" s="879"/>
      <c r="C51" s="40"/>
      <c r="D51" s="270" t="s">
        <v>102</v>
      </c>
      <c r="E51" s="271" t="s">
        <v>350</v>
      </c>
      <c r="F51" s="271" t="s">
        <v>351</v>
      </c>
      <c r="G51" s="271"/>
      <c r="H51" s="271" t="s">
        <v>352</v>
      </c>
      <c r="I51" s="272" t="s">
        <v>353</v>
      </c>
    </row>
    <row r="52" spans="1:9" x14ac:dyDescent="0.25">
      <c r="A52" s="25" t="s">
        <v>79</v>
      </c>
      <c r="B52" s="27"/>
      <c r="C52" s="273"/>
      <c r="D52" s="274">
        <f>'INFO G'!B94</f>
        <v>1875.9351648351649</v>
      </c>
      <c r="E52" s="275">
        <f>IF('INFO G'!B36='Liste déroulante'!B5,0,'INFO G'!C94)</f>
        <v>2.4E-2</v>
      </c>
      <c r="F52" s="274">
        <f>E52*D52</f>
        <v>45.022443956043958</v>
      </c>
      <c r="G52" s="274"/>
      <c r="H52" s="275">
        <f>'INFO G'!D94</f>
        <v>4.0500000000000001E-2</v>
      </c>
      <c r="I52" s="276">
        <f>H52*D52</f>
        <v>75.975374175824186</v>
      </c>
    </row>
    <row r="53" spans="1:9" x14ac:dyDescent="0.25">
      <c r="A53" s="23" t="s">
        <v>80</v>
      </c>
      <c r="B53" s="28"/>
      <c r="C53" s="255"/>
      <c r="D53" s="277"/>
      <c r="E53" s="280"/>
      <c r="F53" s="281"/>
      <c r="G53" s="277"/>
      <c r="H53" s="278"/>
      <c r="I53" s="279"/>
    </row>
    <row r="54" spans="1:9" x14ac:dyDescent="0.25">
      <c r="A54" s="24" t="s">
        <v>81</v>
      </c>
      <c r="B54" s="28"/>
      <c r="C54" s="255"/>
      <c r="D54" s="277">
        <f>'INFO G'!B96</f>
        <v>1875.9351648351649</v>
      </c>
      <c r="E54" s="280"/>
      <c r="F54" s="281"/>
      <c r="G54" s="277"/>
      <c r="H54" s="278">
        <f>'INFO G'!D96</f>
        <v>1.5E-3</v>
      </c>
      <c r="I54" s="279">
        <f>D54*H54</f>
        <v>2.8139027472527474</v>
      </c>
    </row>
    <row r="55" spans="1:9" ht="15.75" thickBot="1" x14ac:dyDescent="0.3">
      <c r="A55" s="901"/>
      <c r="B55" s="902"/>
      <c r="C55" s="37"/>
      <c r="D55" s="283"/>
      <c r="E55" s="285"/>
      <c r="F55" s="283"/>
      <c r="G55" s="283"/>
      <c r="H55" s="285"/>
      <c r="I55" s="284"/>
    </row>
    <row r="56" spans="1:9" ht="15.75" thickBot="1" x14ac:dyDescent="0.3">
      <c r="A56" s="878" t="s">
        <v>82</v>
      </c>
      <c r="B56" s="879"/>
      <c r="C56" s="40"/>
      <c r="D56" s="270" t="s">
        <v>102</v>
      </c>
      <c r="E56" s="271" t="s">
        <v>350</v>
      </c>
      <c r="F56" s="271" t="s">
        <v>351</v>
      </c>
      <c r="G56" s="271"/>
      <c r="H56" s="271" t="s">
        <v>352</v>
      </c>
      <c r="I56" s="272" t="s">
        <v>353</v>
      </c>
    </row>
    <row r="57" spans="1:9" x14ac:dyDescent="0.25">
      <c r="A57" s="25" t="str">
        <f>IF('INFO G'!$B$36='Liste déroulante'!$B$2,'INFO G'!A108,'INFO G'!A99)</f>
        <v>ARRCO Tr1</v>
      </c>
      <c r="B57" s="27"/>
      <c r="C57" s="273"/>
      <c r="D57" s="481">
        <f>VLOOKUP(A57,'INFO G'!A99:D116,2,FALSE)</f>
        <v>1875.9351648351649</v>
      </c>
      <c r="E57" s="482">
        <f>IF('INFO G'!$B$36='Liste déroulante'!$B$5,0,VLOOKUP(A57,'INFO G'!$A$99:$D$116,3,FALSE))</f>
        <v>3.1E-2</v>
      </c>
      <c r="F57" s="274">
        <f>IFERROR(E57*D57,0)</f>
        <v>58.15399010989011</v>
      </c>
      <c r="G57" s="274"/>
      <c r="H57" s="275">
        <f>VLOOKUP(A57,'INFO G'!$A$99:$D$116,4,FALSE)</f>
        <v>4.65E-2</v>
      </c>
      <c r="I57" s="279">
        <f>IFERROR(H57*D57,0)</f>
        <v>87.230985164835161</v>
      </c>
    </row>
    <row r="58" spans="1:9" x14ac:dyDescent="0.25">
      <c r="A58" s="23" t="str">
        <f>IF('INFO G'!$B$36='Liste déroulante'!$B$2,'INFO G'!A109,'INFO G'!A100)</f>
        <v>AGFF Tr1</v>
      </c>
      <c r="B58" s="28"/>
      <c r="C58" s="255"/>
      <c r="D58" s="256">
        <f>VLOOKUP(A58,'INFO G'!A100:D117,2,FALSE)</f>
        <v>1875.9351648351649</v>
      </c>
      <c r="E58" s="484">
        <f>IF('INFO G'!$B$36='Liste déroulante'!$B$5,0,VLOOKUP(A58,'INFO G'!$A$99:$D$116,3,FALSE))</f>
        <v>8.0000000000000002E-3</v>
      </c>
      <c r="F58" s="277">
        <f>IFERROR(E58*D58,0)</f>
        <v>15.00748131868132</v>
      </c>
      <c r="G58" s="277"/>
      <c r="H58" s="278">
        <f>VLOOKUP(A58,'INFO G'!$A$99:$D$116,4,FALSE)</f>
        <v>1.2E-2</v>
      </c>
      <c r="I58" s="279">
        <f>IFERROR(H58*D58,0)</f>
        <v>22.511221978021979</v>
      </c>
    </row>
    <row r="59" spans="1:9" x14ac:dyDescent="0.25">
      <c r="A59" s="23" t="str">
        <f>IF('INFO G'!$B$36='Liste déroulante'!$B$2,'INFO G'!A110,'INFO G'!A101)</f>
        <v>ARRCO Tr2</v>
      </c>
      <c r="B59" s="28"/>
      <c r="C59" s="255"/>
      <c r="D59" s="256">
        <f>VLOOKUP(A59,'INFO G'!A101:D118,2,FALSE)</f>
        <v>0</v>
      </c>
      <c r="E59" s="484">
        <f>IF('INFO G'!$B$36='Liste déroulante'!$B$5,0,VLOOKUP(A59,'INFO G'!$A$99:$D$116,3,FALSE))</f>
        <v>8.1000000000000003E-2</v>
      </c>
      <c r="F59" s="277">
        <f t="shared" ref="F59:F64" si="1">IFERROR(E59*D59,0)</f>
        <v>0</v>
      </c>
      <c r="G59" s="277"/>
      <c r="H59" s="278">
        <f>VLOOKUP(A59,'INFO G'!$A$99:$D$116,4,FALSE)</f>
        <v>0.1215</v>
      </c>
      <c r="I59" s="279">
        <f t="shared" ref="I59:I65" si="2">IFERROR(H59*D59,0)</f>
        <v>0</v>
      </c>
    </row>
    <row r="60" spans="1:9" x14ac:dyDescent="0.25">
      <c r="A60" s="23" t="str">
        <f>IF('INFO G'!$B$36='Liste déroulante'!$B$2,'INFO G'!A111,'INFO G'!A102)</f>
        <v>AGGF Tr2</v>
      </c>
      <c r="B60" s="28"/>
      <c r="C60" s="255"/>
      <c r="D60" s="256">
        <f>VLOOKUP(A60,'INFO G'!A102:D119,2,FALSE)</f>
        <v>0</v>
      </c>
      <c r="E60" s="484">
        <f>IF('INFO G'!$B$36='Liste déroulante'!$B$5,0,VLOOKUP(A60,'INFO G'!$A$99:$D$116,3,FALSE))</f>
        <v>8.9999999999999993E-3</v>
      </c>
      <c r="F60" s="277">
        <f t="shared" si="1"/>
        <v>0</v>
      </c>
      <c r="G60" s="277"/>
      <c r="H60" s="278">
        <f>VLOOKUP(A60,'INFO G'!$A$99:$D$116,4,FALSE)</f>
        <v>1.2999999999999999E-2</v>
      </c>
      <c r="I60" s="279">
        <f t="shared" si="2"/>
        <v>0</v>
      </c>
    </row>
    <row r="61" spans="1:9" x14ac:dyDescent="0.25">
      <c r="A61" s="23">
        <f>IF('INFO G'!$B$36='Liste déroulante'!$B$2,'INFO G'!A112,'INFO G'!A103)</f>
        <v>0</v>
      </c>
      <c r="B61" s="28"/>
      <c r="C61" s="255"/>
      <c r="D61" s="256" t="str">
        <f>IFERROR(VLOOKUP(A61,'INFO G'!A103:D120,2,FALSE),"")</f>
        <v/>
      </c>
      <c r="E61" s="484" t="str">
        <f>IFERROR(VLOOKUP(A61,'INFO G'!$A$99:$D$116,3,FALSE),"")</f>
        <v/>
      </c>
      <c r="F61" s="277">
        <f t="shared" si="1"/>
        <v>0</v>
      </c>
      <c r="G61" s="277"/>
      <c r="H61" s="278" t="str">
        <f>IFERROR(VLOOKUP(A61,'INFO G'!$A$99:$D$116,4,FALSE),"")</f>
        <v/>
      </c>
      <c r="I61" s="279">
        <f t="shared" si="2"/>
        <v>0</v>
      </c>
    </row>
    <row r="62" spans="1:9" x14ac:dyDescent="0.25">
      <c r="A62" s="23">
        <f>IF('INFO G'!$B$36='Liste déroulante'!$B$2,'INFO G'!A113,'INFO G'!A104)</f>
        <v>0</v>
      </c>
      <c r="B62" s="28"/>
      <c r="C62" s="255"/>
      <c r="D62" s="256" t="str">
        <f>IFERROR(VLOOKUP(A62,'INFO G'!A104:D121,2,FALSE),"")</f>
        <v/>
      </c>
      <c r="E62" s="484" t="str">
        <f>IFERROR(VLOOKUP(A62,'INFO G'!$A$99:$D$116,3,FALSE),"")</f>
        <v/>
      </c>
      <c r="F62" s="277">
        <f t="shared" si="1"/>
        <v>0</v>
      </c>
      <c r="G62" s="277"/>
      <c r="H62" s="278" t="str">
        <f>IFERROR(VLOOKUP(A62,'INFO G'!$A$99:$D$116,4,FALSE),"")</f>
        <v/>
      </c>
      <c r="I62" s="279">
        <f t="shared" si="2"/>
        <v>0</v>
      </c>
    </row>
    <row r="63" spans="1:9" x14ac:dyDescent="0.25">
      <c r="A63" s="23">
        <f>IF('INFO G'!$B$36='Liste déroulante'!$B$2,'INFO G'!A114,'INFO G'!A105)</f>
        <v>0</v>
      </c>
      <c r="B63" s="28"/>
      <c r="C63" s="255"/>
      <c r="D63" s="256" t="str">
        <f>IFERROR(VLOOKUP(A63,'INFO G'!A105:D122,2,FALSE),"")</f>
        <v/>
      </c>
      <c r="E63" s="484" t="str">
        <f>IFERROR(VLOOKUP(A63,'INFO G'!$A$99:$D$116,3,FALSE),"")</f>
        <v/>
      </c>
      <c r="F63" s="277">
        <f t="shared" si="1"/>
        <v>0</v>
      </c>
      <c r="G63" s="277"/>
      <c r="H63" s="278" t="str">
        <f>IFERROR(VLOOKUP(A63,'INFO G'!$A$99:$D$116,4,FALSE),"")</f>
        <v/>
      </c>
      <c r="I63" s="279">
        <f t="shared" si="2"/>
        <v>0</v>
      </c>
    </row>
    <row r="64" spans="1:9" x14ac:dyDescent="0.25">
      <c r="A64" s="23">
        <f>IF('INFO G'!$B$36='Liste déroulante'!$B$2,'INFO G'!A115,'INFO G'!A106)</f>
        <v>0</v>
      </c>
      <c r="B64" s="28"/>
      <c r="C64" s="255"/>
      <c r="D64" s="256" t="str">
        <f>IFERROR(VLOOKUP(A64,'INFO G'!A106:D123,2,FALSE),"")</f>
        <v/>
      </c>
      <c r="E64" s="484" t="str">
        <f>IFERROR(VLOOKUP(A64,'INFO G'!$A$99:$D$116,3,FALSE),"")</f>
        <v/>
      </c>
      <c r="F64" s="277">
        <f t="shared" si="1"/>
        <v>0</v>
      </c>
      <c r="G64" s="277"/>
      <c r="H64" s="278" t="str">
        <f>IFERROR(VLOOKUP(A64,'INFO G'!$A$99:$D$116,4,FALSE),"")</f>
        <v/>
      </c>
      <c r="I64" s="279">
        <f t="shared" si="2"/>
        <v>0</v>
      </c>
    </row>
    <row r="65" spans="1:11" x14ac:dyDescent="0.25">
      <c r="A65" s="23">
        <f>IF('INFO G'!$B$36='Liste déroulante'!$B$2,'INFO G'!A116,'INFO G'!A107)</f>
        <v>0</v>
      </c>
      <c r="B65" s="28"/>
      <c r="C65" s="255"/>
      <c r="D65" s="256" t="str">
        <f>IFERROR(VLOOKUP(A65,'INFO G'!A107:D124,2,FALSE),"")</f>
        <v/>
      </c>
      <c r="E65" s="280"/>
      <c r="F65" s="281"/>
      <c r="G65" s="277"/>
      <c r="H65" s="278" t="str">
        <f>IFERROR(VLOOKUP(A65,'INFO G'!$A$99:$D$116,4,FALSE),"")</f>
        <v/>
      </c>
      <c r="I65" s="279">
        <f t="shared" si="2"/>
        <v>0</v>
      </c>
    </row>
    <row r="66" spans="1:11" x14ac:dyDescent="0.25">
      <c r="A66" s="23" t="s">
        <v>87</v>
      </c>
      <c r="B66" s="28"/>
      <c r="C66" s="255"/>
      <c r="D66" s="287">
        <f>'INFO G'!B118</f>
        <v>150</v>
      </c>
      <c r="E66" s="282">
        <f>'INFO G'!C118</f>
        <v>0.5</v>
      </c>
      <c r="F66" s="277">
        <f>IFERROR(D66*E66,0)</f>
        <v>75</v>
      </c>
      <c r="G66" s="277"/>
      <c r="H66" s="282">
        <f>'INFO G'!D118</f>
        <v>0.5</v>
      </c>
      <c r="I66" s="279">
        <f>IFERROR(H66*D66,0)</f>
        <v>75</v>
      </c>
    </row>
    <row r="67" spans="1:11" x14ac:dyDescent="0.25">
      <c r="A67" s="23" t="s">
        <v>114</v>
      </c>
      <c r="B67" s="28"/>
      <c r="C67" s="255"/>
      <c r="D67" s="277">
        <f>'INFO G'!B119</f>
        <v>1875.9351648351649</v>
      </c>
      <c r="E67" s="282">
        <f>IF('INFO G'!B36='Liste déroulante'!B5,0,'INFO G'!C119)</f>
        <v>0.01</v>
      </c>
      <c r="F67" s="277">
        <f>IFERROR(D67*E67,0)</f>
        <v>18.75935164835165</v>
      </c>
      <c r="G67" s="277"/>
      <c r="H67" s="282">
        <f>'INFO G'!D119</f>
        <v>0.02</v>
      </c>
      <c r="I67" s="279">
        <f>IFERROR(H67*D67,0)</f>
        <v>37.518703296703301</v>
      </c>
      <c r="K67" t="s">
        <v>666</v>
      </c>
    </row>
    <row r="68" spans="1:11" ht="15.75" thickBot="1" x14ac:dyDescent="0.3">
      <c r="A68" s="901"/>
      <c r="B68" s="902"/>
      <c r="C68" s="37"/>
      <c r="D68" s="283"/>
      <c r="E68" s="285"/>
      <c r="F68" s="283"/>
      <c r="G68" s="283"/>
      <c r="H68" s="285"/>
      <c r="I68" s="284"/>
    </row>
    <row r="69" spans="1:11" ht="15.75" thickBot="1" x14ac:dyDescent="0.3">
      <c r="A69" s="878" t="s">
        <v>88</v>
      </c>
      <c r="B69" s="879"/>
      <c r="C69" s="40"/>
      <c r="D69" s="270" t="s">
        <v>102</v>
      </c>
      <c r="E69" s="271" t="s">
        <v>350</v>
      </c>
      <c r="F69" s="271" t="s">
        <v>351</v>
      </c>
      <c r="G69" s="271"/>
      <c r="H69" s="271" t="s">
        <v>352</v>
      </c>
      <c r="I69" s="272" t="s">
        <v>353</v>
      </c>
    </row>
    <row r="70" spans="1:11" x14ac:dyDescent="0.25">
      <c r="A70" s="22" t="s">
        <v>89</v>
      </c>
      <c r="B70" s="27"/>
      <c r="C70" s="273"/>
      <c r="D70" s="274">
        <f>'INFO G'!B121</f>
        <v>1875.9351648351649</v>
      </c>
      <c r="E70" s="288"/>
      <c r="F70" s="289"/>
      <c r="G70" s="274"/>
      <c r="H70" s="275">
        <f>'INFO G'!D121</f>
        <v>5.0000000000000001E-3</v>
      </c>
      <c r="I70" s="276">
        <f>H70*D70</f>
        <v>9.3796758241758251</v>
      </c>
    </row>
    <row r="71" spans="1:11" x14ac:dyDescent="0.25">
      <c r="A71" s="23" t="s">
        <v>90</v>
      </c>
      <c r="B71" s="28"/>
      <c r="C71" s="255"/>
      <c r="D71" s="277">
        <f>'INFO G'!B122</f>
        <v>1875.9351648351649</v>
      </c>
      <c r="E71" s="281"/>
      <c r="F71" s="281"/>
      <c r="G71" s="277"/>
      <c r="H71" s="278">
        <f>IF('INFO G'!$B$36='Liste déroulante'!$B$5,0,'INFO G'!D122)</f>
        <v>0.01</v>
      </c>
      <c r="I71" s="279">
        <f>H71*D71</f>
        <v>18.75935164835165</v>
      </c>
    </row>
    <row r="72" spans="1:11" x14ac:dyDescent="0.25">
      <c r="A72" s="29" t="s">
        <v>91</v>
      </c>
      <c r="B72" s="30"/>
      <c r="C72" s="290"/>
      <c r="D72" s="277">
        <f>'INFO G'!B123</f>
        <v>1875.9351648351649</v>
      </c>
      <c r="E72" s="292"/>
      <c r="F72" s="293"/>
      <c r="G72" s="291"/>
      <c r="H72" s="278">
        <f>IF('INFO G'!$B$36='Liste déroulante'!$B$5,0,'INFO G'!D123)</f>
        <v>1.6000000000000001E-4</v>
      </c>
      <c r="I72" s="489">
        <f t="shared" ref="I72:I81" si="3">H72*D72</f>
        <v>0.30014962637362641</v>
      </c>
    </row>
    <row r="73" spans="1:11" x14ac:dyDescent="0.25">
      <c r="A73" s="23" t="s">
        <v>92</v>
      </c>
      <c r="B73" s="31"/>
      <c r="C73" s="290"/>
      <c r="D73" s="277">
        <f>'INFO G'!B124</f>
        <v>1955.6250027472529</v>
      </c>
      <c r="E73" s="294">
        <f>IF('INFO G'!$B$36='Liste déroulante'!$B$5,0,'INFO G'!C124)</f>
        <v>2.4E-2</v>
      </c>
      <c r="F73" s="295">
        <f>IFERROR(E73*D73,0)</f>
        <v>46.935000065934069</v>
      </c>
      <c r="G73" s="291"/>
      <c r="H73" s="281"/>
      <c r="I73" s="490"/>
    </row>
    <row r="74" spans="1:11" x14ac:dyDescent="0.25">
      <c r="A74" s="23" t="s">
        <v>93</v>
      </c>
      <c r="B74" s="31"/>
      <c r="C74" s="290"/>
      <c r="D74" s="277">
        <f>'INFO G'!B125</f>
        <v>1955.6250027472529</v>
      </c>
      <c r="E74" s="294">
        <f>IF('INFO G'!$B$36='Liste déroulante'!$B$5,0,'INFO G'!C125)</f>
        <v>5.0000000000000001E-3</v>
      </c>
      <c r="F74" s="295">
        <f>IFERROR(E74*D74,0)</f>
        <v>9.7781250137362647</v>
      </c>
      <c r="G74" s="291"/>
      <c r="H74" s="293"/>
      <c r="I74" s="490"/>
    </row>
    <row r="75" spans="1:11" x14ac:dyDescent="0.25">
      <c r="A75" s="23" t="s">
        <v>94</v>
      </c>
      <c r="B75" s="28"/>
      <c r="C75" s="255"/>
      <c r="D75" s="277">
        <f>'INFO G'!B126</f>
        <v>1875.9351648351649</v>
      </c>
      <c r="E75" s="280"/>
      <c r="F75" s="281"/>
      <c r="G75" s="277"/>
      <c r="H75" s="278">
        <f>IF('INFO G'!$B$36='Liste déroulante'!$B$5,0,'INFO G'!D126)</f>
        <v>0</v>
      </c>
      <c r="I75" s="279">
        <f>IF(D75="",0,H75*D75)</f>
        <v>0</v>
      </c>
    </row>
    <row r="76" spans="1:11" x14ac:dyDescent="0.25">
      <c r="A76" s="900" t="s">
        <v>95</v>
      </c>
      <c r="B76" s="880"/>
      <c r="C76" s="255"/>
      <c r="D76" s="277"/>
      <c r="E76" s="280"/>
      <c r="F76" s="281"/>
      <c r="G76" s="277"/>
      <c r="H76" s="278"/>
      <c r="I76" s="279">
        <f>'INFO G'!D127</f>
        <v>-362.35396245941644</v>
      </c>
    </row>
    <row r="77" spans="1:11" x14ac:dyDescent="0.25">
      <c r="A77" s="32" t="s">
        <v>96</v>
      </c>
      <c r="B77" s="33"/>
      <c r="C77" s="255"/>
      <c r="D77" s="277">
        <f>IF(EFFECTIF&gt;=20,0,TOT_HSUP)</f>
        <v>0</v>
      </c>
      <c r="E77" s="280"/>
      <c r="F77" s="281"/>
      <c r="G77" s="277"/>
      <c r="H77" s="772">
        <v>1.5</v>
      </c>
      <c r="I77" s="279">
        <f t="shared" ref="I77" si="4">IF(D77="","",H77*D77)</f>
        <v>0</v>
      </c>
    </row>
    <row r="78" spans="1:11" x14ac:dyDescent="0.25">
      <c r="A78" s="23" t="s">
        <v>97</v>
      </c>
      <c r="B78" s="28"/>
      <c r="C78" s="255"/>
      <c r="D78" s="277">
        <f>'INFO G'!B129</f>
        <v>1875.9351648351649</v>
      </c>
      <c r="E78" s="280"/>
      <c r="F78" s="281"/>
      <c r="G78" s="277"/>
      <c r="H78" s="278">
        <f>IF('INFO G'!$B$36='Liste déroulante'!$B$5,0,'INFO G'!D129)</f>
        <v>4.5000000000000005E-3</v>
      </c>
      <c r="I78" s="279">
        <f>IF(D78="",0,H78*D78)</f>
        <v>8.4417082417582421</v>
      </c>
    </row>
    <row r="79" spans="1:11" x14ac:dyDescent="0.25">
      <c r="A79" s="23" t="s">
        <v>98</v>
      </c>
      <c r="B79" s="28"/>
      <c r="C79" s="296"/>
      <c r="D79" s="277" t="str">
        <f>'INFO G'!B130</f>
        <v/>
      </c>
      <c r="E79" s="280"/>
      <c r="F79" s="281"/>
      <c r="G79" s="277"/>
      <c r="H79" s="278">
        <f>IF('INFO G'!$B$36='Liste déroulante'!$B$5,0,'INFO G'!D130)</f>
        <v>4.2500000000000003E-2</v>
      </c>
      <c r="I79" s="279">
        <f>IFERROR(H79*D79,0)</f>
        <v>0</v>
      </c>
    </row>
    <row r="80" spans="1:11" x14ac:dyDescent="0.25">
      <c r="A80" s="23" t="s">
        <v>99</v>
      </c>
      <c r="B80" s="28"/>
      <c r="C80" s="255"/>
      <c r="D80" s="277">
        <f>'INFO G'!B131</f>
        <v>1875.9351648351649</v>
      </c>
      <c r="E80" s="280"/>
      <c r="F80" s="281"/>
      <c r="G80" s="277"/>
      <c r="H80" s="278">
        <f>IF('INFO G'!$B$36='Liste déroulante'!$B$5,0,'INFO G'!D131)</f>
        <v>6.7999999999999996E-3</v>
      </c>
      <c r="I80" s="279">
        <f t="shared" si="3"/>
        <v>12.75635912087912</v>
      </c>
    </row>
    <row r="81" spans="1:9" x14ac:dyDescent="0.25">
      <c r="A81" s="23" t="s">
        <v>100</v>
      </c>
      <c r="B81" s="28"/>
      <c r="C81" s="255"/>
      <c r="D81" s="277">
        <f>'INFO G'!B132</f>
        <v>1875.9351648351649</v>
      </c>
      <c r="E81" s="280"/>
      <c r="F81" s="281"/>
      <c r="G81" s="277"/>
      <c r="H81" s="278">
        <f>IF('INFO G'!$B$36='Liste déroulante'!$B$5,0,'INFO G'!D132)</f>
        <v>0.01</v>
      </c>
      <c r="I81" s="279">
        <f t="shared" si="3"/>
        <v>18.75935164835165</v>
      </c>
    </row>
    <row r="82" spans="1:9" ht="15.75" thickBot="1" x14ac:dyDescent="0.3">
      <c r="A82" s="900"/>
      <c r="B82" s="880"/>
      <c r="C82" s="255"/>
      <c r="D82" s="277"/>
      <c r="E82" s="278"/>
      <c r="F82" s="277"/>
      <c r="G82" s="277"/>
      <c r="H82" s="278"/>
      <c r="I82" s="279"/>
    </row>
    <row r="83" spans="1:9" ht="15.75" thickBot="1" x14ac:dyDescent="0.3">
      <c r="A83" s="38"/>
      <c r="B83" s="39"/>
      <c r="C83" s="39"/>
      <c r="D83" s="283"/>
      <c r="E83" s="297" t="s">
        <v>354</v>
      </c>
      <c r="F83" s="298">
        <f>SUM(F40:F82)</f>
        <v>519.40604802197799</v>
      </c>
      <c r="G83" s="283"/>
      <c r="H83" s="299" t="s">
        <v>355</v>
      </c>
      <c r="I83" s="298">
        <f>SUM(I40:I82)</f>
        <v>547.73434299113296</v>
      </c>
    </row>
    <row r="84" spans="1:9" ht="15.75" thickBot="1" x14ac:dyDescent="0.3">
      <c r="A84" s="38"/>
      <c r="B84" s="300"/>
      <c r="C84" s="301"/>
      <c r="D84" s="881" t="s">
        <v>356</v>
      </c>
      <c r="E84" s="882"/>
      <c r="F84" s="409">
        <f>SBRUT-COTSAL</f>
        <v>1356.5291168131869</v>
      </c>
      <c r="G84" s="283"/>
      <c r="H84" s="300"/>
      <c r="I84" s="284"/>
    </row>
    <row r="85" spans="1:9" x14ac:dyDescent="0.25">
      <c r="A85" s="258"/>
      <c r="B85" s="258"/>
      <c r="C85" s="302"/>
      <c r="D85" s="287"/>
      <c r="E85" s="287"/>
      <c r="F85" s="287"/>
      <c r="G85" s="277"/>
      <c r="H85" s="277"/>
      <c r="I85" s="279"/>
    </row>
    <row r="86" spans="1:9" x14ac:dyDescent="0.25">
      <c r="A86" s="886" t="s">
        <v>274</v>
      </c>
      <c r="B86" s="887"/>
      <c r="C86" s="296"/>
      <c r="D86" s="315">
        <f>IFERROR(IF(VLOOKUP(A86,'Récap Bulletin'!M2:O49,2,FALSE)="","",VLOOKUP(A86,'Récap Bulletin'!M2:O49,2,FALSE)),"")</f>
        <v>20</v>
      </c>
      <c r="E86" s="315"/>
      <c r="F86" s="998">
        <f>IFERROR(IF(VLOOKUP(A86,'Récap Bulletin'!M2:O49,3,FALSE)="","",VLOOKUP(A86,'Récap Bulletin'!M2:O49,3,FALSE)),"")</f>
        <v>-120</v>
      </c>
      <c r="G86" s="277"/>
      <c r="H86" s="277"/>
      <c r="I86" s="279"/>
    </row>
    <row r="87" spans="1:9" x14ac:dyDescent="0.25">
      <c r="A87" s="886" t="s">
        <v>277</v>
      </c>
      <c r="B87" s="887"/>
      <c r="C87" s="302"/>
      <c r="D87" s="315">
        <f>IFERROR(IF(VLOOKUP(A87,'Récap Bulletin'!M3:O50,2,FALSE)="","",VLOOKUP(A87,'Récap Bulletin'!M3:O50,2,FALSE)),"")</f>
        <v>20</v>
      </c>
      <c r="E87" s="315"/>
      <c r="F87" s="998">
        <f>IFERROR(IF(VLOOKUP(A87,'Récap Bulletin'!M3:O50,3,FALSE)="","",VLOOKUP(A87,'Récap Bulletin'!M3:O50,3,FALSE)),"")</f>
        <v>-12.400000000000002</v>
      </c>
      <c r="G87" s="277"/>
      <c r="H87" s="277"/>
      <c r="I87" s="279"/>
    </row>
    <row r="88" spans="1:9" x14ac:dyDescent="0.25">
      <c r="A88" s="886"/>
      <c r="B88" s="887"/>
      <c r="C88" s="302"/>
      <c r="D88" s="315" t="str">
        <f>IFERROR(IF(VLOOKUP(A88,'Récap Bulletin'!M4:O51,2,FALSE)="","",VLOOKUP(A88,'Récap Bulletin'!M4:O51,2,FALSE)),"")</f>
        <v/>
      </c>
      <c r="E88" s="315"/>
      <c r="F88" s="998" t="str">
        <f>IFERROR(IF(VLOOKUP(A88,'Récap Bulletin'!M4:O51,3,FALSE)="","",VLOOKUP(A88,'Récap Bulletin'!M4:O51,3,FALSE)),"")</f>
        <v/>
      </c>
      <c r="G88" s="277"/>
      <c r="H88" s="277"/>
      <c r="I88" s="279"/>
    </row>
    <row r="89" spans="1:9" x14ac:dyDescent="0.25">
      <c r="A89" s="886"/>
      <c r="B89" s="887"/>
      <c r="C89" s="302"/>
      <c r="D89" s="315" t="str">
        <f>IFERROR(IF(VLOOKUP(A89,'Récap Bulletin'!M5:O52,2,FALSE)="","",VLOOKUP(A89,'Récap Bulletin'!M5:O52,2,FALSE)),"")</f>
        <v/>
      </c>
      <c r="E89" s="315"/>
      <c r="F89" s="998" t="str">
        <f>IFERROR(IF(VLOOKUP(A89,'Récap Bulletin'!M5:O52,3,FALSE)="","",VLOOKUP(A89,'Récap Bulletin'!M5:O52,3,FALSE)),"")</f>
        <v/>
      </c>
      <c r="G89" s="277"/>
      <c r="H89" s="277"/>
      <c r="I89" s="279"/>
    </row>
    <row r="90" spans="1:9" x14ac:dyDescent="0.25">
      <c r="A90" s="886"/>
      <c r="B90" s="887"/>
      <c r="C90" s="302"/>
      <c r="D90" s="315" t="str">
        <f>IFERROR(IF(VLOOKUP(A90,'Récap Bulletin'!M6:O53,2,FALSE)="","",VLOOKUP(A90,'Récap Bulletin'!M6:O53,2,FALSE)),"")</f>
        <v/>
      </c>
      <c r="E90" s="315"/>
      <c r="F90" s="998" t="str">
        <f>IFERROR(IF(VLOOKUP(A90,'Récap Bulletin'!M6:O53,3,FALSE)="","",VLOOKUP(A90,'Récap Bulletin'!M6:O53,3,FALSE)),"")</f>
        <v/>
      </c>
      <c r="G90" s="277"/>
      <c r="H90" s="277"/>
      <c r="I90" s="279"/>
    </row>
    <row r="91" spans="1:9" x14ac:dyDescent="0.25">
      <c r="A91" s="886"/>
      <c r="B91" s="887"/>
      <c r="C91" s="302"/>
      <c r="D91" s="315" t="str">
        <f>IFERROR(IF(VLOOKUP(A91,'Récap Bulletin'!M7:O54,2,FALSE)="","",VLOOKUP(A91,'Récap Bulletin'!M7:O54,2,FALSE)),"")</f>
        <v/>
      </c>
      <c r="E91" s="315"/>
      <c r="F91" s="998" t="str">
        <f>IFERROR(IF(VLOOKUP(A91,'Récap Bulletin'!M7:O54,3,FALSE)="","",VLOOKUP(A91,'Récap Bulletin'!M7:O54,3,FALSE)),"")</f>
        <v/>
      </c>
      <c r="G91" s="277"/>
      <c r="H91" s="277"/>
      <c r="I91" s="279"/>
    </row>
    <row r="92" spans="1:9" x14ac:dyDescent="0.25">
      <c r="A92" s="886"/>
      <c r="B92" s="887"/>
      <c r="C92" s="302"/>
      <c r="D92" s="315" t="str">
        <f>IFERROR(IF(VLOOKUP(A92,'Récap Bulletin'!M8:O55,2,FALSE)="","",VLOOKUP(A92,'Récap Bulletin'!M8:O55,2,FALSE)),"")</f>
        <v/>
      </c>
      <c r="E92" s="315"/>
      <c r="F92" s="998" t="str">
        <f>IFERROR(IF(VLOOKUP(A92,'Récap Bulletin'!M8:O55,3,FALSE)="","",VLOOKUP(A92,'Récap Bulletin'!M8:O55,3,FALSE)),"")</f>
        <v/>
      </c>
      <c r="G92" s="277"/>
      <c r="H92" s="277"/>
      <c r="I92" s="279"/>
    </row>
    <row r="93" spans="1:9" x14ac:dyDescent="0.25">
      <c r="A93" s="886"/>
      <c r="B93" s="887"/>
      <c r="C93" s="302"/>
      <c r="D93" s="315" t="str">
        <f>IFERROR(IF(VLOOKUP(A93,'Récap Bulletin'!M9:O56,2,FALSE)="","",VLOOKUP(A93,'Récap Bulletin'!M9:O56,2,FALSE)),"")</f>
        <v/>
      </c>
      <c r="E93" s="315"/>
      <c r="F93" s="998" t="str">
        <f>IFERROR(IF(VLOOKUP(A93,'Récap Bulletin'!M9:O56,3,FALSE)="","",VLOOKUP(A93,'Récap Bulletin'!M9:O56,3,FALSE)),"")</f>
        <v/>
      </c>
      <c r="G93" s="277"/>
      <c r="H93" s="277"/>
      <c r="I93" s="279"/>
    </row>
    <row r="94" spans="1:9" x14ac:dyDescent="0.25">
      <c r="A94" s="886"/>
      <c r="B94" s="887"/>
      <c r="C94" s="302"/>
      <c r="D94" s="315" t="str">
        <f>IFERROR(IF(VLOOKUP(A94,'Récap Bulletin'!M10:O57,2,FALSE)="","",VLOOKUP(A94,'Récap Bulletin'!M10:O57,2,FALSE)),"")</f>
        <v/>
      </c>
      <c r="E94" s="315"/>
      <c r="F94" s="998" t="str">
        <f>IFERROR(IF(VLOOKUP(A94,'Récap Bulletin'!M10:O57,3,FALSE)="","",VLOOKUP(A94,'Récap Bulletin'!M10:O57,3,FALSE)),"")</f>
        <v/>
      </c>
      <c r="G94" s="277"/>
      <c r="H94" s="277"/>
      <c r="I94" s="279"/>
    </row>
    <row r="95" spans="1:9" x14ac:dyDescent="0.25">
      <c r="A95" s="886"/>
      <c r="B95" s="887"/>
      <c r="C95" s="302"/>
      <c r="D95" s="315" t="str">
        <f>IFERROR(IF(VLOOKUP(A95,'Récap Bulletin'!M11:O58,2,FALSE)="","",VLOOKUP(A95,'Récap Bulletin'!M11:O58,2,FALSE)),"")</f>
        <v/>
      </c>
      <c r="E95" s="315"/>
      <c r="F95" s="998" t="str">
        <f>IFERROR(IF(VLOOKUP(A95,'Récap Bulletin'!M11:O58,3,FALSE)="","",VLOOKUP(A95,'Récap Bulletin'!M11:O58,3,FALSE)),"")</f>
        <v/>
      </c>
      <c r="G95" s="277"/>
      <c r="H95" s="277"/>
      <c r="I95" s="279"/>
    </row>
    <row r="96" spans="1:9" x14ac:dyDescent="0.25">
      <c r="A96" s="886"/>
      <c r="B96" s="887"/>
      <c r="C96" s="302"/>
      <c r="D96" s="315" t="str">
        <f>IFERROR(IF(VLOOKUP(A96,'Récap Bulletin'!M12:O59,2,FALSE)="","",VLOOKUP(A96,'Récap Bulletin'!M12:O59,2,FALSE)),"")</f>
        <v/>
      </c>
      <c r="E96" s="315"/>
      <c r="F96" s="998" t="str">
        <f>IFERROR(IF(VLOOKUP(A96,'Récap Bulletin'!M12:O59,3,FALSE)="","",VLOOKUP(A96,'Récap Bulletin'!M12:O59,3,FALSE)),"")</f>
        <v/>
      </c>
      <c r="G96" s="277"/>
      <c r="H96" s="277"/>
      <c r="I96" s="279"/>
    </row>
    <row r="97" spans="1:9" x14ac:dyDescent="0.25">
      <c r="A97" s="886"/>
      <c r="B97" s="887"/>
      <c r="C97" s="302"/>
      <c r="D97" s="315" t="str">
        <f>IFERROR(IF(VLOOKUP(A97,'Récap Bulletin'!M13:O60,2,FALSE)="","",VLOOKUP(A97,'Récap Bulletin'!M13:O60,2,FALSE)),"")</f>
        <v/>
      </c>
      <c r="E97" s="315"/>
      <c r="F97" s="998" t="str">
        <f>IFERROR(IF(VLOOKUP(A97,'Récap Bulletin'!M13:O60,3,FALSE)="","",VLOOKUP(A97,'Récap Bulletin'!M13:O60,3,FALSE)),"")</f>
        <v/>
      </c>
      <c r="G97" s="277"/>
      <c r="H97" s="277"/>
      <c r="I97" s="279"/>
    </row>
    <row r="98" spans="1:9" x14ac:dyDescent="0.25">
      <c r="A98" s="886"/>
      <c r="B98" s="887"/>
      <c r="C98" s="302"/>
      <c r="D98" s="315" t="str">
        <f>IFERROR(IF(VLOOKUP(A98,'Récap Bulletin'!M14:O61,2,FALSE)="","",VLOOKUP(A98,'Récap Bulletin'!M14:O61,2,FALSE)),"")</f>
        <v/>
      </c>
      <c r="E98" s="315"/>
      <c r="F98" s="998" t="str">
        <f>IFERROR(IF(VLOOKUP(A98,'Récap Bulletin'!M14:O61,3,FALSE)="","",VLOOKUP(A98,'Récap Bulletin'!M14:O61,3,FALSE)),"")</f>
        <v/>
      </c>
      <c r="G98" s="277"/>
      <c r="H98" s="277"/>
      <c r="I98" s="279"/>
    </row>
    <row r="99" spans="1:9" ht="15.75" thickBot="1" x14ac:dyDescent="0.3">
      <c r="A99" s="448"/>
      <c r="B99" s="449"/>
      <c r="C99" s="302"/>
      <c r="D99" s="287"/>
      <c r="E99" s="287"/>
      <c r="F99" s="287"/>
      <c r="G99" s="277"/>
      <c r="H99" s="277"/>
      <c r="I99" s="279"/>
    </row>
    <row r="100" spans="1:9" ht="15.75" thickBot="1" x14ac:dyDescent="0.3">
      <c r="A100" s="883"/>
      <c r="B100" s="884"/>
      <c r="C100" s="303"/>
      <c r="D100" s="303"/>
      <c r="E100" s="304" t="s">
        <v>357</v>
      </c>
      <c r="F100" s="298">
        <f>SUM(F86:F99)</f>
        <v>-132.4</v>
      </c>
      <c r="G100" s="303"/>
      <c r="H100" s="299" t="s">
        <v>355</v>
      </c>
      <c r="I100" s="305">
        <f>COTPAT</f>
        <v>547.73434299113296</v>
      </c>
    </row>
    <row r="101" spans="1:9" ht="15.75" thickBot="1" x14ac:dyDescent="0.3">
      <c r="A101" s="306"/>
      <c r="B101" s="307"/>
      <c r="C101" s="39"/>
      <c r="D101" s="39"/>
      <c r="E101" s="39"/>
      <c r="F101" s="39"/>
      <c r="G101" s="39"/>
      <c r="H101" s="39"/>
      <c r="I101" s="284"/>
    </row>
    <row r="102" spans="1:9" ht="15.75" thickBot="1" x14ac:dyDescent="0.3">
      <c r="A102" s="38"/>
      <c r="B102" s="39"/>
      <c r="C102" s="881" t="s">
        <v>358</v>
      </c>
      <c r="D102" s="885"/>
      <c r="E102" s="882"/>
      <c r="F102" s="409">
        <f>SNETCOT+Total_RETENUE</f>
        <v>1224.1291168131868</v>
      </c>
      <c r="G102" s="283"/>
      <c r="H102" s="259"/>
      <c r="I102" s="284"/>
    </row>
    <row r="103" spans="1:9" x14ac:dyDescent="0.25">
      <c r="A103" s="38"/>
      <c r="B103" s="39"/>
      <c r="C103" s="39"/>
      <c r="D103" s="283"/>
      <c r="E103" s="283"/>
      <c r="F103" s="283"/>
      <c r="G103" s="283"/>
      <c r="H103" s="283"/>
      <c r="I103" s="284"/>
    </row>
    <row r="104" spans="1:9" ht="15.75" thickBot="1" x14ac:dyDescent="0.3">
      <c r="A104" s="38"/>
      <c r="B104" s="39"/>
      <c r="C104" s="39"/>
      <c r="D104" s="283"/>
      <c r="E104" s="283"/>
      <c r="F104" s="283"/>
      <c r="G104" s="283"/>
      <c r="H104" s="283"/>
      <c r="I104" s="284"/>
    </row>
    <row r="105" spans="1:9" ht="15.75" thickBot="1" x14ac:dyDescent="0.3">
      <c r="A105" s="38"/>
      <c r="B105" s="39"/>
      <c r="C105" s="39"/>
      <c r="D105" s="283"/>
      <c r="E105" s="283"/>
      <c r="F105" s="283"/>
      <c r="G105" s="283"/>
      <c r="H105" s="881" t="s">
        <v>359</v>
      </c>
      <c r="I105" s="882"/>
    </row>
    <row r="106" spans="1:9" ht="15.75" thickBot="1" x14ac:dyDescent="0.3">
      <c r="A106" s="308"/>
      <c r="B106" s="261"/>
      <c r="C106" s="261"/>
      <c r="D106" s="309"/>
      <c r="E106" s="309"/>
      <c r="F106" s="309"/>
      <c r="G106" s="309"/>
      <c r="H106" s="888">
        <f>SNAP</f>
        <v>1224.1291168131868</v>
      </c>
      <c r="I106" s="889"/>
    </row>
    <row r="107" spans="1:9" ht="15.75" thickBot="1" x14ac:dyDescent="0.3">
      <c r="A107" s="890" t="s">
        <v>360</v>
      </c>
      <c r="B107" s="891"/>
      <c r="C107" s="412"/>
      <c r="D107" s="413"/>
      <c r="E107" s="413"/>
      <c r="F107" s="413"/>
      <c r="G107" s="413"/>
      <c r="H107" s="413"/>
      <c r="I107" s="414"/>
    </row>
    <row r="108" spans="1:9" x14ac:dyDescent="0.25">
      <c r="A108" s="38"/>
      <c r="B108" s="39"/>
      <c r="C108" s="39"/>
      <c r="D108" s="39"/>
      <c r="E108" s="39"/>
      <c r="F108" s="39"/>
      <c r="G108" s="39"/>
      <c r="H108" s="39"/>
      <c r="I108" s="310"/>
    </row>
    <row r="109" spans="1:9" ht="15.75" thickBot="1" x14ac:dyDescent="0.3">
      <c r="A109" s="38"/>
      <c r="B109" s="39"/>
      <c r="C109" s="39"/>
      <c r="D109" s="39"/>
      <c r="E109" s="39"/>
      <c r="F109" s="39"/>
      <c r="G109" s="39"/>
      <c r="H109" s="39"/>
      <c r="I109" s="310"/>
    </row>
    <row r="110" spans="1:9" ht="15.75" thickBot="1" x14ac:dyDescent="0.3">
      <c r="A110" s="890" t="s">
        <v>361</v>
      </c>
      <c r="B110" s="891"/>
      <c r="C110" s="412"/>
      <c r="D110" s="413"/>
      <c r="E110" s="413"/>
      <c r="F110" s="413"/>
      <c r="G110" s="413"/>
      <c r="H110" s="413"/>
      <c r="I110" s="414"/>
    </row>
    <row r="111" spans="1:9" x14ac:dyDescent="0.25">
      <c r="A111" s="38"/>
      <c r="B111" s="39"/>
      <c r="C111" s="39"/>
      <c r="D111" s="39"/>
      <c r="E111" s="39"/>
      <c r="F111" s="39"/>
      <c r="G111" s="39"/>
      <c r="H111" s="39"/>
      <c r="I111" s="310"/>
    </row>
    <row r="112" spans="1:9" ht="15.75" thickBot="1" x14ac:dyDescent="0.3">
      <c r="A112" s="308"/>
      <c r="B112" s="261"/>
      <c r="C112" s="261"/>
      <c r="D112" s="261"/>
      <c r="E112" s="261"/>
      <c r="F112" s="261"/>
      <c r="G112" s="261"/>
      <c r="H112" s="261"/>
      <c r="I112" s="311"/>
    </row>
    <row r="113" spans="1:9" x14ac:dyDescent="0.25">
      <c r="A113" s="259" t="s">
        <v>362</v>
      </c>
      <c r="B113" s="259"/>
      <c r="C113" s="259"/>
      <c r="D113" s="259"/>
      <c r="E113" s="259"/>
      <c r="F113" s="259"/>
      <c r="G113" s="892" t="s">
        <v>363</v>
      </c>
      <c r="H113" s="893"/>
      <c r="I113" s="415" t="s">
        <v>364</v>
      </c>
    </row>
    <row r="114" spans="1:9" ht="15.75" thickBot="1" x14ac:dyDescent="0.3">
      <c r="A114" s="259" t="s">
        <v>365</v>
      </c>
      <c r="B114" s="259"/>
      <c r="C114" s="259"/>
      <c r="D114" s="259"/>
      <c r="E114" s="259"/>
      <c r="F114" s="259"/>
      <c r="G114" s="416"/>
      <c r="H114" s="417">
        <f>SNAP</f>
        <v>1224.1291168131868</v>
      </c>
      <c r="I114" s="418">
        <f>SNAP+F73+F74+I66-'Récap Bulletin'!O18-'Récap Bulletin'!O17</f>
        <v>1355.8422418928571</v>
      </c>
    </row>
    <row r="115" spans="1:9" x14ac:dyDescent="0.25">
      <c r="A115" s="259"/>
      <c r="B115" s="259"/>
      <c r="C115" s="259"/>
      <c r="D115" s="259"/>
      <c r="E115" s="259"/>
      <c r="F115" s="259"/>
      <c r="G115" s="259"/>
      <c r="H115" s="259"/>
      <c r="I115" s="259"/>
    </row>
    <row r="116" spans="1:9" x14ac:dyDescent="0.25">
      <c r="A116" s="259"/>
      <c r="B116" s="259"/>
      <c r="C116" s="259"/>
      <c r="D116" s="259"/>
      <c r="E116" s="259"/>
      <c r="F116" s="259"/>
      <c r="G116" s="259"/>
      <c r="H116" s="259"/>
      <c r="I116" s="259"/>
    </row>
    <row r="117" spans="1:9" x14ac:dyDescent="0.25">
      <c r="A117" s="259"/>
      <c r="B117" s="259"/>
      <c r="C117" s="259"/>
      <c r="D117" s="259"/>
      <c r="E117" s="259"/>
      <c r="F117" s="259"/>
      <c r="G117" s="259"/>
      <c r="H117" s="259"/>
      <c r="I117" s="259"/>
    </row>
    <row r="118" spans="1:9" x14ac:dyDescent="0.25">
      <c r="A118" s="259"/>
      <c r="B118" s="259"/>
      <c r="C118" s="259"/>
      <c r="D118" s="259"/>
      <c r="E118" s="259"/>
      <c r="F118" s="259"/>
      <c r="G118" s="259"/>
      <c r="H118" s="259"/>
      <c r="I118" s="259"/>
    </row>
    <row r="119" spans="1:9" x14ac:dyDescent="0.25">
      <c r="A119" s="259"/>
      <c r="B119" s="259"/>
      <c r="C119" s="259"/>
      <c r="D119" s="259"/>
      <c r="E119" s="259"/>
      <c r="F119" s="259"/>
      <c r="G119" s="259"/>
      <c r="H119" s="259"/>
      <c r="I119" s="259"/>
    </row>
    <row r="120" spans="1:9" x14ac:dyDescent="0.25">
      <c r="A120" s="259"/>
      <c r="B120" s="259"/>
      <c r="C120" s="259"/>
      <c r="D120" s="259"/>
      <c r="E120" s="259"/>
      <c r="F120" s="259"/>
      <c r="G120" s="259"/>
      <c r="H120" s="259"/>
      <c r="I120" s="259"/>
    </row>
    <row r="121" spans="1:9" x14ac:dyDescent="0.25">
      <c r="A121" s="259"/>
      <c r="B121" s="259"/>
      <c r="C121" s="259"/>
      <c r="D121" s="259"/>
      <c r="E121" s="259"/>
      <c r="F121" s="259"/>
      <c r="G121" s="259"/>
      <c r="H121" s="259"/>
      <c r="I121" s="259"/>
    </row>
    <row r="122" spans="1:9" x14ac:dyDescent="0.25">
      <c r="A122" s="259"/>
      <c r="B122" s="259"/>
      <c r="C122" s="259"/>
      <c r="D122" s="259"/>
      <c r="E122" s="259"/>
      <c r="F122" s="259"/>
      <c r="G122" s="259"/>
      <c r="H122" s="259"/>
      <c r="I122" s="259"/>
    </row>
    <row r="123" spans="1:9" x14ac:dyDescent="0.25">
      <c r="A123" s="259"/>
      <c r="B123" s="259"/>
      <c r="C123" s="259"/>
      <c r="D123" s="259"/>
      <c r="E123" s="259"/>
      <c r="F123" s="259"/>
      <c r="G123" s="259"/>
      <c r="H123" s="259"/>
      <c r="I123" s="259"/>
    </row>
    <row r="124" spans="1:9" x14ac:dyDescent="0.25">
      <c r="A124" s="259"/>
      <c r="B124" s="259"/>
      <c r="C124" s="259"/>
      <c r="D124" s="259"/>
      <c r="E124" s="259"/>
      <c r="F124" s="259"/>
      <c r="G124" s="259"/>
      <c r="H124" s="259"/>
      <c r="I124" s="259"/>
    </row>
    <row r="125" spans="1:9" x14ac:dyDescent="0.25">
      <c r="A125" s="259"/>
      <c r="B125" s="259"/>
      <c r="C125" s="259"/>
      <c r="D125" s="259"/>
      <c r="E125" s="259"/>
      <c r="F125" s="259"/>
      <c r="G125" s="259"/>
      <c r="H125" s="259"/>
      <c r="I125" s="259"/>
    </row>
    <row r="126" spans="1:9" x14ac:dyDescent="0.25">
      <c r="A126" s="259"/>
      <c r="B126" s="259"/>
      <c r="C126" s="259"/>
      <c r="D126" s="259"/>
      <c r="E126" s="259"/>
      <c r="F126" s="259"/>
      <c r="G126" s="259"/>
      <c r="H126" s="259"/>
      <c r="I126" s="259"/>
    </row>
    <row r="127" spans="1:9" x14ac:dyDescent="0.25">
      <c r="A127" s="259"/>
      <c r="B127" s="259"/>
      <c r="C127" s="259"/>
      <c r="D127" s="259"/>
      <c r="E127" s="259"/>
      <c r="F127" s="259"/>
      <c r="G127" s="259"/>
      <c r="H127" s="259"/>
      <c r="I127" s="259"/>
    </row>
    <row r="128" spans="1:9" x14ac:dyDescent="0.25">
      <c r="A128" s="259"/>
      <c r="B128" s="259"/>
      <c r="C128" s="259"/>
      <c r="D128" s="259"/>
      <c r="E128" s="259"/>
      <c r="F128" s="259"/>
      <c r="G128" s="259"/>
      <c r="H128" s="259"/>
      <c r="I128" s="259"/>
    </row>
    <row r="129" spans="1:9" x14ac:dyDescent="0.25">
      <c r="A129" s="259"/>
      <c r="B129" s="259"/>
      <c r="C129" s="259"/>
      <c r="D129" s="259"/>
      <c r="E129" s="259"/>
      <c r="F129" s="259"/>
      <c r="G129" s="259"/>
      <c r="H129" s="259"/>
      <c r="I129" s="259"/>
    </row>
    <row r="130" spans="1:9" x14ac:dyDescent="0.25">
      <c r="A130" s="259"/>
      <c r="B130" s="259"/>
      <c r="C130" s="259"/>
      <c r="D130" s="259"/>
      <c r="E130" s="259"/>
      <c r="F130" s="259"/>
      <c r="G130" s="259"/>
      <c r="H130" s="259"/>
      <c r="I130" s="259"/>
    </row>
    <row r="131" spans="1:9" x14ac:dyDescent="0.25">
      <c r="A131" s="259"/>
      <c r="B131" s="259"/>
      <c r="C131" s="259"/>
      <c r="D131" s="259"/>
      <c r="E131" s="259"/>
      <c r="F131" s="259"/>
      <c r="G131" s="259"/>
      <c r="H131" s="259"/>
      <c r="I131" s="259"/>
    </row>
    <row r="132" spans="1:9" x14ac:dyDescent="0.25">
      <c r="A132" s="259"/>
      <c r="B132" s="259"/>
      <c r="C132" s="259"/>
      <c r="D132" s="259"/>
      <c r="E132" s="259"/>
      <c r="F132" s="259"/>
      <c r="G132" s="259"/>
      <c r="H132" s="259"/>
      <c r="I132" s="259"/>
    </row>
    <row r="133" spans="1:9" x14ac:dyDescent="0.25">
      <c r="A133" s="259"/>
      <c r="B133" s="259"/>
      <c r="C133" s="259"/>
      <c r="D133" s="259"/>
      <c r="E133" s="259"/>
      <c r="F133" s="259"/>
      <c r="G133" s="259"/>
      <c r="H133" s="259"/>
      <c r="I133" s="259"/>
    </row>
    <row r="134" spans="1:9" x14ac:dyDescent="0.25">
      <c r="A134" s="259"/>
      <c r="B134" s="259"/>
      <c r="C134" s="259"/>
      <c r="D134" s="259"/>
      <c r="E134" s="259"/>
      <c r="F134" s="259"/>
      <c r="G134" s="259"/>
      <c r="H134" s="259"/>
      <c r="I134" s="259"/>
    </row>
    <row r="135" spans="1:9" x14ac:dyDescent="0.25">
      <c r="A135" s="259"/>
      <c r="B135" s="259"/>
      <c r="C135" s="259"/>
      <c r="D135" s="259"/>
      <c r="E135" s="259"/>
      <c r="F135" s="259"/>
      <c r="G135" s="259"/>
      <c r="H135" s="259"/>
      <c r="I135" s="259"/>
    </row>
    <row r="136" spans="1:9" x14ac:dyDescent="0.25">
      <c r="A136" s="259"/>
      <c r="B136" s="259"/>
      <c r="C136" s="259"/>
      <c r="D136" s="259"/>
      <c r="E136" s="259"/>
      <c r="F136" s="259"/>
      <c r="G136" s="259"/>
      <c r="H136" s="259"/>
      <c r="I136" s="259"/>
    </row>
    <row r="137" spans="1:9" x14ac:dyDescent="0.25">
      <c r="A137" s="259"/>
      <c r="B137" s="259"/>
      <c r="C137" s="259"/>
      <c r="D137" s="259"/>
      <c r="E137" s="259"/>
      <c r="F137" s="259"/>
      <c r="G137" s="259"/>
      <c r="H137" s="259"/>
      <c r="I137" s="259"/>
    </row>
    <row r="138" spans="1:9" x14ac:dyDescent="0.25">
      <c r="A138" s="259"/>
      <c r="B138" s="259"/>
      <c r="C138" s="259"/>
      <c r="D138" s="259"/>
      <c r="E138" s="259"/>
      <c r="F138" s="259"/>
      <c r="G138" s="259"/>
      <c r="H138" s="259"/>
      <c r="I138" s="259"/>
    </row>
    <row r="139" spans="1:9" x14ac:dyDescent="0.25">
      <c r="A139" s="259"/>
      <c r="B139" s="259"/>
      <c r="C139" s="259"/>
      <c r="D139" s="259"/>
      <c r="E139" s="259"/>
      <c r="F139" s="259"/>
      <c r="G139" s="259"/>
      <c r="H139" s="259"/>
      <c r="I139" s="259"/>
    </row>
    <row r="140" spans="1:9" x14ac:dyDescent="0.25">
      <c r="A140" s="259"/>
      <c r="B140" s="259"/>
      <c r="C140" s="259"/>
      <c r="D140" s="259"/>
      <c r="E140" s="259"/>
      <c r="F140" s="259"/>
      <c r="G140" s="259"/>
      <c r="H140" s="259"/>
      <c r="I140" s="259"/>
    </row>
    <row r="141" spans="1:9" x14ac:dyDescent="0.25">
      <c r="A141" s="259"/>
      <c r="B141" s="259"/>
      <c r="C141" s="259"/>
      <c r="D141" s="259"/>
      <c r="E141" s="259"/>
      <c r="F141" s="259"/>
      <c r="G141" s="259"/>
      <c r="H141" s="259"/>
      <c r="I141" s="259"/>
    </row>
  </sheetData>
  <mergeCells count="58">
    <mergeCell ref="A41:B41"/>
    <mergeCell ref="A51:B51"/>
    <mergeCell ref="A31:B31"/>
    <mergeCell ref="A32:B32"/>
    <mergeCell ref="A33:B33"/>
    <mergeCell ref="A30:B30"/>
    <mergeCell ref="A96:B96"/>
    <mergeCell ref="A35:B35"/>
    <mergeCell ref="A86:B86"/>
    <mergeCell ref="A87:B87"/>
    <mergeCell ref="A88:B88"/>
    <mergeCell ref="A89:B89"/>
    <mergeCell ref="A90:B90"/>
    <mergeCell ref="A69:B69"/>
    <mergeCell ref="A76:B76"/>
    <mergeCell ref="A82:B82"/>
    <mergeCell ref="A42:B42"/>
    <mergeCell ref="A50:B50"/>
    <mergeCell ref="A55:B55"/>
    <mergeCell ref="A56:B56"/>
    <mergeCell ref="A68:B68"/>
    <mergeCell ref="F3:I3"/>
    <mergeCell ref="G7:I7"/>
    <mergeCell ref="F12:I12"/>
    <mergeCell ref="A18:B18"/>
    <mergeCell ref="A19:B19"/>
    <mergeCell ref="H6:I6"/>
    <mergeCell ref="H105:I105"/>
    <mergeCell ref="H106:I106"/>
    <mergeCell ref="A107:B107"/>
    <mergeCell ref="A110:B110"/>
    <mergeCell ref="G113:H113"/>
    <mergeCell ref="D84:E84"/>
    <mergeCell ref="A100:B100"/>
    <mergeCell ref="C102:E102"/>
    <mergeCell ref="A91:B91"/>
    <mergeCell ref="A92:B92"/>
    <mergeCell ref="A93:B93"/>
    <mergeCell ref="A94:B94"/>
    <mergeCell ref="A97:B97"/>
    <mergeCell ref="A98:B98"/>
    <mergeCell ref="A95:B95"/>
    <mergeCell ref="A1:B2"/>
    <mergeCell ref="A16:B16"/>
    <mergeCell ref="A37:B37"/>
    <mergeCell ref="A38:B38"/>
    <mergeCell ref="A39:B39"/>
    <mergeCell ref="A25:B25"/>
    <mergeCell ref="A26:B26"/>
    <mergeCell ref="A27:B27"/>
    <mergeCell ref="A28:B28"/>
    <mergeCell ref="A34:B34"/>
    <mergeCell ref="A20:B20"/>
    <mergeCell ref="A21:B21"/>
    <mergeCell ref="A22:B22"/>
    <mergeCell ref="A23:B23"/>
    <mergeCell ref="A24:B24"/>
    <mergeCell ref="A29:B29"/>
  </mergeCells>
  <hyperlinks>
    <hyperlink ref="K18" location="INFO_GENERALE" display="Renseigner la feuille INFO G" xr:uid="{00000000-0004-0000-0300-000000000000}"/>
    <hyperlink ref="K19" location="INFO_BULL" display="Renseigner la feuille INFO BULL" xr:uid="{00000000-0004-0000-0300-000001000000}"/>
    <hyperlink ref="K20" location="REGUL_PLAFOND" display="Réguler les plafonds" xr:uid="{00000000-0004-0000-0300-000002000000}"/>
    <hyperlink ref="K21" location="FILLON" display="Générer FILLON" xr:uid="{00000000-0004-0000-0300-000003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7412" r:id="rId4" name="Bouton 4">
              <controlPr defaultSize="0" print="0" autoFill="0" autoPict="0" macro="[0]!Générer_Bulletin">
                <anchor moveWithCells="1" sizeWithCells="1">
                  <from>
                    <xdr:col>9</xdr:col>
                    <xdr:colOff>190500</xdr:colOff>
                    <xdr:row>8</xdr:row>
                    <xdr:rowOff>0</xdr:rowOff>
                  </from>
                  <to>
                    <xdr:col>11</xdr:col>
                    <xdr:colOff>752475</xdr:colOff>
                    <xdr:row>11</xdr:row>
                    <xdr:rowOff>9525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300-000000000000}">
          <x14:formula1>
            <xm:f>'Récap Bulletin'!$M$2:$M$49</xm:f>
          </x14:formula1>
          <xm:sqref>A86:A98</xm:sqref>
        </x14:dataValidation>
        <x14:dataValidation type="list" allowBlank="1" showInputMessage="1" showErrorMessage="1" xr:uid="{00000000-0002-0000-0300-000001000000}">
          <x14:formula1>
            <xm:f>'Récap Bulletin'!$B$2:$B$49</xm:f>
          </x14:formula1>
          <xm:sqref>A17:A35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D68FEB-AE38-463F-A9C6-EF86E046A208}">
  <sheetPr codeName="Feuil19"/>
  <dimension ref="A1:A2"/>
  <sheetViews>
    <sheetView workbookViewId="0">
      <selection activeCell="F16" sqref="F16"/>
    </sheetView>
  </sheetViews>
  <sheetFormatPr baseColWidth="10" defaultRowHeight="15" x14ac:dyDescent="0.25"/>
  <sheetData>
    <row r="1" ht="15" customHeight="1" x14ac:dyDescent="0.25"/>
    <row r="2" ht="15.75" customHeight="1"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3">
    <tabColor rgb="FF00B0F0"/>
  </sheetPr>
  <dimension ref="A1:R96"/>
  <sheetViews>
    <sheetView zoomScaleNormal="100" workbookViewId="0">
      <selection activeCell="C6" sqref="C6"/>
    </sheetView>
  </sheetViews>
  <sheetFormatPr baseColWidth="10" defaultColWidth="11.42578125" defaultRowHeight="15" x14ac:dyDescent="0.25"/>
  <cols>
    <col min="1" max="2" width="14.42578125" style="149" customWidth="1"/>
    <col min="3" max="3" width="11.42578125" style="149" customWidth="1"/>
    <col min="4" max="4" width="13.85546875" style="149" customWidth="1"/>
    <col min="5" max="8" width="13.42578125" style="149" customWidth="1"/>
    <col min="9" max="10" width="14.28515625" style="149" customWidth="1"/>
    <col min="11" max="11" width="13" style="149" customWidth="1"/>
    <col min="12" max="12" width="12.28515625" style="149" customWidth="1"/>
    <col min="13" max="13" width="11.42578125" style="149"/>
    <col min="14" max="14" width="17.140625" style="149" customWidth="1"/>
    <col min="15" max="16384" width="11.42578125" style="149"/>
  </cols>
  <sheetData>
    <row r="1" spans="1:18" ht="27" customHeight="1" thickBot="1" x14ac:dyDescent="0.3">
      <c r="A1" s="905" t="s">
        <v>603</v>
      </c>
      <c r="B1" s="906"/>
      <c r="C1" s="906"/>
      <c r="D1" s="906"/>
      <c r="E1" s="906"/>
      <c r="F1" s="906"/>
      <c r="G1" s="906"/>
      <c r="H1" s="906"/>
      <c r="I1" s="906"/>
      <c r="J1" s="906"/>
      <c r="K1" s="907"/>
      <c r="M1" s="580"/>
    </row>
    <row r="2" spans="1:18" s="153" customFormat="1" ht="21" x14ac:dyDescent="0.25">
      <c r="C2" s="581"/>
      <c r="D2" s="581"/>
      <c r="E2" s="581"/>
      <c r="F2" s="581"/>
      <c r="G2" s="581"/>
      <c r="H2" s="581"/>
      <c r="I2" s="581"/>
      <c r="J2" s="581"/>
      <c r="K2" s="581"/>
      <c r="M2" s="582"/>
      <c r="O2" s="149"/>
      <c r="P2" s="149"/>
      <c r="Q2" s="149"/>
      <c r="R2" s="149"/>
    </row>
    <row r="3" spans="1:18" s="153" customFormat="1" ht="21.75" thickBot="1" x14ac:dyDescent="0.3">
      <c r="C3" s="581"/>
      <c r="D3" s="581"/>
      <c r="E3" s="581"/>
      <c r="F3" s="581"/>
      <c r="G3" s="581"/>
      <c r="H3" s="581"/>
      <c r="I3" s="581"/>
      <c r="J3" s="581"/>
      <c r="K3" s="581"/>
      <c r="M3" s="582"/>
      <c r="O3" s="149"/>
      <c r="P3" s="149"/>
      <c r="Q3" s="149"/>
      <c r="R3" s="149"/>
    </row>
    <row r="4" spans="1:18" s="153" customFormat="1" ht="27.75" customHeight="1" x14ac:dyDescent="0.25">
      <c r="C4" s="581"/>
      <c r="D4" s="676" t="s">
        <v>604</v>
      </c>
      <c r="E4" s="677" t="s">
        <v>292</v>
      </c>
      <c r="F4" s="678" t="s">
        <v>605</v>
      </c>
      <c r="G4" s="676" t="s">
        <v>226</v>
      </c>
      <c r="H4" s="677" t="s">
        <v>606</v>
      </c>
      <c r="I4" s="676" t="s">
        <v>607</v>
      </c>
      <c r="J4" s="677" t="s">
        <v>606</v>
      </c>
      <c r="K4" s="764" t="s">
        <v>136</v>
      </c>
      <c r="L4" s="765" t="s">
        <v>608</v>
      </c>
      <c r="M4" s="582"/>
      <c r="O4" s="149"/>
      <c r="P4" s="149"/>
      <c r="Q4" s="149"/>
      <c r="R4" s="149"/>
    </row>
    <row r="5" spans="1:18" s="153" customFormat="1" ht="28.5" customHeight="1" thickBot="1" x14ac:dyDescent="0.3">
      <c r="A5" s="581"/>
      <c r="B5" s="581"/>
      <c r="C5" s="581"/>
      <c r="D5" s="736">
        <f>MOIS_BULLETIN</f>
        <v>43070</v>
      </c>
      <c r="E5" s="737">
        <f>'INFO BULL'!B11</f>
        <v>1</v>
      </c>
      <c r="F5" s="738">
        <f>EFFECTIF</f>
        <v>150</v>
      </c>
      <c r="G5" s="739">
        <f>'Bulletin Mois'!L1</f>
        <v>1875.9351648351649</v>
      </c>
      <c r="H5" s="740">
        <f>'Bulletin Mois'!D37</f>
        <v>168.99666666666667</v>
      </c>
      <c r="I5" s="741">
        <f>'Récap Bulletin'!F5</f>
        <v>0</v>
      </c>
      <c r="J5" s="740">
        <f>'Récap Bulletin'!D5</f>
        <v>0</v>
      </c>
      <c r="K5" s="742">
        <f>TOT_HSUP</f>
        <v>17.329999999999998</v>
      </c>
      <c r="L5" s="743">
        <f>IFERROR(VLOOKUP(E5,B9:I20,8,FALSE),0)</f>
        <v>362.35396245941644</v>
      </c>
      <c r="M5" s="582"/>
      <c r="N5" s="583"/>
      <c r="O5" s="149"/>
      <c r="P5" s="149"/>
      <c r="Q5" s="149"/>
      <c r="R5" s="149"/>
    </row>
    <row r="6" spans="1:18" s="153" customFormat="1" ht="21" x14ac:dyDescent="0.25">
      <c r="A6" s="581"/>
      <c r="B6" s="581"/>
      <c r="C6" s="581"/>
      <c r="D6" s="581"/>
      <c r="E6" s="581"/>
      <c r="F6" s="581"/>
      <c r="G6" s="581"/>
      <c r="H6" s="581"/>
      <c r="I6" s="581"/>
      <c r="J6" s="581"/>
      <c r="K6" s="581"/>
      <c r="M6" s="582"/>
      <c r="O6" s="149"/>
      <c r="P6" s="149"/>
      <c r="Q6" s="149"/>
      <c r="R6" s="149"/>
    </row>
    <row r="7" spans="1:18" s="153" customFormat="1" ht="21" x14ac:dyDescent="0.25">
      <c r="A7" s="581"/>
      <c r="B7" s="581"/>
      <c r="C7" s="581"/>
      <c r="D7" s="581"/>
      <c r="E7" s="581"/>
      <c r="F7" s="581"/>
      <c r="G7" s="581"/>
      <c r="H7" s="581"/>
      <c r="I7" s="581"/>
      <c r="J7" s="581"/>
      <c r="K7" s="581"/>
      <c r="M7" s="582"/>
      <c r="O7" s="149"/>
      <c r="P7" s="149"/>
      <c r="Q7" s="149"/>
      <c r="R7" s="149"/>
    </row>
    <row r="8" spans="1:18" s="153" customFormat="1" ht="30" x14ac:dyDescent="0.25">
      <c r="A8" s="676" t="s">
        <v>604</v>
      </c>
      <c r="B8" s="677" t="s">
        <v>292</v>
      </c>
      <c r="C8" s="678" t="s">
        <v>605</v>
      </c>
      <c r="D8" s="676" t="s">
        <v>226</v>
      </c>
      <c r="E8" s="677" t="s">
        <v>606</v>
      </c>
      <c r="F8" s="676" t="s">
        <v>607</v>
      </c>
      <c r="G8" s="677" t="s">
        <v>606</v>
      </c>
      <c r="H8" s="678" t="s">
        <v>136</v>
      </c>
      <c r="I8" s="763" t="s">
        <v>609</v>
      </c>
      <c r="K8" s="378" t="s">
        <v>610</v>
      </c>
      <c r="L8" s="581"/>
      <c r="O8" s="149"/>
      <c r="P8" s="149"/>
      <c r="Q8" s="149"/>
      <c r="R8" s="149"/>
    </row>
    <row r="9" spans="1:18" s="153" customFormat="1" ht="15" customHeight="1" x14ac:dyDescent="0.25">
      <c r="A9" s="724">
        <v>43070</v>
      </c>
      <c r="B9" s="725">
        <v>1</v>
      </c>
      <c r="C9" s="726">
        <v>150</v>
      </c>
      <c r="D9" s="727">
        <v>1875.9351648351649</v>
      </c>
      <c r="E9" s="728">
        <v>168.99666666666667</v>
      </c>
      <c r="F9" s="727">
        <v>0</v>
      </c>
      <c r="G9" s="728">
        <v>0</v>
      </c>
      <c r="H9" s="729">
        <v>17.329999999999998</v>
      </c>
      <c r="I9" s="730">
        <f>IF(O24&lt;0,0,O24)</f>
        <v>362.35396245941644</v>
      </c>
      <c r="K9" s="573" t="s">
        <v>611</v>
      </c>
      <c r="L9" s="744">
        <f>'Récap Bulletin'!F3</f>
        <v>1650</v>
      </c>
      <c r="M9" s="584">
        <f>SMIC_M</f>
        <v>1480.3</v>
      </c>
      <c r="O9" s="149"/>
      <c r="P9" s="149"/>
      <c r="Q9" s="149"/>
      <c r="R9" s="149"/>
    </row>
    <row r="10" spans="1:18" s="153" customFormat="1" ht="15" customHeight="1" x14ac:dyDescent="0.25">
      <c r="A10" s="585"/>
      <c r="B10" s="586"/>
      <c r="C10" s="587"/>
      <c r="D10" s="588"/>
      <c r="E10" s="589"/>
      <c r="F10" s="588"/>
      <c r="G10" s="589"/>
      <c r="H10" s="590"/>
      <c r="I10" s="591">
        <f>IF(AND(O26&lt;0,O24&lt;=0),0,O26)</f>
        <v>-5.0874547203849261</v>
      </c>
      <c r="K10" s="592" t="s">
        <v>664</v>
      </c>
      <c r="L10" s="744">
        <f>L9*1.6</f>
        <v>2640</v>
      </c>
      <c r="M10" s="584">
        <f>M9*6</f>
        <v>8881.7999999999993</v>
      </c>
      <c r="O10" s="149"/>
      <c r="P10" s="149"/>
      <c r="Q10" s="149"/>
      <c r="R10" s="149"/>
    </row>
    <row r="11" spans="1:18" ht="15" customHeight="1" x14ac:dyDescent="0.25">
      <c r="A11" s="692"/>
      <c r="B11" s="731"/>
      <c r="C11" s="732"/>
      <c r="D11" s="733"/>
      <c r="E11" s="734"/>
      <c r="F11" s="733"/>
      <c r="G11" s="734"/>
      <c r="H11" s="735"/>
      <c r="I11" s="730">
        <f>IF(AND(O28&lt;0,O26&lt;=0),0,O28)</f>
        <v>0</v>
      </c>
    </row>
    <row r="12" spans="1:18" x14ac:dyDescent="0.25">
      <c r="A12" s="585"/>
      <c r="B12" s="586"/>
      <c r="C12" s="587"/>
      <c r="D12" s="588"/>
      <c r="E12" s="589"/>
      <c r="F12" s="588"/>
      <c r="G12" s="589"/>
      <c r="H12" s="590"/>
      <c r="I12" s="591">
        <f>IF(AND(O30&lt;0,O28&lt;=0),0,O30)</f>
        <v>0</v>
      </c>
      <c r="K12" s="149" t="s">
        <v>612</v>
      </c>
      <c r="L12" s="744">
        <f>SMIC_H</f>
        <v>9.76000527460935</v>
      </c>
    </row>
    <row r="13" spans="1:18" x14ac:dyDescent="0.25">
      <c r="A13" s="692"/>
      <c r="B13" s="731"/>
      <c r="C13" s="732"/>
      <c r="D13" s="733"/>
      <c r="E13" s="734"/>
      <c r="F13" s="733"/>
      <c r="G13" s="734"/>
      <c r="H13" s="735"/>
      <c r="I13" s="730">
        <f>IF(AND(O32&lt;0,O30&lt;=0),0,O32)</f>
        <v>0</v>
      </c>
      <c r="K13" s="149" t="s">
        <v>613</v>
      </c>
      <c r="L13" s="744">
        <f>SMIC_M</f>
        <v>1480.3</v>
      </c>
    </row>
    <row r="14" spans="1:18" x14ac:dyDescent="0.25">
      <c r="A14" s="585"/>
      <c r="B14" s="586"/>
      <c r="C14" s="587"/>
      <c r="D14" s="588"/>
      <c r="E14" s="589"/>
      <c r="F14" s="588"/>
      <c r="G14" s="589"/>
      <c r="H14" s="590"/>
      <c r="I14" s="591">
        <f>IF(AND(O34&lt;0,O32&lt;=0),0,O34)</f>
        <v>0</v>
      </c>
    </row>
    <row r="15" spans="1:18" x14ac:dyDescent="0.25">
      <c r="A15" s="692"/>
      <c r="B15" s="731"/>
      <c r="C15" s="732"/>
      <c r="D15" s="733"/>
      <c r="E15" s="734"/>
      <c r="F15" s="733"/>
      <c r="G15" s="734"/>
      <c r="H15" s="735"/>
      <c r="I15" s="730">
        <f>IF(AND(O36&lt;0,O34&lt;=0),0,O36)</f>
        <v>0</v>
      </c>
      <c r="K15" s="149" t="s">
        <v>614</v>
      </c>
      <c r="L15" s="593">
        <v>0.28089999999999998</v>
      </c>
    </row>
    <row r="16" spans="1:18" x14ac:dyDescent="0.25">
      <c r="A16" s="585"/>
      <c r="B16" s="586"/>
      <c r="C16" s="587"/>
      <c r="D16" s="588"/>
      <c r="E16" s="589"/>
      <c r="F16" s="588"/>
      <c r="G16" s="589"/>
      <c r="H16" s="590"/>
      <c r="I16" s="591">
        <f>IF(AND(O38&lt;0,O36&lt;=0),0,O38)</f>
        <v>0</v>
      </c>
      <c r="K16" s="149" t="s">
        <v>615</v>
      </c>
      <c r="L16" s="593">
        <v>0.28489999999999999</v>
      </c>
    </row>
    <row r="17" spans="1:15" x14ac:dyDescent="0.25">
      <c r="A17" s="692"/>
      <c r="B17" s="731"/>
      <c r="C17" s="732"/>
      <c r="D17" s="733"/>
      <c r="E17" s="734"/>
      <c r="F17" s="733"/>
      <c r="G17" s="734"/>
      <c r="H17" s="735"/>
      <c r="I17" s="730">
        <f>IF(AND(O40&lt;0,O38&lt;=0),0,O40)</f>
        <v>0</v>
      </c>
    </row>
    <row r="18" spans="1:15" x14ac:dyDescent="0.25">
      <c r="A18" s="585"/>
      <c r="B18" s="586"/>
      <c r="C18" s="587"/>
      <c r="D18" s="588"/>
      <c r="E18" s="589"/>
      <c r="F18" s="588"/>
      <c r="G18" s="589"/>
      <c r="H18" s="590"/>
      <c r="I18" s="591">
        <f>IF(AND(O42&lt;0,O40&lt;=0),0,O42)</f>
        <v>0</v>
      </c>
      <c r="K18" s="149" t="s">
        <v>616</v>
      </c>
      <c r="L18" s="593">
        <v>1.6</v>
      </c>
    </row>
    <row r="19" spans="1:15" x14ac:dyDescent="0.25">
      <c r="A19" s="692"/>
      <c r="B19" s="731"/>
      <c r="C19" s="732"/>
      <c r="D19" s="733"/>
      <c r="E19" s="734"/>
      <c r="F19" s="733"/>
      <c r="G19" s="734"/>
      <c r="H19" s="735"/>
      <c r="I19" s="730">
        <f>IF(AND(O44&lt;0,O42&lt;=0),0,O44)</f>
        <v>0</v>
      </c>
    </row>
    <row r="20" spans="1:15" x14ac:dyDescent="0.25">
      <c r="A20" s="594"/>
      <c r="B20" s="595"/>
      <c r="C20" s="596"/>
      <c r="D20" s="597"/>
      <c r="E20" s="598"/>
      <c r="F20" s="597"/>
      <c r="G20" s="598"/>
      <c r="H20" s="599"/>
      <c r="I20" s="591">
        <f>IF(AND(O46&lt;0,O40&lt;=0),0,O46)</f>
        <v>0</v>
      </c>
    </row>
    <row r="23" spans="1:15" ht="30" x14ac:dyDescent="0.25">
      <c r="A23" s="908" t="s">
        <v>604</v>
      </c>
      <c r="B23" s="909"/>
      <c r="C23" s="754" t="s">
        <v>292</v>
      </c>
      <c r="D23" s="759" t="s">
        <v>605</v>
      </c>
      <c r="E23" s="760" t="s">
        <v>226</v>
      </c>
      <c r="F23" s="760" t="s">
        <v>606</v>
      </c>
      <c r="G23" s="761" t="s">
        <v>607</v>
      </c>
      <c r="H23" s="675" t="s">
        <v>606</v>
      </c>
      <c r="I23" s="675" t="s">
        <v>136</v>
      </c>
      <c r="J23" s="675" t="s">
        <v>617</v>
      </c>
      <c r="K23" s="762" t="s">
        <v>618</v>
      </c>
      <c r="L23" s="759" t="s">
        <v>619</v>
      </c>
      <c r="M23" s="760" t="s">
        <v>620</v>
      </c>
      <c r="N23" s="761" t="s">
        <v>621</v>
      </c>
      <c r="O23" s="762" t="s">
        <v>622</v>
      </c>
    </row>
    <row r="24" spans="1:15" ht="18.75" x14ac:dyDescent="0.25">
      <c r="A24" s="755" t="s">
        <v>604</v>
      </c>
      <c r="B24" s="910">
        <f t="shared" ref="B24:I24" si="0">A9</f>
        <v>43070</v>
      </c>
      <c r="C24" s="912">
        <f t="shared" si="0"/>
        <v>1</v>
      </c>
      <c r="D24" s="745">
        <f t="shared" si="0"/>
        <v>150</v>
      </c>
      <c r="E24" s="746">
        <f t="shared" si="0"/>
        <v>1875.9351648351649</v>
      </c>
      <c r="F24" s="746">
        <f t="shared" si="0"/>
        <v>168.99666666666667</v>
      </c>
      <c r="G24" s="746">
        <f t="shared" si="0"/>
        <v>0</v>
      </c>
      <c r="H24" s="746">
        <f t="shared" si="0"/>
        <v>0</v>
      </c>
      <c r="I24" s="747">
        <f t="shared" si="0"/>
        <v>17.329999999999998</v>
      </c>
      <c r="J24" s="748">
        <f>IF(D24&gt;=20,Tx_FILLON_MAX,Tx_FILLON_MINI)</f>
        <v>0.28489999999999999</v>
      </c>
      <c r="K24" s="749"/>
      <c r="L24" s="750"/>
      <c r="M24" s="751"/>
      <c r="N24" s="752"/>
      <c r="O24" s="753">
        <f>N25</f>
        <v>362.35396245941644</v>
      </c>
    </row>
    <row r="25" spans="1:15" ht="18.75" x14ac:dyDescent="0.25">
      <c r="A25" s="756" t="s">
        <v>623</v>
      </c>
      <c r="B25" s="911"/>
      <c r="C25" s="913"/>
      <c r="D25" s="600"/>
      <c r="E25" s="601">
        <f>E24</f>
        <v>1875.9351648351649</v>
      </c>
      <c r="F25" s="601">
        <f t="shared" ref="F25:I25" si="1">F24</f>
        <v>168.99666666666667</v>
      </c>
      <c r="G25" s="601">
        <f t="shared" si="1"/>
        <v>0</v>
      </c>
      <c r="H25" s="601">
        <f t="shared" si="1"/>
        <v>0</v>
      </c>
      <c r="I25" s="601">
        <f t="shared" si="1"/>
        <v>17.329999999999998</v>
      </c>
      <c r="J25" s="602"/>
      <c r="K25" s="603">
        <f>IF(G24&gt;1,(SMIC_H*(F25+H25-I25)*E25*1.6/(E25+G25)),(SMIC_H*F25)*1.6)</f>
        <v>2639.053372892904</v>
      </c>
      <c r="L25" s="604">
        <f>IFERROR((K25/E25)-1,0)</f>
        <v>0.40679348751628797</v>
      </c>
      <c r="M25" s="605">
        <f>(J24/(LIMITE_FILLON-1))*L25</f>
        <v>0.1931591076556507</v>
      </c>
      <c r="N25" s="606">
        <f>M25*E25</f>
        <v>362.35396245941644</v>
      </c>
      <c r="O25" s="607"/>
    </row>
    <row r="26" spans="1:15" ht="18.75" x14ac:dyDescent="0.25">
      <c r="A26" s="757" t="s">
        <v>604</v>
      </c>
      <c r="B26" s="910">
        <f t="shared" ref="B26:I26" si="2">A10</f>
        <v>0</v>
      </c>
      <c r="C26" s="912">
        <f t="shared" si="2"/>
        <v>0</v>
      </c>
      <c r="D26" s="745">
        <f t="shared" si="2"/>
        <v>0</v>
      </c>
      <c r="E26" s="746">
        <f t="shared" si="2"/>
        <v>0</v>
      </c>
      <c r="F26" s="746">
        <f t="shared" si="2"/>
        <v>0</v>
      </c>
      <c r="G26" s="746">
        <f t="shared" si="2"/>
        <v>0</v>
      </c>
      <c r="H26" s="746">
        <f t="shared" si="2"/>
        <v>0</v>
      </c>
      <c r="I26" s="747">
        <f t="shared" si="2"/>
        <v>0</v>
      </c>
      <c r="J26" s="748">
        <f>IF(D26&gt;=20,Tx_FILLON_MAX,Tx_FILLON_MINI)</f>
        <v>0.28089999999999998</v>
      </c>
      <c r="K26" s="749"/>
      <c r="L26" s="750"/>
      <c r="M26" s="751"/>
      <c r="N26" s="752"/>
      <c r="O26" s="753">
        <f>N27-O24</f>
        <v>-5.0874547203849261</v>
      </c>
    </row>
    <row r="27" spans="1:15" ht="18.75" x14ac:dyDescent="0.25">
      <c r="A27" s="758" t="s">
        <v>623</v>
      </c>
      <c r="B27" s="911"/>
      <c r="C27" s="913"/>
      <c r="D27" s="600"/>
      <c r="E27" s="601">
        <f>E26+E25</f>
        <v>1875.9351648351649</v>
      </c>
      <c r="F27" s="601">
        <f t="shared" ref="F27:I27" si="3">F26+F25</f>
        <v>168.99666666666667</v>
      </c>
      <c r="G27" s="601">
        <f t="shared" si="3"/>
        <v>0</v>
      </c>
      <c r="H27" s="601">
        <f t="shared" si="3"/>
        <v>0</v>
      </c>
      <c r="I27" s="601">
        <f t="shared" si="3"/>
        <v>17.329999999999998</v>
      </c>
      <c r="J27" s="608"/>
      <c r="K27" s="603">
        <f>IF(G26&gt;1,(SMIC_H*(F27+H27-I27)*E27*1.6/(E27+G27)),(SMIC_H*F27)*1.6)</f>
        <v>2639.053372892904</v>
      </c>
      <c r="L27" s="604">
        <f>IFERROR((K27/E27)-1,0)</f>
        <v>0.40679348751628797</v>
      </c>
      <c r="M27" s="609">
        <f>(J26/(LIMITE_FILLON-1))*L27</f>
        <v>0.19044715107220878</v>
      </c>
      <c r="N27" s="610">
        <f>M27*E27</f>
        <v>357.26650773903151</v>
      </c>
      <c r="O27" s="611"/>
    </row>
    <row r="28" spans="1:15" ht="18.75" x14ac:dyDescent="0.25">
      <c r="A28" s="755" t="s">
        <v>604</v>
      </c>
      <c r="B28" s="910">
        <f t="shared" ref="B28:I28" si="4">A11</f>
        <v>0</v>
      </c>
      <c r="C28" s="912">
        <f t="shared" si="4"/>
        <v>0</v>
      </c>
      <c r="D28" s="745">
        <f t="shared" si="4"/>
        <v>0</v>
      </c>
      <c r="E28" s="746">
        <f t="shared" si="4"/>
        <v>0</v>
      </c>
      <c r="F28" s="746">
        <f t="shared" si="4"/>
        <v>0</v>
      </c>
      <c r="G28" s="746">
        <f t="shared" si="4"/>
        <v>0</v>
      </c>
      <c r="H28" s="746">
        <f t="shared" si="4"/>
        <v>0</v>
      </c>
      <c r="I28" s="747">
        <f t="shared" si="4"/>
        <v>0</v>
      </c>
      <c r="J28" s="748">
        <f>IF(D28&gt;=20,Tx_FILLON_MAX,Tx_FILLON_MINI)</f>
        <v>0.28089999999999998</v>
      </c>
      <c r="K28" s="749"/>
      <c r="L28" s="750"/>
      <c r="M28" s="751"/>
      <c r="N28" s="752"/>
      <c r="O28" s="753">
        <f>N29-N27</f>
        <v>0</v>
      </c>
    </row>
    <row r="29" spans="1:15" ht="18.75" x14ac:dyDescent="0.25">
      <c r="A29" s="756" t="s">
        <v>623</v>
      </c>
      <c r="B29" s="911"/>
      <c r="C29" s="913"/>
      <c r="D29" s="600"/>
      <c r="E29" s="601">
        <f>E28+E27</f>
        <v>1875.9351648351649</v>
      </c>
      <c r="F29" s="601">
        <f t="shared" ref="F29:I29" si="5">F28+F27</f>
        <v>168.99666666666667</v>
      </c>
      <c r="G29" s="601">
        <f t="shared" si="5"/>
        <v>0</v>
      </c>
      <c r="H29" s="601">
        <f t="shared" si="5"/>
        <v>0</v>
      </c>
      <c r="I29" s="601">
        <f t="shared" si="5"/>
        <v>17.329999999999998</v>
      </c>
      <c r="J29" s="602"/>
      <c r="K29" s="603">
        <f>IF(G28&gt;1,(SMIC_H*(F29+H29-I29)*E29*1.6/(E29+G29)),(SMIC_H*F29)*1.6)</f>
        <v>2639.053372892904</v>
      </c>
      <c r="L29" s="604">
        <f>IFERROR((K29/E29)-1,0)</f>
        <v>0.40679348751628797</v>
      </c>
      <c r="M29" s="605">
        <f>(J28/(LIMITE_FILLON-1))*L29</f>
        <v>0.19044715107220878</v>
      </c>
      <c r="N29" s="606">
        <f>M29*E29</f>
        <v>357.26650773903151</v>
      </c>
      <c r="O29" s="607"/>
    </row>
    <row r="30" spans="1:15" ht="18.75" x14ac:dyDescent="0.25">
      <c r="A30" s="757" t="s">
        <v>604</v>
      </c>
      <c r="B30" s="910">
        <f t="shared" ref="B30:I30" si="6">A12</f>
        <v>0</v>
      </c>
      <c r="C30" s="912">
        <f t="shared" si="6"/>
        <v>0</v>
      </c>
      <c r="D30" s="745">
        <f t="shared" si="6"/>
        <v>0</v>
      </c>
      <c r="E30" s="746">
        <f t="shared" si="6"/>
        <v>0</v>
      </c>
      <c r="F30" s="746">
        <f t="shared" si="6"/>
        <v>0</v>
      </c>
      <c r="G30" s="746">
        <f t="shared" si="6"/>
        <v>0</v>
      </c>
      <c r="H30" s="746">
        <f t="shared" si="6"/>
        <v>0</v>
      </c>
      <c r="I30" s="747">
        <f t="shared" si="6"/>
        <v>0</v>
      </c>
      <c r="J30" s="748">
        <f>IF(D30&gt;=20,Tx_FILLON_MAX,Tx_FILLON_MINI)</f>
        <v>0.28089999999999998</v>
      </c>
      <c r="K30" s="749"/>
      <c r="L30" s="750"/>
      <c r="M30" s="751"/>
      <c r="N30" s="752"/>
      <c r="O30" s="753">
        <f>N31-N29</f>
        <v>0</v>
      </c>
    </row>
    <row r="31" spans="1:15" ht="18.75" x14ac:dyDescent="0.25">
      <c r="A31" s="756" t="s">
        <v>623</v>
      </c>
      <c r="B31" s="911"/>
      <c r="C31" s="913"/>
      <c r="D31" s="600"/>
      <c r="E31" s="601">
        <f>E30+E29</f>
        <v>1875.9351648351649</v>
      </c>
      <c r="F31" s="601">
        <f t="shared" ref="F31:H31" si="7">F30+F29</f>
        <v>168.99666666666667</v>
      </c>
      <c r="G31" s="601">
        <f t="shared" si="7"/>
        <v>0</v>
      </c>
      <c r="H31" s="601">
        <f t="shared" si="7"/>
        <v>0</v>
      </c>
      <c r="I31" s="601">
        <f>I30+I29</f>
        <v>17.329999999999998</v>
      </c>
      <c r="J31" s="602"/>
      <c r="K31" s="603">
        <f>IF(G30&gt;1,(SMIC_H*(F31+H31-I31)*E31*1.6/(E31+G31)),(SMIC_H*F31)*1.6)</f>
        <v>2639.053372892904</v>
      </c>
      <c r="L31" s="604">
        <f t="shared" ref="L31" si="8">IFERROR((K31/E31)-1,0)</f>
        <v>0.40679348751628797</v>
      </c>
      <c r="M31" s="605">
        <f>(J30/(LIMITE_FILLON-1))*L31</f>
        <v>0.19044715107220878</v>
      </c>
      <c r="N31" s="606">
        <f>M31*E31</f>
        <v>357.26650773903151</v>
      </c>
      <c r="O31" s="607"/>
    </row>
    <row r="32" spans="1:15" ht="18.75" x14ac:dyDescent="0.25">
      <c r="A32" s="755" t="s">
        <v>604</v>
      </c>
      <c r="B32" s="910">
        <f t="shared" ref="B32:I32" si="9">A13</f>
        <v>0</v>
      </c>
      <c r="C32" s="912">
        <f t="shared" si="9"/>
        <v>0</v>
      </c>
      <c r="D32" s="745">
        <f t="shared" si="9"/>
        <v>0</v>
      </c>
      <c r="E32" s="746">
        <f t="shared" si="9"/>
        <v>0</v>
      </c>
      <c r="F32" s="746">
        <f t="shared" si="9"/>
        <v>0</v>
      </c>
      <c r="G32" s="746">
        <f t="shared" si="9"/>
        <v>0</v>
      </c>
      <c r="H32" s="746">
        <f t="shared" si="9"/>
        <v>0</v>
      </c>
      <c r="I32" s="747">
        <f t="shared" si="9"/>
        <v>0</v>
      </c>
      <c r="J32" s="748">
        <f>IF(D32&gt;=20,Tx_FILLON_MAX,Tx_FILLON_MINI)</f>
        <v>0.28089999999999998</v>
      </c>
      <c r="K32" s="749"/>
      <c r="L32" s="750"/>
      <c r="M32" s="751"/>
      <c r="N32" s="752"/>
      <c r="O32" s="753">
        <f>N33-N31</f>
        <v>0</v>
      </c>
    </row>
    <row r="33" spans="1:15" ht="18.75" x14ac:dyDescent="0.25">
      <c r="A33" s="756" t="s">
        <v>623</v>
      </c>
      <c r="B33" s="911"/>
      <c r="C33" s="913"/>
      <c r="D33" s="600"/>
      <c r="E33" s="601">
        <f>E32+E31</f>
        <v>1875.9351648351649</v>
      </c>
      <c r="F33" s="601">
        <f t="shared" ref="F33:I33" si="10">F32+F31</f>
        <v>168.99666666666667</v>
      </c>
      <c r="G33" s="601">
        <f t="shared" si="10"/>
        <v>0</v>
      </c>
      <c r="H33" s="601">
        <f t="shared" si="10"/>
        <v>0</v>
      </c>
      <c r="I33" s="601">
        <f t="shared" si="10"/>
        <v>17.329999999999998</v>
      </c>
      <c r="J33" s="602"/>
      <c r="K33" s="603">
        <f>IF(G32&gt;1,(SMIC_H*(F33+H33-I33)*E33*1.6/(E33+G33)),(SMIC_H*F33)*1.6)</f>
        <v>2639.053372892904</v>
      </c>
      <c r="L33" s="604">
        <f t="shared" ref="L33" si="11">IFERROR((K33/E33)-1,0)</f>
        <v>0.40679348751628797</v>
      </c>
      <c r="M33" s="605">
        <f>(J32/(LIMITE_FILLON-1))*L33</f>
        <v>0.19044715107220878</v>
      </c>
      <c r="N33" s="606">
        <f>M33*E33</f>
        <v>357.26650773903151</v>
      </c>
      <c r="O33" s="607"/>
    </row>
    <row r="34" spans="1:15" ht="18.75" x14ac:dyDescent="0.25">
      <c r="A34" s="757" t="s">
        <v>604</v>
      </c>
      <c r="B34" s="910">
        <f t="shared" ref="B34:I34" si="12">A14</f>
        <v>0</v>
      </c>
      <c r="C34" s="912">
        <f t="shared" si="12"/>
        <v>0</v>
      </c>
      <c r="D34" s="745">
        <f t="shared" si="12"/>
        <v>0</v>
      </c>
      <c r="E34" s="746">
        <f t="shared" si="12"/>
        <v>0</v>
      </c>
      <c r="F34" s="746">
        <f t="shared" si="12"/>
        <v>0</v>
      </c>
      <c r="G34" s="746">
        <f t="shared" si="12"/>
        <v>0</v>
      </c>
      <c r="H34" s="746">
        <f t="shared" si="12"/>
        <v>0</v>
      </c>
      <c r="I34" s="747">
        <f t="shared" si="12"/>
        <v>0</v>
      </c>
      <c r="J34" s="748">
        <f>IF(D34&gt;=20,Tx_FILLON_MAX,Tx_FILLON_MINI)</f>
        <v>0.28089999999999998</v>
      </c>
      <c r="K34" s="749"/>
      <c r="L34" s="750"/>
      <c r="M34" s="751"/>
      <c r="N34" s="752"/>
      <c r="O34" s="753">
        <f>N35-N33</f>
        <v>0</v>
      </c>
    </row>
    <row r="35" spans="1:15" ht="18.75" x14ac:dyDescent="0.25">
      <c r="A35" s="756" t="s">
        <v>623</v>
      </c>
      <c r="B35" s="911"/>
      <c r="C35" s="913"/>
      <c r="D35" s="600"/>
      <c r="E35" s="601">
        <f>E34+E33</f>
        <v>1875.9351648351649</v>
      </c>
      <c r="F35" s="601">
        <f t="shared" ref="F35:I35" si="13">F34+F33</f>
        <v>168.99666666666667</v>
      </c>
      <c r="G35" s="601">
        <f t="shared" si="13"/>
        <v>0</v>
      </c>
      <c r="H35" s="601">
        <f t="shared" si="13"/>
        <v>0</v>
      </c>
      <c r="I35" s="601">
        <f t="shared" si="13"/>
        <v>17.329999999999998</v>
      </c>
      <c r="J35" s="602"/>
      <c r="K35" s="603">
        <f>IF(G34&gt;1,(SMIC_H*(F35+H35-I35)*E35*1.6/(E35+G35)),(SMIC_H*F35)*1.6)</f>
        <v>2639.053372892904</v>
      </c>
      <c r="L35" s="604">
        <f t="shared" ref="L35" si="14">IFERROR((K35/E35)-1,0)</f>
        <v>0.40679348751628797</v>
      </c>
      <c r="M35" s="605">
        <f>(J34/(LIMITE_FILLON-1))*L35</f>
        <v>0.19044715107220878</v>
      </c>
      <c r="N35" s="606">
        <f>M35*E35</f>
        <v>357.26650773903151</v>
      </c>
      <c r="O35" s="607"/>
    </row>
    <row r="36" spans="1:15" ht="18.75" x14ac:dyDescent="0.25">
      <c r="A36" s="755" t="s">
        <v>604</v>
      </c>
      <c r="B36" s="910">
        <f t="shared" ref="B36:I36" si="15">A15</f>
        <v>0</v>
      </c>
      <c r="C36" s="912">
        <f t="shared" si="15"/>
        <v>0</v>
      </c>
      <c r="D36" s="745">
        <f t="shared" si="15"/>
        <v>0</v>
      </c>
      <c r="E36" s="746">
        <f t="shared" si="15"/>
        <v>0</v>
      </c>
      <c r="F36" s="746">
        <f t="shared" si="15"/>
        <v>0</v>
      </c>
      <c r="G36" s="746">
        <f t="shared" si="15"/>
        <v>0</v>
      </c>
      <c r="H36" s="746">
        <f t="shared" si="15"/>
        <v>0</v>
      </c>
      <c r="I36" s="747">
        <f t="shared" si="15"/>
        <v>0</v>
      </c>
      <c r="J36" s="748">
        <f>IF(D36&gt;=20,Tx_FILLON_MAX,Tx_FILLON_MINI)</f>
        <v>0.28089999999999998</v>
      </c>
      <c r="K36" s="749"/>
      <c r="L36" s="750"/>
      <c r="M36" s="751"/>
      <c r="N36" s="752"/>
      <c r="O36" s="753">
        <f>N37-N35</f>
        <v>0</v>
      </c>
    </row>
    <row r="37" spans="1:15" ht="18.75" x14ac:dyDescent="0.25">
      <c r="A37" s="756" t="s">
        <v>623</v>
      </c>
      <c r="B37" s="911"/>
      <c r="C37" s="913"/>
      <c r="D37" s="600"/>
      <c r="E37" s="601">
        <f>E36+E35</f>
        <v>1875.9351648351649</v>
      </c>
      <c r="F37" s="601">
        <f t="shared" ref="F37:I37" si="16">F36+F35</f>
        <v>168.99666666666667</v>
      </c>
      <c r="G37" s="601">
        <f t="shared" si="16"/>
        <v>0</v>
      </c>
      <c r="H37" s="601">
        <f t="shared" si="16"/>
        <v>0</v>
      </c>
      <c r="I37" s="601">
        <f t="shared" si="16"/>
        <v>17.329999999999998</v>
      </c>
      <c r="J37" s="602"/>
      <c r="K37" s="603">
        <f>IF(G36&gt;1,(SMIC_H*(F37+H37-I37)*E37*1.6/(E37+G37)),(SMIC_H*F37)*1.6)</f>
        <v>2639.053372892904</v>
      </c>
      <c r="L37" s="604">
        <f t="shared" ref="L37" si="17">IFERROR((K37/E37)-1,0)</f>
        <v>0.40679348751628797</v>
      </c>
      <c r="M37" s="605">
        <f>(J36/(LIMITE_FILLON-1))*L37</f>
        <v>0.19044715107220878</v>
      </c>
      <c r="N37" s="606">
        <f>M37*E37</f>
        <v>357.26650773903151</v>
      </c>
      <c r="O37" s="607"/>
    </row>
    <row r="38" spans="1:15" ht="18.75" x14ac:dyDescent="0.25">
      <c r="A38" s="757" t="s">
        <v>604</v>
      </c>
      <c r="B38" s="910">
        <f>+A16</f>
        <v>0</v>
      </c>
      <c r="C38" s="912">
        <f>+B16</f>
        <v>0</v>
      </c>
      <c r="D38" s="745">
        <f t="shared" ref="D38:I38" si="18">C16</f>
        <v>0</v>
      </c>
      <c r="E38" s="746">
        <f t="shared" si="18"/>
        <v>0</v>
      </c>
      <c r="F38" s="746">
        <f t="shared" si="18"/>
        <v>0</v>
      </c>
      <c r="G38" s="746">
        <f t="shared" si="18"/>
        <v>0</v>
      </c>
      <c r="H38" s="746">
        <f t="shared" si="18"/>
        <v>0</v>
      </c>
      <c r="I38" s="747">
        <f t="shared" si="18"/>
        <v>0</v>
      </c>
      <c r="J38" s="748">
        <f>IF(D38&gt;=20,Tx_FILLON_MAX,Tx_FILLON_MINI)</f>
        <v>0.28089999999999998</v>
      </c>
      <c r="K38" s="749"/>
      <c r="L38" s="750"/>
      <c r="M38" s="751"/>
      <c r="N38" s="752"/>
      <c r="O38" s="753">
        <f>N39-N37</f>
        <v>0</v>
      </c>
    </row>
    <row r="39" spans="1:15" ht="18.75" x14ac:dyDescent="0.25">
      <c r="A39" s="756" t="s">
        <v>623</v>
      </c>
      <c r="B39" s="911"/>
      <c r="C39" s="913"/>
      <c r="D39" s="600"/>
      <c r="E39" s="601">
        <f>E38+E37</f>
        <v>1875.9351648351649</v>
      </c>
      <c r="F39" s="601">
        <f t="shared" ref="F39:I39" si="19">F38+F37</f>
        <v>168.99666666666667</v>
      </c>
      <c r="G39" s="601">
        <f t="shared" si="19"/>
        <v>0</v>
      </c>
      <c r="H39" s="601">
        <f t="shared" si="19"/>
        <v>0</v>
      </c>
      <c r="I39" s="601">
        <f t="shared" si="19"/>
        <v>17.329999999999998</v>
      </c>
      <c r="J39" s="602"/>
      <c r="K39" s="603">
        <f>IF(G38&gt;1,(SMIC_H*(F39+H39-I39)*E39*1.6/(E39+G39)),(SMIC_H*F39)*1.6)</f>
        <v>2639.053372892904</v>
      </c>
      <c r="L39" s="604">
        <f t="shared" ref="L39" si="20">IFERROR((K39/E39)-1,0)</f>
        <v>0.40679348751628797</v>
      </c>
      <c r="M39" s="605">
        <f>(J38/(LIMITE_FILLON-1))*L39</f>
        <v>0.19044715107220878</v>
      </c>
      <c r="N39" s="606">
        <f>M39*E39</f>
        <v>357.26650773903151</v>
      </c>
      <c r="O39" s="607"/>
    </row>
    <row r="40" spans="1:15" ht="18.75" x14ac:dyDescent="0.25">
      <c r="A40" s="755" t="s">
        <v>604</v>
      </c>
      <c r="B40" s="910">
        <f>+A17</f>
        <v>0</v>
      </c>
      <c r="C40" s="912">
        <f>+B17</f>
        <v>0</v>
      </c>
      <c r="D40" s="745">
        <f t="shared" ref="D40:I40" si="21">C17</f>
        <v>0</v>
      </c>
      <c r="E40" s="746">
        <f t="shared" si="21"/>
        <v>0</v>
      </c>
      <c r="F40" s="746">
        <f t="shared" si="21"/>
        <v>0</v>
      </c>
      <c r="G40" s="746">
        <f t="shared" si="21"/>
        <v>0</v>
      </c>
      <c r="H40" s="746">
        <f t="shared" si="21"/>
        <v>0</v>
      </c>
      <c r="I40" s="747">
        <f t="shared" si="21"/>
        <v>0</v>
      </c>
      <c r="J40" s="748">
        <f>IF(D40&gt;=20,Tx_FILLON_MAX,Tx_FILLON_MINI)</f>
        <v>0.28089999999999998</v>
      </c>
      <c r="K40" s="749"/>
      <c r="L40" s="750"/>
      <c r="M40" s="751"/>
      <c r="N40" s="752"/>
      <c r="O40" s="753">
        <f>N41-N39</f>
        <v>0</v>
      </c>
    </row>
    <row r="41" spans="1:15" ht="18.75" x14ac:dyDescent="0.25">
      <c r="A41" s="756" t="s">
        <v>623</v>
      </c>
      <c r="B41" s="911"/>
      <c r="C41" s="913"/>
      <c r="D41" s="600"/>
      <c r="E41" s="601">
        <f>E40+E39</f>
        <v>1875.9351648351649</v>
      </c>
      <c r="F41" s="601">
        <f t="shared" ref="F41:I41" si="22">F40+F39</f>
        <v>168.99666666666667</v>
      </c>
      <c r="G41" s="601">
        <f t="shared" si="22"/>
        <v>0</v>
      </c>
      <c r="H41" s="601">
        <f t="shared" si="22"/>
        <v>0</v>
      </c>
      <c r="I41" s="601">
        <f t="shared" si="22"/>
        <v>17.329999999999998</v>
      </c>
      <c r="J41" s="602"/>
      <c r="K41" s="603">
        <f>IF(G40&gt;1,(SMIC_H*(F41+H41-I41)*E41*1.6/(E41+G41)),(SMIC_H*F41)*1.6)</f>
        <v>2639.053372892904</v>
      </c>
      <c r="L41" s="604">
        <f t="shared" ref="L41" si="23">IFERROR((K41/E41)-1,0)</f>
        <v>0.40679348751628797</v>
      </c>
      <c r="M41" s="605">
        <f>(J40/(LIMITE_FILLON-1))*L41</f>
        <v>0.19044715107220878</v>
      </c>
      <c r="N41" s="606">
        <f>M41*E41</f>
        <v>357.26650773903151</v>
      </c>
      <c r="O41" s="607"/>
    </row>
    <row r="42" spans="1:15" ht="18.75" x14ac:dyDescent="0.25">
      <c r="A42" s="757" t="s">
        <v>604</v>
      </c>
      <c r="B42" s="910">
        <f>+A18</f>
        <v>0</v>
      </c>
      <c r="C42" s="912">
        <f>+B18</f>
        <v>0</v>
      </c>
      <c r="D42" s="745">
        <f t="shared" ref="D42:I42" si="24">C18</f>
        <v>0</v>
      </c>
      <c r="E42" s="746">
        <f t="shared" si="24"/>
        <v>0</v>
      </c>
      <c r="F42" s="746">
        <f t="shared" si="24"/>
        <v>0</v>
      </c>
      <c r="G42" s="746">
        <f t="shared" si="24"/>
        <v>0</v>
      </c>
      <c r="H42" s="746">
        <f t="shared" si="24"/>
        <v>0</v>
      </c>
      <c r="I42" s="747">
        <f t="shared" si="24"/>
        <v>0</v>
      </c>
      <c r="J42" s="748">
        <f>IF(D42&gt;=20,Tx_FILLON_MAX,Tx_FILLON_MINI)</f>
        <v>0.28089999999999998</v>
      </c>
      <c r="K42" s="749"/>
      <c r="L42" s="750"/>
      <c r="M42" s="751"/>
      <c r="N42" s="752"/>
      <c r="O42" s="753">
        <f>N43-N41</f>
        <v>0</v>
      </c>
    </row>
    <row r="43" spans="1:15" ht="18.75" x14ac:dyDescent="0.25">
      <c r="A43" s="756" t="s">
        <v>623</v>
      </c>
      <c r="B43" s="911"/>
      <c r="C43" s="913"/>
      <c r="D43" s="600"/>
      <c r="E43" s="601">
        <f>E42+E41</f>
        <v>1875.9351648351649</v>
      </c>
      <c r="F43" s="601">
        <f t="shared" ref="F43:I43" si="25">F42+F41</f>
        <v>168.99666666666667</v>
      </c>
      <c r="G43" s="601">
        <f t="shared" si="25"/>
        <v>0</v>
      </c>
      <c r="H43" s="601">
        <f t="shared" si="25"/>
        <v>0</v>
      </c>
      <c r="I43" s="601">
        <f t="shared" si="25"/>
        <v>17.329999999999998</v>
      </c>
      <c r="J43" s="602"/>
      <c r="K43" s="603">
        <f>IF(G42&gt;1,(SMIC_H*(F43+H43-I43)*E43*1.6/(E43+G43)),(SMIC_H*F43)*1.6)</f>
        <v>2639.053372892904</v>
      </c>
      <c r="L43" s="604">
        <f t="shared" ref="L43" si="26">IFERROR((K43/E43)-1,0)</f>
        <v>0.40679348751628797</v>
      </c>
      <c r="M43" s="605">
        <f>(J42/(LIMITE_FILLON-1))*L43</f>
        <v>0.19044715107220878</v>
      </c>
      <c r="N43" s="606">
        <f>M43*E43</f>
        <v>357.26650773903151</v>
      </c>
      <c r="O43" s="607"/>
    </row>
    <row r="44" spans="1:15" ht="18.75" x14ac:dyDescent="0.25">
      <c r="A44" s="755" t="s">
        <v>604</v>
      </c>
      <c r="B44" s="910">
        <f>+A19</f>
        <v>0</v>
      </c>
      <c r="C44" s="912">
        <f>+B19</f>
        <v>0</v>
      </c>
      <c r="D44" s="745">
        <f t="shared" ref="D44:I44" si="27">C19</f>
        <v>0</v>
      </c>
      <c r="E44" s="746">
        <f t="shared" si="27"/>
        <v>0</v>
      </c>
      <c r="F44" s="746">
        <f t="shared" si="27"/>
        <v>0</v>
      </c>
      <c r="G44" s="746">
        <f t="shared" si="27"/>
        <v>0</v>
      </c>
      <c r="H44" s="746">
        <f t="shared" si="27"/>
        <v>0</v>
      </c>
      <c r="I44" s="747">
        <f t="shared" si="27"/>
        <v>0</v>
      </c>
      <c r="J44" s="748">
        <f>IF(D44&gt;=20,Tx_FILLON_MAX,Tx_FILLON_MINI)</f>
        <v>0.28089999999999998</v>
      </c>
      <c r="K44" s="749"/>
      <c r="L44" s="750"/>
      <c r="M44" s="751"/>
      <c r="N44" s="752"/>
      <c r="O44" s="753">
        <f>N45-N43</f>
        <v>0</v>
      </c>
    </row>
    <row r="45" spans="1:15" ht="18.75" x14ac:dyDescent="0.25">
      <c r="A45" s="756" t="s">
        <v>623</v>
      </c>
      <c r="B45" s="911"/>
      <c r="C45" s="913"/>
      <c r="D45" s="600"/>
      <c r="E45" s="601">
        <f>E44+E43</f>
        <v>1875.9351648351649</v>
      </c>
      <c r="F45" s="601">
        <f t="shared" ref="F45:I45" si="28">F44+F43</f>
        <v>168.99666666666667</v>
      </c>
      <c r="G45" s="601">
        <f t="shared" si="28"/>
        <v>0</v>
      </c>
      <c r="H45" s="601">
        <f t="shared" si="28"/>
        <v>0</v>
      </c>
      <c r="I45" s="601">
        <f t="shared" si="28"/>
        <v>17.329999999999998</v>
      </c>
      <c r="J45" s="602"/>
      <c r="K45" s="603">
        <f>IF(G44&gt;1,(SMIC_H*(F45+H45-I45)*E45*1.6/(E45+G45)),(SMIC_H*F45)*1.6)</f>
        <v>2639.053372892904</v>
      </c>
      <c r="L45" s="604">
        <f t="shared" ref="L45" si="29">IFERROR((K45/E45)-1,0)</f>
        <v>0.40679348751628797</v>
      </c>
      <c r="M45" s="605">
        <f>(J44/(LIMITE_FILLON-1))*L45</f>
        <v>0.19044715107220878</v>
      </c>
      <c r="N45" s="606">
        <f>M45*E45</f>
        <v>357.26650773903151</v>
      </c>
      <c r="O45" s="607"/>
    </row>
    <row r="46" spans="1:15" ht="18.75" x14ac:dyDescent="0.25">
      <c r="A46" s="757" t="s">
        <v>604</v>
      </c>
      <c r="B46" s="910">
        <f t="shared" ref="B46:I46" si="30">A20</f>
        <v>0</v>
      </c>
      <c r="C46" s="912">
        <f t="shared" si="30"/>
        <v>0</v>
      </c>
      <c r="D46" s="745">
        <f t="shared" si="30"/>
        <v>0</v>
      </c>
      <c r="E46" s="746">
        <f t="shared" si="30"/>
        <v>0</v>
      </c>
      <c r="F46" s="746">
        <f t="shared" si="30"/>
        <v>0</v>
      </c>
      <c r="G46" s="746">
        <f t="shared" si="30"/>
        <v>0</v>
      </c>
      <c r="H46" s="746">
        <f t="shared" si="30"/>
        <v>0</v>
      </c>
      <c r="I46" s="747">
        <f t="shared" si="30"/>
        <v>0</v>
      </c>
      <c r="J46" s="748">
        <f>IF(D46&gt;=20,Tx_FILLON_MAX,Tx_FILLON_MINI)</f>
        <v>0.28089999999999998</v>
      </c>
      <c r="K46" s="749"/>
      <c r="L46" s="750"/>
      <c r="M46" s="751"/>
      <c r="N46" s="752"/>
      <c r="O46" s="753">
        <f>N47-N45</f>
        <v>0</v>
      </c>
    </row>
    <row r="47" spans="1:15" ht="18.75" x14ac:dyDescent="0.25">
      <c r="A47" s="756" t="s">
        <v>623</v>
      </c>
      <c r="B47" s="911"/>
      <c r="C47" s="913"/>
      <c r="D47" s="600"/>
      <c r="E47" s="601">
        <f>E46+E45</f>
        <v>1875.9351648351649</v>
      </c>
      <c r="F47" s="601">
        <f t="shared" ref="F47:I47" si="31">F46+F45</f>
        <v>168.99666666666667</v>
      </c>
      <c r="G47" s="601">
        <f t="shared" si="31"/>
        <v>0</v>
      </c>
      <c r="H47" s="601">
        <f t="shared" si="31"/>
        <v>0</v>
      </c>
      <c r="I47" s="601">
        <f t="shared" si="31"/>
        <v>17.329999999999998</v>
      </c>
      <c r="J47" s="602"/>
      <c r="K47" s="603">
        <f>IF(G46&gt;1,(SMIC_H*(F47+H47-I47)*E47*1.6/(E47+G47)),(SMIC_H*F47)*1.6)</f>
        <v>2639.053372892904</v>
      </c>
      <c r="L47" s="604">
        <f t="shared" ref="L47" si="32">IFERROR((K47/E47)-1,0)</f>
        <v>0.40679348751628797</v>
      </c>
      <c r="M47" s="605">
        <f>(J46/(LIMITE_FILLON-1))*L47</f>
        <v>0.19044715107220878</v>
      </c>
      <c r="N47" s="606">
        <f>M47*E47</f>
        <v>357.26650773903151</v>
      </c>
      <c r="O47" s="607"/>
    </row>
    <row r="48" spans="1:15" x14ac:dyDescent="0.25">
      <c r="I48" s="612"/>
    </row>
    <row r="69" spans="2:2" x14ac:dyDescent="0.25">
      <c r="B69" s="149" t="str">
        <f t="shared" ref="B69" si="33">IF(A53="","",A53)</f>
        <v/>
      </c>
    </row>
    <row r="70" spans="2:2" x14ac:dyDescent="0.25">
      <c r="B70" s="149" t="str">
        <f t="shared" ref="B70:B96" si="34">IF(A54="","",A54)</f>
        <v/>
      </c>
    </row>
    <row r="71" spans="2:2" x14ac:dyDescent="0.25">
      <c r="B71" s="149" t="str">
        <f t="shared" si="34"/>
        <v/>
      </c>
    </row>
    <row r="72" spans="2:2" x14ac:dyDescent="0.25">
      <c r="B72" s="149" t="str">
        <f t="shared" si="34"/>
        <v/>
      </c>
    </row>
    <row r="73" spans="2:2" x14ac:dyDescent="0.25">
      <c r="B73" s="149" t="str">
        <f t="shared" si="34"/>
        <v/>
      </c>
    </row>
    <row r="74" spans="2:2" x14ac:dyDescent="0.25">
      <c r="B74" s="149" t="str">
        <f t="shared" si="34"/>
        <v/>
      </c>
    </row>
    <row r="75" spans="2:2" x14ac:dyDescent="0.25">
      <c r="B75" s="149" t="str">
        <f t="shared" si="34"/>
        <v/>
      </c>
    </row>
    <row r="76" spans="2:2" x14ac:dyDescent="0.25">
      <c r="B76" s="149" t="str">
        <f t="shared" si="34"/>
        <v/>
      </c>
    </row>
    <row r="77" spans="2:2" x14ac:dyDescent="0.25">
      <c r="B77" s="149" t="str">
        <f t="shared" si="34"/>
        <v/>
      </c>
    </row>
    <row r="78" spans="2:2" x14ac:dyDescent="0.25">
      <c r="B78" s="149" t="str">
        <f t="shared" si="34"/>
        <v/>
      </c>
    </row>
    <row r="79" spans="2:2" x14ac:dyDescent="0.25">
      <c r="B79" s="149" t="str">
        <f t="shared" si="34"/>
        <v/>
      </c>
    </row>
    <row r="80" spans="2:2" x14ac:dyDescent="0.25">
      <c r="B80" s="149" t="str">
        <f t="shared" si="34"/>
        <v/>
      </c>
    </row>
    <row r="81" spans="2:2" x14ac:dyDescent="0.25">
      <c r="B81" s="149" t="str">
        <f t="shared" si="34"/>
        <v/>
      </c>
    </row>
    <row r="82" spans="2:2" x14ac:dyDescent="0.25">
      <c r="B82" s="149" t="str">
        <f t="shared" si="34"/>
        <v/>
      </c>
    </row>
    <row r="83" spans="2:2" x14ac:dyDescent="0.25">
      <c r="B83" s="149" t="str">
        <f t="shared" si="34"/>
        <v/>
      </c>
    </row>
    <row r="84" spans="2:2" x14ac:dyDescent="0.25">
      <c r="B84" s="149" t="str">
        <f t="shared" si="34"/>
        <v/>
      </c>
    </row>
    <row r="85" spans="2:2" x14ac:dyDescent="0.25">
      <c r="B85" s="149" t="str">
        <f t="shared" si="34"/>
        <v/>
      </c>
    </row>
    <row r="86" spans="2:2" x14ac:dyDescent="0.25">
      <c r="B86" s="149" t="str">
        <f t="shared" si="34"/>
        <v/>
      </c>
    </row>
    <row r="87" spans="2:2" x14ac:dyDescent="0.25">
      <c r="B87" s="149" t="str">
        <f t="shared" si="34"/>
        <v/>
      </c>
    </row>
    <row r="88" spans="2:2" x14ac:dyDescent="0.25">
      <c r="B88" s="149" t="str">
        <f t="shared" si="34"/>
        <v/>
      </c>
    </row>
    <row r="89" spans="2:2" x14ac:dyDescent="0.25">
      <c r="B89" s="149" t="str">
        <f t="shared" si="34"/>
        <v/>
      </c>
    </row>
    <row r="90" spans="2:2" x14ac:dyDescent="0.25">
      <c r="B90" s="149" t="str">
        <f t="shared" si="34"/>
        <v/>
      </c>
    </row>
    <row r="91" spans="2:2" x14ac:dyDescent="0.25">
      <c r="B91" s="149" t="str">
        <f t="shared" si="34"/>
        <v/>
      </c>
    </row>
    <row r="92" spans="2:2" x14ac:dyDescent="0.25">
      <c r="B92" s="149" t="str">
        <f t="shared" si="34"/>
        <v/>
      </c>
    </row>
    <row r="93" spans="2:2" x14ac:dyDescent="0.25">
      <c r="B93" s="149" t="str">
        <f t="shared" si="34"/>
        <v/>
      </c>
    </row>
    <row r="94" spans="2:2" x14ac:dyDescent="0.25">
      <c r="B94" s="149" t="str">
        <f t="shared" si="34"/>
        <v/>
      </c>
    </row>
    <row r="95" spans="2:2" x14ac:dyDescent="0.25">
      <c r="B95" s="149" t="str">
        <f t="shared" si="34"/>
        <v/>
      </c>
    </row>
    <row r="96" spans="2:2" x14ac:dyDescent="0.25">
      <c r="B96" s="149" t="str">
        <f t="shared" si="34"/>
        <v/>
      </c>
    </row>
  </sheetData>
  <mergeCells count="26">
    <mergeCell ref="B46:B47"/>
    <mergeCell ref="C46:C47"/>
    <mergeCell ref="B40:B41"/>
    <mergeCell ref="C40:C41"/>
    <mergeCell ref="B42:B43"/>
    <mergeCell ref="C42:C43"/>
    <mergeCell ref="B44:B45"/>
    <mergeCell ref="C44:C45"/>
    <mergeCell ref="B34:B35"/>
    <mergeCell ref="C34:C35"/>
    <mergeCell ref="B36:B37"/>
    <mergeCell ref="C36:C37"/>
    <mergeCell ref="B38:B39"/>
    <mergeCell ref="C38:C39"/>
    <mergeCell ref="B28:B29"/>
    <mergeCell ref="C28:C29"/>
    <mergeCell ref="B30:B31"/>
    <mergeCell ref="C30:C31"/>
    <mergeCell ref="B32:B33"/>
    <mergeCell ref="C32:C33"/>
    <mergeCell ref="A1:K1"/>
    <mergeCell ref="A23:B23"/>
    <mergeCell ref="B24:B25"/>
    <mergeCell ref="C24:C25"/>
    <mergeCell ref="B26:B27"/>
    <mergeCell ref="C26:C2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81" r:id="rId4" name="Button 1">
              <controlPr defaultSize="0" print="0" autoFill="0" autoPict="0" macro="[0]!EffacerValeursFillon">
                <anchor moveWithCells="1" sizeWithCells="1">
                  <from>
                    <xdr:col>0</xdr:col>
                    <xdr:colOff>142875</xdr:colOff>
                    <xdr:row>4</xdr:row>
                    <xdr:rowOff>28575</xdr:rowOff>
                  </from>
                  <to>
                    <xdr:col>1</xdr:col>
                    <xdr:colOff>933450</xdr:colOff>
                    <xdr:row>6</xdr:row>
                    <xdr:rowOff>9525</xdr:rowOff>
                  </to>
                </anchor>
              </controlPr>
            </control>
          </mc:Choice>
        </mc:AlternateContent>
        <mc:AlternateContent xmlns:mc="http://schemas.openxmlformats.org/markup-compatibility/2006">
          <mc:Choice Requires="x14">
            <control shapeId="20482" r:id="rId5" name="Button 2">
              <controlPr defaultSize="0" print="0" autoFill="0" autoPict="0" macro="[0]!GénérerValeursFillon">
                <anchor moveWithCells="1" sizeWithCells="1">
                  <from>
                    <xdr:col>0</xdr:col>
                    <xdr:colOff>152400</xdr:colOff>
                    <xdr:row>1</xdr:row>
                    <xdr:rowOff>257175</xdr:rowOff>
                  </from>
                  <to>
                    <xdr:col>1</xdr:col>
                    <xdr:colOff>942975</xdr:colOff>
                    <xdr:row>3</xdr:row>
                    <xdr:rowOff>200025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6">
    <tabColor rgb="FF00B050"/>
  </sheetPr>
  <dimension ref="A1:R25"/>
  <sheetViews>
    <sheetView zoomScale="90" zoomScaleNormal="90" workbookViewId="0">
      <selection activeCell="M4" sqref="M4"/>
    </sheetView>
  </sheetViews>
  <sheetFormatPr baseColWidth="10" defaultColWidth="11.42578125" defaultRowHeight="15" x14ac:dyDescent="0.25"/>
  <cols>
    <col min="1" max="18" width="13.7109375" customWidth="1"/>
  </cols>
  <sheetData>
    <row r="1" spans="1:18" ht="21.75" thickBot="1" x14ac:dyDescent="0.3">
      <c r="A1" s="914" t="s">
        <v>624</v>
      </c>
      <c r="B1" s="915"/>
      <c r="C1" s="915"/>
      <c r="D1" s="915"/>
      <c r="E1" s="915"/>
      <c r="F1" s="915"/>
      <c r="G1" s="915"/>
      <c r="H1" s="915"/>
      <c r="I1" s="915"/>
      <c r="J1" s="915"/>
      <c r="K1" s="915"/>
      <c r="L1" s="915"/>
      <c r="M1" s="916"/>
    </row>
    <row r="2" spans="1:18" s="614" customFormat="1" ht="21" x14ac:dyDescent="0.25">
      <c r="A2" s="917" t="s">
        <v>123</v>
      </c>
      <c r="B2" s="917"/>
      <c r="C2" s="613"/>
      <c r="D2" s="613"/>
      <c r="E2" s="613"/>
      <c r="F2" s="613"/>
      <c r="G2" s="613"/>
      <c r="H2" s="613"/>
      <c r="I2" s="613"/>
      <c r="J2" s="613"/>
      <c r="K2" s="613"/>
      <c r="L2" s="613"/>
      <c r="M2" s="613"/>
    </row>
    <row r="3" spans="1:18" s="614" customFormat="1" ht="21" x14ac:dyDescent="0.25">
      <c r="A3" s="679" t="s">
        <v>625</v>
      </c>
      <c r="B3" s="680">
        <f>Plafond_Sécu_MOIS</f>
        <v>3269</v>
      </c>
      <c r="E3" s="696" t="s">
        <v>634</v>
      </c>
      <c r="F3" s="697" t="str">
        <f>'INFO G'!B36</f>
        <v>Non cadre</v>
      </c>
      <c r="G3" s="695"/>
      <c r="H3" s="695"/>
      <c r="I3" s="695"/>
      <c r="J3" s="695"/>
      <c r="K3" s="698"/>
      <c r="L3" s="695"/>
      <c r="M3" s="613"/>
    </row>
    <row r="4" spans="1:18" s="614" customFormat="1" ht="30" x14ac:dyDescent="0.25">
      <c r="D4" s="667" t="s">
        <v>626</v>
      </c>
      <c r="E4" s="668" t="s">
        <v>627</v>
      </c>
      <c r="F4" s="668" t="s">
        <v>628</v>
      </c>
      <c r="G4" s="669" t="s">
        <v>629</v>
      </c>
      <c r="H4" s="670" t="s">
        <v>630</v>
      </c>
      <c r="I4" s="574" t="str">
        <f>IF('INFO G'!B36='Liste déroulante'!B2,'INFO G'!A143,'INFO G'!A139)</f>
        <v>Tranche 1</v>
      </c>
      <c r="J4" s="575" t="str">
        <f>IF('INFO G'!B36='Liste déroulante'!B2,'INFO G'!A144,'INFO G'!C139)</f>
        <v>Tranche 2</v>
      </c>
      <c r="K4" s="575" t="str">
        <f>IF('INFO G'!B36='Liste déroulante'!B2,'INFO G'!C143,"Pas de Tranche")</f>
        <v>Pas de Tranche</v>
      </c>
      <c r="L4" s="576" t="str">
        <f>IF('INFO G'!B36='Liste déroulante'!B2,'INFO G'!C144,"Pas de GMP")</f>
        <v>Pas de GMP</v>
      </c>
      <c r="M4" s="613"/>
    </row>
    <row r="5" spans="1:18" s="614" customFormat="1" ht="21" x14ac:dyDescent="0.25">
      <c r="D5" s="681">
        <f>'INFO BULL'!B11</f>
        <v>1</v>
      </c>
      <c r="E5" s="682">
        <f>MOIS_BULLETIN</f>
        <v>43070</v>
      </c>
      <c r="F5" s="683">
        <f>'Bulletin Mois'!L1</f>
        <v>1875.9351648351649</v>
      </c>
      <c r="G5" s="683">
        <f>PSS_BULLETIN</f>
        <v>3269</v>
      </c>
      <c r="H5" s="684" t="str">
        <f>IF('INFO G'!B36='Liste déroulante'!B2,Forfait_GMP_BULL,"0")</f>
        <v>0</v>
      </c>
      <c r="I5" s="666">
        <f>IFERROR(VLOOKUP(D5,A10:R21,8,FALSE),0)</f>
        <v>1875.9351648351649</v>
      </c>
      <c r="J5" s="615">
        <f>IFERROR(VLOOKUP(D5,A10:R21,11,FALSE),0)</f>
        <v>0</v>
      </c>
      <c r="K5" s="616" t="str">
        <f>IFERROR(VLOOKUP(D5,A10:R21,14,FALSE),0)</f>
        <v>-</v>
      </c>
      <c r="L5" s="617" t="str">
        <f>IFERROR(VLOOKUP(D5,A10:R21,17,FALSE),0)</f>
        <v>-</v>
      </c>
      <c r="M5" s="613"/>
    </row>
    <row r="6" spans="1:18" s="614" customFormat="1" ht="21" x14ac:dyDescent="0.25">
      <c r="D6" s="613"/>
      <c r="E6" s="613"/>
      <c r="G6" s="613"/>
      <c r="H6" s="613"/>
      <c r="I6" s="613"/>
      <c r="K6" s="613"/>
      <c r="L6" s="613"/>
      <c r="M6" s="613"/>
    </row>
    <row r="9" spans="1:18" ht="30" x14ac:dyDescent="0.25">
      <c r="A9" s="671" t="s">
        <v>626</v>
      </c>
      <c r="B9" s="672" t="s">
        <v>230</v>
      </c>
      <c r="C9" s="673" t="s">
        <v>628</v>
      </c>
      <c r="D9" s="674" t="s">
        <v>629</v>
      </c>
      <c r="E9" s="674" t="s">
        <v>630</v>
      </c>
      <c r="F9" s="675" t="s">
        <v>633</v>
      </c>
      <c r="G9" s="676" t="str">
        <f>IF('INFO G'!$B$36='Liste déroulante'!$B$2,"Tranche A cumulé", "Tranche 1 cumulé")</f>
        <v>Tranche 1 cumulé</v>
      </c>
      <c r="H9" s="659" t="str">
        <f>IF('INFO G'!$B$36='Liste déroulante'!$B$2,"Tr A Mois","Tr 1 Mois")</f>
        <v>Tr 1 Mois</v>
      </c>
      <c r="I9" s="677" t="str">
        <f>IF('INFO G'!$B$36='Liste déroulante'!$B$2,"Plafond Tr A CUMULE","Plafond Tr 1 CUMULE")</f>
        <v>Plafond Tr 1 CUMULE</v>
      </c>
      <c r="J9" s="676" t="str">
        <f>IF('INFO G'!$B$36='Liste déroulante'!$B$2,"Tranche B cumulé", "Tranche 2 cumulé")</f>
        <v>Tranche 2 cumulé</v>
      </c>
      <c r="K9" s="620" t="str">
        <f>IF('INFO G'!$B$36='Liste déroulante'!$B$2,"Tr B Mois","Tr 2 Mois")</f>
        <v>Tr 2 Mois</v>
      </c>
      <c r="L9" s="677" t="str">
        <f>IF('INFO G'!$B$36='Liste déroulante'!$B$2,"Plafond Tr B CUMULE","Plafond Tr 2 CUMULE")</f>
        <v>Plafond Tr 2 CUMULE</v>
      </c>
      <c r="M9" s="676" t="str">
        <f>IF('INFO G'!$B$36='Liste déroulante'!$B$2,"Tranche C cumulé", "-")</f>
        <v>-</v>
      </c>
      <c r="N9" s="621" t="str">
        <f>IF('INFO G'!$B$36='Liste déroulante'!$B$2,"Tr C Mois","-")</f>
        <v>-</v>
      </c>
      <c r="O9" s="677" t="str">
        <f>IF('INFO G'!$B$36='Liste déroulante'!$B$2,"Plafond Tr C CUMULE","-")</f>
        <v>-</v>
      </c>
      <c r="P9" s="678" t="str">
        <f>IF('INFO G'!$B$36='Liste déroulante'!$B$2,"GMP CUMULE", "-")</f>
        <v>-</v>
      </c>
      <c r="Q9" s="622" t="str">
        <f>IF('INFO G'!$B$36='Liste déroulante'!$B$2,"GMP Mois","-")</f>
        <v>-</v>
      </c>
      <c r="R9" s="678" t="str">
        <f>IF('INFO G'!$B$36='Liste déroulante'!$B$2,"Plafond GMP CUMULE","-")</f>
        <v>-</v>
      </c>
    </row>
    <row r="10" spans="1:18" ht="20.25" customHeight="1" x14ac:dyDescent="0.25">
      <c r="A10" s="687">
        <v>1</v>
      </c>
      <c r="B10" s="688">
        <v>43070</v>
      </c>
      <c r="C10" s="689">
        <v>1875.9351648351649</v>
      </c>
      <c r="D10" s="689">
        <v>3269</v>
      </c>
      <c r="E10" s="690">
        <v>0</v>
      </c>
      <c r="F10" s="685">
        <f>C10</f>
        <v>1875.9351648351649</v>
      </c>
      <c r="G10" s="660">
        <f>IF(F10&gt;I10,I10,F10)</f>
        <v>1875.9351648351649</v>
      </c>
      <c r="H10" s="661">
        <f>G10</f>
        <v>1875.9351648351649</v>
      </c>
      <c r="I10" s="662">
        <f>D10</f>
        <v>3269</v>
      </c>
      <c r="J10" s="623">
        <f>IF(F10&gt;L10,L10-I10,IF(F10&gt;I10,F10-I10,0))</f>
        <v>0</v>
      </c>
      <c r="K10" s="624">
        <f>J10</f>
        <v>0</v>
      </c>
      <c r="L10" s="699">
        <f>IF('INFO G'!$B$36='Liste déroulante'!$B$2,D10*4,D10*3)</f>
        <v>9807</v>
      </c>
      <c r="M10" s="709" t="str">
        <f>IF(O10="-","-",IF(F10&gt;O10,O10-L10,IF(F10&gt;L10,F10-L10,0)))</f>
        <v>-</v>
      </c>
      <c r="N10" s="710" t="str">
        <f>IF(O10="-","-",M10)</f>
        <v>-</v>
      </c>
      <c r="O10" s="705" t="str">
        <f>IF('INFO G'!$B$36='Liste déroulante'!$B$2,G10*8,"-")</f>
        <v>-</v>
      </c>
      <c r="P10" s="626" t="str">
        <f>IFERROR(IF(J10&gt;R10,0,IF(J10&lt;R10,R10-J10,R10)),"-")</f>
        <v>-</v>
      </c>
      <c r="Q10" s="627" t="str">
        <f>IFERROR(P10,"-")</f>
        <v>-</v>
      </c>
      <c r="R10" s="628" t="str">
        <f>IF('INFO G'!B36='Liste déroulante'!B2,E10,"-")</f>
        <v>-</v>
      </c>
    </row>
    <row r="11" spans="1:18" ht="20.25" customHeight="1" x14ac:dyDescent="0.25">
      <c r="A11" s="629"/>
      <c r="B11" s="585"/>
      <c r="C11" s="630"/>
      <c r="D11" s="630"/>
      <c r="E11" s="631"/>
      <c r="F11" s="632">
        <f>F10+C11</f>
        <v>1875.9351648351649</v>
      </c>
      <c r="G11" s="633">
        <f>IF(F11&gt;I11,I11,F11)</f>
        <v>1875.9351648351649</v>
      </c>
      <c r="H11" s="634">
        <f>G11-G10</f>
        <v>0</v>
      </c>
      <c r="I11" s="635">
        <f>I10+D11</f>
        <v>3269</v>
      </c>
      <c r="J11" s="633">
        <f>IF(F11&gt;L11,L11-I11,IF(F11&gt;I11,F11-I11,0))</f>
        <v>0</v>
      </c>
      <c r="K11" s="634">
        <f>J11-J10</f>
        <v>0</v>
      </c>
      <c r="L11" s="700">
        <f>IF('INFO G'!$B$36='Liste déroulante'!$B$2,L10+4*D11,L10+3*D11)</f>
        <v>9807</v>
      </c>
      <c r="M11" s="707" t="str">
        <f>IF(O11="-","-",IF(F11&gt;O11,O11-L11,IF(F11&gt;L11,F11-L11,0)))</f>
        <v>-</v>
      </c>
      <c r="N11" s="703" t="str">
        <f>IFERROR(M11-M10,"-")</f>
        <v>-</v>
      </c>
      <c r="O11" s="635" t="str">
        <f>IF('INFO G'!$B$36='Liste déroulante'!$B$2,O10+8*G11,"-")</f>
        <v>-</v>
      </c>
      <c r="P11" s="636" t="str">
        <f>IFERROR(IF(J11&gt;R11,0,IF(J11&lt;R11,R11-J11,R11)),"-")</f>
        <v>-</v>
      </c>
      <c r="Q11" s="637" t="str">
        <f>IFERROR(P11-P10,"-")</f>
        <v>-</v>
      </c>
      <c r="R11" s="638" t="str">
        <f>IF('INFO G'!$B$36='Liste déroulante'!$B$2,R10+E11,"-")</f>
        <v>-</v>
      </c>
    </row>
    <row r="12" spans="1:18" ht="20.25" customHeight="1" x14ac:dyDescent="0.25">
      <c r="A12" s="691"/>
      <c r="B12" s="692"/>
      <c r="C12" s="693"/>
      <c r="D12" s="693"/>
      <c r="E12" s="694"/>
      <c r="F12" s="686">
        <f>F11+C12</f>
        <v>1875.9351648351649</v>
      </c>
      <c r="G12" s="663">
        <f t="shared" ref="G12:G21" si="0">IF(F12&gt;I12,I12,F12)</f>
        <v>1875.9351648351649</v>
      </c>
      <c r="H12" s="664">
        <f t="shared" ref="H12:H21" si="1">G12-G11</f>
        <v>0</v>
      </c>
      <c r="I12" s="665">
        <f t="shared" ref="I12:I21" si="2">I11+D12</f>
        <v>3269</v>
      </c>
      <c r="J12" s="639">
        <f t="shared" ref="J12:J21" si="3">IF(F12&gt;L12,L12-I12,IF(F12&gt;I12,F12-I12,0))</f>
        <v>0</v>
      </c>
      <c r="K12" s="640">
        <f t="shared" ref="K12:K21" si="4">J12-J11</f>
        <v>0</v>
      </c>
      <c r="L12" s="701">
        <f>IF('INFO G'!$B$36='Liste déroulante'!$B$2,L11+4*D12,L11+3*D12)</f>
        <v>9807</v>
      </c>
      <c r="M12" s="625" t="str">
        <f>IF(O12="-","-",IF(F12&gt;O12,O12-L12,IF(F12&gt;L12,F12-L12,0)))</f>
        <v>-</v>
      </c>
      <c r="N12" s="708" t="str">
        <f>IFERROR(M12-M11,"-")</f>
        <v>-</v>
      </c>
      <c r="O12" s="706" t="str">
        <f>IF('INFO G'!$B$36='Liste déroulante'!$B$2,O11+8*G12,"-")</f>
        <v>-</v>
      </c>
      <c r="P12" s="641" t="str">
        <f t="shared" ref="P12:P21" si="5">IFERROR(IF(J12&gt;R12,0,IF(J12&lt;R12,R12-J12,R12)),"-")</f>
        <v>-</v>
      </c>
      <c r="Q12" s="642" t="str">
        <f t="shared" ref="Q12:Q21" si="6">IFERROR(P12-P11,"-")</f>
        <v>-</v>
      </c>
      <c r="R12" s="643" t="str">
        <f>IF('INFO G'!$B$36='Liste déroulante'!$B$2,R11+E12,"-")</f>
        <v>-</v>
      </c>
    </row>
    <row r="13" spans="1:18" ht="20.25" customHeight="1" x14ac:dyDescent="0.25">
      <c r="A13" s="629"/>
      <c r="B13" s="585"/>
      <c r="C13" s="630"/>
      <c r="D13" s="630"/>
      <c r="E13" s="631"/>
      <c r="F13" s="632">
        <f t="shared" ref="F13:F21" si="7">F12+C13</f>
        <v>1875.9351648351649</v>
      </c>
      <c r="G13" s="633">
        <f t="shared" si="0"/>
        <v>1875.9351648351649</v>
      </c>
      <c r="H13" s="634">
        <f t="shared" si="1"/>
        <v>0</v>
      </c>
      <c r="I13" s="635">
        <f t="shared" si="2"/>
        <v>3269</v>
      </c>
      <c r="J13" s="633">
        <f t="shared" si="3"/>
        <v>0</v>
      </c>
      <c r="K13" s="634">
        <f t="shared" si="4"/>
        <v>0</v>
      </c>
      <c r="L13" s="700">
        <f>IF('INFO G'!$B$36='Liste déroulante'!$B$2,L12+4*D13,L12+3*D13)</f>
        <v>9807</v>
      </c>
      <c r="M13" s="707" t="str">
        <f>IF(O13="-","-",IF(F13&gt;O13,O13-L13,IF(F13&gt;L13,F13-L13,0)))</f>
        <v>-</v>
      </c>
      <c r="N13" s="703" t="str">
        <f t="shared" ref="N13:N21" si="8">IFERROR(M13-M12,"-")</f>
        <v>-</v>
      </c>
      <c r="O13" s="635" t="str">
        <f>IF('INFO G'!$B$36='Liste déroulante'!$B$2,O12+8*G13,"-")</f>
        <v>-</v>
      </c>
      <c r="P13" s="636" t="str">
        <f t="shared" si="5"/>
        <v>-</v>
      </c>
      <c r="Q13" s="637" t="str">
        <f t="shared" si="6"/>
        <v>-</v>
      </c>
      <c r="R13" s="638" t="str">
        <f>IF('INFO G'!$B$36='Liste déroulante'!$B$2,R12+E13,"-")</f>
        <v>-</v>
      </c>
    </row>
    <row r="14" spans="1:18" ht="20.25" customHeight="1" x14ac:dyDescent="0.25">
      <c r="A14" s="691"/>
      <c r="B14" s="692"/>
      <c r="C14" s="693"/>
      <c r="D14" s="693"/>
      <c r="E14" s="694"/>
      <c r="F14" s="686">
        <f t="shared" si="7"/>
        <v>1875.9351648351649</v>
      </c>
      <c r="G14" s="663">
        <f t="shared" si="0"/>
        <v>1875.9351648351649</v>
      </c>
      <c r="H14" s="664">
        <f t="shared" si="1"/>
        <v>0</v>
      </c>
      <c r="I14" s="665">
        <f t="shared" si="2"/>
        <v>3269</v>
      </c>
      <c r="J14" s="639">
        <f t="shared" si="3"/>
        <v>0</v>
      </c>
      <c r="K14" s="640">
        <f t="shared" si="4"/>
        <v>0</v>
      </c>
      <c r="L14" s="701">
        <f>IF('INFO G'!$B$36='Liste déroulante'!$B$2,L13+4*D14,L13+3*D14)</f>
        <v>9807</v>
      </c>
      <c r="M14" s="625" t="str">
        <f t="shared" ref="M14:M21" si="9">IF(O14="-","-",IF(F14&gt;O14,O14-L14,IF(F14&gt;L14,F14-L14,0)))</f>
        <v>-</v>
      </c>
      <c r="N14" s="708" t="str">
        <f t="shared" si="8"/>
        <v>-</v>
      </c>
      <c r="O14" s="706" t="str">
        <f>IF('INFO G'!$B$36='Liste déroulante'!$B$2,O13+8*G14,"-")</f>
        <v>-</v>
      </c>
      <c r="P14" s="641" t="str">
        <f t="shared" si="5"/>
        <v>-</v>
      </c>
      <c r="Q14" s="642" t="str">
        <f t="shared" si="6"/>
        <v>-</v>
      </c>
      <c r="R14" s="643" t="str">
        <f>IF('INFO G'!$B$36='Liste déroulante'!$B$2,R13+E14,"-")</f>
        <v>-</v>
      </c>
    </row>
    <row r="15" spans="1:18" ht="20.25" customHeight="1" x14ac:dyDescent="0.25">
      <c r="A15" s="629"/>
      <c r="B15" s="585"/>
      <c r="C15" s="630"/>
      <c r="D15" s="630"/>
      <c r="E15" s="631"/>
      <c r="F15" s="632">
        <f t="shared" si="7"/>
        <v>1875.9351648351649</v>
      </c>
      <c r="G15" s="633">
        <f t="shared" si="0"/>
        <v>1875.9351648351649</v>
      </c>
      <c r="H15" s="634">
        <f t="shared" si="1"/>
        <v>0</v>
      </c>
      <c r="I15" s="635">
        <f t="shared" si="2"/>
        <v>3269</v>
      </c>
      <c r="J15" s="633">
        <f t="shared" si="3"/>
        <v>0</v>
      </c>
      <c r="K15" s="634">
        <f t="shared" si="4"/>
        <v>0</v>
      </c>
      <c r="L15" s="700">
        <f>IF('INFO G'!$B$36='Liste déroulante'!$B$2,L14+4*D15,L14+3*D15)</f>
        <v>9807</v>
      </c>
      <c r="M15" s="707" t="str">
        <f t="shared" si="9"/>
        <v>-</v>
      </c>
      <c r="N15" s="703" t="str">
        <f t="shared" si="8"/>
        <v>-</v>
      </c>
      <c r="O15" s="635" t="str">
        <f>IF('INFO G'!$B$36='Liste déroulante'!$B$2,O14+8*G15,"-")</f>
        <v>-</v>
      </c>
      <c r="P15" s="636" t="str">
        <f t="shared" si="5"/>
        <v>-</v>
      </c>
      <c r="Q15" s="637" t="str">
        <f t="shared" si="6"/>
        <v>-</v>
      </c>
      <c r="R15" s="638" t="str">
        <f>IF('INFO G'!$B$36='Liste déroulante'!$B$2,R14+E15,"-")</f>
        <v>-</v>
      </c>
    </row>
    <row r="16" spans="1:18" ht="20.25" customHeight="1" x14ac:dyDescent="0.25">
      <c r="A16" s="691"/>
      <c r="B16" s="692"/>
      <c r="C16" s="693"/>
      <c r="D16" s="693"/>
      <c r="E16" s="694"/>
      <c r="F16" s="686">
        <f t="shared" si="7"/>
        <v>1875.9351648351649</v>
      </c>
      <c r="G16" s="663">
        <f t="shared" si="0"/>
        <v>1875.9351648351649</v>
      </c>
      <c r="H16" s="664">
        <f t="shared" si="1"/>
        <v>0</v>
      </c>
      <c r="I16" s="665">
        <f t="shared" si="2"/>
        <v>3269</v>
      </c>
      <c r="J16" s="639">
        <f t="shared" si="3"/>
        <v>0</v>
      </c>
      <c r="K16" s="640">
        <f t="shared" si="4"/>
        <v>0</v>
      </c>
      <c r="L16" s="701">
        <f>IF('INFO G'!$B$36='Liste déroulante'!$B$2,L15+4*D16,L15+3*D16)</f>
        <v>9807</v>
      </c>
      <c r="M16" s="625" t="str">
        <f t="shared" si="9"/>
        <v>-</v>
      </c>
      <c r="N16" s="708" t="str">
        <f t="shared" si="8"/>
        <v>-</v>
      </c>
      <c r="O16" s="706" t="str">
        <f>IF('INFO G'!$B$36='Liste déroulante'!$B$2,O15+8*G16,"-")</f>
        <v>-</v>
      </c>
      <c r="P16" s="641" t="str">
        <f t="shared" si="5"/>
        <v>-</v>
      </c>
      <c r="Q16" s="642" t="str">
        <f t="shared" si="6"/>
        <v>-</v>
      </c>
      <c r="R16" s="643" t="str">
        <f>IF('INFO G'!$B$36='Liste déroulante'!$B$2,R15+E16,"-")</f>
        <v>-</v>
      </c>
    </row>
    <row r="17" spans="1:18" ht="20.25" customHeight="1" x14ac:dyDescent="0.25">
      <c r="A17" s="629"/>
      <c r="B17" s="585"/>
      <c r="C17" s="630"/>
      <c r="D17" s="630"/>
      <c r="E17" s="631"/>
      <c r="F17" s="632">
        <f t="shared" si="7"/>
        <v>1875.9351648351649</v>
      </c>
      <c r="G17" s="633">
        <f t="shared" si="0"/>
        <v>1875.9351648351649</v>
      </c>
      <c r="H17" s="634">
        <f t="shared" si="1"/>
        <v>0</v>
      </c>
      <c r="I17" s="635">
        <f t="shared" si="2"/>
        <v>3269</v>
      </c>
      <c r="J17" s="633">
        <f t="shared" si="3"/>
        <v>0</v>
      </c>
      <c r="K17" s="634">
        <f t="shared" si="4"/>
        <v>0</v>
      </c>
      <c r="L17" s="700">
        <f>IF('INFO G'!$B$36='Liste déroulante'!$B$2,L16+4*D17,L16+3*D17)</f>
        <v>9807</v>
      </c>
      <c r="M17" s="707" t="str">
        <f t="shared" si="9"/>
        <v>-</v>
      </c>
      <c r="N17" s="703" t="str">
        <f t="shared" si="8"/>
        <v>-</v>
      </c>
      <c r="O17" s="635" t="str">
        <f>IF('INFO G'!$B$36='Liste déroulante'!$B$2,O16+8*G17,"-")</f>
        <v>-</v>
      </c>
      <c r="P17" s="636" t="str">
        <f t="shared" si="5"/>
        <v>-</v>
      </c>
      <c r="Q17" s="637" t="str">
        <f t="shared" si="6"/>
        <v>-</v>
      </c>
      <c r="R17" s="638" t="str">
        <f>IF('INFO G'!$B$36='Liste déroulante'!$B$2,R16+E17,"-")</f>
        <v>-</v>
      </c>
    </row>
    <row r="18" spans="1:18" ht="20.25" customHeight="1" x14ac:dyDescent="0.25">
      <c r="A18" s="691"/>
      <c r="B18" s="692"/>
      <c r="C18" s="693"/>
      <c r="D18" s="693"/>
      <c r="E18" s="694"/>
      <c r="F18" s="686">
        <f t="shared" si="7"/>
        <v>1875.9351648351649</v>
      </c>
      <c r="G18" s="663">
        <f t="shared" si="0"/>
        <v>1875.9351648351649</v>
      </c>
      <c r="H18" s="664">
        <f t="shared" si="1"/>
        <v>0</v>
      </c>
      <c r="I18" s="665">
        <f t="shared" si="2"/>
        <v>3269</v>
      </c>
      <c r="J18" s="639">
        <f t="shared" si="3"/>
        <v>0</v>
      </c>
      <c r="K18" s="640">
        <f t="shared" si="4"/>
        <v>0</v>
      </c>
      <c r="L18" s="701">
        <f>IF('INFO G'!$B$36='Liste déroulante'!$B$2,L17+4*D18,L17+3*D18)</f>
        <v>9807</v>
      </c>
      <c r="M18" s="625" t="str">
        <f t="shared" si="9"/>
        <v>-</v>
      </c>
      <c r="N18" s="708" t="str">
        <f t="shared" si="8"/>
        <v>-</v>
      </c>
      <c r="O18" s="706" t="str">
        <f>IF('INFO G'!$B$36='Liste déroulante'!$B$2,O17+8*G18,"-")</f>
        <v>-</v>
      </c>
      <c r="P18" s="641" t="str">
        <f t="shared" si="5"/>
        <v>-</v>
      </c>
      <c r="Q18" s="642" t="str">
        <f t="shared" si="6"/>
        <v>-</v>
      </c>
      <c r="R18" s="643" t="str">
        <f>IF('INFO G'!$B$36='Liste déroulante'!$B$2,R17+E18,"-")</f>
        <v>-</v>
      </c>
    </row>
    <row r="19" spans="1:18" ht="20.25" customHeight="1" x14ac:dyDescent="0.25">
      <c r="A19" s="629"/>
      <c r="B19" s="585"/>
      <c r="C19" s="630"/>
      <c r="D19" s="630"/>
      <c r="E19" s="631"/>
      <c r="F19" s="632">
        <f t="shared" si="7"/>
        <v>1875.9351648351649</v>
      </c>
      <c r="G19" s="633">
        <f t="shared" si="0"/>
        <v>1875.9351648351649</v>
      </c>
      <c r="H19" s="634">
        <f t="shared" si="1"/>
        <v>0</v>
      </c>
      <c r="I19" s="635">
        <f t="shared" si="2"/>
        <v>3269</v>
      </c>
      <c r="J19" s="633">
        <f t="shared" si="3"/>
        <v>0</v>
      </c>
      <c r="K19" s="634">
        <f t="shared" si="4"/>
        <v>0</v>
      </c>
      <c r="L19" s="700">
        <f>IF('INFO G'!$B$36='Liste déroulante'!$B$2,L18+4*D19,L18+3*D19)</f>
        <v>9807</v>
      </c>
      <c r="M19" s="707" t="str">
        <f t="shared" si="9"/>
        <v>-</v>
      </c>
      <c r="N19" s="703" t="str">
        <f t="shared" si="8"/>
        <v>-</v>
      </c>
      <c r="O19" s="635" t="str">
        <f>IF('INFO G'!$B$36='Liste déroulante'!$B$2,O18+8*G19,"-")</f>
        <v>-</v>
      </c>
      <c r="P19" s="636" t="str">
        <f t="shared" si="5"/>
        <v>-</v>
      </c>
      <c r="Q19" s="637" t="str">
        <f t="shared" si="6"/>
        <v>-</v>
      </c>
      <c r="R19" s="638" t="str">
        <f>IF('INFO G'!$B$36='Liste déroulante'!$B$2,R18+E19,"-")</f>
        <v>-</v>
      </c>
    </row>
    <row r="20" spans="1:18" ht="20.25" customHeight="1" x14ac:dyDescent="0.25">
      <c r="A20" s="691"/>
      <c r="B20" s="692"/>
      <c r="C20" s="693"/>
      <c r="D20" s="693"/>
      <c r="E20" s="694"/>
      <c r="F20" s="686">
        <f t="shared" si="7"/>
        <v>1875.9351648351649</v>
      </c>
      <c r="G20" s="663">
        <f t="shared" si="0"/>
        <v>1875.9351648351649</v>
      </c>
      <c r="H20" s="664">
        <f t="shared" si="1"/>
        <v>0</v>
      </c>
      <c r="I20" s="665">
        <f t="shared" si="2"/>
        <v>3269</v>
      </c>
      <c r="J20" s="639">
        <f t="shared" si="3"/>
        <v>0</v>
      </c>
      <c r="K20" s="640">
        <f t="shared" si="4"/>
        <v>0</v>
      </c>
      <c r="L20" s="701">
        <f>IF('INFO G'!$B$36='Liste déroulante'!$B$2,L19+4*D20,L19+3*D20)</f>
        <v>9807</v>
      </c>
      <c r="M20" s="625" t="str">
        <f t="shared" si="9"/>
        <v>-</v>
      </c>
      <c r="N20" s="708" t="str">
        <f t="shared" si="8"/>
        <v>-</v>
      </c>
      <c r="O20" s="706" t="str">
        <f>IF('INFO G'!$B$36='Liste déroulante'!$B$2,O19+8*G20,"-")</f>
        <v>-</v>
      </c>
      <c r="P20" s="641" t="str">
        <f t="shared" si="5"/>
        <v>-</v>
      </c>
      <c r="Q20" s="642" t="str">
        <f t="shared" si="6"/>
        <v>-</v>
      </c>
      <c r="R20" s="643" t="str">
        <f>IF('INFO G'!$B$36='Liste déroulante'!$B$2,R19+E20,"-")</f>
        <v>-</v>
      </c>
    </row>
    <row r="21" spans="1:18" ht="20.25" customHeight="1" x14ac:dyDescent="0.25">
      <c r="A21" s="644"/>
      <c r="B21" s="594"/>
      <c r="C21" s="645"/>
      <c r="D21" s="645"/>
      <c r="E21" s="646"/>
      <c r="F21" s="647">
        <f t="shared" si="7"/>
        <v>1875.9351648351649</v>
      </c>
      <c r="G21" s="648">
        <f t="shared" si="0"/>
        <v>1875.9351648351649</v>
      </c>
      <c r="H21" s="649">
        <f t="shared" si="1"/>
        <v>0</v>
      </c>
      <c r="I21" s="650">
        <f t="shared" si="2"/>
        <v>3269</v>
      </c>
      <c r="J21" s="648">
        <f t="shared" si="3"/>
        <v>0</v>
      </c>
      <c r="K21" s="649">
        <f t="shared" si="4"/>
        <v>0</v>
      </c>
      <c r="L21" s="702">
        <f>IF('INFO G'!$B$36='Liste déroulante'!$B$2,L20+4*D21,L20+3*D21)</f>
        <v>9807</v>
      </c>
      <c r="M21" s="711" t="str">
        <f t="shared" si="9"/>
        <v>-</v>
      </c>
      <c r="N21" s="704" t="str">
        <f t="shared" si="8"/>
        <v>-</v>
      </c>
      <c r="O21" s="650" t="str">
        <f>IF('INFO G'!$B$36='Liste déroulante'!$B$2,O20+8*G21,"-")</f>
        <v>-</v>
      </c>
      <c r="P21" s="651" t="str">
        <f t="shared" si="5"/>
        <v>-</v>
      </c>
      <c r="Q21" s="652" t="str">
        <f t="shared" si="6"/>
        <v>-</v>
      </c>
      <c r="R21" s="653" t="str">
        <f>IF('INFO G'!$B$36='Liste déroulante'!$B$2,R20+E21,"-")</f>
        <v>-</v>
      </c>
    </row>
    <row r="22" spans="1:18" x14ac:dyDescent="0.25">
      <c r="H22" s="654"/>
      <c r="K22" s="655"/>
      <c r="Q22" s="655"/>
    </row>
    <row r="23" spans="1:18" x14ac:dyDescent="0.25">
      <c r="A23" s="654"/>
      <c r="G23" t="s">
        <v>20</v>
      </c>
      <c r="H23" s="657" t="s">
        <v>635</v>
      </c>
      <c r="I23" s="658">
        <f>B3</f>
        <v>3269</v>
      </c>
      <c r="K23" s="715" t="s">
        <v>636</v>
      </c>
      <c r="L23" s="716">
        <f>3*B3</f>
        <v>9807</v>
      </c>
      <c r="N23" s="719" t="s">
        <v>638</v>
      </c>
      <c r="O23" s="720" t="s">
        <v>639</v>
      </c>
      <c r="Q23" s="721" t="s">
        <v>638</v>
      </c>
      <c r="R23" s="722" t="s">
        <v>639</v>
      </c>
    </row>
    <row r="24" spans="1:18" x14ac:dyDescent="0.25">
      <c r="G24" t="s">
        <v>19</v>
      </c>
      <c r="H24" s="666" t="s">
        <v>637</v>
      </c>
      <c r="I24" s="714">
        <f>B3</f>
        <v>3269</v>
      </c>
      <c r="K24" s="717" t="s">
        <v>631</v>
      </c>
      <c r="L24" s="718">
        <f>4*B3</f>
        <v>13076</v>
      </c>
      <c r="N24" s="618" t="s">
        <v>632</v>
      </c>
      <c r="O24" s="619">
        <f>8*B3</f>
        <v>26152</v>
      </c>
      <c r="Q24" s="723" t="s">
        <v>108</v>
      </c>
      <c r="R24" s="617">
        <f>Forfait_GMP</f>
        <v>342.48</v>
      </c>
    </row>
    <row r="25" spans="1:18" x14ac:dyDescent="0.25">
      <c r="I25" s="656"/>
    </row>
  </sheetData>
  <mergeCells count="2">
    <mergeCell ref="A1:M1"/>
    <mergeCell ref="A2:B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5" r:id="rId4" name="Bouton 2">
              <controlPr defaultSize="0" print="0" autoFill="0" autoPict="0" macro="[0]!EffacerValeursPlafond">
                <anchor moveWithCells="1" sizeWithCells="1">
                  <from>
                    <xdr:col>13</xdr:col>
                    <xdr:colOff>38100</xdr:colOff>
                    <xdr:row>3</xdr:row>
                    <xdr:rowOff>28575</xdr:rowOff>
                  </from>
                  <to>
                    <xdr:col>14</xdr:col>
                    <xdr:colOff>762000</xdr:colOff>
                    <xdr:row>4</xdr:row>
                    <xdr:rowOff>57150</xdr:rowOff>
                  </to>
                </anchor>
              </controlPr>
            </control>
          </mc:Choice>
        </mc:AlternateContent>
        <mc:AlternateContent xmlns:mc="http://schemas.openxmlformats.org/markup-compatibility/2006">
          <mc:Choice Requires="x14">
            <control shapeId="21506" r:id="rId5" name="Button 2">
              <controlPr defaultSize="0" print="0" autoFill="0" autoPict="0" macro="[0]!GénérerValeursPlafond">
                <anchor moveWithCells="1" sizeWithCells="1">
                  <from>
                    <xdr:col>13</xdr:col>
                    <xdr:colOff>38100</xdr:colOff>
                    <xdr:row>1</xdr:row>
                    <xdr:rowOff>28575</xdr:rowOff>
                  </from>
                  <to>
                    <xdr:col>14</xdr:col>
                    <xdr:colOff>762000</xdr:colOff>
                    <xdr:row>2</xdr:row>
                    <xdr:rowOff>228600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4">
    <tabColor rgb="FFFF3300"/>
  </sheetPr>
  <dimension ref="A1:O61"/>
  <sheetViews>
    <sheetView workbookViewId="0">
      <selection activeCell="D3" sqref="D3"/>
    </sheetView>
  </sheetViews>
  <sheetFormatPr baseColWidth="10" defaultColWidth="11.42578125" defaultRowHeight="15" x14ac:dyDescent="0.25"/>
  <cols>
    <col min="1" max="9" width="11.42578125" style="44"/>
    <col min="10" max="10" width="12.5703125" style="44" customWidth="1"/>
    <col min="11" max="11" width="10.5703125" style="44" bestFit="1" customWidth="1"/>
    <col min="12" max="16384" width="11.42578125" style="44"/>
  </cols>
  <sheetData>
    <row r="1" spans="1:15" ht="37.5" customHeight="1" thickBot="1" x14ac:dyDescent="0.3">
      <c r="A1" s="919" t="s">
        <v>121</v>
      </c>
      <c r="B1" s="920"/>
      <c r="C1" s="920"/>
      <c r="D1" s="920"/>
      <c r="E1" s="920"/>
      <c r="F1" s="920"/>
      <c r="G1" s="920"/>
      <c r="H1" s="920"/>
      <c r="I1" s="921"/>
      <c r="J1" s="42"/>
      <c r="K1" s="42"/>
      <c r="L1" s="43"/>
      <c r="M1" s="43"/>
      <c r="N1" s="43"/>
      <c r="O1" s="43"/>
    </row>
    <row r="2" spans="1:15" s="46" customFormat="1" ht="15.75" customHeight="1" x14ac:dyDescent="0.25">
      <c r="A2" s="45"/>
      <c r="B2" s="45"/>
      <c r="C2" s="45"/>
      <c r="D2" s="45"/>
      <c r="E2" s="45"/>
      <c r="F2" s="45"/>
      <c r="G2" s="45"/>
      <c r="H2" s="45"/>
      <c r="I2" s="45"/>
      <c r="J2" s="42"/>
      <c r="K2" s="42"/>
      <c r="L2" s="43"/>
      <c r="M2" s="43"/>
      <c r="N2" s="43"/>
      <c r="O2" s="43"/>
    </row>
    <row r="3" spans="1:15" s="46" customFormat="1" ht="15.75" customHeight="1" x14ac:dyDescent="0.25">
      <c r="A3" s="47" t="s">
        <v>176</v>
      </c>
      <c r="B3" s="45"/>
      <c r="C3" s="45"/>
      <c r="D3" s="48"/>
      <c r="E3" s="47" t="s">
        <v>124</v>
      </c>
      <c r="F3" s="45"/>
      <c r="G3" s="45"/>
      <c r="H3" s="45"/>
      <c r="I3" s="45"/>
      <c r="J3" s="42"/>
      <c r="K3" s="42"/>
      <c r="L3" s="43"/>
      <c r="M3" s="43"/>
      <c r="N3" s="43"/>
      <c r="O3" s="43"/>
    </row>
    <row r="4" spans="1:15" s="46" customFormat="1" ht="15.75" customHeight="1" x14ac:dyDescent="0.25">
      <c r="A4" s="47" t="s">
        <v>125</v>
      </c>
      <c r="B4" s="45"/>
      <c r="C4" s="45"/>
      <c r="D4" s="48"/>
      <c r="E4" s="47" t="s">
        <v>124</v>
      </c>
      <c r="F4" s="45"/>
      <c r="G4" s="45"/>
      <c r="H4" s="45"/>
      <c r="I4" s="45"/>
      <c r="J4" s="42"/>
      <c r="K4" s="42"/>
      <c r="L4" s="43"/>
      <c r="M4" s="43"/>
      <c r="N4" s="43"/>
      <c r="O4" s="43"/>
    </row>
    <row r="5" spans="1:15" s="46" customFormat="1" ht="15.75" customHeight="1" x14ac:dyDescent="0.25">
      <c r="A5" s="47" t="s">
        <v>126</v>
      </c>
      <c r="B5" s="45"/>
      <c r="C5" s="45"/>
      <c r="D5" s="48"/>
      <c r="E5" s="47" t="s">
        <v>124</v>
      </c>
      <c r="F5" s="45"/>
      <c r="G5" s="45"/>
      <c r="H5" s="45"/>
      <c r="I5" s="45"/>
      <c r="J5" s="42"/>
      <c r="K5" s="42"/>
      <c r="L5" s="43"/>
      <c r="M5" s="43"/>
      <c r="N5" s="43"/>
      <c r="O5" s="43"/>
    </row>
    <row r="6" spans="1:15" s="46" customFormat="1" ht="15.75" customHeight="1" x14ac:dyDescent="0.25">
      <c r="A6" s="47"/>
      <c r="B6" s="45"/>
      <c r="C6" s="49" t="s">
        <v>127</v>
      </c>
      <c r="D6" s="50">
        <f>SUM(D3:D5)</f>
        <v>0</v>
      </c>
      <c r="E6" s="45"/>
      <c r="F6" s="45"/>
      <c r="G6" s="45"/>
      <c r="H6" s="45"/>
      <c r="I6" s="45"/>
      <c r="J6" s="42"/>
      <c r="K6" s="42"/>
      <c r="L6" s="43"/>
      <c r="M6" s="43"/>
      <c r="N6" s="43"/>
      <c r="O6" s="43"/>
    </row>
    <row r="7" spans="1:15" ht="15.75" thickBot="1" x14ac:dyDescent="0.3">
      <c r="A7" s="51"/>
      <c r="B7" s="51" t="s">
        <v>128</v>
      </c>
      <c r="C7" s="51"/>
      <c r="D7" s="51"/>
      <c r="E7" s="51"/>
      <c r="F7" s="51"/>
      <c r="G7" s="51"/>
      <c r="H7" s="51"/>
    </row>
    <row r="8" spans="1:15" ht="15.75" thickBot="1" x14ac:dyDescent="0.3">
      <c r="A8" s="51"/>
      <c r="B8" s="52" t="s">
        <v>129</v>
      </c>
      <c r="C8" s="53" t="s">
        <v>130</v>
      </c>
      <c r="D8" s="53" t="s">
        <v>131</v>
      </c>
      <c r="E8" s="54" t="s">
        <v>132</v>
      </c>
      <c r="F8" s="52" t="s">
        <v>129</v>
      </c>
      <c r="G8" s="53" t="s">
        <v>133</v>
      </c>
      <c r="H8" s="55" t="s">
        <v>127</v>
      </c>
      <c r="J8" s="44" t="s">
        <v>134</v>
      </c>
    </row>
    <row r="9" spans="1:15" x14ac:dyDescent="0.25">
      <c r="A9" s="51">
        <v>1</v>
      </c>
      <c r="B9" s="56">
        <v>0.35416666666666669</v>
      </c>
      <c r="C9" s="57">
        <v>0.5</v>
      </c>
      <c r="D9" s="57">
        <v>0.58333333333333337</v>
      </c>
      <c r="E9" s="58">
        <v>0.70833333333333337</v>
      </c>
      <c r="F9" s="59">
        <f>C9-B9</f>
        <v>0.14583333333333331</v>
      </c>
      <c r="G9" s="60">
        <f>E9-D9</f>
        <v>0.125</v>
      </c>
      <c r="H9" s="61">
        <f>G9+F9</f>
        <v>0.27083333333333331</v>
      </c>
      <c r="J9" s="62"/>
      <c r="K9" s="63"/>
      <c r="L9" s="63">
        <v>0.33333333333333331</v>
      </c>
      <c r="M9" s="63"/>
    </row>
    <row r="10" spans="1:15" x14ac:dyDescent="0.25">
      <c r="A10" s="51">
        <v>2</v>
      </c>
      <c r="B10" s="64">
        <v>0.35416666666666669</v>
      </c>
      <c r="C10" s="65">
        <v>0.5</v>
      </c>
      <c r="D10" s="65">
        <v>0.58333333333333337</v>
      </c>
      <c r="E10" s="66">
        <v>0.6875</v>
      </c>
      <c r="F10" s="67">
        <f t="shared" ref="F10:F31" si="0">C10-B10</f>
        <v>0.14583333333333331</v>
      </c>
      <c r="G10" s="68">
        <f t="shared" ref="G10:G31" si="1">E10-D10</f>
        <v>0.10416666666666663</v>
      </c>
      <c r="H10" s="69">
        <f t="shared" ref="H10:H31" si="2">G10+F10</f>
        <v>0.24999999999999994</v>
      </c>
      <c r="J10" s="70" t="s">
        <v>135</v>
      </c>
      <c r="K10" s="71" t="s">
        <v>136</v>
      </c>
      <c r="L10" s="71" t="s">
        <v>137</v>
      </c>
      <c r="M10" s="72" t="s">
        <v>138</v>
      </c>
    </row>
    <row r="11" spans="1:15" x14ac:dyDescent="0.25">
      <c r="A11" s="51">
        <v>3</v>
      </c>
      <c r="B11" s="64">
        <v>0.36458333333333331</v>
      </c>
      <c r="C11" s="65">
        <v>0.5</v>
      </c>
      <c r="D11" s="65">
        <v>0.58333333333333337</v>
      </c>
      <c r="E11" s="66">
        <v>0.75</v>
      </c>
      <c r="F11" s="67">
        <f t="shared" si="0"/>
        <v>0.13541666666666669</v>
      </c>
      <c r="G11" s="68">
        <f t="shared" si="1"/>
        <v>0.16666666666666663</v>
      </c>
      <c r="H11" s="69">
        <f t="shared" si="2"/>
        <v>0.30208333333333331</v>
      </c>
      <c r="J11" s="73">
        <v>1.875</v>
      </c>
      <c r="K11" s="74">
        <f>IF(J11="","",J11-$J$9)</f>
        <v>1.875</v>
      </c>
      <c r="L11" s="74">
        <f>IF(J11="","",IF(K11&gt;L9,L9,K11))</f>
        <v>0.33333333333333331</v>
      </c>
      <c r="M11" s="75">
        <f>IF(J11="","",K11-L11)</f>
        <v>1.5416666666666667</v>
      </c>
    </row>
    <row r="12" spans="1:15" x14ac:dyDescent="0.25">
      <c r="A12" s="51">
        <v>4</v>
      </c>
      <c r="B12" s="64">
        <v>0.34375</v>
      </c>
      <c r="C12" s="65">
        <v>0.5</v>
      </c>
      <c r="D12" s="65">
        <v>0.58333333333333337</v>
      </c>
      <c r="E12" s="66">
        <v>0.73958333333333337</v>
      </c>
      <c r="F12" s="67">
        <f t="shared" si="0"/>
        <v>0.15625</v>
      </c>
      <c r="G12" s="68">
        <f t="shared" si="1"/>
        <v>0.15625</v>
      </c>
      <c r="H12" s="69">
        <f t="shared" si="2"/>
        <v>0.3125</v>
      </c>
      <c r="J12" s="76">
        <v>2</v>
      </c>
      <c r="K12" s="74">
        <f t="shared" ref="K12:K27" si="3">IF(J12="","",J12-$J$9)</f>
        <v>2</v>
      </c>
      <c r="L12" s="74">
        <f t="shared" ref="L12:L27" si="4">IF(J12="","",IF(K12&gt;L10,L10,K12))</f>
        <v>2</v>
      </c>
      <c r="M12" s="75">
        <f t="shared" ref="M12:M27" si="5">IF(J12="","",K12-L12)</f>
        <v>0</v>
      </c>
    </row>
    <row r="13" spans="1:15" x14ac:dyDescent="0.25">
      <c r="A13" s="51">
        <v>5</v>
      </c>
      <c r="B13" s="64">
        <v>0.375</v>
      </c>
      <c r="C13" s="65">
        <v>0.5</v>
      </c>
      <c r="D13" s="65">
        <v>0.58333333333333337</v>
      </c>
      <c r="E13" s="66">
        <v>0.72916666666666663</v>
      </c>
      <c r="F13" s="67">
        <f t="shared" si="0"/>
        <v>0.125</v>
      </c>
      <c r="G13" s="68">
        <f t="shared" si="1"/>
        <v>0.14583333333333326</v>
      </c>
      <c r="H13" s="69">
        <f t="shared" si="2"/>
        <v>0.27083333333333326</v>
      </c>
      <c r="J13" s="76">
        <v>1.4583333333333333</v>
      </c>
      <c r="K13" s="74">
        <f>IF(J13="","",J13-$J$9)</f>
        <v>1.4583333333333333</v>
      </c>
      <c r="L13" s="74">
        <f t="shared" si="4"/>
        <v>0.33333333333333331</v>
      </c>
      <c r="M13" s="75">
        <f t="shared" si="5"/>
        <v>1.125</v>
      </c>
    </row>
    <row r="14" spans="1:15" x14ac:dyDescent="0.25">
      <c r="A14" s="51">
        <v>6</v>
      </c>
      <c r="B14" s="64">
        <v>0.36458333333333331</v>
      </c>
      <c r="C14" s="65">
        <v>0.5</v>
      </c>
      <c r="D14" s="65">
        <v>0.58333333333333337</v>
      </c>
      <c r="E14" s="66">
        <v>0.71875</v>
      </c>
      <c r="F14" s="67">
        <f t="shared" si="0"/>
        <v>0.13541666666666669</v>
      </c>
      <c r="G14" s="68">
        <f t="shared" si="1"/>
        <v>0.13541666666666663</v>
      </c>
      <c r="H14" s="69">
        <f t="shared" si="2"/>
        <v>0.27083333333333331</v>
      </c>
      <c r="J14" s="76"/>
      <c r="K14" s="74" t="str">
        <f t="shared" si="3"/>
        <v/>
      </c>
      <c r="L14" s="74" t="str">
        <f t="shared" si="4"/>
        <v/>
      </c>
      <c r="M14" s="75" t="str">
        <f t="shared" si="5"/>
        <v/>
      </c>
    </row>
    <row r="15" spans="1:15" x14ac:dyDescent="0.25">
      <c r="A15" s="51">
        <v>7</v>
      </c>
      <c r="B15" s="64">
        <v>0.34375</v>
      </c>
      <c r="C15" s="65">
        <v>0.5</v>
      </c>
      <c r="D15" s="65">
        <v>0.58333333333333337</v>
      </c>
      <c r="E15" s="66">
        <v>0.70833333333333337</v>
      </c>
      <c r="F15" s="67">
        <f t="shared" si="0"/>
        <v>0.15625</v>
      </c>
      <c r="G15" s="68">
        <f t="shared" si="1"/>
        <v>0.125</v>
      </c>
      <c r="H15" s="69">
        <f t="shared" si="2"/>
        <v>0.28125</v>
      </c>
      <c r="J15" s="76"/>
      <c r="K15" s="74" t="str">
        <f t="shared" si="3"/>
        <v/>
      </c>
      <c r="L15" s="74" t="str">
        <f t="shared" si="4"/>
        <v/>
      </c>
      <c r="M15" s="75" t="str">
        <f t="shared" si="5"/>
        <v/>
      </c>
    </row>
    <row r="16" spans="1:15" x14ac:dyDescent="0.25">
      <c r="A16" s="51">
        <v>8</v>
      </c>
      <c r="B16" s="64">
        <v>0.32291666666666669</v>
      </c>
      <c r="C16" s="65">
        <v>0.5</v>
      </c>
      <c r="D16" s="65">
        <v>0.58333333333333337</v>
      </c>
      <c r="E16" s="66">
        <v>0.72916666666666663</v>
      </c>
      <c r="F16" s="67">
        <f t="shared" si="0"/>
        <v>0.17708333333333331</v>
      </c>
      <c r="G16" s="68">
        <f t="shared" si="1"/>
        <v>0.14583333333333326</v>
      </c>
      <c r="H16" s="69">
        <f t="shared" si="2"/>
        <v>0.32291666666666657</v>
      </c>
      <c r="J16" s="76"/>
      <c r="K16" s="74" t="str">
        <f t="shared" si="3"/>
        <v/>
      </c>
      <c r="L16" s="74" t="str">
        <f t="shared" si="4"/>
        <v/>
      </c>
      <c r="M16" s="75" t="str">
        <f t="shared" si="5"/>
        <v/>
      </c>
    </row>
    <row r="17" spans="1:13" x14ac:dyDescent="0.25">
      <c r="A17" s="77">
        <v>9</v>
      </c>
      <c r="B17" s="64">
        <v>0.33333333333333331</v>
      </c>
      <c r="C17" s="65">
        <v>0.5</v>
      </c>
      <c r="D17" s="65">
        <v>0.58333333333333337</v>
      </c>
      <c r="E17" s="66">
        <v>0.70833333333333337</v>
      </c>
      <c r="F17" s="64">
        <f t="shared" si="0"/>
        <v>0.16666666666666669</v>
      </c>
      <c r="G17" s="66">
        <f t="shared" si="1"/>
        <v>0.125</v>
      </c>
      <c r="H17" s="78">
        <f t="shared" si="2"/>
        <v>0.29166666666666669</v>
      </c>
      <c r="J17" s="76"/>
      <c r="K17" s="74" t="str">
        <f t="shared" si="3"/>
        <v/>
      </c>
      <c r="L17" s="74" t="str">
        <f t="shared" si="4"/>
        <v/>
      </c>
      <c r="M17" s="75" t="str">
        <f t="shared" si="5"/>
        <v/>
      </c>
    </row>
    <row r="18" spans="1:13" x14ac:dyDescent="0.25">
      <c r="A18" s="77">
        <v>10</v>
      </c>
      <c r="B18" s="64">
        <v>0.33333333333333331</v>
      </c>
      <c r="C18" s="65">
        <v>0.5</v>
      </c>
      <c r="D18" s="65">
        <v>0.58333333333333337</v>
      </c>
      <c r="E18" s="66">
        <v>0.70833333333333337</v>
      </c>
      <c r="F18" s="64">
        <f t="shared" si="0"/>
        <v>0.16666666666666669</v>
      </c>
      <c r="G18" s="66">
        <f t="shared" si="1"/>
        <v>0.125</v>
      </c>
      <c r="H18" s="78">
        <f t="shared" si="2"/>
        <v>0.29166666666666669</v>
      </c>
      <c r="J18" s="76"/>
      <c r="K18" s="74" t="str">
        <f t="shared" si="3"/>
        <v/>
      </c>
      <c r="L18" s="74" t="str">
        <f t="shared" si="4"/>
        <v/>
      </c>
      <c r="M18" s="75" t="str">
        <f t="shared" si="5"/>
        <v/>
      </c>
    </row>
    <row r="19" spans="1:13" x14ac:dyDescent="0.25">
      <c r="A19" s="77">
        <v>11</v>
      </c>
      <c r="B19" s="64">
        <v>0.33333333333333331</v>
      </c>
      <c r="C19" s="65">
        <v>0.5</v>
      </c>
      <c r="D19" s="65">
        <v>0.58333333333333337</v>
      </c>
      <c r="E19" s="66">
        <v>0.70833333333333337</v>
      </c>
      <c r="F19" s="64">
        <f t="shared" si="0"/>
        <v>0.16666666666666669</v>
      </c>
      <c r="G19" s="66">
        <f t="shared" si="1"/>
        <v>0.125</v>
      </c>
      <c r="H19" s="78">
        <f t="shared" si="2"/>
        <v>0.29166666666666669</v>
      </c>
      <c r="J19" s="76"/>
      <c r="K19" s="74" t="str">
        <f t="shared" si="3"/>
        <v/>
      </c>
      <c r="L19" s="74" t="str">
        <f t="shared" si="4"/>
        <v/>
      </c>
      <c r="M19" s="75" t="str">
        <f t="shared" si="5"/>
        <v/>
      </c>
    </row>
    <row r="20" spans="1:13" x14ac:dyDescent="0.25">
      <c r="A20" s="77">
        <v>12</v>
      </c>
      <c r="B20" s="64">
        <v>0.33333333333333331</v>
      </c>
      <c r="C20" s="65">
        <v>0.5</v>
      </c>
      <c r="D20" s="65">
        <v>0.58333333333333337</v>
      </c>
      <c r="E20" s="66">
        <v>0.70833333333333337</v>
      </c>
      <c r="F20" s="64">
        <f t="shared" si="0"/>
        <v>0.16666666666666669</v>
      </c>
      <c r="G20" s="66">
        <f t="shared" si="1"/>
        <v>0.125</v>
      </c>
      <c r="H20" s="78">
        <f t="shared" si="2"/>
        <v>0.29166666666666669</v>
      </c>
      <c r="J20" s="76"/>
      <c r="K20" s="74" t="str">
        <f t="shared" si="3"/>
        <v/>
      </c>
      <c r="L20" s="74" t="str">
        <f t="shared" si="4"/>
        <v/>
      </c>
      <c r="M20" s="75" t="str">
        <f t="shared" si="5"/>
        <v/>
      </c>
    </row>
    <row r="21" spans="1:13" x14ac:dyDescent="0.25">
      <c r="A21" s="51">
        <v>13</v>
      </c>
      <c r="B21" s="64">
        <v>0.32291666666666669</v>
      </c>
      <c r="C21" s="65">
        <v>0.5</v>
      </c>
      <c r="D21" s="65">
        <v>0.58333333333333337</v>
      </c>
      <c r="E21" s="66">
        <v>0.70833333333333337</v>
      </c>
      <c r="F21" s="67">
        <f t="shared" si="0"/>
        <v>0.17708333333333331</v>
      </c>
      <c r="G21" s="68">
        <f t="shared" si="1"/>
        <v>0.125</v>
      </c>
      <c r="H21" s="69">
        <f t="shared" si="2"/>
        <v>0.30208333333333331</v>
      </c>
      <c r="J21" s="76"/>
      <c r="K21" s="74" t="str">
        <f t="shared" si="3"/>
        <v/>
      </c>
      <c r="L21" s="74" t="str">
        <f t="shared" si="4"/>
        <v/>
      </c>
      <c r="M21" s="75" t="str">
        <f t="shared" si="5"/>
        <v/>
      </c>
    </row>
    <row r="22" spans="1:13" x14ac:dyDescent="0.25">
      <c r="A22" s="51">
        <v>14</v>
      </c>
      <c r="B22" s="64">
        <v>0.36458333333333331</v>
      </c>
      <c r="C22" s="65">
        <v>0.5</v>
      </c>
      <c r="D22" s="65">
        <v>0.58333333333333337</v>
      </c>
      <c r="E22" s="66">
        <v>0.71875</v>
      </c>
      <c r="F22" s="67">
        <f t="shared" si="0"/>
        <v>0.13541666666666669</v>
      </c>
      <c r="G22" s="68">
        <f t="shared" si="1"/>
        <v>0.13541666666666663</v>
      </c>
      <c r="H22" s="69">
        <f t="shared" si="2"/>
        <v>0.27083333333333331</v>
      </c>
      <c r="J22" s="76"/>
      <c r="K22" s="74" t="str">
        <f t="shared" si="3"/>
        <v/>
      </c>
      <c r="L22" s="74" t="str">
        <f t="shared" si="4"/>
        <v/>
      </c>
      <c r="M22" s="75" t="str">
        <f t="shared" si="5"/>
        <v/>
      </c>
    </row>
    <row r="23" spans="1:13" x14ac:dyDescent="0.25">
      <c r="A23" s="51">
        <v>15</v>
      </c>
      <c r="B23" s="64">
        <v>0.32291666666666669</v>
      </c>
      <c r="C23" s="65">
        <v>0.5</v>
      </c>
      <c r="D23" s="65">
        <v>0.58333333333333337</v>
      </c>
      <c r="E23" s="66">
        <v>0.72916666666666663</v>
      </c>
      <c r="F23" s="67">
        <f t="shared" si="0"/>
        <v>0.17708333333333331</v>
      </c>
      <c r="G23" s="68">
        <f t="shared" si="1"/>
        <v>0.14583333333333326</v>
      </c>
      <c r="H23" s="69">
        <f t="shared" si="2"/>
        <v>0.32291666666666657</v>
      </c>
      <c r="J23" s="76"/>
      <c r="K23" s="74" t="str">
        <f t="shared" si="3"/>
        <v/>
      </c>
      <c r="L23" s="74" t="str">
        <f t="shared" si="4"/>
        <v/>
      </c>
      <c r="M23" s="75" t="str">
        <f t="shared" si="5"/>
        <v/>
      </c>
    </row>
    <row r="24" spans="1:13" x14ac:dyDescent="0.25">
      <c r="A24" s="51">
        <v>16</v>
      </c>
      <c r="B24" s="64">
        <v>0.375</v>
      </c>
      <c r="C24" s="65">
        <v>0.5</v>
      </c>
      <c r="D24" s="65">
        <v>0.58333333333333337</v>
      </c>
      <c r="E24" s="66">
        <v>0.72916666666666663</v>
      </c>
      <c r="F24" s="67">
        <f t="shared" si="0"/>
        <v>0.125</v>
      </c>
      <c r="G24" s="68">
        <f t="shared" si="1"/>
        <v>0.14583333333333326</v>
      </c>
      <c r="H24" s="69">
        <f t="shared" si="2"/>
        <v>0.27083333333333326</v>
      </c>
      <c r="J24" s="76"/>
      <c r="K24" s="74" t="str">
        <f t="shared" si="3"/>
        <v/>
      </c>
      <c r="L24" s="74" t="str">
        <f t="shared" si="4"/>
        <v/>
      </c>
      <c r="M24" s="75" t="str">
        <f t="shared" si="5"/>
        <v/>
      </c>
    </row>
    <row r="25" spans="1:13" x14ac:dyDescent="0.25">
      <c r="A25" s="51">
        <v>17</v>
      </c>
      <c r="B25" s="64">
        <v>0.33333333333333331</v>
      </c>
      <c r="C25" s="65">
        <v>0.5</v>
      </c>
      <c r="D25" s="65">
        <v>0.58333333333333337</v>
      </c>
      <c r="E25" s="66">
        <v>0.75</v>
      </c>
      <c r="F25" s="67">
        <f t="shared" si="0"/>
        <v>0.16666666666666669</v>
      </c>
      <c r="G25" s="68">
        <f t="shared" si="1"/>
        <v>0.16666666666666663</v>
      </c>
      <c r="H25" s="69">
        <f t="shared" si="2"/>
        <v>0.33333333333333331</v>
      </c>
      <c r="J25" s="76"/>
      <c r="K25" s="74" t="str">
        <f t="shared" si="3"/>
        <v/>
      </c>
      <c r="L25" s="74" t="str">
        <f t="shared" si="4"/>
        <v/>
      </c>
      <c r="M25" s="75" t="str">
        <f t="shared" si="5"/>
        <v/>
      </c>
    </row>
    <row r="26" spans="1:13" x14ac:dyDescent="0.25">
      <c r="A26" s="51">
        <v>18</v>
      </c>
      <c r="B26" s="64">
        <v>0.33333333333333331</v>
      </c>
      <c r="C26" s="65">
        <v>0.5</v>
      </c>
      <c r="D26" s="65">
        <v>0.58333333333333337</v>
      </c>
      <c r="E26" s="66">
        <v>0.77083333333333337</v>
      </c>
      <c r="F26" s="67">
        <f t="shared" si="0"/>
        <v>0.16666666666666669</v>
      </c>
      <c r="G26" s="68">
        <f t="shared" si="1"/>
        <v>0.1875</v>
      </c>
      <c r="H26" s="69">
        <f t="shared" si="2"/>
        <v>0.35416666666666669</v>
      </c>
      <c r="J26" s="76"/>
      <c r="K26" s="74" t="str">
        <f t="shared" si="3"/>
        <v/>
      </c>
      <c r="L26" s="74" t="str">
        <f t="shared" si="4"/>
        <v/>
      </c>
      <c r="M26" s="75" t="str">
        <f t="shared" si="5"/>
        <v/>
      </c>
    </row>
    <row r="27" spans="1:13" x14ac:dyDescent="0.25">
      <c r="A27" s="51">
        <v>19</v>
      </c>
      <c r="B27" s="64">
        <v>0.36458333333333331</v>
      </c>
      <c r="C27" s="65">
        <v>0.5</v>
      </c>
      <c r="D27" s="65">
        <v>0.58333333333333337</v>
      </c>
      <c r="E27" s="66">
        <v>0.73958333333333337</v>
      </c>
      <c r="F27" s="67">
        <f t="shared" si="0"/>
        <v>0.13541666666666669</v>
      </c>
      <c r="G27" s="68">
        <f t="shared" si="1"/>
        <v>0.15625</v>
      </c>
      <c r="H27" s="69">
        <f t="shared" si="2"/>
        <v>0.29166666666666669</v>
      </c>
      <c r="J27" s="79"/>
      <c r="K27" s="80" t="str">
        <f t="shared" si="3"/>
        <v/>
      </c>
      <c r="L27" s="80" t="str">
        <f t="shared" si="4"/>
        <v/>
      </c>
      <c r="M27" s="81" t="str">
        <f t="shared" si="5"/>
        <v/>
      </c>
    </row>
    <row r="28" spans="1:13" x14ac:dyDescent="0.25">
      <c r="A28" s="51">
        <v>20</v>
      </c>
      <c r="B28" s="64">
        <v>0.33333333333333331</v>
      </c>
      <c r="C28" s="65">
        <v>0.5</v>
      </c>
      <c r="D28" s="65">
        <v>0.58333333333333337</v>
      </c>
      <c r="E28" s="66">
        <v>0.70833333333333337</v>
      </c>
      <c r="F28" s="67">
        <f t="shared" si="0"/>
        <v>0.16666666666666669</v>
      </c>
      <c r="G28" s="68">
        <f t="shared" si="1"/>
        <v>0.125</v>
      </c>
      <c r="H28" s="69">
        <f t="shared" si="2"/>
        <v>0.29166666666666669</v>
      </c>
      <c r="K28" s="82" t="s">
        <v>139</v>
      </c>
      <c r="L28" s="83">
        <f>SUM(L11:L14)</f>
        <v>2.666666666666667</v>
      </c>
      <c r="M28" s="84">
        <f>SUM(M11:M14)</f>
        <v>2.666666666666667</v>
      </c>
    </row>
    <row r="29" spans="1:13" x14ac:dyDescent="0.25">
      <c r="A29" s="51">
        <v>21</v>
      </c>
      <c r="B29" s="64">
        <v>0.33333333333333331</v>
      </c>
      <c r="C29" s="65">
        <v>0.5</v>
      </c>
      <c r="D29" s="65">
        <v>0.58333333333333337</v>
      </c>
      <c r="E29" s="66">
        <v>0.6875</v>
      </c>
      <c r="F29" s="67">
        <f t="shared" si="0"/>
        <v>0.16666666666666669</v>
      </c>
      <c r="G29" s="68">
        <f t="shared" si="1"/>
        <v>0.10416666666666663</v>
      </c>
      <c r="H29" s="69">
        <f t="shared" si="2"/>
        <v>0.27083333333333331</v>
      </c>
    </row>
    <row r="30" spans="1:13" x14ac:dyDescent="0.25">
      <c r="A30" s="51">
        <v>22</v>
      </c>
      <c r="B30" s="64">
        <v>0.33333333333333331</v>
      </c>
      <c r="C30" s="65">
        <v>0.5</v>
      </c>
      <c r="D30" s="65">
        <v>0.58333333333333337</v>
      </c>
      <c r="E30" s="66">
        <v>0.71875</v>
      </c>
      <c r="F30" s="67">
        <f t="shared" si="0"/>
        <v>0.16666666666666669</v>
      </c>
      <c r="G30" s="68">
        <f t="shared" si="1"/>
        <v>0.13541666666666663</v>
      </c>
      <c r="H30" s="69">
        <f t="shared" si="2"/>
        <v>0.30208333333333331</v>
      </c>
      <c r="K30" s="44" t="s">
        <v>140</v>
      </c>
      <c r="L30" s="85">
        <f>L28/"1:00"</f>
        <v>64.000000000000014</v>
      </c>
      <c r="M30" s="85">
        <f>M28/"1:00"</f>
        <v>64.000000000000014</v>
      </c>
    </row>
    <row r="31" spans="1:13" ht="15.75" thickBot="1" x14ac:dyDescent="0.3">
      <c r="A31" s="77">
        <v>23</v>
      </c>
      <c r="B31" s="86">
        <v>0.33333333333333331</v>
      </c>
      <c r="C31" s="87">
        <v>0.5</v>
      </c>
      <c r="D31" s="87">
        <v>0.58333333333333337</v>
      </c>
      <c r="E31" s="88">
        <v>0.70833333333333337</v>
      </c>
      <c r="F31" s="86">
        <f t="shared" si="0"/>
        <v>0.16666666666666669</v>
      </c>
      <c r="G31" s="88">
        <f t="shared" si="1"/>
        <v>0.125</v>
      </c>
      <c r="H31" s="89">
        <f t="shared" si="2"/>
        <v>0.29166666666666669</v>
      </c>
    </row>
    <row r="32" spans="1:13" x14ac:dyDescent="0.25">
      <c r="A32" s="51">
        <v>7</v>
      </c>
      <c r="B32" s="90"/>
      <c r="C32" s="90"/>
      <c r="D32" s="90"/>
      <c r="E32" s="90"/>
      <c r="F32" s="90"/>
      <c r="G32" s="90"/>
      <c r="H32" s="90"/>
    </row>
    <row r="33" spans="1:13" x14ac:dyDescent="0.25">
      <c r="A33" s="51">
        <f>A31*A32</f>
        <v>161</v>
      </c>
      <c r="B33" s="90"/>
      <c r="C33" s="90"/>
      <c r="D33" s="90"/>
      <c r="E33" s="90"/>
      <c r="F33" s="91">
        <f>SUM(F9:F31)</f>
        <v>3.5937499999999991</v>
      </c>
      <c r="G33" s="91">
        <f>SUM(G9:G31)</f>
        <v>3.1562499999999987</v>
      </c>
      <c r="H33" s="91">
        <f>SUM(H9:H31)</f>
        <v>6.7499999999999991</v>
      </c>
    </row>
    <row r="34" spans="1:13" x14ac:dyDescent="0.25">
      <c r="A34" s="51"/>
      <c r="B34" s="90"/>
      <c r="C34" s="90"/>
      <c r="D34" s="90"/>
      <c r="E34" s="90"/>
      <c r="F34" s="90"/>
      <c r="G34" s="90"/>
      <c r="H34" s="91">
        <v>6.708333333333333</v>
      </c>
    </row>
    <row r="35" spans="1:13" x14ac:dyDescent="0.25">
      <c r="A35" s="51"/>
      <c r="B35" s="90"/>
      <c r="C35" s="90"/>
      <c r="D35" s="90"/>
      <c r="E35" s="90"/>
      <c r="F35" s="90"/>
      <c r="G35" s="90"/>
      <c r="H35" s="91">
        <f>H33-H34</f>
        <v>4.1666666666666075E-2</v>
      </c>
    </row>
    <row r="39" spans="1:13" x14ac:dyDescent="0.25">
      <c r="A39" s="922" t="s">
        <v>141</v>
      </c>
      <c r="B39" s="922"/>
      <c r="C39" s="92" t="s">
        <v>142</v>
      </c>
      <c r="D39" s="92"/>
      <c r="E39" s="92"/>
      <c r="F39" s="93">
        <v>0.25</v>
      </c>
      <c r="H39" s="94" t="s">
        <v>143</v>
      </c>
      <c r="M39" s="90"/>
    </row>
    <row r="40" spans="1:13" x14ac:dyDescent="0.25">
      <c r="A40" s="922" t="s">
        <v>144</v>
      </c>
      <c r="B40" s="922"/>
      <c r="C40" s="922"/>
      <c r="D40" s="922"/>
      <c r="E40" s="922"/>
      <c r="F40" s="93">
        <v>0.5</v>
      </c>
      <c r="H40" s="95" t="s">
        <v>145</v>
      </c>
      <c r="M40" s="90"/>
    </row>
    <row r="41" spans="1:13" x14ac:dyDescent="0.25">
      <c r="M41" s="90"/>
    </row>
    <row r="42" spans="1:13" ht="15.75" x14ac:dyDescent="0.25">
      <c r="A42" s="923" t="s">
        <v>146</v>
      </c>
      <c r="B42" s="923"/>
      <c r="C42" s="923"/>
      <c r="D42" s="923"/>
      <c r="E42" s="923"/>
      <c r="F42" s="93">
        <v>0.1</v>
      </c>
      <c r="M42" s="96" t="s">
        <v>147</v>
      </c>
    </row>
    <row r="43" spans="1:13" x14ac:dyDescent="0.25">
      <c r="A43" s="918" t="s">
        <v>148</v>
      </c>
      <c r="B43" s="918"/>
      <c r="C43" s="918"/>
      <c r="D43" s="918"/>
      <c r="E43" s="918"/>
      <c r="F43" s="93">
        <v>0.25</v>
      </c>
      <c r="M43" s="90" t="s">
        <v>149</v>
      </c>
    </row>
    <row r="44" spans="1:13" x14ac:dyDescent="0.25">
      <c r="A44" s="918" t="s">
        <v>144</v>
      </c>
      <c r="B44" s="918"/>
      <c r="C44" s="918"/>
      <c r="D44" s="918"/>
      <c r="E44" s="918"/>
      <c r="F44" s="93">
        <v>0.5</v>
      </c>
      <c r="M44" s="90" t="s">
        <v>150</v>
      </c>
    </row>
    <row r="45" spans="1:13" x14ac:dyDescent="0.25">
      <c r="M45" s="90" t="s">
        <v>151</v>
      </c>
    </row>
    <row r="46" spans="1:13" x14ac:dyDescent="0.25">
      <c r="A46" s="44" t="s">
        <v>152</v>
      </c>
      <c r="M46" s="90" t="s">
        <v>153</v>
      </c>
    </row>
    <row r="47" spans="1:13" x14ac:dyDescent="0.25">
      <c r="M47" s="90" t="s">
        <v>154</v>
      </c>
    </row>
    <row r="48" spans="1:13" x14ac:dyDescent="0.25">
      <c r="A48" s="44" t="s">
        <v>155</v>
      </c>
      <c r="M48" s="90" t="s">
        <v>156</v>
      </c>
    </row>
    <row r="49" spans="1:13" ht="17.25" x14ac:dyDescent="0.25">
      <c r="A49" s="44" t="s">
        <v>157</v>
      </c>
      <c r="M49" s="90" t="s">
        <v>158</v>
      </c>
    </row>
    <row r="50" spans="1:13" x14ac:dyDescent="0.25">
      <c r="M50" s="90" t="s">
        <v>159</v>
      </c>
    </row>
    <row r="51" spans="1:13" x14ac:dyDescent="0.25">
      <c r="M51" s="90" t="s">
        <v>160</v>
      </c>
    </row>
    <row r="52" spans="1:13" x14ac:dyDescent="0.25">
      <c r="A52" s="97" t="s">
        <v>161</v>
      </c>
      <c r="M52" s="90" t="s">
        <v>162</v>
      </c>
    </row>
    <row r="53" spans="1:13" x14ac:dyDescent="0.25">
      <c r="A53" s="44" t="s">
        <v>163</v>
      </c>
      <c r="M53" s="90" t="s">
        <v>164</v>
      </c>
    </row>
    <row r="54" spans="1:13" x14ac:dyDescent="0.25">
      <c r="A54" s="44" t="s">
        <v>165</v>
      </c>
      <c r="M54" s="90"/>
    </row>
    <row r="56" spans="1:13" x14ac:dyDescent="0.25">
      <c r="A56" s="44" t="s">
        <v>166</v>
      </c>
      <c r="B56" s="98"/>
    </row>
    <row r="57" spans="1:13" x14ac:dyDescent="0.25">
      <c r="A57" s="44" t="s">
        <v>167</v>
      </c>
      <c r="B57" s="44">
        <f>B56/10</f>
        <v>0</v>
      </c>
    </row>
    <row r="58" spans="1:13" x14ac:dyDescent="0.25">
      <c r="A58" s="44" t="s">
        <v>168</v>
      </c>
      <c r="B58" s="99">
        <f>B56/3</f>
        <v>0</v>
      </c>
    </row>
    <row r="59" spans="1:13" x14ac:dyDescent="0.25">
      <c r="A59" s="44" t="s">
        <v>169</v>
      </c>
      <c r="C59" s="98"/>
    </row>
    <row r="60" spans="1:13" x14ac:dyDescent="0.25">
      <c r="A60" s="44" t="s">
        <v>170</v>
      </c>
      <c r="C60" s="44">
        <f>IF(C59&gt;10%*B56,10%*B56,C59)</f>
        <v>0</v>
      </c>
    </row>
    <row r="61" spans="1:13" x14ac:dyDescent="0.25">
      <c r="A61" s="44" t="s">
        <v>171</v>
      </c>
      <c r="C61" s="44">
        <f>C59-C60</f>
        <v>0</v>
      </c>
    </row>
  </sheetData>
  <mergeCells count="7">
    <mergeCell ref="A44:E44"/>
    <mergeCell ref="A1:I1"/>
    <mergeCell ref="A39:B39"/>
    <mergeCell ref="A40:B40"/>
    <mergeCell ref="C40:E40"/>
    <mergeCell ref="A42:E42"/>
    <mergeCell ref="A43:E43"/>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2">
    <tabColor theme="8" tint="0.59999389629810485"/>
  </sheetPr>
  <dimension ref="A1:K30"/>
  <sheetViews>
    <sheetView workbookViewId="0">
      <selection activeCell="D20" sqref="D20"/>
    </sheetView>
  </sheetViews>
  <sheetFormatPr baseColWidth="10" defaultColWidth="11.42578125" defaultRowHeight="15" x14ac:dyDescent="0.25"/>
  <cols>
    <col min="1" max="1" width="18.28515625" bestFit="1" customWidth="1"/>
    <col min="2" max="5" width="16.5703125" customWidth="1"/>
    <col min="7" max="7" width="10.5703125" customWidth="1"/>
    <col min="8" max="8" width="32.85546875" customWidth="1"/>
  </cols>
  <sheetData>
    <row r="1" spans="1:11" ht="21.75" thickBot="1" x14ac:dyDescent="0.3">
      <c r="A1" s="924" t="s">
        <v>224</v>
      </c>
      <c r="B1" s="925"/>
      <c r="C1" s="925"/>
      <c r="D1" s="925"/>
      <c r="E1" s="925"/>
      <c r="F1" s="926"/>
    </row>
    <row r="2" spans="1:11" ht="15" customHeight="1" x14ac:dyDescent="0.25">
      <c r="H2" s="927" t="s">
        <v>225</v>
      </c>
      <c r="I2" s="928"/>
    </row>
    <row r="3" spans="1:11" x14ac:dyDescent="0.25">
      <c r="A3" s="103" t="s">
        <v>226</v>
      </c>
      <c r="B3" s="123">
        <f>'INFO BULL'!B27</f>
        <v>0</v>
      </c>
      <c r="C3" s="124"/>
      <c r="D3" s="124"/>
      <c r="E3" s="125" t="s">
        <v>227</v>
      </c>
      <c r="F3" s="126">
        <f>H_SEM</f>
        <v>35</v>
      </c>
      <c r="G3" s="124"/>
      <c r="H3" s="929"/>
      <c r="I3" s="930"/>
      <c r="J3" s="127"/>
      <c r="K3" s="127"/>
    </row>
    <row r="4" spans="1:11" x14ac:dyDescent="0.25">
      <c r="A4" s="124"/>
      <c r="B4" s="124"/>
      <c r="C4" s="124"/>
      <c r="D4" s="124"/>
      <c r="E4" s="125" t="s">
        <v>228</v>
      </c>
      <c r="F4" s="126">
        <f>J_SEM</f>
        <v>5</v>
      </c>
      <c r="G4" s="124"/>
      <c r="H4" s="929"/>
      <c r="I4" s="930"/>
      <c r="J4" s="127"/>
      <c r="K4" s="127"/>
    </row>
    <row r="5" spans="1:11" x14ac:dyDescent="0.25">
      <c r="A5" s="124"/>
      <c r="B5" s="124"/>
      <c r="C5" s="124"/>
      <c r="D5" s="124"/>
      <c r="E5" s="124"/>
      <c r="F5" s="124"/>
      <c r="G5" s="124"/>
      <c r="H5" s="929"/>
      <c r="I5" s="930"/>
      <c r="J5" s="127"/>
      <c r="K5" s="127"/>
    </row>
    <row r="6" spans="1:11" x14ac:dyDescent="0.25">
      <c r="A6" s="128" t="s">
        <v>229</v>
      </c>
      <c r="B6" s="124"/>
      <c r="C6" s="124"/>
      <c r="D6" s="124"/>
      <c r="E6" s="124"/>
      <c r="F6" s="124"/>
      <c r="G6" s="124"/>
      <c r="H6" s="929"/>
      <c r="I6" s="930"/>
      <c r="J6" s="127"/>
      <c r="K6" s="127"/>
    </row>
    <row r="7" spans="1:11" x14ac:dyDescent="0.25">
      <c r="A7" s="129" t="s">
        <v>187</v>
      </c>
      <c r="B7" s="130">
        <f>Début_ABSNR</f>
        <v>0</v>
      </c>
      <c r="C7" s="103" t="s">
        <v>230</v>
      </c>
      <c r="D7" s="131">
        <f>'INFO BULL'!D10</f>
        <v>43070</v>
      </c>
      <c r="E7" s="124"/>
      <c r="F7" s="124"/>
      <c r="G7" s="124"/>
      <c r="H7" s="929"/>
      <c r="I7" s="930"/>
      <c r="J7" s="127"/>
      <c r="K7" s="127"/>
    </row>
    <row r="8" spans="1:11" x14ac:dyDescent="0.25">
      <c r="A8" s="132" t="s">
        <v>188</v>
      </c>
      <c r="B8" s="133">
        <f>Fin_ABSNR</f>
        <v>0</v>
      </c>
      <c r="C8" s="124"/>
      <c r="D8" s="134">
        <f>EOMONTH(D7,0)</f>
        <v>43100</v>
      </c>
      <c r="E8" s="124"/>
      <c r="F8" s="124"/>
      <c r="G8" s="124"/>
      <c r="H8" s="929"/>
      <c r="I8" s="930"/>
      <c r="J8" s="127"/>
      <c r="K8" s="127"/>
    </row>
    <row r="9" spans="1:11" x14ac:dyDescent="0.25">
      <c r="A9" s="124"/>
      <c r="B9" s="124"/>
      <c r="C9" s="124"/>
      <c r="D9" s="124"/>
      <c r="E9" s="124"/>
      <c r="F9" s="124"/>
      <c r="G9" s="124"/>
      <c r="H9" s="929"/>
      <c r="I9" s="930"/>
      <c r="J9" s="127"/>
      <c r="K9" s="127"/>
    </row>
    <row r="10" spans="1:11" x14ac:dyDescent="0.25">
      <c r="A10" s="124"/>
      <c r="B10" s="103" t="s">
        <v>231</v>
      </c>
      <c r="C10" s="103" t="s">
        <v>232</v>
      </c>
      <c r="D10" s="103" t="s">
        <v>233</v>
      </c>
      <c r="E10" s="103" t="s">
        <v>234</v>
      </c>
      <c r="F10" s="124"/>
      <c r="G10" s="124"/>
      <c r="H10" s="929"/>
      <c r="I10" s="930"/>
      <c r="J10" s="127"/>
      <c r="K10" s="127"/>
    </row>
    <row r="11" spans="1:11" x14ac:dyDescent="0.25">
      <c r="A11" s="103" t="s">
        <v>235</v>
      </c>
      <c r="B11" s="135">
        <f>Heure_ABSNR</f>
        <v>0</v>
      </c>
      <c r="C11" s="135">
        <f>NETWORKDAYS(B7,B8,Calendrier!FERIES)</f>
        <v>0</v>
      </c>
      <c r="D11" s="136">
        <f>B8-B7-INT((B8-B7-IF(WEEKDAY(B8)=1,0,8-WEEKDAY(B7)))/7)</f>
        <v>1</v>
      </c>
      <c r="E11" s="137">
        <f>_xlfn.DAYS(B8,B7)+1</f>
        <v>1</v>
      </c>
      <c r="F11" s="124"/>
      <c r="G11" s="124"/>
      <c r="H11" s="929"/>
      <c r="I11" s="930"/>
      <c r="J11" s="127"/>
      <c r="K11" s="127"/>
    </row>
    <row r="12" spans="1:11" x14ac:dyDescent="0.25">
      <c r="A12" s="103" t="s">
        <v>236</v>
      </c>
      <c r="B12" s="135">
        <f>Heures_RéèllesMois</f>
        <v>0</v>
      </c>
      <c r="C12" s="138">
        <f>NETWORKDAYS(D7,D8)</f>
        <v>21</v>
      </c>
      <c r="D12" s="124">
        <f>D8-D7-INT((D8-D7-IF(WEEKDAY(D7)=1,0,8-WEEKDAY(D7)))/7)</f>
        <v>26</v>
      </c>
      <c r="E12" s="137">
        <f>_xlfn.DAYS(D8,D7)+1</f>
        <v>31</v>
      </c>
      <c r="F12" s="124"/>
      <c r="G12" s="124"/>
      <c r="H12" s="929"/>
      <c r="I12" s="930"/>
      <c r="J12" s="127"/>
      <c r="K12" s="127"/>
    </row>
    <row r="13" spans="1:11" x14ac:dyDescent="0.25">
      <c r="A13" s="103" t="s">
        <v>237</v>
      </c>
      <c r="B13" s="139">
        <f>ROUND((F3*52)/12,2)</f>
        <v>151.66999999999999</v>
      </c>
      <c r="C13" s="139">
        <f>ROUND(F4*52,2)/12</f>
        <v>21.666666666666668</v>
      </c>
      <c r="D13" s="137">
        <f>(F4+1)*52/12</f>
        <v>26</v>
      </c>
      <c r="E13" s="137">
        <f>ROUNDDOWN(((F4+2)*52/12),0)</f>
        <v>30</v>
      </c>
      <c r="F13" s="124"/>
      <c r="G13" s="124"/>
      <c r="H13" s="929"/>
      <c r="I13" s="930"/>
      <c r="J13" s="127"/>
      <c r="K13" s="127"/>
    </row>
    <row r="14" spans="1:11" x14ac:dyDescent="0.25">
      <c r="A14" s="124"/>
      <c r="B14" s="124"/>
      <c r="C14" s="124"/>
      <c r="D14" s="124"/>
      <c r="E14" s="124"/>
      <c r="F14" s="124"/>
      <c r="G14" s="124"/>
      <c r="H14" s="929"/>
      <c r="I14" s="930"/>
      <c r="J14" s="127"/>
      <c r="K14" s="127"/>
    </row>
    <row r="15" spans="1:11" x14ac:dyDescent="0.25">
      <c r="A15" s="933" t="s">
        <v>238</v>
      </c>
      <c r="B15" s="934"/>
      <c r="C15" s="124"/>
      <c r="D15" s="124"/>
      <c r="E15" s="124"/>
      <c r="F15" s="124"/>
      <c r="G15" s="124"/>
      <c r="H15" s="929"/>
      <c r="I15" s="930"/>
      <c r="J15" s="127"/>
      <c r="K15" s="127"/>
    </row>
    <row r="16" spans="1:11" x14ac:dyDescent="0.25">
      <c r="A16" s="140" t="s">
        <v>239</v>
      </c>
      <c r="B16" s="141">
        <f>IF(B11=0,0,B11*B3/B12)</f>
        <v>0</v>
      </c>
      <c r="C16" s="124"/>
      <c r="D16" s="127"/>
      <c r="E16" s="124"/>
      <c r="F16" s="124"/>
      <c r="G16" s="124"/>
      <c r="H16" s="929"/>
      <c r="I16" s="930"/>
      <c r="J16" s="127"/>
      <c r="K16" s="127"/>
    </row>
    <row r="17" spans="1:11" x14ac:dyDescent="0.25">
      <c r="A17" s="142" t="s">
        <v>240</v>
      </c>
      <c r="B17" s="143">
        <f>IFERROR((B11/B13)*$B$3,"")</f>
        <v>0</v>
      </c>
      <c r="C17" s="124"/>
      <c r="D17" s="935" t="s">
        <v>241</v>
      </c>
      <c r="E17" s="936"/>
      <c r="F17" s="124"/>
      <c r="G17" s="124"/>
      <c r="H17" s="929"/>
      <c r="I17" s="930"/>
      <c r="J17" s="127"/>
      <c r="K17" s="127"/>
    </row>
    <row r="18" spans="1:11" x14ac:dyDescent="0.25">
      <c r="A18" s="142" t="s">
        <v>242</v>
      </c>
      <c r="B18" s="143">
        <f>IFERROR((C11/C12)*$B$3,"")</f>
        <v>0</v>
      </c>
      <c r="C18" s="124"/>
      <c r="D18" s="937" t="str">
        <f>'INFO BULL'!C30</f>
        <v>Calendaires réèls</v>
      </c>
      <c r="E18" s="938"/>
      <c r="F18" s="124"/>
      <c r="G18" s="124"/>
      <c r="H18" s="929"/>
      <c r="I18" s="930"/>
      <c r="J18" s="127"/>
      <c r="K18" s="127"/>
    </row>
    <row r="19" spans="1:11" x14ac:dyDescent="0.25">
      <c r="A19" s="142" t="s">
        <v>243</v>
      </c>
      <c r="B19" s="143">
        <f>(C11/C13)*B3</f>
        <v>0</v>
      </c>
      <c r="C19" s="124"/>
      <c r="D19" s="939">
        <f>IF(B3=0,0,VLOOKUP(D18,A16:B23,2,FALSE))</f>
        <v>0</v>
      </c>
      <c r="E19" s="940"/>
      <c r="F19" s="124"/>
      <c r="G19" s="124"/>
      <c r="H19" s="931"/>
      <c r="I19" s="932"/>
      <c r="J19" s="127"/>
      <c r="K19" s="127"/>
    </row>
    <row r="20" spans="1:11" x14ac:dyDescent="0.25">
      <c r="A20" s="142" t="s">
        <v>244</v>
      </c>
      <c r="B20" s="143">
        <f>IFERROR((D11/D12)*$B$3,"")</f>
        <v>0</v>
      </c>
      <c r="C20" s="124"/>
      <c r="D20" s="124"/>
      <c r="E20" s="124"/>
      <c r="F20" s="124"/>
      <c r="G20" s="124"/>
      <c r="J20" s="127"/>
      <c r="K20" s="127"/>
    </row>
    <row r="21" spans="1:11" x14ac:dyDescent="0.25">
      <c r="A21" s="142" t="s">
        <v>245</v>
      </c>
      <c r="B21" s="143">
        <f>IFERROR((D11/D13)*$B$3,"")</f>
        <v>0</v>
      </c>
      <c r="C21" s="124"/>
      <c r="D21" s="124"/>
      <c r="E21" s="124"/>
      <c r="F21" s="124"/>
      <c r="G21" s="124"/>
      <c r="J21" s="127"/>
      <c r="K21" s="127"/>
    </row>
    <row r="22" spans="1:11" x14ac:dyDescent="0.25">
      <c r="A22" s="142" t="s">
        <v>246</v>
      </c>
      <c r="B22" s="143">
        <f>IFERROR((E11/E12)*$B$3,"")</f>
        <v>0</v>
      </c>
      <c r="C22" s="124"/>
      <c r="D22" s="124"/>
      <c r="E22" s="124"/>
      <c r="F22" s="124"/>
      <c r="G22" s="124"/>
      <c r="J22" s="127"/>
      <c r="K22" s="127"/>
    </row>
    <row r="23" spans="1:11" x14ac:dyDescent="0.25">
      <c r="A23" s="144" t="s">
        <v>247</v>
      </c>
      <c r="B23" s="145">
        <f>IFERROR((E11/E13)*$B$3,"")</f>
        <v>0</v>
      </c>
      <c r="C23" s="124"/>
      <c r="D23" s="124"/>
      <c r="E23" s="124"/>
      <c r="F23" s="124"/>
      <c r="G23" s="124"/>
      <c r="J23" s="127"/>
      <c r="K23" s="127"/>
    </row>
    <row r="24" spans="1:11" x14ac:dyDescent="0.25">
      <c r="A24" s="124"/>
      <c r="B24" s="124"/>
      <c r="C24" s="124"/>
      <c r="D24" s="124"/>
      <c r="E24" s="124"/>
      <c r="F24" s="124"/>
      <c r="G24" s="124"/>
      <c r="J24" s="127"/>
      <c r="K24" s="127"/>
    </row>
    <row r="25" spans="1:11" x14ac:dyDescent="0.25">
      <c r="A25" s="124"/>
      <c r="B25" s="124"/>
      <c r="C25" s="124"/>
      <c r="D25" s="124"/>
      <c r="E25" s="124"/>
      <c r="F25" s="124"/>
      <c r="G25" s="124"/>
      <c r="J25" s="127"/>
      <c r="K25" s="127"/>
    </row>
    <row r="26" spans="1:11" x14ac:dyDescent="0.25">
      <c r="A26" s="124"/>
      <c r="B26" s="124"/>
      <c r="C26" s="124"/>
      <c r="D26" s="124"/>
      <c r="E26" s="124"/>
      <c r="F26" s="124"/>
      <c r="G26" s="124"/>
      <c r="J26" s="127"/>
      <c r="K26" s="127"/>
    </row>
    <row r="27" spans="1:11" x14ac:dyDescent="0.25">
      <c r="A27" s="124"/>
      <c r="B27" s="124"/>
      <c r="C27" s="124"/>
      <c r="D27" s="124"/>
      <c r="E27" s="124"/>
      <c r="F27" s="124"/>
      <c r="G27" s="124"/>
      <c r="J27" s="127"/>
      <c r="K27" s="127"/>
    </row>
    <row r="28" spans="1:11" x14ac:dyDescent="0.25">
      <c r="A28" s="124"/>
      <c r="B28" s="124"/>
      <c r="C28" s="124"/>
      <c r="D28" s="124"/>
      <c r="E28" s="124"/>
      <c r="F28" s="124"/>
      <c r="G28" s="124"/>
      <c r="J28" s="127"/>
      <c r="K28" s="127"/>
    </row>
    <row r="29" spans="1:11" x14ac:dyDescent="0.25">
      <c r="A29" s="124"/>
      <c r="B29" s="124"/>
      <c r="C29" s="124"/>
      <c r="D29" s="124"/>
      <c r="E29" s="124"/>
      <c r="F29" s="124"/>
      <c r="G29" s="124"/>
      <c r="J29" s="127"/>
      <c r="K29" s="127"/>
    </row>
    <row r="30" spans="1:11" x14ac:dyDescent="0.25">
      <c r="A30" s="124"/>
      <c r="B30" s="124"/>
      <c r="C30" s="124"/>
      <c r="D30" s="124"/>
      <c r="E30" s="124"/>
      <c r="F30" s="124"/>
      <c r="G30" s="124"/>
      <c r="J30" s="127"/>
      <c r="K30" s="127"/>
    </row>
  </sheetData>
  <mergeCells count="6">
    <mergeCell ref="A1:F1"/>
    <mergeCell ref="H2:I19"/>
    <mergeCell ref="A15:B15"/>
    <mergeCell ref="D17:E17"/>
    <mergeCell ref="D18:E18"/>
    <mergeCell ref="D19:E19"/>
  </mergeCells>
  <conditionalFormatting sqref="B16:B23">
    <cfRule type="top10" dxfId="9" priority="1" bottom="1" rank="1"/>
  </conditionalFormatting>
  <pageMargins left="0.7" right="0.7" top="0.75" bottom="0.75" header="0.3" footer="0.3"/>
  <legacyDrawing r:id="rId1"/>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5">
    <tabColor rgb="FFFFC000"/>
  </sheetPr>
  <dimension ref="A1:K28"/>
  <sheetViews>
    <sheetView workbookViewId="0">
      <selection activeCell="H4" sqref="H4"/>
    </sheetView>
  </sheetViews>
  <sheetFormatPr baseColWidth="10" defaultColWidth="11.42578125" defaultRowHeight="15" x14ac:dyDescent="0.25"/>
  <cols>
    <col min="1" max="1" width="19.42578125" style="124" bestFit="1" customWidth="1"/>
    <col min="2" max="5" width="14.85546875" style="124" customWidth="1"/>
    <col min="6" max="6" width="11.42578125" style="124"/>
    <col min="7" max="7" width="13.42578125" style="124" bestFit="1" customWidth="1"/>
    <col min="8" max="8" width="29.28515625" style="124" bestFit="1" customWidth="1"/>
    <col min="9" max="10" width="11.42578125" style="124"/>
    <col min="11" max="11" width="18.28515625" style="124" bestFit="1" customWidth="1"/>
    <col min="12" max="16384" width="11.42578125" style="124"/>
  </cols>
  <sheetData>
    <row r="1" spans="1:11" ht="37.5" customHeight="1" thickBot="1" x14ac:dyDescent="0.3">
      <c r="A1" s="941" t="s">
        <v>333</v>
      </c>
      <c r="B1" s="942"/>
      <c r="C1" s="942"/>
      <c r="D1" s="942"/>
      <c r="E1" s="942"/>
      <c r="F1" s="943"/>
      <c r="G1" s="227"/>
      <c r="H1" s="227"/>
    </row>
    <row r="2" spans="1:11" ht="21" customHeight="1" x14ac:dyDescent="0.25">
      <c r="A2" s="228"/>
      <c r="B2" s="229"/>
      <c r="C2" s="229"/>
      <c r="D2" s="229"/>
      <c r="E2" s="229"/>
      <c r="F2" s="229"/>
    </row>
    <row r="3" spans="1:11" x14ac:dyDescent="0.25">
      <c r="A3" s="103" t="s">
        <v>226</v>
      </c>
      <c r="B3" s="123">
        <f>'INFO BULL'!B45</f>
        <v>0</v>
      </c>
      <c r="E3" s="125" t="s">
        <v>227</v>
      </c>
      <c r="F3" s="126">
        <f>H_SEM</f>
        <v>35</v>
      </c>
      <c r="H3" s="124" t="s">
        <v>334</v>
      </c>
      <c r="J3" s="127"/>
      <c r="K3" s="127"/>
    </row>
    <row r="4" spans="1:11" x14ac:dyDescent="0.25">
      <c r="E4" s="125" t="s">
        <v>228</v>
      </c>
      <c r="F4" s="126">
        <f>J_SEM</f>
        <v>5</v>
      </c>
      <c r="H4" s="124">
        <f>D8-D7-INT((D8-D7-IF(WEEKDAY(D8)=1,0,8-WEEKDAY(D7)))/7)-SUMPRODUCT((Calendrier!FERIES&gt;=D7)*(Calendrier!FERIES&lt;=D8)*(WEEKDAY(Calendrier!FERIES)&lt;&gt;1))</f>
        <v>25</v>
      </c>
      <c r="J4" s="127"/>
      <c r="K4" s="127"/>
    </row>
    <row r="5" spans="1:11" x14ac:dyDescent="0.25">
      <c r="J5" s="127"/>
      <c r="K5" s="127"/>
    </row>
    <row r="6" spans="1:11" x14ac:dyDescent="0.25">
      <c r="A6" s="128" t="s">
        <v>229</v>
      </c>
      <c r="J6" s="127"/>
      <c r="K6" s="127"/>
    </row>
    <row r="7" spans="1:11" x14ac:dyDescent="0.25">
      <c r="A7" s="129" t="s">
        <v>187</v>
      </c>
      <c r="B7" s="130">
        <f>'INFO BULL'!B43</f>
        <v>0</v>
      </c>
      <c r="C7" s="103" t="s">
        <v>230</v>
      </c>
      <c r="D7" s="131">
        <f>'INFO BULL'!D10</f>
        <v>43070</v>
      </c>
      <c r="J7" s="127"/>
      <c r="K7" s="127"/>
    </row>
    <row r="8" spans="1:11" x14ac:dyDescent="0.25">
      <c r="A8" s="132" t="s">
        <v>188</v>
      </c>
      <c r="B8" s="133">
        <f>'INFO BULL'!B44</f>
        <v>0</v>
      </c>
      <c r="D8" s="134">
        <f>EOMONTH(D7,0)</f>
        <v>43100</v>
      </c>
      <c r="J8" s="127"/>
      <c r="K8" s="127"/>
    </row>
    <row r="9" spans="1:11" x14ac:dyDescent="0.25">
      <c r="J9" s="127"/>
      <c r="K9" s="127"/>
    </row>
    <row r="10" spans="1:11" x14ac:dyDescent="0.25">
      <c r="B10" s="103" t="s">
        <v>232</v>
      </c>
      <c r="C10" s="103" t="s">
        <v>233</v>
      </c>
      <c r="J10" s="127"/>
      <c r="K10" s="127"/>
    </row>
    <row r="11" spans="1:11" x14ac:dyDescent="0.25">
      <c r="A11" s="103" t="s">
        <v>235</v>
      </c>
      <c r="B11" s="135">
        <f>NETWORKDAYS(B7,B8,Calendrier!FERIES)</f>
        <v>0</v>
      </c>
      <c r="C11" s="136">
        <f>B8-B7-INT((B8-B7-IF(WEEKDAY(B8)=1,0,8-WEEKDAY(B7)))/7)</f>
        <v>1</v>
      </c>
      <c r="E11" s="124" t="s">
        <v>335</v>
      </c>
      <c r="J11" s="127"/>
      <c r="K11" s="127"/>
    </row>
    <row r="12" spans="1:11" x14ac:dyDescent="0.25">
      <c r="A12" s="103" t="s">
        <v>236</v>
      </c>
      <c r="B12" s="138">
        <f>NETWORKDAYS(D7,D8)</f>
        <v>21</v>
      </c>
      <c r="C12" s="136">
        <f>D8-D7-INT((D8-D7-IF(WEEKDAY(D7)=1,0,8-WEEKDAY(D7)))/7)</f>
        <v>26</v>
      </c>
      <c r="E12" s="124">
        <f>IF(B3=0,0,IF(OR(D17="J ouvrables moyen",D17="J ouvrables réèls"),C11,B11))</f>
        <v>0</v>
      </c>
      <c r="J12" s="127"/>
      <c r="K12" s="127"/>
    </row>
    <row r="13" spans="1:11" x14ac:dyDescent="0.25">
      <c r="A13" s="103" t="s">
        <v>237</v>
      </c>
      <c r="B13" s="139">
        <f>ROUND(F4*52,2)/12</f>
        <v>21.666666666666668</v>
      </c>
      <c r="C13" s="137">
        <f>(F4+1)*52/12</f>
        <v>26</v>
      </c>
      <c r="J13" s="127"/>
      <c r="K13" s="127"/>
    </row>
    <row r="14" spans="1:11" x14ac:dyDescent="0.25">
      <c r="J14" s="127"/>
      <c r="K14" s="127"/>
    </row>
    <row r="15" spans="1:11" x14ac:dyDescent="0.25">
      <c r="A15" s="933" t="s">
        <v>238</v>
      </c>
      <c r="B15" s="934"/>
      <c r="D15" s="127"/>
      <c r="J15" s="127"/>
      <c r="K15" s="127"/>
    </row>
    <row r="16" spans="1:11" ht="15" customHeight="1" x14ac:dyDescent="0.25">
      <c r="A16" s="142" t="s">
        <v>242</v>
      </c>
      <c r="B16" s="143">
        <f>IFERROR((B11/B12)*$B$3,"")</f>
        <v>0</v>
      </c>
      <c r="D16" s="935" t="s">
        <v>241</v>
      </c>
      <c r="E16" s="936"/>
      <c r="H16" s="927" t="s">
        <v>336</v>
      </c>
      <c r="I16" s="928"/>
      <c r="J16" s="127"/>
      <c r="K16" s="127"/>
    </row>
    <row r="17" spans="1:11" x14ac:dyDescent="0.25">
      <c r="A17" s="142" t="s">
        <v>243</v>
      </c>
      <c r="B17" s="143">
        <f>(B11/B13)*B3</f>
        <v>0</v>
      </c>
      <c r="D17" s="944" t="str">
        <f>'INFO BULL'!C42</f>
        <v>J ouvrables réèls</v>
      </c>
      <c r="E17" s="938"/>
      <c r="H17" s="929"/>
      <c r="I17" s="930"/>
      <c r="J17" s="127"/>
      <c r="K17" s="127"/>
    </row>
    <row r="18" spans="1:11" x14ac:dyDescent="0.25">
      <c r="A18" s="142" t="s">
        <v>244</v>
      </c>
      <c r="B18" s="143">
        <f>IFERROR((C11/C12)*$B$3,"")</f>
        <v>0</v>
      </c>
      <c r="D18" s="939">
        <f>IF(B3=0,0,VLOOKUP(D17,A16:B21,2,FALSE))</f>
        <v>0</v>
      </c>
      <c r="E18" s="940"/>
      <c r="H18" s="929"/>
      <c r="I18" s="930"/>
      <c r="J18" s="127"/>
      <c r="K18" s="127"/>
    </row>
    <row r="19" spans="1:11" x14ac:dyDescent="0.25">
      <c r="A19" s="142" t="s">
        <v>245</v>
      </c>
      <c r="B19" s="143">
        <f>IFERROR((C11/C13)*$B$3,"")</f>
        <v>0</v>
      </c>
      <c r="H19" s="929"/>
      <c r="I19" s="930"/>
      <c r="J19" s="127"/>
      <c r="K19" s="127"/>
    </row>
    <row r="20" spans="1:11" x14ac:dyDescent="0.25">
      <c r="H20" s="929"/>
      <c r="I20" s="930"/>
      <c r="J20" s="127"/>
      <c r="K20" s="127"/>
    </row>
    <row r="21" spans="1:11" x14ac:dyDescent="0.25">
      <c r="H21" s="929"/>
      <c r="I21" s="930"/>
      <c r="J21" s="127"/>
      <c r="K21" s="127"/>
    </row>
    <row r="22" spans="1:11" x14ac:dyDescent="0.25">
      <c r="H22" s="929"/>
      <c r="I22" s="930"/>
      <c r="J22" s="127"/>
      <c r="K22" s="127"/>
    </row>
    <row r="23" spans="1:11" x14ac:dyDescent="0.25">
      <c r="H23" s="929"/>
      <c r="I23" s="930"/>
      <c r="J23" s="127"/>
      <c r="K23" s="127"/>
    </row>
    <row r="24" spans="1:11" x14ac:dyDescent="0.25">
      <c r="H24" s="929"/>
      <c r="I24" s="930"/>
      <c r="J24" s="127"/>
      <c r="K24" s="127"/>
    </row>
    <row r="25" spans="1:11" x14ac:dyDescent="0.25">
      <c r="H25" s="929"/>
      <c r="I25" s="930"/>
      <c r="J25" s="127"/>
      <c r="K25" s="127"/>
    </row>
    <row r="26" spans="1:11" x14ac:dyDescent="0.25">
      <c r="H26" s="929"/>
      <c r="I26" s="930"/>
      <c r="J26" s="127"/>
      <c r="K26" s="127"/>
    </row>
    <row r="27" spans="1:11" x14ac:dyDescent="0.25">
      <c r="H27" s="929"/>
      <c r="I27" s="930"/>
      <c r="J27" s="127"/>
      <c r="K27" s="127"/>
    </row>
    <row r="28" spans="1:11" x14ac:dyDescent="0.25">
      <c r="H28" s="931"/>
      <c r="I28" s="932"/>
      <c r="J28" s="127"/>
      <c r="K28" s="127"/>
    </row>
  </sheetData>
  <mergeCells count="6">
    <mergeCell ref="A1:F1"/>
    <mergeCell ref="A15:B15"/>
    <mergeCell ref="D16:E16"/>
    <mergeCell ref="H16:I28"/>
    <mergeCell ref="D17:E17"/>
    <mergeCell ref="D18:E18"/>
  </mergeCells>
  <conditionalFormatting sqref="B16:B19">
    <cfRule type="top10" dxfId="8" priority="1" bottom="1" rank="1"/>
  </conditionalFormatting>
  <dataValidations count="1">
    <dataValidation type="list" allowBlank="1" showInputMessage="1" showErrorMessage="1" sqref="D17" xr:uid="{00000000-0002-0000-0900-000000000000}">
      <formula1>$A$16:$A$21</formula1>
    </dataValidation>
  </dataValidations>
  <pageMargins left="0.7" right="0.7" top="0.75" bottom="0.75" header="0.3" footer="0.3"/>
  <pageSetup paperSize="9" orientation="portrait" r:id="rId1"/>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6">
    <tabColor rgb="FFFFC000"/>
  </sheetPr>
  <dimension ref="A1:G35"/>
  <sheetViews>
    <sheetView workbookViewId="0">
      <selection activeCell="B34" sqref="B34"/>
    </sheetView>
  </sheetViews>
  <sheetFormatPr baseColWidth="10" defaultColWidth="11.42578125" defaultRowHeight="15" x14ac:dyDescent="0.25"/>
  <cols>
    <col min="1" max="1" width="36.140625" style="127" customWidth="1"/>
    <col min="2" max="2" width="14.7109375" style="127" bestFit="1" customWidth="1"/>
    <col min="3" max="3" width="14.28515625" style="127" customWidth="1"/>
    <col min="4" max="4" width="17.5703125" style="127" bestFit="1" customWidth="1"/>
    <col min="5" max="5" width="16.42578125" style="127" customWidth="1"/>
    <col min="6" max="12" width="11.42578125" style="127"/>
    <col min="13" max="13" width="20.28515625" style="127" customWidth="1"/>
    <col min="14" max="16384" width="11.42578125" style="127"/>
  </cols>
  <sheetData>
    <row r="1" spans="1:7" ht="37.5" customHeight="1" thickBot="1" x14ac:dyDescent="0.3">
      <c r="A1" s="945" t="s">
        <v>366</v>
      </c>
      <c r="B1" s="946"/>
      <c r="C1" s="946"/>
      <c r="D1" s="946"/>
      <c r="E1" s="946"/>
      <c r="F1" s="946"/>
      <c r="G1" s="947"/>
    </row>
    <row r="3" spans="1:7" x14ac:dyDescent="0.25">
      <c r="A3" s="316" t="s">
        <v>367</v>
      </c>
      <c r="B3" s="317" t="str">
        <f>'INFO BULL'!B51</f>
        <v>OUVRABLES</v>
      </c>
      <c r="D3" s="127" t="s">
        <v>368</v>
      </c>
      <c r="E3" s="318">
        <f>'INFO BULL'!B43</f>
        <v>0</v>
      </c>
      <c r="F3" s="318">
        <f>'INFO BULL'!D10</f>
        <v>43070</v>
      </c>
    </row>
    <row r="4" spans="1:7" x14ac:dyDescent="0.25">
      <c r="A4" s="319" t="s">
        <v>369</v>
      </c>
      <c r="B4" s="317" t="str">
        <f>'INFO BULL'!D51</f>
        <v>REELS</v>
      </c>
      <c r="D4" s="127" t="s">
        <v>370</v>
      </c>
      <c r="E4" s="318">
        <f>'INFO BULL'!B44</f>
        <v>0</v>
      </c>
      <c r="F4" s="320">
        <f>EOMONTH(F3,0)</f>
        <v>43100</v>
      </c>
    </row>
    <row r="5" spans="1:7" x14ac:dyDescent="0.25">
      <c r="A5" s="321" t="s">
        <v>371</v>
      </c>
      <c r="B5" s="340">
        <f>'INFO BULL'!B46</f>
        <v>0</v>
      </c>
    </row>
    <row r="6" spans="1:7" ht="14.25" customHeight="1" x14ac:dyDescent="0.25">
      <c r="A6" s="321" t="s">
        <v>372</v>
      </c>
      <c r="B6" s="317">
        <f>'INFO BULL'!B52</f>
        <v>0</v>
      </c>
    </row>
    <row r="7" spans="1:7" x14ac:dyDescent="0.25">
      <c r="A7" s="321" t="s">
        <v>373</v>
      </c>
      <c r="B7" s="317">
        <f>'INFO BULL'!B53</f>
        <v>0</v>
      </c>
      <c r="C7" s="948" t="s">
        <v>374</v>
      </c>
      <c r="D7" s="949"/>
      <c r="E7" s="322">
        <f>'INFO BULL'!B54</f>
        <v>0</v>
      </c>
    </row>
    <row r="8" spans="1:7" x14ac:dyDescent="0.25">
      <c r="A8" s="323" t="s">
        <v>375</v>
      </c>
      <c r="B8" s="322">
        <f>F4-F3-INT((F4-F3-IF(WEEKDAY(F4)=1,0,8-WEEKDAY(F3)))/7)-SUMPRODUCT((Calendrier!FERIES&gt;=F3)*(Calendrier!FERIES&lt;=F4)*(WEEKDAY(Calendrier!FERIES)&lt;&gt;1))</f>
        <v>25</v>
      </c>
    </row>
    <row r="9" spans="1:7" x14ac:dyDescent="0.25">
      <c r="A9" s="323" t="s">
        <v>376</v>
      </c>
      <c r="B9" s="317">
        <f>NETWORKDAYS(F3,F4,Calendrier!FERIES)</f>
        <v>20</v>
      </c>
      <c r="D9" s="324" t="s">
        <v>377</v>
      </c>
      <c r="E9" s="325">
        <f>IF(J_CP="","",(B5/B10)*B6)</f>
        <v>0</v>
      </c>
    </row>
    <row r="10" spans="1:7" x14ac:dyDescent="0.25">
      <c r="A10" s="326" t="s">
        <v>378</v>
      </c>
      <c r="B10" s="322">
        <f>VLOOKUP('INFO BULL'!C42,'Liste déroulante'!B36:F39,4,FALSE)</f>
        <v>27</v>
      </c>
      <c r="D10" s="324" t="s">
        <v>379</v>
      </c>
      <c r="E10" s="325">
        <f>IF(E7&lt;12,B7/10,IF(J_CP="","",((B7/10)*B5)/B11))</f>
        <v>0</v>
      </c>
    </row>
    <row r="11" spans="1:7" x14ac:dyDescent="0.25">
      <c r="A11" s="326" t="s">
        <v>380</v>
      </c>
      <c r="B11" s="322">
        <f>VLOOKUP('INFO BULL'!C42,'Liste déroulante'!B36:F39,5,FALSE)</f>
        <v>30</v>
      </c>
      <c r="D11" s="324" t="s">
        <v>313</v>
      </c>
      <c r="E11" s="325">
        <f>MAX(E9:E10)</f>
        <v>0</v>
      </c>
    </row>
    <row r="12" spans="1:7" ht="15.75" thickBot="1" x14ac:dyDescent="0.3"/>
    <row r="13" spans="1:7" ht="37.5" customHeight="1" thickBot="1" x14ac:dyDescent="0.3">
      <c r="A13" s="945" t="s">
        <v>381</v>
      </c>
      <c r="B13" s="946"/>
      <c r="C13" s="946"/>
      <c r="D13" s="946"/>
      <c r="E13" s="946"/>
      <c r="F13" s="946"/>
      <c r="G13" s="947"/>
    </row>
    <row r="14" spans="1:7" x14ac:dyDescent="0.25">
      <c r="A14" s="327"/>
    </row>
    <row r="15" spans="1:7" x14ac:dyDescent="0.25">
      <c r="A15" s="950" t="s">
        <v>382</v>
      </c>
      <c r="B15" s="950"/>
      <c r="C15" s="950"/>
      <c r="D15" s="950"/>
    </row>
    <row r="16" spans="1:7" x14ac:dyDescent="0.25">
      <c r="A16" s="322" t="s">
        <v>383</v>
      </c>
      <c r="B16" s="317">
        <f>'INFO BULL'!B60</f>
        <v>0</v>
      </c>
      <c r="D16" s="321" t="s">
        <v>372</v>
      </c>
      <c r="E16" s="328">
        <f>'INFO BULL'!B58</f>
        <v>0</v>
      </c>
    </row>
    <row r="17" spans="1:7" x14ac:dyDescent="0.25">
      <c r="A17" s="322" t="s">
        <v>384</v>
      </c>
      <c r="B17" s="317">
        <f>'INFO BULL'!B57</f>
        <v>0</v>
      </c>
      <c r="D17" s="321" t="s">
        <v>373</v>
      </c>
      <c r="E17" s="329">
        <f>'INFO BULL'!B59</f>
        <v>0</v>
      </c>
    </row>
    <row r="18" spans="1:7" x14ac:dyDescent="0.25">
      <c r="A18" s="136" t="s">
        <v>385</v>
      </c>
      <c r="B18" s="329">
        <f>(E16*B17/B10)-B16</f>
        <v>0</v>
      </c>
      <c r="D18" s="124"/>
      <c r="E18" s="330"/>
    </row>
    <row r="19" spans="1:7" x14ac:dyDescent="0.25">
      <c r="A19" s="136" t="s">
        <v>379</v>
      </c>
      <c r="B19" s="329">
        <f>(E17/10)-B16</f>
        <v>0</v>
      </c>
      <c r="D19" s="124"/>
    </row>
    <row r="20" spans="1:7" x14ac:dyDescent="0.25">
      <c r="A20" s="324" t="s">
        <v>386</v>
      </c>
      <c r="B20" s="325">
        <f>MAX(B18:B19)</f>
        <v>0</v>
      </c>
    </row>
    <row r="21" spans="1:7" x14ac:dyDescent="0.25">
      <c r="A21" s="331"/>
      <c r="B21" s="332"/>
    </row>
    <row r="22" spans="1:7" x14ac:dyDescent="0.25">
      <c r="B22" s="322" t="s">
        <v>387</v>
      </c>
      <c r="C22" s="322" t="s">
        <v>388</v>
      </c>
    </row>
    <row r="23" spans="1:7" x14ac:dyDescent="0.25">
      <c r="A23" s="322" t="s">
        <v>389</v>
      </c>
      <c r="B23" s="333"/>
      <c r="C23" s="334">
        <f>'INFO BULL'!B63</f>
        <v>0</v>
      </c>
    </row>
    <row r="24" spans="1:7" x14ac:dyDescent="0.25">
      <c r="A24" s="322" t="s">
        <v>390</v>
      </c>
      <c r="B24" s="317">
        <f>'INFO BULL'!B65</f>
        <v>0</v>
      </c>
      <c r="C24" s="317">
        <f>'INFO BULL'!B64</f>
        <v>0</v>
      </c>
    </row>
    <row r="25" spans="1:7" x14ac:dyDescent="0.25">
      <c r="A25" s="335" t="s">
        <v>389</v>
      </c>
      <c r="B25" s="336">
        <f>B24/10</f>
        <v>0</v>
      </c>
      <c r="C25" s="336">
        <f>C24*C23/B10</f>
        <v>0</v>
      </c>
    </row>
    <row r="26" spans="1:7" x14ac:dyDescent="0.25">
      <c r="A26" s="341"/>
      <c r="B26" s="341"/>
      <c r="C26" s="341"/>
    </row>
    <row r="27" spans="1:7" x14ac:dyDescent="0.25">
      <c r="A27" s="335" t="s">
        <v>391</v>
      </c>
      <c r="B27" s="337">
        <f>'INFO BULL'!B66</f>
        <v>0</v>
      </c>
    </row>
    <row r="28" spans="1:7" x14ac:dyDescent="0.25">
      <c r="A28" s="335" t="s">
        <v>392</v>
      </c>
      <c r="B28" s="337">
        <f>IF(B3="ouvrés",25,30)</f>
        <v>30</v>
      </c>
    </row>
    <row r="29" spans="1:7" x14ac:dyDescent="0.25">
      <c r="A29" s="324" t="s">
        <v>393</v>
      </c>
      <c r="B29" s="325">
        <f>B25*B27/B28</f>
        <v>0</v>
      </c>
      <c r="C29" s="325">
        <f>C25</f>
        <v>0</v>
      </c>
      <c r="D29" s="338" t="s">
        <v>394</v>
      </c>
      <c r="E29" s="325">
        <f>MAX(SoldeICCPNR10,SoldeICCPMaintien)</f>
        <v>0</v>
      </c>
      <c r="G29" s="339"/>
    </row>
    <row r="30" spans="1:7" ht="15.75" thickBot="1" x14ac:dyDescent="0.3"/>
    <row r="31" spans="1:7" ht="37.5" customHeight="1" thickBot="1" x14ac:dyDescent="0.3">
      <c r="A31" s="951" t="s">
        <v>395</v>
      </c>
      <c r="B31" s="952"/>
      <c r="C31" s="952"/>
      <c r="D31" s="952"/>
      <c r="E31" s="952"/>
      <c r="F31" s="952"/>
      <c r="G31" s="953"/>
    </row>
    <row r="33" spans="1:5" x14ac:dyDescent="0.25">
      <c r="A33" s="322" t="s">
        <v>396</v>
      </c>
      <c r="B33" s="317">
        <f>'INFO BULL'!B69</f>
        <v>0</v>
      </c>
    </row>
    <row r="34" spans="1:5" x14ac:dyDescent="0.25">
      <c r="A34" s="322" t="s">
        <v>397</v>
      </c>
      <c r="B34" s="317">
        <f>'INFO BULL'!B71</f>
        <v>0</v>
      </c>
    </row>
    <row r="35" spans="1:5" x14ac:dyDescent="0.25">
      <c r="A35" s="324" t="s">
        <v>398</v>
      </c>
      <c r="B35" s="325">
        <f>IF(B33=0,0,(B7/10)*((30+B33)/30))</f>
        <v>0</v>
      </c>
      <c r="D35" s="324" t="s">
        <v>399</v>
      </c>
      <c r="E35" s="325">
        <f>B35-B34</f>
        <v>0</v>
      </c>
    </row>
  </sheetData>
  <mergeCells count="5">
    <mergeCell ref="A1:G1"/>
    <mergeCell ref="C7:D7"/>
    <mergeCell ref="A13:G13"/>
    <mergeCell ref="A15:D15"/>
    <mergeCell ref="A31:G31"/>
  </mergeCells>
  <pageMargins left="0.7" right="0.7"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7">
    <tabColor rgb="FF92D050"/>
  </sheetPr>
  <dimension ref="A1:J96"/>
  <sheetViews>
    <sheetView workbookViewId="0">
      <selection activeCell="D94" sqref="D94"/>
    </sheetView>
  </sheetViews>
  <sheetFormatPr baseColWidth="10" defaultColWidth="11.42578125" defaultRowHeight="15" x14ac:dyDescent="0.25"/>
  <cols>
    <col min="1" max="1" width="38.85546875" style="259" customWidth="1"/>
    <col min="2" max="2" width="14.28515625" style="259" customWidth="1"/>
    <col min="3" max="3" width="14.5703125" style="259" customWidth="1"/>
    <col min="4" max="4" width="29.42578125" style="259" customWidth="1"/>
    <col min="5" max="5" width="16.7109375" style="259" customWidth="1"/>
    <col min="6" max="6" width="3" style="259" customWidth="1"/>
    <col min="7" max="7" width="11.42578125" style="127"/>
    <col min="8" max="8" width="53.42578125" style="259" bestFit="1" customWidth="1"/>
    <col min="9" max="9" width="16.42578125" style="259" customWidth="1"/>
    <col min="10" max="10" width="15.28515625" style="259" bestFit="1" customWidth="1"/>
    <col min="11" max="16384" width="11.42578125" style="259"/>
  </cols>
  <sheetData>
    <row r="1" spans="1:10" ht="37.5" customHeight="1" thickBot="1" x14ac:dyDescent="0.3">
      <c r="A1" s="955" t="s">
        <v>433</v>
      </c>
      <c r="B1" s="956"/>
      <c r="C1" s="956"/>
      <c r="D1" s="956"/>
      <c r="E1" s="956"/>
      <c r="F1" s="957"/>
      <c r="G1" s="227" t="s">
        <v>122</v>
      </c>
      <c r="H1" s="927" t="s">
        <v>434</v>
      </c>
      <c r="I1" s="958"/>
      <c r="J1" s="959"/>
    </row>
    <row r="2" spans="1:10" x14ac:dyDescent="0.25">
      <c r="G2" s="227" t="s">
        <v>123</v>
      </c>
      <c r="H2" s="960"/>
      <c r="I2" s="961"/>
      <c r="J2" s="962"/>
    </row>
    <row r="3" spans="1:10" x14ac:dyDescent="0.25">
      <c r="H3" s="960"/>
      <c r="I3" s="961"/>
      <c r="J3" s="962"/>
    </row>
    <row r="4" spans="1:10" x14ac:dyDescent="0.25">
      <c r="A4" s="342" t="s">
        <v>422</v>
      </c>
      <c r="B4" s="343">
        <f>'INFO BULL'!B75</f>
        <v>20</v>
      </c>
      <c r="H4" s="960"/>
      <c r="I4" s="961"/>
      <c r="J4" s="962"/>
    </row>
    <row r="5" spans="1:10" x14ac:dyDescent="0.25">
      <c r="A5" s="344" t="s">
        <v>435</v>
      </c>
      <c r="B5" s="343">
        <f>'INFO BULL'!B76</f>
        <v>12</v>
      </c>
      <c r="H5" s="960"/>
      <c r="I5" s="961"/>
      <c r="J5" s="962"/>
    </row>
    <row r="6" spans="1:10" x14ac:dyDescent="0.25">
      <c r="A6" s="344" t="s">
        <v>424</v>
      </c>
      <c r="B6" s="343">
        <f>'INFO BULL'!B77</f>
        <v>5.38</v>
      </c>
      <c r="H6" s="960"/>
      <c r="I6" s="961"/>
      <c r="J6" s="962"/>
    </row>
    <row r="7" spans="1:10" x14ac:dyDescent="0.25">
      <c r="A7" s="344" t="s">
        <v>425</v>
      </c>
      <c r="B7" s="345">
        <f>'INFO BULL'!B78</f>
        <v>0.5</v>
      </c>
      <c r="D7" s="344" t="s">
        <v>426</v>
      </c>
      <c r="E7" s="346">
        <f>'INFO BULL'!D78</f>
        <v>0.5</v>
      </c>
      <c r="H7" s="960"/>
      <c r="I7" s="961"/>
      <c r="J7" s="962"/>
    </row>
    <row r="8" spans="1:10" x14ac:dyDescent="0.25">
      <c r="D8" s="342" t="s">
        <v>436</v>
      </c>
      <c r="E8" s="347">
        <f>E7*B5</f>
        <v>6</v>
      </c>
      <c r="H8" s="960"/>
      <c r="I8" s="961"/>
      <c r="J8" s="962"/>
    </row>
    <row r="9" spans="1:10" x14ac:dyDescent="0.25">
      <c r="E9" s="286"/>
      <c r="H9" s="960"/>
      <c r="I9" s="961"/>
      <c r="J9" s="962"/>
    </row>
    <row r="10" spans="1:10" x14ac:dyDescent="0.25">
      <c r="A10" s="966" t="s">
        <v>427</v>
      </c>
      <c r="B10" s="966"/>
      <c r="C10" s="966"/>
      <c r="D10" s="966"/>
      <c r="E10" s="348">
        <f>(B4*B5)*B7</f>
        <v>120</v>
      </c>
      <c r="H10" s="960"/>
      <c r="I10" s="961"/>
      <c r="J10" s="962"/>
    </row>
    <row r="11" spans="1:10" x14ac:dyDescent="0.25">
      <c r="A11" s="966" t="s">
        <v>437</v>
      </c>
      <c r="B11" s="966"/>
      <c r="C11" s="966"/>
      <c r="D11" s="966"/>
      <c r="E11" s="348">
        <f>IF(E7&gt;60%,E8*B4,IF(E8&gt;B6,(E8-B6)*B4,0))</f>
        <v>12.400000000000002</v>
      </c>
      <c r="H11" s="960"/>
      <c r="I11" s="961"/>
      <c r="J11" s="962"/>
    </row>
    <row r="12" spans="1:10" ht="15.75" thickBot="1" x14ac:dyDescent="0.3">
      <c r="H12" s="960"/>
      <c r="I12" s="961"/>
      <c r="J12" s="962"/>
    </row>
    <row r="13" spans="1:10" ht="37.5" customHeight="1" thickBot="1" x14ac:dyDescent="0.3">
      <c r="A13" s="955" t="s">
        <v>438</v>
      </c>
      <c r="B13" s="956"/>
      <c r="C13" s="956"/>
      <c r="D13" s="956"/>
      <c r="E13" s="956"/>
      <c r="F13" s="957"/>
      <c r="G13" s="227" t="s">
        <v>122</v>
      </c>
      <c r="H13" s="963"/>
      <c r="I13" s="964"/>
      <c r="J13" s="965"/>
    </row>
    <row r="15" spans="1:10" x14ac:dyDescent="0.25">
      <c r="A15" s="344" t="s">
        <v>428</v>
      </c>
      <c r="B15" s="366">
        <f>'INFO BULL'!B82</f>
        <v>0</v>
      </c>
    </row>
    <row r="16" spans="1:10" x14ac:dyDescent="0.25">
      <c r="A16" s="344" t="s">
        <v>429</v>
      </c>
      <c r="B16" s="366">
        <f>'INFO BULL'!B83</f>
        <v>4.75</v>
      </c>
    </row>
    <row r="17" spans="1:10" x14ac:dyDescent="0.25">
      <c r="A17" s="344" t="s">
        <v>430</v>
      </c>
      <c r="B17" s="366">
        <f>'INFO BULL'!B84</f>
        <v>0</v>
      </c>
    </row>
    <row r="19" spans="1:10" x14ac:dyDescent="0.25">
      <c r="A19" s="966" t="s">
        <v>431</v>
      </c>
      <c r="B19" s="966"/>
      <c r="C19" s="966"/>
      <c r="D19" s="966"/>
      <c r="E19" s="348">
        <f>B15*B17</f>
        <v>0</v>
      </c>
    </row>
    <row r="20" spans="1:10" x14ac:dyDescent="0.25">
      <c r="A20" s="966" t="s">
        <v>437</v>
      </c>
      <c r="B20" s="966"/>
      <c r="C20" s="966"/>
      <c r="D20" s="966"/>
      <c r="E20" s="348">
        <f>IF(B15&lt;B16/2,(B16-B15)*B17,0)</f>
        <v>0</v>
      </c>
    </row>
    <row r="22" spans="1:10" ht="15.75" thickBot="1" x14ac:dyDescent="0.3"/>
    <row r="23" spans="1:10" ht="37.5" customHeight="1" thickBot="1" x14ac:dyDescent="0.3">
      <c r="A23" s="955" t="s">
        <v>439</v>
      </c>
      <c r="B23" s="956"/>
      <c r="C23" s="956"/>
      <c r="D23" s="956"/>
      <c r="E23" s="956"/>
      <c r="F23" s="957"/>
      <c r="G23" s="227" t="s">
        <v>122</v>
      </c>
      <c r="H23" s="967" t="s">
        <v>440</v>
      </c>
      <c r="I23" s="967"/>
      <c r="J23" s="967"/>
    </row>
    <row r="24" spans="1:10" x14ac:dyDescent="0.25">
      <c r="H24" s="349" t="s">
        <v>441</v>
      </c>
      <c r="I24" s="344" t="s">
        <v>442</v>
      </c>
      <c r="J24" s="344" t="s">
        <v>443</v>
      </c>
    </row>
    <row r="25" spans="1:10" x14ac:dyDescent="0.25">
      <c r="H25" s="350" t="s">
        <v>444</v>
      </c>
      <c r="I25" s="351">
        <v>68.5</v>
      </c>
      <c r="J25" s="352">
        <v>36.6</v>
      </c>
    </row>
    <row r="26" spans="1:10" x14ac:dyDescent="0.25">
      <c r="A26" s="349" t="s">
        <v>441</v>
      </c>
      <c r="B26" s="353" t="s">
        <v>445</v>
      </c>
      <c r="C26" s="353" t="s">
        <v>442</v>
      </c>
      <c r="D26" s="353" t="s">
        <v>443</v>
      </c>
      <c r="E26" s="354" t="s">
        <v>446</v>
      </c>
      <c r="H26" s="355" t="s">
        <v>447</v>
      </c>
      <c r="I26" s="356">
        <v>80</v>
      </c>
      <c r="J26" s="357">
        <v>51.4</v>
      </c>
    </row>
    <row r="27" spans="1:10" x14ac:dyDescent="0.25">
      <c r="A27" s="347" t="str">
        <f>'INFO BULL'!B89</f>
        <v>Infèrieur à 1634,50</v>
      </c>
      <c r="B27" s="347">
        <f>VLOOKUP(A27,H25:J32,2,FALSE)</f>
        <v>68.5</v>
      </c>
      <c r="C27" s="317">
        <f>'INFO BULL'!B87</f>
        <v>0</v>
      </c>
      <c r="D27" s="347">
        <f>VLOOKUP(A27,H25:J32,3,FALSE)</f>
        <v>36.6</v>
      </c>
      <c r="E27" s="348">
        <f>IF(C27=1,B27,C27*D27)</f>
        <v>0</v>
      </c>
      <c r="H27" s="355" t="s">
        <v>448</v>
      </c>
      <c r="I27" s="356">
        <v>91.3</v>
      </c>
      <c r="J27" s="357">
        <v>68.5</v>
      </c>
    </row>
    <row r="28" spans="1:10" x14ac:dyDescent="0.25">
      <c r="H28" s="355" t="s">
        <v>449</v>
      </c>
      <c r="I28" s="356">
        <v>102.6</v>
      </c>
      <c r="J28" s="357">
        <v>85.5</v>
      </c>
    </row>
    <row r="29" spans="1:10" x14ac:dyDescent="0.25">
      <c r="H29" s="355" t="s">
        <v>450</v>
      </c>
      <c r="I29" s="356">
        <v>125.6</v>
      </c>
      <c r="J29" s="357">
        <v>108.4</v>
      </c>
    </row>
    <row r="30" spans="1:10" x14ac:dyDescent="0.25">
      <c r="H30" s="355" t="s">
        <v>451</v>
      </c>
      <c r="I30" s="356">
        <v>148.4</v>
      </c>
      <c r="J30" s="357">
        <v>131.1</v>
      </c>
    </row>
    <row r="31" spans="1:10" x14ac:dyDescent="0.25">
      <c r="H31" s="355" t="s">
        <v>452</v>
      </c>
      <c r="I31" s="356">
        <v>171.2</v>
      </c>
      <c r="J31" s="357">
        <v>159.69999999999999</v>
      </c>
    </row>
    <row r="32" spans="1:10" x14ac:dyDescent="0.25">
      <c r="H32" s="358" t="s">
        <v>453</v>
      </c>
      <c r="I32" s="359">
        <v>194</v>
      </c>
      <c r="J32" s="360">
        <v>182.6</v>
      </c>
    </row>
    <row r="33" spans="1:10" ht="15.75" thickBot="1" x14ac:dyDescent="0.3">
      <c r="G33" s="37"/>
      <c r="H33" s="361"/>
      <c r="I33" s="362"/>
      <c r="J33" s="363"/>
    </row>
    <row r="34" spans="1:10" ht="37.5" customHeight="1" thickBot="1" x14ac:dyDescent="0.3">
      <c r="A34" s="955" t="s">
        <v>454</v>
      </c>
      <c r="B34" s="956"/>
      <c r="C34" s="956"/>
      <c r="D34" s="956"/>
      <c r="E34" s="956"/>
      <c r="F34" s="957"/>
      <c r="G34" s="227" t="s">
        <v>122</v>
      </c>
      <c r="H34" s="968" t="s">
        <v>455</v>
      </c>
      <c r="I34" s="969"/>
    </row>
    <row r="35" spans="1:10" x14ac:dyDescent="0.25">
      <c r="H35" s="364" t="s">
        <v>456</v>
      </c>
      <c r="I35" s="365"/>
    </row>
    <row r="36" spans="1:10" x14ac:dyDescent="0.25">
      <c r="A36" s="342" t="s">
        <v>457</v>
      </c>
      <c r="B36" s="366">
        <f>'INFO BULL'!B92</f>
        <v>0</v>
      </c>
      <c r="C36" s="1" t="s">
        <v>458</v>
      </c>
      <c r="D36" s="344" t="s">
        <v>459</v>
      </c>
      <c r="E36" s="366">
        <f>'INFO BULL'!B99</f>
        <v>0</v>
      </c>
      <c r="F36" s="1" t="s">
        <v>460</v>
      </c>
      <c r="H36" s="367" t="s">
        <v>461</v>
      </c>
      <c r="I36" s="368">
        <v>0.2</v>
      </c>
    </row>
    <row r="37" spans="1:10" x14ac:dyDescent="0.25">
      <c r="A37" s="344" t="s">
        <v>462</v>
      </c>
      <c r="B37" s="366">
        <f>'INFO BULL'!B93</f>
        <v>0</v>
      </c>
      <c r="C37" s="1" t="s">
        <v>460</v>
      </c>
      <c r="D37" s="344" t="s">
        <v>462</v>
      </c>
      <c r="E37" s="366">
        <f>'INFO BULL'!B100</f>
        <v>0</v>
      </c>
      <c r="F37" s="1" t="s">
        <v>460</v>
      </c>
      <c r="H37" s="369" t="s">
        <v>463</v>
      </c>
      <c r="I37" s="370">
        <v>0.1</v>
      </c>
    </row>
    <row r="38" spans="1:10" x14ac:dyDescent="0.25">
      <c r="A38" s="344" t="s">
        <v>464</v>
      </c>
      <c r="B38" s="366">
        <f>'INFO BULL'!B94</f>
        <v>0</v>
      </c>
      <c r="C38" s="1" t="s">
        <v>460</v>
      </c>
      <c r="D38" s="344" t="s">
        <v>464</v>
      </c>
      <c r="E38" s="366">
        <f>'INFO BULL'!B101</f>
        <v>0</v>
      </c>
      <c r="F38" s="1" t="s">
        <v>460</v>
      </c>
      <c r="H38" s="371" t="s">
        <v>465</v>
      </c>
      <c r="I38" s="370">
        <v>0.09</v>
      </c>
    </row>
    <row r="39" spans="1:10" x14ac:dyDescent="0.25">
      <c r="A39" s="344" t="s">
        <v>466</v>
      </c>
      <c r="B39" s="366">
        <f>'INFO BULL'!B95</f>
        <v>0</v>
      </c>
      <c r="C39" s="1" t="s">
        <v>460</v>
      </c>
      <c r="D39" s="344" t="s">
        <v>466</v>
      </c>
      <c r="E39" s="366">
        <f>'INFO BULL'!B102</f>
        <v>0</v>
      </c>
      <c r="F39" s="1" t="s">
        <v>460</v>
      </c>
      <c r="H39" s="371" t="s">
        <v>467</v>
      </c>
      <c r="I39" s="370">
        <v>0.06</v>
      </c>
    </row>
    <row r="40" spans="1:10" x14ac:dyDescent="0.25">
      <c r="B40" s="372"/>
      <c r="H40" s="371" t="s">
        <v>468</v>
      </c>
      <c r="I40" s="370">
        <v>0.12</v>
      </c>
    </row>
    <row r="41" spans="1:10" x14ac:dyDescent="0.25">
      <c r="H41" s="373" t="s">
        <v>469</v>
      </c>
      <c r="I41" s="374">
        <v>0.09</v>
      </c>
    </row>
    <row r="42" spans="1:10" x14ac:dyDescent="0.25">
      <c r="A42" s="954" t="s">
        <v>470</v>
      </c>
      <c r="B42" s="954"/>
      <c r="D42" s="954" t="s">
        <v>471</v>
      </c>
      <c r="E42" s="954"/>
      <c r="H42" s="364" t="s">
        <v>472</v>
      </c>
      <c r="I42" s="365"/>
    </row>
    <row r="43" spans="1:10" x14ac:dyDescent="0.25">
      <c r="A43" s="441" t="str">
        <f>'INFO BULL'!D96</f>
        <v>1-Réèl - 5 ans</v>
      </c>
      <c r="B43" s="375">
        <f>VLOOKUP(A43,H36:I41,2,FALSE)</f>
        <v>0.2</v>
      </c>
      <c r="D43" s="441" t="str">
        <f>'INFO BULL'!D101</f>
        <v>1-Loa réèl</v>
      </c>
      <c r="E43" s="375">
        <f>VLOOKUP(D43,H43:I46,2,FALSE)</f>
        <v>1</v>
      </c>
      <c r="H43" s="367" t="s">
        <v>473</v>
      </c>
      <c r="I43" s="376">
        <v>1</v>
      </c>
    </row>
    <row r="44" spans="1:10" x14ac:dyDescent="0.25">
      <c r="H44" s="371" t="s">
        <v>474</v>
      </c>
      <c r="I44" s="370">
        <v>0.3</v>
      </c>
    </row>
    <row r="45" spans="1:10" x14ac:dyDescent="0.25">
      <c r="A45" s="1" t="s">
        <v>475</v>
      </c>
      <c r="B45" s="377">
        <f>IF(A43="1-Réèl - 5 ans",((B36*B43)+B37+B38+B39)/12,IF(A43="2-Réèl + 5 ans",((B36*B43)+B37+B38+B39)/12,(B36*B43)/12))</f>
        <v>0</v>
      </c>
      <c r="D45" s="378" t="s">
        <v>476</v>
      </c>
      <c r="E45" s="379">
        <f>(E36+E37+E38+E39)*E43/12</f>
        <v>0</v>
      </c>
      <c r="H45" s="371" t="s">
        <v>477</v>
      </c>
      <c r="I45" s="370">
        <v>0.3</v>
      </c>
    </row>
    <row r="46" spans="1:10" x14ac:dyDescent="0.25">
      <c r="H46" s="380" t="s">
        <v>478</v>
      </c>
      <c r="I46" s="381">
        <v>0.4</v>
      </c>
    </row>
    <row r="47" spans="1:10" x14ac:dyDescent="0.25">
      <c r="A47" s="1" t="s">
        <v>479</v>
      </c>
      <c r="B47" s="372">
        <f>'INFO BULL'!B96</f>
        <v>0</v>
      </c>
    </row>
    <row r="48" spans="1:10" x14ac:dyDescent="0.25">
      <c r="A48" s="1" t="s">
        <v>480</v>
      </c>
      <c r="B48" s="372">
        <f>'INFO BULL'!B97</f>
        <v>0</v>
      </c>
    </row>
    <row r="50" spans="1:6" x14ac:dyDescent="0.25">
      <c r="A50" s="378" t="s">
        <v>481</v>
      </c>
      <c r="B50" s="330">
        <f>IF(B48=0,B45,B47*B45/B48)</f>
        <v>0</v>
      </c>
    </row>
    <row r="52" spans="1:6" ht="15.75" thickBot="1" x14ac:dyDescent="0.3"/>
    <row r="53" spans="1:6" ht="21.75" thickBot="1" x14ac:dyDescent="0.3">
      <c r="A53" s="955" t="s">
        <v>482</v>
      </c>
      <c r="B53" s="956"/>
      <c r="C53" s="956"/>
      <c r="D53" s="956"/>
      <c r="E53" s="956"/>
      <c r="F53" s="957"/>
    </row>
    <row r="55" spans="1:6" x14ac:dyDescent="0.25">
      <c r="A55" s="1" t="s">
        <v>483</v>
      </c>
      <c r="B55" s="382">
        <f>'INFO BULL'!B105</f>
        <v>0</v>
      </c>
    </row>
    <row r="56" spans="1:6" x14ac:dyDescent="0.25">
      <c r="A56" s="1" t="s">
        <v>484</v>
      </c>
      <c r="B56" s="383">
        <f>'INFO BULL'!B106</f>
        <v>0</v>
      </c>
      <c r="C56" s="384">
        <f>100%-B56</f>
        <v>1</v>
      </c>
    </row>
    <row r="57" spans="1:6" x14ac:dyDescent="0.25">
      <c r="A57" s="1"/>
      <c r="B57" s="383"/>
      <c r="C57" s="384"/>
    </row>
    <row r="58" spans="1:6" x14ac:dyDescent="0.25">
      <c r="A58" s="1" t="s">
        <v>485</v>
      </c>
      <c r="B58" s="259">
        <f>+B56*B55</f>
        <v>0</v>
      </c>
      <c r="C58" s="259">
        <f>C56*B55</f>
        <v>0</v>
      </c>
    </row>
    <row r="59" spans="1:6" x14ac:dyDescent="0.25">
      <c r="A59" s="1" t="s">
        <v>486</v>
      </c>
      <c r="B59" s="259">
        <f>+B58-C58</f>
        <v>0</v>
      </c>
    </row>
    <row r="60" spans="1:6" ht="15.75" thickBot="1" x14ac:dyDescent="0.3"/>
    <row r="61" spans="1:6" ht="21.75" thickBot="1" x14ac:dyDescent="0.3">
      <c r="A61" s="955" t="s">
        <v>487</v>
      </c>
      <c r="B61" s="956"/>
      <c r="C61" s="956"/>
      <c r="D61" s="956"/>
      <c r="E61" s="956"/>
      <c r="F61" s="957"/>
    </row>
    <row r="63" spans="1:6" x14ac:dyDescent="0.25">
      <c r="A63" s="1" t="s">
        <v>488</v>
      </c>
      <c r="B63" s="347">
        <f>'INFO BULL'!B109</f>
        <v>0</v>
      </c>
    </row>
    <row r="64" spans="1:6" x14ac:dyDescent="0.25">
      <c r="A64" s="1" t="s">
        <v>348</v>
      </c>
      <c r="B64" s="347">
        <f>'INFO BULL'!B110</f>
        <v>0</v>
      </c>
    </row>
    <row r="65" spans="1:10" x14ac:dyDescent="0.25">
      <c r="A65" s="1" t="s">
        <v>489</v>
      </c>
      <c r="B65" s="442" t="str">
        <f>'INFO BULL'!B111</f>
        <v>Chantier</v>
      </c>
    </row>
    <row r="66" spans="1:10" x14ac:dyDescent="0.25">
      <c r="A66" s="1" t="s">
        <v>348</v>
      </c>
      <c r="B66" s="349">
        <f>VLOOKUP(B65,'Liste déroulante'!B66:C68,2,FALSE)</f>
        <v>6.4</v>
      </c>
    </row>
    <row r="68" spans="1:10" s="127" customFormat="1" x14ac:dyDescent="0.25">
      <c r="A68" s="385" t="s">
        <v>491</v>
      </c>
      <c r="B68" s="385">
        <f>B63*B64</f>
        <v>0</v>
      </c>
      <c r="C68" s="259"/>
      <c r="D68" s="259"/>
      <c r="E68" s="259"/>
      <c r="F68" s="259"/>
      <c r="H68" s="259"/>
      <c r="I68" s="259"/>
      <c r="J68" s="259"/>
    </row>
    <row r="69" spans="1:10" s="127" customFormat="1" x14ac:dyDescent="0.25">
      <c r="A69" s="342" t="s">
        <v>492</v>
      </c>
      <c r="B69" s="347">
        <f>IF(B64&gt;B66,(B64-B66)*B63,0)</f>
        <v>0</v>
      </c>
      <c r="C69" s="259"/>
      <c r="D69" s="259"/>
      <c r="E69" s="259"/>
      <c r="F69" s="259"/>
      <c r="H69" s="259"/>
      <c r="I69" s="259"/>
      <c r="J69" s="259"/>
    </row>
    <row r="70" spans="1:10" s="127" customFormat="1" x14ac:dyDescent="0.25">
      <c r="A70" s="385" t="s">
        <v>493</v>
      </c>
      <c r="B70" s="348">
        <f>SUM(B69:B69)</f>
        <v>0</v>
      </c>
      <c r="C70" s="259"/>
      <c r="D70" s="259"/>
      <c r="E70" s="259"/>
      <c r="F70" s="259"/>
      <c r="H70" s="259"/>
      <c r="I70" s="259"/>
      <c r="J70" s="259"/>
    </row>
    <row r="71" spans="1:10" s="127" customFormat="1" ht="15.75" thickBot="1" x14ac:dyDescent="0.3">
      <c r="A71" s="259"/>
      <c r="B71" s="259"/>
      <c r="C71" s="259"/>
      <c r="D71" s="259"/>
      <c r="E71" s="259"/>
      <c r="F71" s="259"/>
      <c r="H71" s="259"/>
      <c r="I71" s="259"/>
      <c r="J71" s="259"/>
    </row>
    <row r="72" spans="1:10" s="127" customFormat="1" ht="21.75" thickBot="1" x14ac:dyDescent="0.3">
      <c r="A72" s="955" t="s">
        <v>494</v>
      </c>
      <c r="B72" s="956"/>
      <c r="C72" s="956"/>
      <c r="D72" s="956"/>
      <c r="E72" s="956"/>
      <c r="F72" s="957"/>
      <c r="H72" s="259"/>
      <c r="I72" s="259"/>
      <c r="J72" s="259"/>
    </row>
    <row r="74" spans="1:10" s="127" customFormat="1" x14ac:dyDescent="0.25">
      <c r="A74" s="259"/>
      <c r="B74" s="970" t="s">
        <v>495</v>
      </c>
      <c r="C74" s="972" t="s">
        <v>496</v>
      </c>
      <c r="D74" s="973"/>
      <c r="E74" s="259"/>
      <c r="F74" s="259"/>
      <c r="H74" s="259"/>
      <c r="I74" s="259"/>
      <c r="J74" s="259"/>
    </row>
    <row r="75" spans="1:10" s="127" customFormat="1" ht="30" x14ac:dyDescent="0.25">
      <c r="A75" s="259"/>
      <c r="B75" s="971"/>
      <c r="C75" s="386" t="s">
        <v>497</v>
      </c>
      <c r="D75" s="387" t="s">
        <v>498</v>
      </c>
      <c r="E75" s="259"/>
      <c r="F75" s="259"/>
      <c r="H75" s="259"/>
      <c r="I75" s="259"/>
      <c r="J75" s="259"/>
    </row>
    <row r="76" spans="1:10" s="127" customFormat="1" x14ac:dyDescent="0.25">
      <c r="A76" s="388" t="s">
        <v>499</v>
      </c>
      <c r="B76" s="389">
        <v>18.399999999999999</v>
      </c>
      <c r="C76" s="390">
        <v>65.8</v>
      </c>
      <c r="D76" s="391">
        <v>48.9</v>
      </c>
      <c r="E76" s="259"/>
      <c r="F76" s="259"/>
      <c r="H76" s="259"/>
      <c r="I76" s="259"/>
      <c r="J76" s="259"/>
    </row>
    <row r="77" spans="1:10" x14ac:dyDescent="0.25">
      <c r="A77" s="392" t="s">
        <v>500</v>
      </c>
      <c r="B77" s="393">
        <v>15.6</v>
      </c>
      <c r="C77" s="394">
        <v>55.9</v>
      </c>
      <c r="D77" s="395">
        <v>41.6</v>
      </c>
    </row>
    <row r="78" spans="1:10" x14ac:dyDescent="0.25">
      <c r="A78" s="396" t="s">
        <v>501</v>
      </c>
      <c r="B78" s="397">
        <v>12.9</v>
      </c>
      <c r="C78" s="398">
        <v>46.1</v>
      </c>
      <c r="D78" s="399">
        <v>34.200000000000003</v>
      </c>
    </row>
    <row r="80" spans="1:10" x14ac:dyDescent="0.25">
      <c r="A80" s="400" t="s">
        <v>502</v>
      </c>
      <c r="B80" s="401">
        <f>'INFO BULL'!B115</f>
        <v>0</v>
      </c>
    </row>
    <row r="81" spans="1:6" x14ac:dyDescent="0.25">
      <c r="A81" s="402" t="s">
        <v>503</v>
      </c>
      <c r="B81" s="974" t="str">
        <f>'INFO BULL'!B114:C114</f>
        <v>Durant les 3 premiers mois / Paris et hts de Seine</v>
      </c>
      <c r="C81" s="974"/>
      <c r="D81" s="975"/>
    </row>
    <row r="82" spans="1:6" x14ac:dyDescent="0.25">
      <c r="A82" s="402" t="s">
        <v>504</v>
      </c>
      <c r="B82" s="403">
        <f>VLOOKUP(B81,'Liste déroulante'!B71:D76,2,FALSE)</f>
        <v>65.8</v>
      </c>
    </row>
    <row r="83" spans="1:6" x14ac:dyDescent="0.25">
      <c r="A83" s="402" t="s">
        <v>505</v>
      </c>
      <c r="B83" s="403">
        <v>18.399999999999999</v>
      </c>
    </row>
    <row r="85" spans="1:6" x14ac:dyDescent="0.25">
      <c r="A85" s="400" t="s">
        <v>506</v>
      </c>
      <c r="B85" s="404">
        <f>B82+2*B83</f>
        <v>102.6</v>
      </c>
    </row>
    <row r="86" spans="1:6" x14ac:dyDescent="0.25">
      <c r="A86" s="405" t="s">
        <v>507</v>
      </c>
      <c r="B86" s="406">
        <f>'INFO BULL'!B116</f>
        <v>0</v>
      </c>
    </row>
    <row r="88" spans="1:6" x14ac:dyDescent="0.25">
      <c r="A88" s="400" t="s">
        <v>508</v>
      </c>
      <c r="B88" s="407">
        <f>B85*B80</f>
        <v>0</v>
      </c>
    </row>
    <row r="89" spans="1:6" x14ac:dyDescent="0.25">
      <c r="A89" s="405" t="s">
        <v>509</v>
      </c>
      <c r="B89" s="406">
        <f>IF(B86&gt;B85,(B86-B85)*B80,0)</f>
        <v>0</v>
      </c>
    </row>
    <row r="90" spans="1:6" ht="15.75" thickBot="1" x14ac:dyDescent="0.3"/>
    <row r="91" spans="1:6" ht="21.75" thickBot="1" x14ac:dyDescent="0.3">
      <c r="A91" s="955" t="s">
        <v>548</v>
      </c>
      <c r="B91" s="956"/>
      <c r="C91" s="956"/>
      <c r="D91" s="956"/>
      <c r="E91" s="956"/>
      <c r="F91" s="957"/>
    </row>
    <row r="93" spans="1:6" x14ac:dyDescent="0.25">
      <c r="A93" s="1" t="s">
        <v>549</v>
      </c>
      <c r="B93" s="259">
        <f>'INFO BULL'!B119</f>
        <v>0</v>
      </c>
    </row>
    <row r="94" spans="1:6" x14ac:dyDescent="0.25">
      <c r="A94" s="1" t="s">
        <v>550</v>
      </c>
      <c r="B94" s="259">
        <f>'INFO BULL'!B120</f>
        <v>0</v>
      </c>
    </row>
    <row r="95" spans="1:6" x14ac:dyDescent="0.25">
      <c r="A95" s="152" t="s">
        <v>551</v>
      </c>
      <c r="B95" s="259">
        <f>B93*10%/12</f>
        <v>0</v>
      </c>
    </row>
    <row r="96" spans="1:6" x14ac:dyDescent="0.25">
      <c r="A96" s="152" t="s">
        <v>552</v>
      </c>
      <c r="B96" s="259">
        <f>B94*10%</f>
        <v>0</v>
      </c>
    </row>
  </sheetData>
  <mergeCells count="20">
    <mergeCell ref="A91:F91"/>
    <mergeCell ref="A53:F53"/>
    <mergeCell ref="A61:F61"/>
    <mergeCell ref="A72:F72"/>
    <mergeCell ref="B74:B75"/>
    <mergeCell ref="C74:D74"/>
    <mergeCell ref="B81:D81"/>
    <mergeCell ref="A42:B42"/>
    <mergeCell ref="D42:E42"/>
    <mergeCell ref="A1:F1"/>
    <mergeCell ref="H1:J13"/>
    <mergeCell ref="A10:D10"/>
    <mergeCell ref="A11:D11"/>
    <mergeCell ref="A13:F13"/>
    <mergeCell ref="A19:D19"/>
    <mergeCell ref="A20:D20"/>
    <mergeCell ref="A23:F23"/>
    <mergeCell ref="H23:J23"/>
    <mergeCell ref="A34:F34"/>
    <mergeCell ref="H34:I34"/>
  </mergeCells>
  <dataValidations count="1">
    <dataValidation type="list" allowBlank="1" showInputMessage="1" showErrorMessage="1" sqref="A27" xr:uid="{00000000-0002-0000-0B00-000000000000}">
      <formula1>$H$25:$H$32</formula1>
    </dataValidation>
  </dataValidations>
  <hyperlinks>
    <hyperlink ref="G1" location="BULLETIN" display="BULLETIN" xr:uid="{00000000-0004-0000-0B00-000000000000}"/>
    <hyperlink ref="G13" location="BULLETIN" display="BULLETIN" xr:uid="{00000000-0004-0000-0B00-000001000000}"/>
    <hyperlink ref="G23" location="BULLETIN" display="BULLETIN" xr:uid="{00000000-0004-0000-0B00-000002000000}"/>
    <hyperlink ref="G34" location="BULLETIN" display="BULLETIN" xr:uid="{00000000-0004-0000-0B00-000003000000}"/>
    <hyperlink ref="G2" location="INFO" display="INFO" xr:uid="{00000000-0004-0000-0B00-000004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3313" r:id="rId4" name="Bouton 36">
              <controlPr defaultSize="0" print="0" autoFill="0" autoPict="0" macro="[0]!AN_ZERO">
                <anchor moveWithCells="1" sizeWithCells="1">
                  <from>
                    <xdr:col>7</xdr:col>
                    <xdr:colOff>0</xdr:colOff>
                    <xdr:row>48</xdr:row>
                    <xdr:rowOff>28575</xdr:rowOff>
                  </from>
                  <to>
                    <xdr:col>8</xdr:col>
                    <xdr:colOff>9525</xdr:colOff>
                    <xdr:row>50</xdr:row>
                    <xdr:rowOff>85725</xdr:rowOff>
                  </to>
                </anchor>
              </controlPr>
            </control>
          </mc:Choice>
        </mc:AlternateContent>
      </controls>
    </mc:Choice>
  </mc:AlternateConten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8">
    <tabColor rgb="FFFF99FF"/>
  </sheetPr>
  <dimension ref="A1:M48"/>
  <sheetViews>
    <sheetView workbookViewId="0">
      <selection activeCell="I15" sqref="I15"/>
    </sheetView>
  </sheetViews>
  <sheetFormatPr baseColWidth="10" defaultColWidth="11.42578125" defaultRowHeight="12.75" x14ac:dyDescent="0.2"/>
  <cols>
    <col min="1" max="1" width="32.140625" style="493" customWidth="1"/>
    <col min="2" max="2" width="9" style="493" customWidth="1"/>
    <col min="3" max="3" width="8.28515625" style="493" customWidth="1"/>
    <col min="4" max="4" width="11.42578125" style="493"/>
    <col min="5" max="6" width="13.140625" style="493" customWidth="1"/>
    <col min="7" max="7" width="12.28515625" style="493" bestFit="1" customWidth="1"/>
    <col min="8" max="8" width="17.28515625" style="493" customWidth="1"/>
    <col min="9" max="9" width="18.7109375" style="493" customWidth="1"/>
    <col min="10" max="10" width="4.85546875" style="493" bestFit="1" customWidth="1"/>
    <col min="11" max="11" width="18.42578125" style="500" customWidth="1"/>
    <col min="12" max="12" width="7.85546875" style="493" bestFit="1" customWidth="1"/>
    <col min="13" max="13" width="12.7109375" style="493" customWidth="1"/>
    <col min="14" max="14" width="12.28515625" style="493" bestFit="1" customWidth="1"/>
    <col min="15" max="15" width="11.42578125" style="493"/>
    <col min="16" max="16" width="12.28515625" style="493" bestFit="1" customWidth="1"/>
    <col min="17" max="16384" width="11.42578125" style="493"/>
  </cols>
  <sheetData>
    <row r="1" spans="1:13" ht="35.25" customHeight="1" thickBot="1" x14ac:dyDescent="0.25">
      <c r="A1" s="977" t="s">
        <v>569</v>
      </c>
      <c r="B1" s="978"/>
      <c r="C1" s="978"/>
      <c r="D1" s="978"/>
      <c r="E1" s="978"/>
      <c r="F1" s="978"/>
      <c r="G1" s="978"/>
      <c r="H1" s="978"/>
      <c r="I1" s="979"/>
      <c r="K1" s="494"/>
      <c r="L1" s="494"/>
      <c r="M1" s="494"/>
    </row>
    <row r="2" spans="1:13" x14ac:dyDescent="0.2">
      <c r="A2" s="495"/>
      <c r="B2" s="496"/>
      <c r="C2" s="496"/>
      <c r="D2" s="497"/>
      <c r="E2" s="498"/>
      <c r="F2" s="497"/>
      <c r="G2" s="499"/>
      <c r="H2" s="497"/>
      <c r="I2" s="497"/>
    </row>
    <row r="3" spans="1:13" ht="38.25" customHeight="1" x14ac:dyDescent="0.2">
      <c r="A3" s="496"/>
      <c r="B3" s="496"/>
      <c r="C3" s="496"/>
      <c r="D3" s="980" t="s">
        <v>570</v>
      </c>
      <c r="E3" s="980"/>
      <c r="F3" s="980" t="s">
        <v>571</v>
      </c>
      <c r="G3" s="980"/>
      <c r="H3" s="501" t="s">
        <v>572</v>
      </c>
      <c r="I3" s="502" t="s">
        <v>573</v>
      </c>
      <c r="K3" s="503" t="s">
        <v>574</v>
      </c>
      <c r="L3" s="504" t="s">
        <v>575</v>
      </c>
    </row>
    <row r="4" spans="1:13" ht="12.75" customHeight="1" x14ac:dyDescent="0.2">
      <c r="A4" s="505" t="s">
        <v>576</v>
      </c>
      <c r="B4" s="506">
        <f>IF('INFO BULL'!B123='Liste déroulante'!D3,0,SNETCOT)</f>
        <v>0</v>
      </c>
      <c r="C4" s="507"/>
      <c r="D4" s="508">
        <v>0</v>
      </c>
      <c r="E4" s="509">
        <v>310.83</v>
      </c>
      <c r="F4" s="508">
        <f>D4</f>
        <v>0</v>
      </c>
      <c r="G4" s="509">
        <f t="shared" ref="G4:G9" si="0">E4+$B$6*$B$12</f>
        <v>784.03</v>
      </c>
      <c r="H4" s="510">
        <v>0.05</v>
      </c>
      <c r="I4" s="511">
        <f>IF($B$4&gt;G4,G4*H4,$B$4*H4)</f>
        <v>0</v>
      </c>
      <c r="K4" s="512">
        <f>IF(I4=0,0,IF(G4&lt;salmensu,G4-F4,salmensu))</f>
        <v>0</v>
      </c>
      <c r="L4" s="513" t="s">
        <v>577</v>
      </c>
    </row>
    <row r="5" spans="1:13" x14ac:dyDescent="0.2">
      <c r="A5" s="514"/>
      <c r="B5" s="515"/>
      <c r="C5" s="507"/>
      <c r="D5" s="516">
        <f t="shared" ref="D5:D10" si="1">E4</f>
        <v>310.83</v>
      </c>
      <c r="E5" s="517">
        <v>606.66999999999996</v>
      </c>
      <c r="F5" s="516">
        <f t="shared" ref="F5:F10" si="2">G4</f>
        <v>784.03</v>
      </c>
      <c r="G5" s="517">
        <f t="shared" si="0"/>
        <v>1079.8699999999999</v>
      </c>
      <c r="H5" s="518">
        <v>0.1</v>
      </c>
      <c r="I5" s="519">
        <f t="shared" ref="I5:I10" si="3">IF($B$4&gt;G5,(G5-F5)*H5,IF($B$4&gt;F5,($B$4-F5)*H5,0))</f>
        <v>0</v>
      </c>
      <c r="K5" s="520">
        <f t="shared" ref="K5:K10" si="4">IF($B$4&gt;G5,(G5-F5),IF($B$4&gt;F5,($B$4-F5),0))</f>
        <v>0</v>
      </c>
      <c r="L5" s="521" t="s">
        <v>578</v>
      </c>
    </row>
    <row r="6" spans="1:13" x14ac:dyDescent="0.2">
      <c r="A6" s="505" t="s">
        <v>16</v>
      </c>
      <c r="B6" s="506">
        <f>'INFO G'!B27</f>
        <v>4</v>
      </c>
      <c r="C6" s="507"/>
      <c r="D6" s="522">
        <f t="shared" si="1"/>
        <v>606.66999999999996</v>
      </c>
      <c r="E6" s="523">
        <v>904.17</v>
      </c>
      <c r="F6" s="522">
        <f t="shared" si="2"/>
        <v>1079.8699999999999</v>
      </c>
      <c r="G6" s="523">
        <f t="shared" si="0"/>
        <v>1377.37</v>
      </c>
      <c r="H6" s="518">
        <v>0.2</v>
      </c>
      <c r="I6" s="519">
        <f t="shared" si="3"/>
        <v>0</v>
      </c>
      <c r="K6" s="520">
        <f t="shared" si="4"/>
        <v>0</v>
      </c>
      <c r="L6" s="521" t="s">
        <v>579</v>
      </c>
    </row>
    <row r="7" spans="1:13" x14ac:dyDescent="0.2">
      <c r="D7" s="516">
        <f t="shared" si="1"/>
        <v>904.17</v>
      </c>
      <c r="E7" s="517">
        <v>1200.83</v>
      </c>
      <c r="F7" s="516">
        <f t="shared" si="2"/>
        <v>1377.37</v>
      </c>
      <c r="G7" s="517">
        <f t="shared" si="0"/>
        <v>1674.03</v>
      </c>
      <c r="H7" s="518">
        <v>0.25</v>
      </c>
      <c r="I7" s="519">
        <f t="shared" si="3"/>
        <v>0</v>
      </c>
      <c r="K7" s="520">
        <f t="shared" si="4"/>
        <v>0</v>
      </c>
      <c r="L7" s="521" t="s">
        <v>580</v>
      </c>
    </row>
    <row r="8" spans="1:13" x14ac:dyDescent="0.2">
      <c r="A8" s="524" t="s">
        <v>581</v>
      </c>
      <c r="B8" s="525">
        <f>IF(salmensu-rmi&lt;=0,salmensu,rmi)</f>
        <v>0</v>
      </c>
      <c r="D8" s="522">
        <f t="shared" si="1"/>
        <v>1200.83</v>
      </c>
      <c r="E8" s="523">
        <v>1497.5</v>
      </c>
      <c r="F8" s="522">
        <f t="shared" si="2"/>
        <v>1674.03</v>
      </c>
      <c r="G8" s="523">
        <f t="shared" si="0"/>
        <v>1970.7</v>
      </c>
      <c r="H8" s="518">
        <v>0.33333333333333331</v>
      </c>
      <c r="I8" s="519">
        <f t="shared" si="3"/>
        <v>0</v>
      </c>
      <c r="K8" s="520">
        <f t="shared" si="4"/>
        <v>0</v>
      </c>
      <c r="L8" s="521" t="s">
        <v>582</v>
      </c>
    </row>
    <row r="9" spans="1:13" x14ac:dyDescent="0.2">
      <c r="A9" s="526" t="s">
        <v>583</v>
      </c>
      <c r="B9" s="527">
        <f>qsp</f>
        <v>0</v>
      </c>
      <c r="D9" s="516">
        <f t="shared" si="1"/>
        <v>1497.5</v>
      </c>
      <c r="E9" s="517">
        <v>1799.17</v>
      </c>
      <c r="F9" s="516">
        <f t="shared" si="2"/>
        <v>1970.7</v>
      </c>
      <c r="G9" s="517">
        <f t="shared" si="0"/>
        <v>2272.37</v>
      </c>
      <c r="H9" s="518">
        <v>0.66666666666666663</v>
      </c>
      <c r="I9" s="519">
        <f t="shared" si="3"/>
        <v>0</v>
      </c>
      <c r="K9" s="520">
        <f t="shared" si="4"/>
        <v>0</v>
      </c>
      <c r="L9" s="521" t="s">
        <v>584</v>
      </c>
    </row>
    <row r="10" spans="1:13" x14ac:dyDescent="0.2">
      <c r="A10" s="528" t="s">
        <v>585</v>
      </c>
      <c r="B10" s="529">
        <f>IF(salmensu-rmi-qsp&lt;0,0,salmensu-rmi-qsp)</f>
        <v>0</v>
      </c>
      <c r="D10" s="530">
        <f t="shared" si="1"/>
        <v>1799.17</v>
      </c>
      <c r="E10" s="531">
        <v>99999999</v>
      </c>
      <c r="F10" s="530">
        <f t="shared" si="2"/>
        <v>2272.37</v>
      </c>
      <c r="G10" s="532">
        <f>E10</f>
        <v>99999999</v>
      </c>
      <c r="H10" s="533">
        <v>1</v>
      </c>
      <c r="I10" s="519">
        <f t="shared" si="3"/>
        <v>0</v>
      </c>
      <c r="K10" s="534">
        <f t="shared" si="4"/>
        <v>0</v>
      </c>
      <c r="L10" s="535" t="s">
        <v>586</v>
      </c>
    </row>
    <row r="11" spans="1:13" x14ac:dyDescent="0.2">
      <c r="D11" s="536"/>
      <c r="E11" s="536"/>
      <c r="F11" s="536"/>
      <c r="G11" s="981" t="s">
        <v>587</v>
      </c>
      <c r="H11" s="982"/>
      <c r="I11" s="537">
        <f>SUM(I4:I10)</f>
        <v>0</v>
      </c>
    </row>
    <row r="12" spans="1:13" x14ac:dyDescent="0.2">
      <c r="A12" s="538" t="s">
        <v>588</v>
      </c>
      <c r="B12" s="539">
        <f>'INFO BULL'!B124</f>
        <v>118.3</v>
      </c>
      <c r="D12" s="536"/>
      <c r="E12" s="536"/>
      <c r="F12" s="536"/>
      <c r="G12" s="983" t="s">
        <v>589</v>
      </c>
      <c r="H12" s="983"/>
      <c r="I12" s="540" t="str">
        <f>IF(salmensu=0,"",IF(salmensu-qs&lt;rmi,"OUI","NON"))</f>
        <v/>
      </c>
    </row>
    <row r="13" spans="1:13" ht="15" x14ac:dyDescent="0.2">
      <c r="A13" s="541" t="s">
        <v>590</v>
      </c>
      <c r="B13" s="542">
        <f>rmi</f>
        <v>535.16999999999996</v>
      </c>
      <c r="D13" s="543"/>
      <c r="E13" s="543"/>
      <c r="F13" s="543"/>
      <c r="G13" s="984" t="s">
        <v>591</v>
      </c>
      <c r="H13" s="984"/>
      <c r="I13" s="537">
        <f>IF(salmensu-qs&lt;rmi,IF(salmensu-rmi&lt;0,0,salmensu-rmi),qs)</f>
        <v>0</v>
      </c>
    </row>
    <row r="15" spans="1:13" ht="15.75" x14ac:dyDescent="0.25">
      <c r="G15" s="976" t="s">
        <v>592</v>
      </c>
      <c r="H15" s="976"/>
      <c r="I15" s="544">
        <f>IF(I12="OUI",qsp,I11)</f>
        <v>0</v>
      </c>
    </row>
    <row r="17" spans="1:1" ht="15" x14ac:dyDescent="0.25">
      <c r="A17" s="545" t="s">
        <v>593</v>
      </c>
    </row>
    <row r="19" spans="1:1" ht="15" x14ac:dyDescent="0.25">
      <c r="A19" s="545" t="s">
        <v>122</v>
      </c>
    </row>
    <row r="48" spans="1:4" x14ac:dyDescent="0.2">
      <c r="A48" s="493" t="s">
        <v>594</v>
      </c>
      <c r="C48" s="493" t="s">
        <v>594</v>
      </c>
      <c r="D48" s="493" t="s">
        <v>595</v>
      </c>
    </row>
  </sheetData>
  <mergeCells count="7">
    <mergeCell ref="G15:H15"/>
    <mergeCell ref="A1:I1"/>
    <mergeCell ref="D3:E3"/>
    <mergeCell ref="F3:G3"/>
    <mergeCell ref="G11:H11"/>
    <mergeCell ref="G12:H12"/>
    <mergeCell ref="G13:H13"/>
  </mergeCells>
  <conditionalFormatting sqref="I12">
    <cfRule type="cellIs" dxfId="7" priority="1" stopIfTrue="1" operator="equal">
      <formula>"OUI"</formula>
    </cfRule>
  </conditionalFormatting>
  <hyperlinks>
    <hyperlink ref="A19" location="BULLETIN" display="BULLETIN" xr:uid="{00000000-0004-0000-0C00-000000000000}"/>
    <hyperlink ref="A17" r:id="rId1" xr:uid="{00000000-0004-0000-0C00-000001000000}"/>
  </hyperlinks>
  <pageMargins left="0.78740157499999996" right="0.78740157499999996" top="0.984251969" bottom="0.984251969" header="0.4921259845" footer="0.4921259845"/>
  <pageSetup paperSize="9" orientation="portrait" r:id="rId2"/>
  <headerFooter alignWithMargins="0"/>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dimension ref="A1:P34"/>
  <sheetViews>
    <sheetView zoomScale="80" zoomScaleNormal="80" workbookViewId="0">
      <selection activeCell="R9" sqref="R9"/>
    </sheetView>
  </sheetViews>
  <sheetFormatPr baseColWidth="10" defaultRowHeight="15" x14ac:dyDescent="0.25"/>
  <cols>
    <col min="15" max="15" width="32.5703125" customWidth="1"/>
    <col min="16" max="16" width="17.140625" customWidth="1"/>
  </cols>
  <sheetData>
    <row r="1" spans="1:16" ht="33" customHeight="1" x14ac:dyDescent="0.25">
      <c r="A1" s="985" t="s">
        <v>197</v>
      </c>
      <c r="B1" s="985"/>
      <c r="C1" s="103">
        <f>P3</f>
        <v>2017</v>
      </c>
    </row>
    <row r="2" spans="1:16" ht="15.75" thickBot="1" x14ac:dyDescent="0.3"/>
    <row r="3" spans="1:16" ht="18.75" x14ac:dyDescent="0.25">
      <c r="A3" s="104" t="s">
        <v>198</v>
      </c>
      <c r="B3" s="105" t="s">
        <v>199</v>
      </c>
      <c r="C3" s="105" t="s">
        <v>200</v>
      </c>
      <c r="D3" s="105" t="s">
        <v>201</v>
      </c>
      <c r="E3" s="105" t="s">
        <v>202</v>
      </c>
      <c r="F3" s="105" t="s">
        <v>203</v>
      </c>
      <c r="G3" s="105" t="s">
        <v>204</v>
      </c>
      <c r="H3" s="105" t="s">
        <v>205</v>
      </c>
      <c r="I3" s="105" t="s">
        <v>206</v>
      </c>
      <c r="J3" s="105" t="s">
        <v>207</v>
      </c>
      <c r="K3" s="105" t="s">
        <v>208</v>
      </c>
      <c r="L3" s="106" t="s">
        <v>209</v>
      </c>
      <c r="O3" s="107" t="s">
        <v>210</v>
      </c>
      <c r="P3" s="108">
        <f>YEAR(MOIS_BULLETIN)</f>
        <v>2017</v>
      </c>
    </row>
    <row r="4" spans="1:16" x14ac:dyDescent="0.25">
      <c r="A4" s="109">
        <f t="array" ref="A4:L34">DATE(Rèf_Année,COLUMN(1:12),ROW(1:31))</f>
        <v>42736</v>
      </c>
      <c r="B4" s="110">
        <v>42767</v>
      </c>
      <c r="C4" s="110">
        <v>42795</v>
      </c>
      <c r="D4" s="110">
        <v>42826</v>
      </c>
      <c r="E4" s="110">
        <v>42856</v>
      </c>
      <c r="F4" s="110">
        <v>42887</v>
      </c>
      <c r="G4" s="110">
        <v>42917</v>
      </c>
      <c r="H4" s="110">
        <v>42948</v>
      </c>
      <c r="I4" s="110">
        <v>42979</v>
      </c>
      <c r="J4" s="110">
        <v>43009</v>
      </c>
      <c r="K4" s="110">
        <v>43040</v>
      </c>
      <c r="L4" s="111">
        <v>43070</v>
      </c>
      <c r="O4" s="115" t="s">
        <v>211</v>
      </c>
      <c r="P4" s="116">
        <f>DATE(P3,1,1)</f>
        <v>42736</v>
      </c>
    </row>
    <row r="5" spans="1:16" x14ac:dyDescent="0.25">
      <c r="A5" s="109">
        <v>42737</v>
      </c>
      <c r="B5" s="110">
        <v>42768</v>
      </c>
      <c r="C5" s="110">
        <v>42796</v>
      </c>
      <c r="D5" s="110">
        <v>42827</v>
      </c>
      <c r="E5" s="110">
        <v>42857</v>
      </c>
      <c r="F5" s="110">
        <v>42888</v>
      </c>
      <c r="G5" s="110">
        <v>42918</v>
      </c>
      <c r="H5" s="110">
        <v>42949</v>
      </c>
      <c r="I5" s="110">
        <v>42980</v>
      </c>
      <c r="J5" s="110">
        <v>43010</v>
      </c>
      <c r="K5" s="110">
        <v>43041</v>
      </c>
      <c r="L5" s="111">
        <v>43071</v>
      </c>
      <c r="O5" s="117" t="s">
        <v>212</v>
      </c>
      <c r="P5" s="118">
        <f>ROUND(DATE(P3,4,MOD(234-11*MOD(P3,19),30))/7,0)*7-6</f>
        <v>42841</v>
      </c>
    </row>
    <row r="6" spans="1:16" x14ac:dyDescent="0.25">
      <c r="A6" s="109">
        <v>42738</v>
      </c>
      <c r="B6" s="110">
        <v>42769</v>
      </c>
      <c r="C6" s="110">
        <v>42797</v>
      </c>
      <c r="D6" s="110">
        <v>42828</v>
      </c>
      <c r="E6" s="110">
        <v>42858</v>
      </c>
      <c r="F6" s="110">
        <v>42889</v>
      </c>
      <c r="G6" s="110">
        <v>42919</v>
      </c>
      <c r="H6" s="110">
        <v>42950</v>
      </c>
      <c r="I6" s="110">
        <v>42981</v>
      </c>
      <c r="J6" s="110">
        <v>43011</v>
      </c>
      <c r="K6" s="110">
        <v>43042</v>
      </c>
      <c r="L6" s="111">
        <v>43072</v>
      </c>
      <c r="O6" s="117" t="s">
        <v>213</v>
      </c>
      <c r="P6" s="118">
        <f>J_PAQUES+1</f>
        <v>42842</v>
      </c>
    </row>
    <row r="7" spans="1:16" x14ac:dyDescent="0.25">
      <c r="A7" s="109">
        <v>42739</v>
      </c>
      <c r="B7" s="110">
        <v>42770</v>
      </c>
      <c r="C7" s="110">
        <v>42798</v>
      </c>
      <c r="D7" s="110">
        <v>42829</v>
      </c>
      <c r="E7" s="110">
        <v>42859</v>
      </c>
      <c r="F7" s="110">
        <v>42890</v>
      </c>
      <c r="G7" s="110">
        <v>42920</v>
      </c>
      <c r="H7" s="110">
        <v>42951</v>
      </c>
      <c r="I7" s="110">
        <v>42982</v>
      </c>
      <c r="J7" s="110">
        <v>43012</v>
      </c>
      <c r="K7" s="110">
        <v>43043</v>
      </c>
      <c r="L7" s="111">
        <v>43073</v>
      </c>
      <c r="O7" s="117" t="s">
        <v>214</v>
      </c>
      <c r="P7" s="118">
        <f>DATE(P3,5,1)</f>
        <v>42856</v>
      </c>
    </row>
    <row r="8" spans="1:16" x14ac:dyDescent="0.25">
      <c r="A8" s="109">
        <v>42740</v>
      </c>
      <c r="B8" s="110">
        <v>42771</v>
      </c>
      <c r="C8" s="110">
        <v>42799</v>
      </c>
      <c r="D8" s="110">
        <v>42830</v>
      </c>
      <c r="E8" s="110">
        <v>42860</v>
      </c>
      <c r="F8" s="110">
        <v>42891</v>
      </c>
      <c r="G8" s="110">
        <v>42921</v>
      </c>
      <c r="H8" s="110">
        <v>42952</v>
      </c>
      <c r="I8" s="110">
        <v>42983</v>
      </c>
      <c r="J8" s="110">
        <v>43013</v>
      </c>
      <c r="K8" s="110">
        <v>43044</v>
      </c>
      <c r="L8" s="111">
        <v>43074</v>
      </c>
      <c r="O8" s="117" t="s">
        <v>215</v>
      </c>
      <c r="P8" s="118">
        <f>DATE(P3,5,8)</f>
        <v>42863</v>
      </c>
    </row>
    <row r="9" spans="1:16" x14ac:dyDescent="0.25">
      <c r="A9" s="109">
        <v>42741</v>
      </c>
      <c r="B9" s="110">
        <v>42772</v>
      </c>
      <c r="C9" s="110">
        <v>42800</v>
      </c>
      <c r="D9" s="110">
        <v>42831</v>
      </c>
      <c r="E9" s="110">
        <v>42861</v>
      </c>
      <c r="F9" s="110">
        <v>42892</v>
      </c>
      <c r="G9" s="110">
        <v>42922</v>
      </c>
      <c r="H9" s="110">
        <v>42953</v>
      </c>
      <c r="I9" s="110">
        <v>42984</v>
      </c>
      <c r="J9" s="110">
        <v>43014</v>
      </c>
      <c r="K9" s="110">
        <v>43045</v>
      </c>
      <c r="L9" s="111">
        <v>43075</v>
      </c>
      <c r="O9" s="117" t="s">
        <v>216</v>
      </c>
      <c r="P9" s="118">
        <f>J_PAQUES+39</f>
        <v>42880</v>
      </c>
    </row>
    <row r="10" spans="1:16" x14ac:dyDescent="0.25">
      <c r="A10" s="109">
        <v>42742</v>
      </c>
      <c r="B10" s="110">
        <v>42773</v>
      </c>
      <c r="C10" s="110">
        <v>42801</v>
      </c>
      <c r="D10" s="110">
        <v>42832</v>
      </c>
      <c r="E10" s="110">
        <v>42862</v>
      </c>
      <c r="F10" s="110">
        <v>42893</v>
      </c>
      <c r="G10" s="110">
        <v>42923</v>
      </c>
      <c r="H10" s="110">
        <v>42954</v>
      </c>
      <c r="I10" s="110">
        <v>42985</v>
      </c>
      <c r="J10" s="110">
        <v>43015</v>
      </c>
      <c r="K10" s="110">
        <v>43046</v>
      </c>
      <c r="L10" s="111">
        <v>43076</v>
      </c>
      <c r="O10" s="117" t="s">
        <v>217</v>
      </c>
      <c r="P10" s="118">
        <f>J_PAQUES+49</f>
        <v>42890</v>
      </c>
    </row>
    <row r="11" spans="1:16" x14ac:dyDescent="0.25">
      <c r="A11" s="109">
        <v>42743</v>
      </c>
      <c r="B11" s="110">
        <v>42774</v>
      </c>
      <c r="C11" s="110">
        <v>42802</v>
      </c>
      <c r="D11" s="110">
        <v>42833</v>
      </c>
      <c r="E11" s="110">
        <v>42863</v>
      </c>
      <c r="F11" s="110">
        <v>42894</v>
      </c>
      <c r="G11" s="110">
        <v>42924</v>
      </c>
      <c r="H11" s="110">
        <v>42955</v>
      </c>
      <c r="I11" s="110">
        <v>42986</v>
      </c>
      <c r="J11" s="110">
        <v>43016</v>
      </c>
      <c r="K11" s="110">
        <v>43047</v>
      </c>
      <c r="L11" s="111">
        <v>43077</v>
      </c>
      <c r="O11" s="119" t="s">
        <v>218</v>
      </c>
      <c r="P11" s="120">
        <f>IF(O11=0,"0",J_PAQUES+50)</f>
        <v>42891</v>
      </c>
    </row>
    <row r="12" spans="1:16" x14ac:dyDescent="0.25">
      <c r="A12" s="109">
        <v>42744</v>
      </c>
      <c r="B12" s="110">
        <v>42775</v>
      </c>
      <c r="C12" s="110">
        <v>42803</v>
      </c>
      <c r="D12" s="110">
        <v>42834</v>
      </c>
      <c r="E12" s="110">
        <v>42864</v>
      </c>
      <c r="F12" s="110">
        <v>42895</v>
      </c>
      <c r="G12" s="110">
        <v>42925</v>
      </c>
      <c r="H12" s="110">
        <v>42956</v>
      </c>
      <c r="I12" s="110">
        <v>42987</v>
      </c>
      <c r="J12" s="110">
        <v>43017</v>
      </c>
      <c r="K12" s="110">
        <v>43048</v>
      </c>
      <c r="L12" s="111">
        <v>43078</v>
      </c>
      <c r="O12" s="117" t="s">
        <v>219</v>
      </c>
      <c r="P12" s="118">
        <f>DATE(P3,7,14)</f>
        <v>42930</v>
      </c>
    </row>
    <row r="13" spans="1:16" x14ac:dyDescent="0.25">
      <c r="A13" s="109">
        <v>42745</v>
      </c>
      <c r="B13" s="110">
        <v>42776</v>
      </c>
      <c r="C13" s="110">
        <v>42804</v>
      </c>
      <c r="D13" s="110">
        <v>42835</v>
      </c>
      <c r="E13" s="110">
        <v>42865</v>
      </c>
      <c r="F13" s="110">
        <v>42896</v>
      </c>
      <c r="G13" s="110">
        <v>42926</v>
      </c>
      <c r="H13" s="110">
        <v>42957</v>
      </c>
      <c r="I13" s="110">
        <v>42988</v>
      </c>
      <c r="J13" s="110">
        <v>43018</v>
      </c>
      <c r="K13" s="110">
        <v>43049</v>
      </c>
      <c r="L13" s="111">
        <v>43079</v>
      </c>
      <c r="O13" s="117" t="s">
        <v>220</v>
      </c>
      <c r="P13" s="118">
        <f>DATE(P3,8,15)</f>
        <v>42962</v>
      </c>
    </row>
    <row r="14" spans="1:16" x14ac:dyDescent="0.25">
      <c r="A14" s="109">
        <v>42746</v>
      </c>
      <c r="B14" s="110">
        <v>42777</v>
      </c>
      <c r="C14" s="110">
        <v>42805</v>
      </c>
      <c r="D14" s="110">
        <v>42836</v>
      </c>
      <c r="E14" s="110">
        <v>42866</v>
      </c>
      <c r="F14" s="110">
        <v>42897</v>
      </c>
      <c r="G14" s="110">
        <v>42927</v>
      </c>
      <c r="H14" s="110">
        <v>42958</v>
      </c>
      <c r="I14" s="110">
        <v>42989</v>
      </c>
      <c r="J14" s="110">
        <v>43019</v>
      </c>
      <c r="K14" s="110">
        <v>43050</v>
      </c>
      <c r="L14" s="111">
        <v>43080</v>
      </c>
      <c r="O14" s="117" t="s">
        <v>221</v>
      </c>
      <c r="P14" s="118">
        <f>DATE(P3,11,1)</f>
        <v>43040</v>
      </c>
    </row>
    <row r="15" spans="1:16" x14ac:dyDescent="0.25">
      <c r="A15" s="109">
        <v>42747</v>
      </c>
      <c r="B15" s="110">
        <v>42778</v>
      </c>
      <c r="C15" s="110">
        <v>42806</v>
      </c>
      <c r="D15" s="110">
        <v>42837</v>
      </c>
      <c r="E15" s="110">
        <v>42867</v>
      </c>
      <c r="F15" s="110">
        <v>42898</v>
      </c>
      <c r="G15" s="110">
        <v>42928</v>
      </c>
      <c r="H15" s="110">
        <v>42959</v>
      </c>
      <c r="I15" s="110">
        <v>42990</v>
      </c>
      <c r="J15" s="110">
        <v>43020</v>
      </c>
      <c r="K15" s="110">
        <v>43051</v>
      </c>
      <c r="L15" s="111">
        <v>43081</v>
      </c>
      <c r="O15" s="117" t="s">
        <v>222</v>
      </c>
      <c r="P15" s="118">
        <f>DATE(P3,11,11)</f>
        <v>43050</v>
      </c>
    </row>
    <row r="16" spans="1:16" x14ac:dyDescent="0.25">
      <c r="A16" s="109">
        <v>42748</v>
      </c>
      <c r="B16" s="110">
        <v>42779</v>
      </c>
      <c r="C16" s="110">
        <v>42807</v>
      </c>
      <c r="D16" s="110">
        <v>42838</v>
      </c>
      <c r="E16" s="110">
        <v>42868</v>
      </c>
      <c r="F16" s="110">
        <v>42899</v>
      </c>
      <c r="G16" s="110">
        <v>42929</v>
      </c>
      <c r="H16" s="110">
        <v>42960</v>
      </c>
      <c r="I16" s="110">
        <v>42991</v>
      </c>
      <c r="J16" s="110">
        <v>43021</v>
      </c>
      <c r="K16" s="110">
        <v>43052</v>
      </c>
      <c r="L16" s="111">
        <v>43082</v>
      </c>
      <c r="O16" s="121" t="s">
        <v>223</v>
      </c>
      <c r="P16" s="122">
        <f>DATE(P3,12,25)</f>
        <v>43094</v>
      </c>
    </row>
    <row r="17" spans="1:12" x14ac:dyDescent="0.25">
      <c r="A17" s="109">
        <v>42749</v>
      </c>
      <c r="B17" s="110">
        <v>42780</v>
      </c>
      <c r="C17" s="110">
        <v>42808</v>
      </c>
      <c r="D17" s="110">
        <v>42839</v>
      </c>
      <c r="E17" s="110">
        <v>42869</v>
      </c>
      <c r="F17" s="110">
        <v>42900</v>
      </c>
      <c r="G17" s="110">
        <v>42930</v>
      </c>
      <c r="H17" s="110">
        <v>42961</v>
      </c>
      <c r="I17" s="110">
        <v>42992</v>
      </c>
      <c r="J17" s="110">
        <v>43022</v>
      </c>
      <c r="K17" s="110">
        <v>43053</v>
      </c>
      <c r="L17" s="111">
        <v>43083</v>
      </c>
    </row>
    <row r="18" spans="1:12" x14ac:dyDescent="0.25">
      <c r="A18" s="109">
        <v>42750</v>
      </c>
      <c r="B18" s="110">
        <v>42781</v>
      </c>
      <c r="C18" s="110">
        <v>42809</v>
      </c>
      <c r="D18" s="110">
        <v>42840</v>
      </c>
      <c r="E18" s="110">
        <v>42870</v>
      </c>
      <c r="F18" s="110">
        <v>42901</v>
      </c>
      <c r="G18" s="110">
        <v>42931</v>
      </c>
      <c r="H18" s="110">
        <v>42962</v>
      </c>
      <c r="I18" s="110">
        <v>42993</v>
      </c>
      <c r="J18" s="110">
        <v>43023</v>
      </c>
      <c r="K18" s="110">
        <v>43054</v>
      </c>
      <c r="L18" s="111">
        <v>43084</v>
      </c>
    </row>
    <row r="19" spans="1:12" x14ac:dyDescent="0.25">
      <c r="A19" s="109">
        <v>42751</v>
      </c>
      <c r="B19" s="110">
        <v>42782</v>
      </c>
      <c r="C19" s="110">
        <v>42810</v>
      </c>
      <c r="D19" s="110">
        <v>42841</v>
      </c>
      <c r="E19" s="110">
        <v>42871</v>
      </c>
      <c r="F19" s="110">
        <v>42902</v>
      </c>
      <c r="G19" s="110">
        <v>42932</v>
      </c>
      <c r="H19" s="110">
        <v>42963</v>
      </c>
      <c r="I19" s="110">
        <v>42994</v>
      </c>
      <c r="J19" s="110">
        <v>43024</v>
      </c>
      <c r="K19" s="110">
        <v>43055</v>
      </c>
      <c r="L19" s="111">
        <v>43085</v>
      </c>
    </row>
    <row r="20" spans="1:12" x14ac:dyDescent="0.25">
      <c r="A20" s="109">
        <v>42752</v>
      </c>
      <c r="B20" s="110">
        <v>42783</v>
      </c>
      <c r="C20" s="110">
        <v>42811</v>
      </c>
      <c r="D20" s="110">
        <v>42842</v>
      </c>
      <c r="E20" s="110">
        <v>42872</v>
      </c>
      <c r="F20" s="110">
        <v>42903</v>
      </c>
      <c r="G20" s="110">
        <v>42933</v>
      </c>
      <c r="H20" s="110">
        <v>42964</v>
      </c>
      <c r="I20" s="110">
        <v>42995</v>
      </c>
      <c r="J20" s="110">
        <v>43025</v>
      </c>
      <c r="K20" s="110">
        <v>43056</v>
      </c>
      <c r="L20" s="111">
        <v>43086</v>
      </c>
    </row>
    <row r="21" spans="1:12" x14ac:dyDescent="0.25">
      <c r="A21" s="109">
        <v>42753</v>
      </c>
      <c r="B21" s="110">
        <v>42784</v>
      </c>
      <c r="C21" s="110">
        <v>42812</v>
      </c>
      <c r="D21" s="110">
        <v>42843</v>
      </c>
      <c r="E21" s="110">
        <v>42873</v>
      </c>
      <c r="F21" s="110">
        <v>42904</v>
      </c>
      <c r="G21" s="110">
        <v>42934</v>
      </c>
      <c r="H21" s="110">
        <v>42965</v>
      </c>
      <c r="I21" s="110">
        <v>42996</v>
      </c>
      <c r="J21" s="110">
        <v>43026</v>
      </c>
      <c r="K21" s="110">
        <v>43057</v>
      </c>
      <c r="L21" s="111">
        <v>43087</v>
      </c>
    </row>
    <row r="22" spans="1:12" x14ac:dyDescent="0.25">
      <c r="A22" s="109">
        <v>42754</v>
      </c>
      <c r="B22" s="110">
        <v>42785</v>
      </c>
      <c r="C22" s="110">
        <v>42813</v>
      </c>
      <c r="D22" s="110">
        <v>42844</v>
      </c>
      <c r="E22" s="110">
        <v>42874</v>
      </c>
      <c r="F22" s="110">
        <v>42905</v>
      </c>
      <c r="G22" s="110">
        <v>42935</v>
      </c>
      <c r="H22" s="110">
        <v>42966</v>
      </c>
      <c r="I22" s="110">
        <v>42997</v>
      </c>
      <c r="J22" s="110">
        <v>43027</v>
      </c>
      <c r="K22" s="110">
        <v>43058</v>
      </c>
      <c r="L22" s="111">
        <v>43088</v>
      </c>
    </row>
    <row r="23" spans="1:12" x14ac:dyDescent="0.25">
      <c r="A23" s="109">
        <v>42755</v>
      </c>
      <c r="B23" s="110">
        <v>42786</v>
      </c>
      <c r="C23" s="110">
        <v>42814</v>
      </c>
      <c r="D23" s="110">
        <v>42845</v>
      </c>
      <c r="E23" s="110">
        <v>42875</v>
      </c>
      <c r="F23" s="110">
        <v>42906</v>
      </c>
      <c r="G23" s="110">
        <v>42936</v>
      </c>
      <c r="H23" s="110">
        <v>42967</v>
      </c>
      <c r="I23" s="110">
        <v>42998</v>
      </c>
      <c r="J23" s="110">
        <v>43028</v>
      </c>
      <c r="K23" s="110">
        <v>43059</v>
      </c>
      <c r="L23" s="111">
        <v>43089</v>
      </c>
    </row>
    <row r="24" spans="1:12" x14ac:dyDescent="0.25">
      <c r="A24" s="109">
        <v>42756</v>
      </c>
      <c r="B24" s="110">
        <v>42787</v>
      </c>
      <c r="C24" s="110">
        <v>42815</v>
      </c>
      <c r="D24" s="110">
        <v>42846</v>
      </c>
      <c r="E24" s="110">
        <v>42876</v>
      </c>
      <c r="F24" s="110">
        <v>42907</v>
      </c>
      <c r="G24" s="110">
        <v>42937</v>
      </c>
      <c r="H24" s="110">
        <v>42968</v>
      </c>
      <c r="I24" s="110">
        <v>42999</v>
      </c>
      <c r="J24" s="110">
        <v>43029</v>
      </c>
      <c r="K24" s="110">
        <v>43060</v>
      </c>
      <c r="L24" s="111">
        <v>43090</v>
      </c>
    </row>
    <row r="25" spans="1:12" x14ac:dyDescent="0.25">
      <c r="A25" s="109">
        <v>42757</v>
      </c>
      <c r="B25" s="110">
        <v>42788</v>
      </c>
      <c r="C25" s="110">
        <v>42816</v>
      </c>
      <c r="D25" s="110">
        <v>42847</v>
      </c>
      <c r="E25" s="110">
        <v>42877</v>
      </c>
      <c r="F25" s="110">
        <v>42908</v>
      </c>
      <c r="G25" s="110">
        <v>42938</v>
      </c>
      <c r="H25" s="110">
        <v>42969</v>
      </c>
      <c r="I25" s="110">
        <v>43000</v>
      </c>
      <c r="J25" s="110">
        <v>43030</v>
      </c>
      <c r="K25" s="110">
        <v>43061</v>
      </c>
      <c r="L25" s="111">
        <v>43091</v>
      </c>
    </row>
    <row r="26" spans="1:12" x14ac:dyDescent="0.25">
      <c r="A26" s="109">
        <v>42758</v>
      </c>
      <c r="B26" s="110">
        <v>42789</v>
      </c>
      <c r="C26" s="110">
        <v>42817</v>
      </c>
      <c r="D26" s="110">
        <v>42848</v>
      </c>
      <c r="E26" s="110">
        <v>42878</v>
      </c>
      <c r="F26" s="110">
        <v>42909</v>
      </c>
      <c r="G26" s="110">
        <v>42939</v>
      </c>
      <c r="H26" s="110">
        <v>42970</v>
      </c>
      <c r="I26" s="110">
        <v>43001</v>
      </c>
      <c r="J26" s="110">
        <v>43031</v>
      </c>
      <c r="K26" s="110">
        <v>43062</v>
      </c>
      <c r="L26" s="111">
        <v>43092</v>
      </c>
    </row>
    <row r="27" spans="1:12" x14ac:dyDescent="0.25">
      <c r="A27" s="109">
        <v>42759</v>
      </c>
      <c r="B27" s="110">
        <v>42790</v>
      </c>
      <c r="C27" s="110">
        <v>42818</v>
      </c>
      <c r="D27" s="110">
        <v>42849</v>
      </c>
      <c r="E27" s="110">
        <v>42879</v>
      </c>
      <c r="F27" s="110">
        <v>42910</v>
      </c>
      <c r="G27" s="110">
        <v>42940</v>
      </c>
      <c r="H27" s="110">
        <v>42971</v>
      </c>
      <c r="I27" s="110">
        <v>43002</v>
      </c>
      <c r="J27" s="110">
        <v>43032</v>
      </c>
      <c r="K27" s="110">
        <v>43063</v>
      </c>
      <c r="L27" s="111">
        <v>43093</v>
      </c>
    </row>
    <row r="28" spans="1:12" x14ac:dyDescent="0.25">
      <c r="A28" s="109">
        <v>42760</v>
      </c>
      <c r="B28" s="110">
        <v>42791</v>
      </c>
      <c r="C28" s="110">
        <v>42819</v>
      </c>
      <c r="D28" s="110">
        <v>42850</v>
      </c>
      <c r="E28" s="110">
        <v>42880</v>
      </c>
      <c r="F28" s="110">
        <v>42911</v>
      </c>
      <c r="G28" s="110">
        <v>42941</v>
      </c>
      <c r="H28" s="110">
        <v>42972</v>
      </c>
      <c r="I28" s="110">
        <v>43003</v>
      </c>
      <c r="J28" s="110">
        <v>43033</v>
      </c>
      <c r="K28" s="110">
        <v>43064</v>
      </c>
      <c r="L28" s="111">
        <v>43094</v>
      </c>
    </row>
    <row r="29" spans="1:12" x14ac:dyDescent="0.25">
      <c r="A29" s="109">
        <v>42761</v>
      </c>
      <c r="B29" s="110">
        <v>42792</v>
      </c>
      <c r="C29" s="110">
        <v>42820</v>
      </c>
      <c r="D29" s="110">
        <v>42851</v>
      </c>
      <c r="E29" s="110">
        <v>42881</v>
      </c>
      <c r="F29" s="110">
        <v>42912</v>
      </c>
      <c r="G29" s="110">
        <v>42942</v>
      </c>
      <c r="H29" s="110">
        <v>42973</v>
      </c>
      <c r="I29" s="110">
        <v>43004</v>
      </c>
      <c r="J29" s="110">
        <v>43034</v>
      </c>
      <c r="K29" s="110">
        <v>43065</v>
      </c>
      <c r="L29" s="111">
        <v>43095</v>
      </c>
    </row>
    <row r="30" spans="1:12" x14ac:dyDescent="0.25">
      <c r="A30" s="109">
        <v>42762</v>
      </c>
      <c r="B30" s="110">
        <v>42793</v>
      </c>
      <c r="C30" s="110">
        <v>42821</v>
      </c>
      <c r="D30" s="110">
        <v>42852</v>
      </c>
      <c r="E30" s="110">
        <v>42882</v>
      </c>
      <c r="F30" s="110">
        <v>42913</v>
      </c>
      <c r="G30" s="110">
        <v>42943</v>
      </c>
      <c r="H30" s="110">
        <v>42974</v>
      </c>
      <c r="I30" s="110">
        <v>43005</v>
      </c>
      <c r="J30" s="110">
        <v>43035</v>
      </c>
      <c r="K30" s="110">
        <v>43066</v>
      </c>
      <c r="L30" s="111">
        <v>43096</v>
      </c>
    </row>
    <row r="31" spans="1:12" x14ac:dyDescent="0.25">
      <c r="A31" s="109">
        <v>42763</v>
      </c>
      <c r="B31" s="110">
        <v>42794</v>
      </c>
      <c r="C31" s="110">
        <v>42822</v>
      </c>
      <c r="D31" s="110">
        <v>42853</v>
      </c>
      <c r="E31" s="110">
        <v>42883</v>
      </c>
      <c r="F31" s="110">
        <v>42914</v>
      </c>
      <c r="G31" s="110">
        <v>42944</v>
      </c>
      <c r="H31" s="110">
        <v>42975</v>
      </c>
      <c r="I31" s="110">
        <v>43006</v>
      </c>
      <c r="J31" s="110">
        <v>43036</v>
      </c>
      <c r="K31" s="110">
        <v>43067</v>
      </c>
      <c r="L31" s="111">
        <v>43097</v>
      </c>
    </row>
    <row r="32" spans="1:12" x14ac:dyDescent="0.25">
      <c r="A32" s="109">
        <v>42764</v>
      </c>
      <c r="B32" s="110">
        <v>42795</v>
      </c>
      <c r="C32" s="110">
        <v>42823</v>
      </c>
      <c r="D32" s="110">
        <v>42854</v>
      </c>
      <c r="E32" s="110">
        <v>42884</v>
      </c>
      <c r="F32" s="110">
        <v>42915</v>
      </c>
      <c r="G32" s="110">
        <v>42945</v>
      </c>
      <c r="H32" s="110">
        <v>42976</v>
      </c>
      <c r="I32" s="110">
        <v>43007</v>
      </c>
      <c r="J32" s="110">
        <v>43037</v>
      </c>
      <c r="K32" s="110">
        <v>43068</v>
      </c>
      <c r="L32" s="111">
        <v>43098</v>
      </c>
    </row>
    <row r="33" spans="1:12" x14ac:dyDescent="0.25">
      <c r="A33" s="109">
        <v>42765</v>
      </c>
      <c r="B33" s="110">
        <v>42796</v>
      </c>
      <c r="C33" s="110">
        <v>42824</v>
      </c>
      <c r="D33" s="110">
        <v>42855</v>
      </c>
      <c r="E33" s="110">
        <v>42885</v>
      </c>
      <c r="F33" s="110">
        <v>42916</v>
      </c>
      <c r="G33" s="110">
        <v>42946</v>
      </c>
      <c r="H33" s="110">
        <v>42977</v>
      </c>
      <c r="I33" s="110">
        <v>43008</v>
      </c>
      <c r="J33" s="110">
        <v>43038</v>
      </c>
      <c r="K33" s="110">
        <v>43069</v>
      </c>
      <c r="L33" s="111">
        <v>43099</v>
      </c>
    </row>
    <row r="34" spans="1:12" ht="15.75" thickBot="1" x14ac:dyDescent="0.3">
      <c r="A34" s="112">
        <v>42766</v>
      </c>
      <c r="B34" s="113">
        <v>42797</v>
      </c>
      <c r="C34" s="113">
        <v>42825</v>
      </c>
      <c r="D34" s="113">
        <v>42856</v>
      </c>
      <c r="E34" s="113">
        <v>42886</v>
      </c>
      <c r="F34" s="113">
        <v>42917</v>
      </c>
      <c r="G34" s="113">
        <v>42947</v>
      </c>
      <c r="H34" s="113">
        <v>42978</v>
      </c>
      <c r="I34" s="113">
        <v>43009</v>
      </c>
      <c r="J34" s="113">
        <v>43039</v>
      </c>
      <c r="K34" s="113">
        <v>43070</v>
      </c>
      <c r="L34" s="114">
        <v>43100</v>
      </c>
    </row>
  </sheetData>
  <mergeCells count="1">
    <mergeCell ref="A1:B1"/>
  </mergeCells>
  <conditionalFormatting sqref="A4:L34">
    <cfRule type="expression" dxfId="6" priority="1">
      <formula>MONTH(A4)&lt;&gt;MONTH(A$4)</formula>
    </cfRule>
    <cfRule type="timePeriod" dxfId="5" priority="2" timePeriod="today">
      <formula>FLOOR(A4,1)=TODAY()</formula>
    </cfRule>
    <cfRule type="expression" dxfId="4" priority="3">
      <formula>OR(A4=FERIES)</formula>
    </cfRule>
    <cfRule type="expression" dxfId="3" priority="4">
      <formula>WEEKDAY(A4)=1</formula>
    </cfRule>
    <cfRule type="expression" dxfId="2" priority="5">
      <formula>WEEKDAY(A4)=7</formula>
    </cfRule>
  </conditionalFormatting>
  <dataValidations count="1">
    <dataValidation type="list" allowBlank="1" showInputMessage="1" showErrorMessage="1" sqref="O11" xr:uid="{00000000-0002-0000-0D00-000000000000}">
      <formula1>"Lundi de pentecôte,0"</formula1>
    </dataValidation>
  </dataValidations>
  <pageMargins left="0.7" right="0.7" top="0.75" bottom="0.75" header="0.3" footer="0.3"/>
  <pageSetup paperSize="9" orientation="portrait" horizontalDpi="300" verticalDpi="300" r:id="rId1"/>
  <legacyDrawing r:id="rId2"/>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0"/>
  <dimension ref="A2:F102"/>
  <sheetViews>
    <sheetView topLeftCell="A61" workbookViewId="0">
      <selection activeCell="B34" sqref="B34:B41"/>
    </sheetView>
  </sheetViews>
  <sheetFormatPr baseColWidth="10" defaultRowHeight="12" x14ac:dyDescent="0.2"/>
  <cols>
    <col min="1" max="1" width="24.140625" style="454" bestFit="1" customWidth="1"/>
    <col min="2" max="2" width="80.42578125" style="454" bestFit="1" customWidth="1"/>
    <col min="3" max="3" width="16.42578125" style="454" customWidth="1"/>
    <col min="4" max="4" width="19" style="454" bestFit="1" customWidth="1"/>
    <col min="5" max="16384" width="11.42578125" style="454"/>
  </cols>
  <sheetData>
    <row r="2" spans="1:4" x14ac:dyDescent="0.2">
      <c r="A2" s="236" t="s">
        <v>18</v>
      </c>
      <c r="B2" s="453" t="s">
        <v>19</v>
      </c>
      <c r="D2" s="454" t="s">
        <v>519</v>
      </c>
    </row>
    <row r="3" spans="1:4" x14ac:dyDescent="0.2">
      <c r="B3" s="146" t="s">
        <v>20</v>
      </c>
      <c r="D3" s="454" t="s">
        <v>520</v>
      </c>
    </row>
    <row r="4" spans="1:4" x14ac:dyDescent="0.2">
      <c r="B4" s="455" t="s">
        <v>21</v>
      </c>
    </row>
    <row r="5" spans="1:4" x14ac:dyDescent="0.2">
      <c r="B5" s="455" t="s">
        <v>22</v>
      </c>
    </row>
    <row r="6" spans="1:4" x14ac:dyDescent="0.2">
      <c r="B6" s="456" t="s">
        <v>23</v>
      </c>
    </row>
    <row r="8" spans="1:4" x14ac:dyDescent="0.2">
      <c r="A8" s="236" t="s">
        <v>24</v>
      </c>
      <c r="B8" s="453" t="s">
        <v>25</v>
      </c>
    </row>
    <row r="9" spans="1:4" x14ac:dyDescent="0.2">
      <c r="B9" s="456" t="s">
        <v>26</v>
      </c>
    </row>
    <row r="11" spans="1:4" x14ac:dyDescent="0.2">
      <c r="A11" s="236" t="s">
        <v>32</v>
      </c>
      <c r="B11" s="453" t="s">
        <v>19</v>
      </c>
    </row>
    <row r="12" spans="1:4" x14ac:dyDescent="0.2">
      <c r="B12" s="455" t="s">
        <v>33</v>
      </c>
    </row>
    <row r="13" spans="1:4" x14ac:dyDescent="0.2">
      <c r="B13" s="455" t="s">
        <v>34</v>
      </c>
    </row>
    <row r="14" spans="1:4" x14ac:dyDescent="0.2">
      <c r="B14" s="456" t="s">
        <v>686</v>
      </c>
    </row>
    <row r="16" spans="1:4" x14ac:dyDescent="0.2">
      <c r="A16" s="236" t="s">
        <v>62</v>
      </c>
      <c r="B16" s="10" t="s">
        <v>52</v>
      </c>
      <c r="C16" s="11">
        <v>4.0500000000000001E-2</v>
      </c>
    </row>
    <row r="17" spans="1:3" x14ac:dyDescent="0.2">
      <c r="B17" s="13" t="s">
        <v>53</v>
      </c>
      <c r="C17" s="12">
        <v>0</v>
      </c>
    </row>
    <row r="18" spans="1:3" x14ac:dyDescent="0.2">
      <c r="B18" s="13" t="s">
        <v>54</v>
      </c>
      <c r="C18" s="12">
        <v>0</v>
      </c>
    </row>
    <row r="19" spans="1:3" x14ac:dyDescent="0.2">
      <c r="B19" s="13" t="s">
        <v>55</v>
      </c>
      <c r="C19" s="12">
        <v>4.0500000000000001E-2</v>
      </c>
    </row>
    <row r="20" spans="1:3" x14ac:dyDescent="0.2">
      <c r="B20" s="14" t="s">
        <v>56</v>
      </c>
      <c r="C20" s="15">
        <v>7.0000000000000007E-2</v>
      </c>
    </row>
    <row r="21" spans="1:3" x14ac:dyDescent="0.2">
      <c r="B21" s="14" t="s">
        <v>57</v>
      </c>
      <c r="C21" s="15">
        <v>5.5E-2</v>
      </c>
    </row>
    <row r="22" spans="1:3" x14ac:dyDescent="0.2">
      <c r="B22" s="14" t="s">
        <v>58</v>
      </c>
      <c r="C22" s="15">
        <v>4.0500000000000001E-2</v>
      </c>
    </row>
    <row r="23" spans="1:3" x14ac:dyDescent="0.2">
      <c r="B23" s="14" t="s">
        <v>59</v>
      </c>
      <c r="C23" s="15">
        <v>4.5499999999999999E-2</v>
      </c>
    </row>
    <row r="24" spans="1:3" x14ac:dyDescent="0.2">
      <c r="B24" s="14" t="s">
        <v>60</v>
      </c>
      <c r="C24" s="15">
        <v>4.0500000000000001E-2</v>
      </c>
    </row>
    <row r="25" spans="1:3" x14ac:dyDescent="0.2">
      <c r="B25" s="16" t="s">
        <v>61</v>
      </c>
      <c r="C25" s="17">
        <v>0</v>
      </c>
    </row>
    <row r="27" spans="1:3" x14ac:dyDescent="0.2">
      <c r="A27" s="236" t="s">
        <v>184</v>
      </c>
      <c r="B27" s="100" t="s">
        <v>179</v>
      </c>
    </row>
    <row r="28" spans="1:3" x14ac:dyDescent="0.2">
      <c r="B28" s="101" t="s">
        <v>180</v>
      </c>
    </row>
    <row r="29" spans="1:3" x14ac:dyDescent="0.2">
      <c r="B29" s="101" t="s">
        <v>181</v>
      </c>
    </row>
    <row r="30" spans="1:3" x14ac:dyDescent="0.2">
      <c r="B30" s="101" t="s">
        <v>182</v>
      </c>
    </row>
    <row r="31" spans="1:3" x14ac:dyDescent="0.2">
      <c r="B31" s="102" t="s">
        <v>183</v>
      </c>
    </row>
    <row r="33" spans="1:6" x14ac:dyDescent="0.2">
      <c r="A33" s="236" t="s">
        <v>252</v>
      </c>
    </row>
    <row r="34" spans="1:6" x14ac:dyDescent="0.2">
      <c r="A34" s="457"/>
      <c r="B34" s="458" t="s">
        <v>239</v>
      </c>
    </row>
    <row r="35" spans="1:6" x14ac:dyDescent="0.2">
      <c r="A35" s="457"/>
      <c r="B35" s="459" t="s">
        <v>240</v>
      </c>
      <c r="E35" s="454" t="s">
        <v>416</v>
      </c>
      <c r="F35" s="454" t="s">
        <v>417</v>
      </c>
    </row>
    <row r="36" spans="1:6" x14ac:dyDescent="0.2">
      <c r="A36" s="457"/>
      <c r="B36" s="459" t="s">
        <v>242</v>
      </c>
      <c r="C36" s="454" t="s">
        <v>248</v>
      </c>
      <c r="D36" s="454" t="s">
        <v>249</v>
      </c>
      <c r="E36" s="454">
        <v>22</v>
      </c>
      <c r="F36" s="454">
        <v>25</v>
      </c>
    </row>
    <row r="37" spans="1:6" x14ac:dyDescent="0.2">
      <c r="A37" s="457"/>
      <c r="B37" s="459" t="s">
        <v>243</v>
      </c>
      <c r="C37" s="454" t="s">
        <v>248</v>
      </c>
      <c r="D37" s="454" t="s">
        <v>250</v>
      </c>
      <c r="E37" s="454">
        <v>21.67</v>
      </c>
      <c r="F37" s="454">
        <v>25</v>
      </c>
    </row>
    <row r="38" spans="1:6" x14ac:dyDescent="0.2">
      <c r="A38" s="457"/>
      <c r="B38" s="459" t="s">
        <v>244</v>
      </c>
      <c r="C38" s="454" t="s">
        <v>251</v>
      </c>
      <c r="D38" s="454" t="s">
        <v>249</v>
      </c>
      <c r="E38" s="454">
        <v>27</v>
      </c>
      <c r="F38" s="454">
        <v>30</v>
      </c>
    </row>
    <row r="39" spans="1:6" x14ac:dyDescent="0.2">
      <c r="A39" s="457"/>
      <c r="B39" s="459" t="s">
        <v>245</v>
      </c>
      <c r="C39" s="454" t="s">
        <v>251</v>
      </c>
      <c r="D39" s="454" t="s">
        <v>250</v>
      </c>
      <c r="E39" s="454">
        <v>26</v>
      </c>
      <c r="F39" s="454">
        <v>30</v>
      </c>
    </row>
    <row r="40" spans="1:6" x14ac:dyDescent="0.2">
      <c r="A40" s="457"/>
      <c r="B40" s="459" t="s">
        <v>246</v>
      </c>
    </row>
    <row r="41" spans="1:6" x14ac:dyDescent="0.2">
      <c r="A41" s="457"/>
      <c r="B41" s="460" t="s">
        <v>247</v>
      </c>
    </row>
    <row r="43" spans="1:6" x14ac:dyDescent="0.2">
      <c r="A43" s="236" t="s">
        <v>516</v>
      </c>
    </row>
    <row r="44" spans="1:6" x14ac:dyDescent="0.2">
      <c r="A44" s="457"/>
      <c r="B44" s="10">
        <v>1</v>
      </c>
      <c r="C44" s="461"/>
      <c r="D44" s="462" t="s">
        <v>444</v>
      </c>
    </row>
    <row r="45" spans="1:6" x14ac:dyDescent="0.2">
      <c r="A45" s="457"/>
      <c r="B45" s="14">
        <v>2</v>
      </c>
      <c r="C45" s="463">
        <v>1634.5</v>
      </c>
      <c r="D45" s="464" t="s">
        <v>447</v>
      </c>
    </row>
    <row r="46" spans="1:6" x14ac:dyDescent="0.2">
      <c r="A46" s="457"/>
      <c r="B46" s="14">
        <v>3</v>
      </c>
      <c r="C46" s="463">
        <v>1961.4</v>
      </c>
      <c r="D46" s="464" t="s">
        <v>448</v>
      </c>
    </row>
    <row r="47" spans="1:6" x14ac:dyDescent="0.2">
      <c r="A47" s="457"/>
      <c r="B47" s="14">
        <v>4</v>
      </c>
      <c r="C47" s="463">
        <v>2288.3000000000002</v>
      </c>
      <c r="D47" s="464" t="s">
        <v>449</v>
      </c>
    </row>
    <row r="48" spans="1:6" x14ac:dyDescent="0.2">
      <c r="A48" s="457"/>
      <c r="B48" s="14">
        <v>5</v>
      </c>
      <c r="C48" s="463">
        <v>2942.1</v>
      </c>
      <c r="D48" s="464" t="s">
        <v>450</v>
      </c>
    </row>
    <row r="49" spans="1:4" x14ac:dyDescent="0.2">
      <c r="A49" s="457"/>
      <c r="B49" s="14">
        <v>6</v>
      </c>
      <c r="C49" s="463">
        <v>3595.9</v>
      </c>
      <c r="D49" s="464" t="s">
        <v>451</v>
      </c>
    </row>
    <row r="50" spans="1:4" x14ac:dyDescent="0.2">
      <c r="A50" s="457"/>
      <c r="B50" s="14">
        <v>7</v>
      </c>
      <c r="C50" s="463">
        <v>4249.7</v>
      </c>
      <c r="D50" s="464" t="s">
        <v>452</v>
      </c>
    </row>
    <row r="51" spans="1:4" x14ac:dyDescent="0.2">
      <c r="A51" s="457"/>
      <c r="B51" s="16">
        <v>8</v>
      </c>
      <c r="C51" s="465">
        <v>4903.5</v>
      </c>
      <c r="D51" s="466" t="s">
        <v>453</v>
      </c>
    </row>
    <row r="53" spans="1:4" x14ac:dyDescent="0.2">
      <c r="A53" s="236" t="s">
        <v>528</v>
      </c>
      <c r="B53" s="438" t="s">
        <v>461</v>
      </c>
    </row>
    <row r="54" spans="1:4" x14ac:dyDescent="0.2">
      <c r="B54" s="439" t="s">
        <v>463</v>
      </c>
    </row>
    <row r="55" spans="1:4" x14ac:dyDescent="0.2">
      <c r="A55" s="457"/>
      <c r="B55" s="439" t="s">
        <v>465</v>
      </c>
    </row>
    <row r="56" spans="1:4" x14ac:dyDescent="0.2">
      <c r="A56" s="457"/>
      <c r="B56" s="439" t="s">
        <v>467</v>
      </c>
    </row>
    <row r="57" spans="1:4" x14ac:dyDescent="0.2">
      <c r="A57" s="457"/>
      <c r="B57" s="439" t="s">
        <v>468</v>
      </c>
    </row>
    <row r="58" spans="1:4" x14ac:dyDescent="0.2">
      <c r="A58" s="457"/>
      <c r="B58" s="440" t="s">
        <v>469</v>
      </c>
    </row>
    <row r="59" spans="1:4" x14ac:dyDescent="0.2">
      <c r="A59" s="457"/>
      <c r="B59" s="434"/>
    </row>
    <row r="60" spans="1:4" x14ac:dyDescent="0.2">
      <c r="A60" s="236" t="s">
        <v>529</v>
      </c>
      <c r="B60" s="435" t="s">
        <v>473</v>
      </c>
    </row>
    <row r="61" spans="1:4" x14ac:dyDescent="0.2">
      <c r="A61" s="457"/>
      <c r="B61" s="436" t="s">
        <v>474</v>
      </c>
    </row>
    <row r="62" spans="1:4" x14ac:dyDescent="0.2">
      <c r="A62" s="457"/>
      <c r="B62" s="436" t="s">
        <v>477</v>
      </c>
    </row>
    <row r="63" spans="1:4" x14ac:dyDescent="0.2">
      <c r="A63" s="457"/>
      <c r="B63" s="437" t="s">
        <v>478</v>
      </c>
    </row>
    <row r="65" spans="1:4" x14ac:dyDescent="0.2">
      <c r="A65" s="236" t="s">
        <v>532</v>
      </c>
    </row>
    <row r="66" spans="1:4" x14ac:dyDescent="0.2">
      <c r="A66" s="457"/>
      <c r="B66" s="453" t="s">
        <v>533</v>
      </c>
      <c r="C66" s="467">
        <v>6.4</v>
      </c>
    </row>
    <row r="67" spans="1:4" x14ac:dyDescent="0.2">
      <c r="A67" s="457"/>
      <c r="B67" s="455" t="s">
        <v>490</v>
      </c>
      <c r="C67" s="467">
        <v>9</v>
      </c>
    </row>
    <row r="68" spans="1:4" x14ac:dyDescent="0.2">
      <c r="A68" s="457"/>
      <c r="B68" s="456" t="s">
        <v>534</v>
      </c>
      <c r="C68" s="467">
        <v>18.399999999999999</v>
      </c>
    </row>
    <row r="69" spans="1:4" x14ac:dyDescent="0.2">
      <c r="A69" s="457"/>
    </row>
    <row r="70" spans="1:4" x14ac:dyDescent="0.2">
      <c r="A70" s="236" t="s">
        <v>494</v>
      </c>
      <c r="C70" s="468" t="s">
        <v>541</v>
      </c>
      <c r="D70" s="469" t="s">
        <v>495</v>
      </c>
    </row>
    <row r="71" spans="1:4" x14ac:dyDescent="0.2">
      <c r="A71" s="457"/>
      <c r="B71" s="470" t="s">
        <v>535</v>
      </c>
      <c r="C71" s="471">
        <v>65.8</v>
      </c>
      <c r="D71" s="472">
        <v>18.399999999999999</v>
      </c>
    </row>
    <row r="72" spans="1:4" x14ac:dyDescent="0.2">
      <c r="A72" s="457"/>
      <c r="B72" s="473" t="s">
        <v>536</v>
      </c>
      <c r="C72" s="474">
        <v>48.9</v>
      </c>
      <c r="D72" s="475">
        <v>18.399999999999999</v>
      </c>
    </row>
    <row r="73" spans="1:4" x14ac:dyDescent="0.2">
      <c r="A73" s="457"/>
      <c r="B73" s="473" t="s">
        <v>537</v>
      </c>
      <c r="C73" s="474">
        <v>55.9</v>
      </c>
      <c r="D73" s="475">
        <v>15.6</v>
      </c>
    </row>
    <row r="74" spans="1:4" x14ac:dyDescent="0.2">
      <c r="A74" s="457"/>
      <c r="B74" s="473" t="s">
        <v>538</v>
      </c>
      <c r="C74" s="474">
        <v>41.6</v>
      </c>
      <c r="D74" s="475">
        <v>15.6</v>
      </c>
    </row>
    <row r="75" spans="1:4" x14ac:dyDescent="0.2">
      <c r="A75" s="457"/>
      <c r="B75" s="473" t="s">
        <v>539</v>
      </c>
      <c r="C75" s="474">
        <v>46.1</v>
      </c>
      <c r="D75" s="475">
        <v>12.9</v>
      </c>
    </row>
    <row r="76" spans="1:4" x14ac:dyDescent="0.2">
      <c r="A76" s="457"/>
      <c r="B76" s="476" t="s">
        <v>540</v>
      </c>
      <c r="C76" s="477">
        <v>34.200000000000003</v>
      </c>
      <c r="D76" s="478">
        <v>12.9</v>
      </c>
    </row>
    <row r="78" spans="1:4" x14ac:dyDescent="0.2">
      <c r="A78" s="236" t="s">
        <v>646</v>
      </c>
    </row>
    <row r="79" spans="1:4" x14ac:dyDescent="0.2">
      <c r="B79" s="767" t="s">
        <v>657</v>
      </c>
      <c r="C79" s="770">
        <v>1</v>
      </c>
    </row>
    <row r="80" spans="1:4" x14ac:dyDescent="0.2">
      <c r="B80" s="14" t="s">
        <v>647</v>
      </c>
      <c r="C80" s="15">
        <v>0.25</v>
      </c>
    </row>
    <row r="81" spans="1:3" x14ac:dyDescent="0.2">
      <c r="B81" s="14" t="s">
        <v>648</v>
      </c>
      <c r="C81" s="15">
        <v>0.37</v>
      </c>
    </row>
    <row r="82" spans="1:3" x14ac:dyDescent="0.2">
      <c r="B82" s="14" t="s">
        <v>649</v>
      </c>
      <c r="C82" s="15">
        <v>0.53</v>
      </c>
    </row>
    <row r="83" spans="1:3" x14ac:dyDescent="0.2">
      <c r="B83" s="14" t="s">
        <v>650</v>
      </c>
      <c r="C83" s="15">
        <v>0.41</v>
      </c>
    </row>
    <row r="84" spans="1:3" x14ac:dyDescent="0.2">
      <c r="B84" s="14" t="s">
        <v>651</v>
      </c>
      <c r="C84" s="15">
        <v>0.49</v>
      </c>
    </row>
    <row r="85" spans="1:3" x14ac:dyDescent="0.2">
      <c r="B85" s="14" t="s">
        <v>652</v>
      </c>
      <c r="C85" s="15">
        <v>0.65</v>
      </c>
    </row>
    <row r="86" spans="1:3" x14ac:dyDescent="0.2">
      <c r="B86" s="14" t="s">
        <v>653</v>
      </c>
      <c r="C86" s="15">
        <v>0.53</v>
      </c>
    </row>
    <row r="87" spans="1:3" x14ac:dyDescent="0.2">
      <c r="B87" s="14" t="s">
        <v>654</v>
      </c>
      <c r="C87" s="15">
        <v>0.61</v>
      </c>
    </row>
    <row r="88" spans="1:3" x14ac:dyDescent="0.2">
      <c r="B88" s="16" t="s">
        <v>655</v>
      </c>
      <c r="C88" s="17">
        <v>0.78</v>
      </c>
    </row>
    <row r="90" spans="1:3" x14ac:dyDescent="0.2">
      <c r="A90" s="236" t="s">
        <v>670</v>
      </c>
      <c r="B90" s="457"/>
      <c r="C90" s="457"/>
    </row>
    <row r="91" spans="1:3" x14ac:dyDescent="0.2">
      <c r="A91" s="236"/>
      <c r="B91" s="470" t="s">
        <v>676</v>
      </c>
      <c r="C91" s="769">
        <v>1</v>
      </c>
    </row>
    <row r="92" spans="1:3" x14ac:dyDescent="0.2">
      <c r="A92" s="457"/>
      <c r="B92" s="14" t="s">
        <v>671</v>
      </c>
      <c r="C92" s="773">
        <v>0.55000000000000004</v>
      </c>
    </row>
    <row r="93" spans="1:3" x14ac:dyDescent="0.2">
      <c r="A93" s="457"/>
      <c r="B93" s="14" t="s">
        <v>672</v>
      </c>
      <c r="C93" s="773">
        <v>0.65</v>
      </c>
    </row>
    <row r="94" spans="1:3" x14ac:dyDescent="0.2">
      <c r="A94" s="457"/>
      <c r="B94" s="14" t="s">
        <v>673</v>
      </c>
      <c r="C94" s="773">
        <v>0.7</v>
      </c>
    </row>
    <row r="95" spans="1:3" x14ac:dyDescent="0.2">
      <c r="A95" s="457"/>
      <c r="B95" s="14" t="s">
        <v>674</v>
      </c>
      <c r="C95" s="773">
        <v>0.8</v>
      </c>
    </row>
    <row r="96" spans="1:3" x14ac:dyDescent="0.2">
      <c r="A96" s="457"/>
      <c r="B96" s="16" t="s">
        <v>675</v>
      </c>
      <c r="C96" s="774">
        <v>0.85</v>
      </c>
    </row>
    <row r="99" spans="1:3" x14ac:dyDescent="0.2">
      <c r="A99" s="236" t="s">
        <v>693</v>
      </c>
      <c r="B99" s="470" t="s">
        <v>694</v>
      </c>
      <c r="C99" s="770">
        <v>0.01</v>
      </c>
    </row>
    <row r="100" spans="1:3" x14ac:dyDescent="0.2">
      <c r="B100" s="825" t="s">
        <v>695</v>
      </c>
      <c r="C100" s="826">
        <v>5.4999999999999997E-3</v>
      </c>
    </row>
    <row r="101" spans="1:3" x14ac:dyDescent="0.2">
      <c r="B101" s="825" t="s">
        <v>696</v>
      </c>
      <c r="C101" s="826">
        <v>0.02</v>
      </c>
    </row>
    <row r="102" spans="1:3" x14ac:dyDescent="0.2">
      <c r="B102" s="827" t="s">
        <v>697</v>
      </c>
      <c r="C102" s="828">
        <v>1.55E-2</v>
      </c>
    </row>
  </sheetData>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126</vt:i4>
      </vt:variant>
    </vt:vector>
  </HeadingPairs>
  <TitlesOfParts>
    <vt:vector size="141" baseType="lpstr">
      <vt:lpstr>INFO G</vt:lpstr>
      <vt:lpstr>INFO BULL</vt:lpstr>
      <vt:lpstr>Récap Bulletin</vt:lpstr>
      <vt:lpstr>Bulletin Mois</vt:lpstr>
      <vt:lpstr>COPIE</vt:lpstr>
      <vt:lpstr>FILLON</vt:lpstr>
      <vt:lpstr>REGUL PLAFOND</vt:lpstr>
      <vt:lpstr>H SUP</vt:lpstr>
      <vt:lpstr>Abs_NR</vt:lpstr>
      <vt:lpstr>Abs_CP</vt:lpstr>
      <vt:lpstr>CP</vt:lpstr>
      <vt:lpstr>AN</vt:lpstr>
      <vt:lpstr>SAISIE</vt:lpstr>
      <vt:lpstr>Calendrier</vt:lpstr>
      <vt:lpstr>Liste déroulante</vt:lpstr>
      <vt:lpstr>ABO_TR</vt:lpstr>
      <vt:lpstr>ABS_CP</vt:lpstr>
      <vt:lpstr>Abs_NR_M</vt:lpstr>
      <vt:lpstr>ABSENCE_NON_REMUNEREE</vt:lpstr>
      <vt:lpstr>Abs_NR!ABSNR</vt:lpstr>
      <vt:lpstr>AN_EF</vt:lpstr>
      <vt:lpstr>AN_LOG</vt:lpstr>
      <vt:lpstr>AN_TR</vt:lpstr>
      <vt:lpstr>AN_VEH_HA</vt:lpstr>
      <vt:lpstr>AN_VEH_LOA</vt:lpstr>
      <vt:lpstr>ANLOGEMENT</vt:lpstr>
      <vt:lpstr>ANREPAS</vt:lpstr>
      <vt:lpstr>ANTR</vt:lpstr>
      <vt:lpstr>ANVEHICULE</vt:lpstr>
      <vt:lpstr>BAREMES</vt:lpstr>
      <vt:lpstr>BASE_SMIC</vt:lpstr>
      <vt:lpstr>BASECOT</vt:lpstr>
      <vt:lpstr>BASECOTAPP</vt:lpstr>
      <vt:lpstr>BASECOTPRO</vt:lpstr>
      <vt:lpstr>BRUTDEP</vt:lpstr>
      <vt:lpstr>BRUTREPAS</vt:lpstr>
      <vt:lpstr>C_GMP</vt:lpstr>
      <vt:lpstr>C_TRA</vt:lpstr>
      <vt:lpstr>C_TRB</vt:lpstr>
      <vt:lpstr>C_TRC</vt:lpstr>
      <vt:lpstr>cODES</vt:lpstr>
      <vt:lpstr>CONGE_PAYE</vt:lpstr>
      <vt:lpstr>COTISATIONS</vt:lpstr>
      <vt:lpstr>COTPAT</vt:lpstr>
      <vt:lpstr>COTSAL</vt:lpstr>
      <vt:lpstr>CP</vt:lpstr>
      <vt:lpstr>CPLT_SMIC</vt:lpstr>
      <vt:lpstr>D_ENTREE</vt:lpstr>
      <vt:lpstr>D_SORTIE</vt:lpstr>
      <vt:lpstr>Début_ABSNR</vt:lpstr>
      <vt:lpstr>DEPLACEMENT</vt:lpstr>
      <vt:lpstr>DUREE_CT</vt:lpstr>
      <vt:lpstr>DUREELEGALE</vt:lpstr>
      <vt:lpstr>EF_SAL</vt:lpstr>
      <vt:lpstr>EFFECTIF</vt:lpstr>
      <vt:lpstr>Calendrier!FERIES</vt:lpstr>
      <vt:lpstr>FILLON</vt:lpstr>
      <vt:lpstr>Fin_ABSNR</vt:lpstr>
      <vt:lpstr>Forfait_GMP</vt:lpstr>
      <vt:lpstr>Forfait_GMP_BULL</vt:lpstr>
      <vt:lpstr>Forfait_GMP_Tpspartiel</vt:lpstr>
      <vt:lpstr>FRAIS_DE_REPAS</vt:lpstr>
      <vt:lpstr>H_SEM</vt:lpstr>
      <vt:lpstr>H_SUP_TOTAL</vt:lpstr>
      <vt:lpstr>Heure_ABSNR</vt:lpstr>
      <vt:lpstr>Heures_RéèllesMois</vt:lpstr>
      <vt:lpstr>HS</vt:lpstr>
      <vt:lpstr>HSUP10</vt:lpstr>
      <vt:lpstr>HSUP25</vt:lpstr>
      <vt:lpstr>HSUP50</vt:lpstr>
      <vt:lpstr>ICCP</vt:lpstr>
      <vt:lpstr>ICCPFRACT</vt:lpstr>
      <vt:lpstr>INDDEP</vt:lpstr>
      <vt:lpstr>INDREPAS</vt:lpstr>
      <vt:lpstr>INFO_BULL</vt:lpstr>
      <vt:lpstr>INFO_GENERALE</vt:lpstr>
      <vt:lpstr>J_CP</vt:lpstr>
      <vt:lpstr>Calendrier!J_PAQUES</vt:lpstr>
      <vt:lpstr>J_SEM</vt:lpstr>
      <vt:lpstr>LIMITE_FILLON</vt:lpstr>
      <vt:lpstr>LOGEMENT</vt:lpstr>
      <vt:lpstr>MOIS_BULLETIN</vt:lpstr>
      <vt:lpstr>NC_TR1</vt:lpstr>
      <vt:lpstr>NC_TR2</vt:lpstr>
      <vt:lpstr>Plafond_Ch_GMP</vt:lpstr>
      <vt:lpstr>Plafond_GMP_BULLETIN</vt:lpstr>
      <vt:lpstr>Plafond_Pro_GMP</vt:lpstr>
      <vt:lpstr>Plafond_Sécu_MOIS</vt:lpstr>
      <vt:lpstr>PRIMES</vt:lpstr>
      <vt:lpstr>PRORATISATION</vt:lpstr>
      <vt:lpstr>PSS_BULLETIN</vt:lpstr>
      <vt:lpstr>PSS_Proratisé_Tpspartiel</vt:lpstr>
      <vt:lpstr>qs</vt:lpstr>
      <vt:lpstr>qsp</vt:lpstr>
      <vt:lpstr>Calendrier!Rèf_Année</vt:lpstr>
      <vt:lpstr>REGUL_PLAFOND</vt:lpstr>
      <vt:lpstr>REPAS</vt:lpstr>
      <vt:lpstr>rmi</vt:lpstr>
      <vt:lpstr>RSA_Calcule</vt:lpstr>
      <vt:lpstr>rsa_Insaisissable</vt:lpstr>
      <vt:lpstr>RTT</vt:lpstr>
      <vt:lpstr>SAISIE</vt:lpstr>
      <vt:lpstr>SAISIE_SAL</vt:lpstr>
      <vt:lpstr>SAISIE_SALAIRE</vt:lpstr>
      <vt:lpstr>SALARIE</vt:lpstr>
      <vt:lpstr>salmensu</vt:lpstr>
      <vt:lpstr>SBASE</vt:lpstr>
      <vt:lpstr>SBASEAPP</vt:lpstr>
      <vt:lpstr>SBASECPRO</vt:lpstr>
      <vt:lpstr>SBRUT</vt:lpstr>
      <vt:lpstr>SMIC_H</vt:lpstr>
      <vt:lpstr>SMIC_M</vt:lpstr>
      <vt:lpstr>SNAP</vt:lpstr>
      <vt:lpstr>SNET</vt:lpstr>
      <vt:lpstr>SNETCOT</vt:lpstr>
      <vt:lpstr>SoldeICCPMaintien</vt:lpstr>
      <vt:lpstr>SoldeICCPN</vt:lpstr>
      <vt:lpstr>SoldeICCPN1</vt:lpstr>
      <vt:lpstr>SoldeICCPNR10</vt:lpstr>
      <vt:lpstr>Taux_Horaire</vt:lpstr>
      <vt:lpstr>TECHNOLOGIE</vt:lpstr>
      <vt:lpstr>TICKET_RESTO</vt:lpstr>
      <vt:lpstr>TOT_HSUP</vt:lpstr>
      <vt:lpstr>Total_RETENUE</vt:lpstr>
      <vt:lpstr>TotMajo</vt:lpstr>
      <vt:lpstr>TR_CADRE</vt:lpstr>
      <vt:lpstr>TR_NONCADRE</vt:lpstr>
      <vt:lpstr>TR_SAL</vt:lpstr>
      <vt:lpstr>TRANSPORT</vt:lpstr>
      <vt:lpstr>TRBRUT</vt:lpstr>
      <vt:lpstr>Tx_AT_Ets</vt:lpstr>
      <vt:lpstr>Tx_AT_Moy</vt:lpstr>
      <vt:lpstr>Tx_FILLON</vt:lpstr>
      <vt:lpstr>Tx_FILLON_MAX</vt:lpstr>
      <vt:lpstr>Tx_FILLON_MINI</vt:lpstr>
      <vt:lpstr>TXAPP</vt:lpstr>
      <vt:lpstr>TXDEDUCAPP</vt:lpstr>
      <vt:lpstr>TXH_10</vt:lpstr>
      <vt:lpstr>TXH_25</vt:lpstr>
      <vt:lpstr>TXH_50</vt:lpstr>
      <vt:lpstr>VEHICULE</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Util06</dc:creator>
  <cp:lastModifiedBy>Sandrine MORALES</cp:lastModifiedBy>
  <dcterms:created xsi:type="dcterms:W3CDTF">2017-11-29T11:23:13Z</dcterms:created>
  <dcterms:modified xsi:type="dcterms:W3CDTF">2017-12-07T19:24:44Z</dcterms:modified>
</cp:coreProperties>
</file>