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drawings/drawing3.xml" ContentType="application/vnd.openxmlformats-officedocument.drawing+xml"/>
  <Override PartName="/xl/ctrlProps/ctrlProp2.xml" ContentType="application/vnd.ms-excel.controlproperties+xml"/>
  <Override PartName="/xl/comments6.xml" ContentType="application/vnd.openxmlformats-officedocument.spreadsheetml.comments+xml"/>
  <Override PartName="/xl/comments7.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528" codeName="{B1203076-2D4D-A25B-A398-973B695A806A}"/>
  <workbookPr codeName="ThisWorkbook"/>
  <mc:AlternateContent xmlns:mc="http://schemas.openxmlformats.org/markup-compatibility/2006">
    <mc:Choice Requires="x15">
      <x15ac:absPath xmlns:x15ac="http://schemas.microsoft.com/office/spreadsheetml/2010/11/ac" url="C:\Users\psm\Documents\sandrine\irfa\EXCEL\"/>
    </mc:Choice>
  </mc:AlternateContent>
  <bookViews>
    <workbookView xWindow="0" yWindow="0" windowWidth="28800" windowHeight="12435" tabRatio="780" activeTab="1" xr2:uid="{00000000-000D-0000-FFFF-FFFF00000000}"/>
  </bookViews>
  <sheets>
    <sheet name="Feuil1" sheetId="13" r:id="rId1"/>
    <sheet name="info bulletin" sheetId="11" r:id="rId2"/>
    <sheet name="Modèle Non Cadre" sheetId="1" r:id="rId3"/>
    <sheet name="Modèle Simplifié" sheetId="2" r:id="rId4"/>
    <sheet name="H SUP" sheetId="5" r:id="rId5"/>
    <sheet name="Abs_NR" sheetId="12" r:id="rId6"/>
    <sheet name="Abs_CP" sheetId="4" r:id="rId7"/>
    <sheet name="CP" sheetId="3" r:id="rId8"/>
    <sheet name="AN" sheetId="6" r:id="rId9"/>
    <sheet name="SAISIE" sheetId="9" r:id="rId10"/>
    <sheet name="divers" sheetId="7" r:id="rId11"/>
  </sheets>
  <definedNames>
    <definedName name="ABO_TR">AN!$B$58</definedName>
    <definedName name="ABS">Abs_CP!$A$1</definedName>
    <definedName name="ABS_CP">Abs_CP!$D$19</definedName>
    <definedName name="ABS_NR">Abs_NR!$A$1</definedName>
    <definedName name="ABSNR">Abs_NR!$D$19</definedName>
    <definedName name="ACOMPTE">'info bulletin'!$C$37</definedName>
    <definedName name="AN_ABO">'info bulletin'!$C$130</definedName>
    <definedName name="AN_EF">AN!$E$20</definedName>
    <definedName name="AN_LOG">AN!$E$27</definedName>
    <definedName name="AN_REPAS">'Modèle Non Cadre'!$F$26</definedName>
    <definedName name="AN_TECH">'info bulletin'!$C$129</definedName>
    <definedName name="AN_TECH_ABO">'Modèle Non Cadre'!$F$29</definedName>
    <definedName name="AN_TR">AN!$E$11</definedName>
    <definedName name="AN_VEH">'Modèle Non Cadre'!$F$28</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HOR">'Modèle Non Cadre'!$D$17</definedName>
    <definedName name="BASE_SMIC">'info bulletin'!$F$18</definedName>
    <definedName name="BULLETIN">'Modèle Non Cadre'!$A$1</definedName>
    <definedName name="cODES">SAISIE!$J$5:$J$15</definedName>
    <definedName name="COT_TR">'info bulletin'!$C$30</definedName>
    <definedName name="CP">CP!$A$1</definedName>
    <definedName name="CP_JOUR">'info bulletin'!$C$63</definedName>
    <definedName name="CP_R_M">'info bulletin'!$C$64</definedName>
    <definedName name="CRDSND">'Modèle Non Cadre'!$F$74</definedName>
    <definedName name="CSGD">'Modèle Non Cadre'!$F$46</definedName>
    <definedName name="CSGND">'Modèle Non Cadre'!$F$73</definedName>
    <definedName name="D_ABS_CP">'info bulletin'!$C$56</definedName>
    <definedName name="D_ABS_NR">'info bulletin'!$C$49</definedName>
    <definedName name="EF_SAL">AN!$E$19</definedName>
    <definedName name="EVAL_FOR_REPAS">'info bulletin'!$C$95</definedName>
    <definedName name="F_ABS_CP">'info bulletin'!$C$57</definedName>
    <definedName name="F_ABS_NR">'info bulletin'!$C$50</definedName>
    <definedName name="FERIES">divers!$F$3:$F$15</definedName>
    <definedName name="H_10">'H SUP'!$D$3</definedName>
    <definedName name="H_25">'H SUP'!$D$4</definedName>
    <definedName name="H_50">'H SUP'!$D$5</definedName>
    <definedName name="H_ABS_CP">'info bulletin'!$C$58</definedName>
    <definedName name="H_ABS_NR">'info bulletin'!$C$51</definedName>
    <definedName name="H_R_W_M">'info bulletin'!$C$59</definedName>
    <definedName name="HS">'H SUP'!$A$1</definedName>
    <definedName name="ICCP">CP!$E$11</definedName>
    <definedName name="ICCPFRACT">CP!$E$34</definedName>
    <definedName name="INFO">'info bulletin'!$A$3</definedName>
    <definedName name="J_CP">CP!$B$5</definedName>
    <definedName name="J_EF">'info bulletin'!$C$96</definedName>
    <definedName name="J_PAQUES">divers!$F$4</definedName>
    <definedName name="J_TR">'info bulletin'!$C$86</definedName>
    <definedName name="MOIS_BULLETIN">'info bulletin'!$C$3</definedName>
    <definedName name="MUTUELLE">'info bulletin'!$C$31</definedName>
    <definedName name="NAP">'Modèle Non Cadre'!$F$100</definedName>
    <definedName name="NBRE_H_MOIS">'info bulletin'!$F$15</definedName>
    <definedName name="NBRE_H_SEM">'info bulletin'!$C$14</definedName>
    <definedName name="NBRE_J_SEM">'info bulletin'!$C$15</definedName>
    <definedName name="NBRE_PERS_CHAR">'info bulletin'!$F$10</definedName>
    <definedName name="NBRE_PIECES">'info bulletin'!$C$101</definedName>
    <definedName name="NBRE_SALARIES">'info bulletin'!$J$10</definedName>
    <definedName name="NetImposable">'Modèle Non Cadre'!$I$114</definedName>
    <definedName name="paques">CP!#REF!</definedName>
    <definedName name="PPAT_PREV_DC">'info bulletin'!$C$34</definedName>
    <definedName name="PPAT_TR">'info bulletin'!$C$90</definedName>
    <definedName name="PPMUT">'Modèle Non Cadre'!$I$66</definedName>
    <definedName name="PPPREVDC">'Modèle Non Cadre'!$I$67</definedName>
    <definedName name="PS">'info bulletin'!$C$17</definedName>
    <definedName name="PSAL_EF_REPAS">'info bulletin'!$C$94</definedName>
    <definedName name="PSAL_MUT">'info bulletin'!$C$32</definedName>
    <definedName name="PSAL_PREV_DC">'info bulletin'!$C$33</definedName>
    <definedName name="PSAL_TR">'info bulletin'!$C$89</definedName>
    <definedName name="PSS">'Modèle Non Cadre'!$B$13</definedName>
    <definedName name="qs">SAISIE!$B$8</definedName>
    <definedName name="qsp">SAISIE!$I$13</definedName>
    <definedName name="rmi">'info bulletin'!$C$140</definedName>
    <definedName name="RSA_Calcule">SAISIE!$N$5:$N$15</definedName>
    <definedName name="rsa_Insaisissable">SAISIE!$C$5</definedName>
    <definedName name="S_RTT">'info bulletin'!$C$25</definedName>
    <definedName name="SAISIE">SAISIE!$A$3</definedName>
    <definedName name="SAISIE_SAL">SAISIE!$I$15</definedName>
    <definedName name="salmensu">SAISIE!$B$4</definedName>
    <definedName name="SALREFANLOGEMENT">'info bulletin'!#REF!</definedName>
    <definedName name="SBASE">'info bulletin'!$C$16</definedName>
    <definedName name="SBRUT">'Modèle Non Cadre'!$F$43</definedName>
    <definedName name="SMIC_M">'info bulletin'!$C$18</definedName>
    <definedName name="SNAR">'Modèle Non Cadre'!$F$82</definedName>
    <definedName name="SoldeICCPMaintien">CP!$C$28</definedName>
    <definedName name="SoldeICCPN">'Modèle Non Cadre'!$F$35</definedName>
    <definedName name="SoldeICCPN1">CP!$B$20</definedName>
    <definedName name="SoldeICCPNR10">CP!$B$28</definedName>
    <definedName name="TAT">'info bulletin'!$C$28</definedName>
    <definedName name="TATD">'info bulletin'!$C$27</definedName>
    <definedName name="TATM">'info bulletin'!$C$26</definedName>
    <definedName name="totcotpat">'Modèle Non Cadre'!$I$81</definedName>
    <definedName name="totcotsal">'Modèle Non Cadre'!$F$81</definedName>
    <definedName name="TotMajo">SAISIE!$C$6</definedName>
    <definedName name="TOTRET">'Modèle Non Cadre'!$F$98</definedName>
    <definedName name="TR_SAL">AN!$E$10</definedName>
    <definedName name="TX_10">'info bulletin'!$C$21</definedName>
    <definedName name="TX_25">'info bulletin'!$C$22</definedName>
    <definedName name="TX_50">'info bulletin'!$C$23</definedName>
    <definedName name="TX_CHOM">'info bulletin'!$C$29</definedName>
    <definedName name="TX_HOR">'info bulletin'!$C$20</definedName>
    <definedName name="V_F_TR">'info bulletin'!$C$87</definedName>
    <definedName name="vMax_PP_TR">'info bulletin'!$C$88</definedName>
  </definedName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95" i="1" l="1"/>
  <c r="B3" i="4"/>
  <c r="C18" i="11"/>
  <c r="D102" i="11"/>
  <c r="C103" i="11" s="1"/>
  <c r="A27" i="6" s="1"/>
  <c r="B33" i="3"/>
  <c r="B32" i="3"/>
  <c r="B26" i="3"/>
  <c r="C24" i="3"/>
  <c r="B24" i="3"/>
  <c r="B25" i="3" s="1"/>
  <c r="C23" i="3"/>
  <c r="B19" i="3"/>
  <c r="B16" i="3"/>
  <c r="B7" i="3"/>
  <c r="B6" i="3"/>
  <c r="B20" i="3" l="1"/>
  <c r="C72" i="11" s="1"/>
  <c r="F34" i="1"/>
  <c r="E42" i="11" l="1"/>
  <c r="F15" i="11"/>
  <c r="D7" i="12" l="1"/>
  <c r="D7" i="4"/>
  <c r="F3" i="3"/>
  <c r="F2" i="7"/>
  <c r="F12" i="7" s="1"/>
  <c r="F15" i="7" l="1"/>
  <c r="F4" i="7"/>
  <c r="F13" i="7"/>
  <c r="F14" i="7"/>
  <c r="F6" i="7"/>
  <c r="F3" i="7"/>
  <c r="F7" i="7"/>
  <c r="F11" i="7"/>
  <c r="B17" i="3"/>
  <c r="B18" i="3" s="1"/>
  <c r="D20" i="1"/>
  <c r="B4" i="6"/>
  <c r="F9" i="7" l="1"/>
  <c r="F10" i="7"/>
  <c r="F8" i="7"/>
  <c r="F5" i="7"/>
  <c r="A19" i="1"/>
  <c r="C90" i="11"/>
  <c r="C28" i="11"/>
  <c r="C4" i="7"/>
  <c r="C29" i="11"/>
  <c r="H58" i="1" s="1"/>
  <c r="B57" i="5" l="1"/>
  <c r="B58" i="5"/>
  <c r="C60" i="5"/>
  <c r="C61" i="5" s="1"/>
  <c r="H67" i="1" l="1"/>
  <c r="E67" i="1"/>
  <c r="C3" i="7" l="1"/>
  <c r="C2" i="7"/>
  <c r="D27" i="6" l="1"/>
  <c r="B27" i="6"/>
  <c r="A31" i="1" l="1"/>
  <c r="D19" i="1"/>
  <c r="D18" i="12"/>
  <c r="B12" i="12"/>
  <c r="B11" i="12"/>
  <c r="B8" i="12"/>
  <c r="B7" i="12"/>
  <c r="C11" i="12" s="1"/>
  <c r="B3" i="12"/>
  <c r="F4" i="12"/>
  <c r="C13" i="12" s="1"/>
  <c r="F3" i="12"/>
  <c r="B13" i="12" s="1"/>
  <c r="D13" i="12" l="1"/>
  <c r="E13" i="12"/>
  <c r="E11" i="12"/>
  <c r="D11" i="12"/>
  <c r="B17" i="12"/>
  <c r="B16" i="12"/>
  <c r="D19" i="12" s="1"/>
  <c r="F19" i="1" s="1"/>
  <c r="D43" i="6"/>
  <c r="A43" i="6"/>
  <c r="B43" i="6" s="1"/>
  <c r="D8" i="12" l="1"/>
  <c r="C12" i="12" s="1"/>
  <c r="B23" i="12"/>
  <c r="B21" i="12"/>
  <c r="I12" i="1"/>
  <c r="H12" i="2" s="1"/>
  <c r="F11" i="1"/>
  <c r="F11" i="2" s="1"/>
  <c r="F12" i="1"/>
  <c r="F12" i="2" s="1"/>
  <c r="H10" i="1"/>
  <c r="G10" i="2" s="1"/>
  <c r="F10" i="1"/>
  <c r="F10" i="2" s="1"/>
  <c r="H6" i="1"/>
  <c r="F6" i="2" s="1"/>
  <c r="H5" i="1"/>
  <c r="H5" i="2" s="1"/>
  <c r="F5" i="1"/>
  <c r="F5" i="2" s="1"/>
  <c r="F3" i="1"/>
  <c r="F3" i="2" s="1"/>
  <c r="F4" i="1"/>
  <c r="F4" i="2" s="1"/>
  <c r="F2" i="1"/>
  <c r="F2" i="2" s="1"/>
  <c r="B4" i="1"/>
  <c r="B4" i="2" s="1"/>
  <c r="B12" i="1"/>
  <c r="B11" i="2" s="1"/>
  <c r="B11" i="1"/>
  <c r="B10" i="2" s="1"/>
  <c r="B10" i="1"/>
  <c r="B9" i="2" s="1"/>
  <c r="B9" i="1"/>
  <c r="B8" i="2" s="1"/>
  <c r="B8" i="1"/>
  <c r="B7" i="2" s="1"/>
  <c r="B7" i="1"/>
  <c r="B6" i="2" s="1"/>
  <c r="B56" i="6"/>
  <c r="B55" i="6"/>
  <c r="C58" i="6" s="1"/>
  <c r="C139" i="11"/>
  <c r="B6" i="9"/>
  <c r="F96" i="1"/>
  <c r="D25" i="1"/>
  <c r="D24" i="1"/>
  <c r="D23" i="1"/>
  <c r="C130" i="11"/>
  <c r="C129" i="11"/>
  <c r="B48" i="6"/>
  <c r="B47" i="6"/>
  <c r="E37" i="6"/>
  <c r="E38" i="6"/>
  <c r="E39" i="6"/>
  <c r="E36" i="6"/>
  <c r="B37" i="6"/>
  <c r="B38" i="6"/>
  <c r="B39" i="6"/>
  <c r="B36" i="6"/>
  <c r="C27" i="6"/>
  <c r="E27" i="6" s="1"/>
  <c r="C104" i="11" s="1"/>
  <c r="H75" i="1"/>
  <c r="H66" i="1"/>
  <c r="E66" i="1"/>
  <c r="D66" i="1"/>
  <c r="B17" i="6"/>
  <c r="B16" i="6"/>
  <c r="B15" i="6"/>
  <c r="B7" i="6"/>
  <c r="B6" i="6"/>
  <c r="E7" i="6"/>
  <c r="B5" i="6"/>
  <c r="F37" i="1"/>
  <c r="E4" i="3"/>
  <c r="E3" i="3"/>
  <c r="D31" i="1"/>
  <c r="B4" i="3"/>
  <c r="B3" i="3"/>
  <c r="B12" i="4"/>
  <c r="B11" i="4"/>
  <c r="F4" i="4"/>
  <c r="D13" i="4" s="1"/>
  <c r="F3" i="4"/>
  <c r="B8" i="4"/>
  <c r="B7" i="4"/>
  <c r="D18" i="4"/>
  <c r="D21" i="1"/>
  <c r="F22" i="1"/>
  <c r="F30" i="1"/>
  <c r="F21" i="1"/>
  <c r="H53" i="1"/>
  <c r="F17" i="1"/>
  <c r="D17" i="1"/>
  <c r="F18" i="11" s="1"/>
  <c r="F18" i="1" l="1"/>
  <c r="E10" i="6"/>
  <c r="C91" i="11" s="1"/>
  <c r="B16" i="4"/>
  <c r="D19" i="4" s="1"/>
  <c r="C61" i="11" s="1"/>
  <c r="F17" i="11"/>
  <c r="B13" i="1" s="1"/>
  <c r="B12" i="2" s="1"/>
  <c r="B5" i="3"/>
  <c r="C11" i="4"/>
  <c r="D11" i="4"/>
  <c r="E12" i="12"/>
  <c r="B22" i="12" s="1"/>
  <c r="D12" i="12"/>
  <c r="B20" i="12" s="1"/>
  <c r="B11" i="3"/>
  <c r="B10" i="3"/>
  <c r="C25" i="3" s="1"/>
  <c r="C28" i="3" s="1"/>
  <c r="B27" i="3"/>
  <c r="B28" i="3" s="1"/>
  <c r="F29" i="1"/>
  <c r="F91" i="1" s="1"/>
  <c r="C20" i="11"/>
  <c r="B58" i="6"/>
  <c r="F94" i="1" s="1"/>
  <c r="F66" i="1"/>
  <c r="H79" i="1"/>
  <c r="D77" i="1"/>
  <c r="I77" i="1" s="1"/>
  <c r="H70" i="1"/>
  <c r="E10" i="3" l="1"/>
  <c r="E9" i="3"/>
  <c r="F35" i="1"/>
  <c r="C78" i="11" s="1"/>
  <c r="C21" i="11"/>
  <c r="E23" i="1" s="1"/>
  <c r="F23" i="1" s="1"/>
  <c r="E20" i="1"/>
  <c r="F20" i="1" s="1"/>
  <c r="C23" i="11"/>
  <c r="E25" i="1" s="1"/>
  <c r="C22" i="11"/>
  <c r="E24" i="1" s="1"/>
  <c r="I66" i="1"/>
  <c r="G6" i="9" l="1"/>
  <c r="G7" i="9"/>
  <c r="G8" i="9"/>
  <c r="G9" i="9"/>
  <c r="G5" i="9"/>
  <c r="G4" i="9"/>
  <c r="G10" i="9"/>
  <c r="D10" i="9"/>
  <c r="D9" i="9"/>
  <c r="D8" i="9"/>
  <c r="D7" i="9"/>
  <c r="D6" i="9"/>
  <c r="D5" i="9"/>
  <c r="F4" i="9"/>
  <c r="F6" i="9" l="1"/>
  <c r="F10" i="9"/>
  <c r="F8" i="9"/>
  <c r="F9" i="9"/>
  <c r="F5" i="9"/>
  <c r="F7" i="9"/>
  <c r="K13" i="5" l="1"/>
  <c r="M16" i="5" l="1"/>
  <c r="M17" i="5"/>
  <c r="M18" i="5"/>
  <c r="M19" i="5"/>
  <c r="M20" i="5"/>
  <c r="M21" i="5"/>
  <c r="M22" i="5"/>
  <c r="M23" i="5"/>
  <c r="M24" i="5"/>
  <c r="M25" i="5"/>
  <c r="M26" i="5"/>
  <c r="M27" i="5"/>
  <c r="L16" i="5"/>
  <c r="L17" i="5"/>
  <c r="L18" i="5"/>
  <c r="L19" i="5"/>
  <c r="L20" i="5"/>
  <c r="L21" i="5"/>
  <c r="L22" i="5"/>
  <c r="L23" i="5"/>
  <c r="L24" i="5"/>
  <c r="L25" i="5"/>
  <c r="L26" i="5"/>
  <c r="L27" i="5"/>
  <c r="K12" i="5"/>
  <c r="K14" i="5"/>
  <c r="K15" i="5"/>
  <c r="K16" i="5"/>
  <c r="K17" i="5"/>
  <c r="K18" i="5"/>
  <c r="K19" i="5"/>
  <c r="K20" i="5"/>
  <c r="K21" i="5"/>
  <c r="K22" i="5"/>
  <c r="K23" i="5"/>
  <c r="K24" i="5"/>
  <c r="K25" i="5"/>
  <c r="K26" i="5"/>
  <c r="K27" i="5"/>
  <c r="K11" i="5"/>
  <c r="L11" i="5" l="1"/>
  <c r="L13" i="5" s="1"/>
  <c r="L15" i="5" s="1"/>
  <c r="M15" i="5" s="1"/>
  <c r="L12" i="5"/>
  <c r="L14" i="5" s="1"/>
  <c r="M14" i="5" s="1"/>
  <c r="M11" i="5" l="1"/>
  <c r="M13" i="5"/>
  <c r="M12" i="5"/>
  <c r="B21" i="4"/>
  <c r="C13" i="4"/>
  <c r="B34" i="3" l="1"/>
  <c r="E34" i="3" s="1"/>
  <c r="F36" i="1" l="1"/>
  <c r="C82" i="11"/>
  <c r="F33" i="1"/>
  <c r="E20" i="6"/>
  <c r="C98" i="11" s="1"/>
  <c r="E19" i="6"/>
  <c r="C97" i="11" s="1"/>
  <c r="F92" i="1"/>
  <c r="B45" i="6"/>
  <c r="B50" i="6" s="1"/>
  <c r="E8" i="6"/>
  <c r="E11" i="6" s="1"/>
  <c r="F26" i="1" s="1"/>
  <c r="E43" i="6"/>
  <c r="E45" i="6" s="1"/>
  <c r="C124" i="11" s="1"/>
  <c r="B8" i="7"/>
  <c r="B12" i="7"/>
  <c r="A33" i="5"/>
  <c r="G31" i="5"/>
  <c r="H31" i="5" s="1"/>
  <c r="F31" i="5"/>
  <c r="G30" i="5"/>
  <c r="F30" i="5"/>
  <c r="G29" i="5"/>
  <c r="F29" i="5"/>
  <c r="G28" i="5"/>
  <c r="H28" i="5" s="1"/>
  <c r="F28" i="5"/>
  <c r="G27" i="5"/>
  <c r="F27" i="5"/>
  <c r="G26" i="5"/>
  <c r="H26" i="5" s="1"/>
  <c r="F26" i="5"/>
  <c r="G25" i="5"/>
  <c r="F25" i="5"/>
  <c r="G24" i="5"/>
  <c r="F24" i="5"/>
  <c r="G23" i="5"/>
  <c r="F23" i="5"/>
  <c r="G22" i="5"/>
  <c r="F22" i="5"/>
  <c r="G21" i="5"/>
  <c r="F21" i="5"/>
  <c r="G20" i="5"/>
  <c r="H20" i="5" s="1"/>
  <c r="F20" i="5"/>
  <c r="G19" i="5"/>
  <c r="F19" i="5"/>
  <c r="G18" i="5"/>
  <c r="H18" i="5" s="1"/>
  <c r="F18" i="5"/>
  <c r="G17" i="5"/>
  <c r="F17" i="5"/>
  <c r="G16" i="5"/>
  <c r="H16" i="5" s="1"/>
  <c r="F16" i="5"/>
  <c r="G15" i="5"/>
  <c r="F15" i="5"/>
  <c r="G14" i="5"/>
  <c r="H14" i="5" s="1"/>
  <c r="F14" i="5"/>
  <c r="G13" i="5"/>
  <c r="F13" i="5"/>
  <c r="G12" i="5"/>
  <c r="H12" i="5" s="1"/>
  <c r="F12" i="5"/>
  <c r="G11" i="5"/>
  <c r="F11" i="5"/>
  <c r="G10" i="5"/>
  <c r="H10" i="5" s="1"/>
  <c r="F10" i="5"/>
  <c r="G9" i="5"/>
  <c r="F9" i="5"/>
  <c r="D35" i="1"/>
  <c r="D34" i="1"/>
  <c r="E13" i="4"/>
  <c r="B13" i="4"/>
  <c r="B17" i="4" s="1"/>
  <c r="E11" i="4"/>
  <c r="H27" i="5" l="1"/>
  <c r="H30" i="5"/>
  <c r="B23" i="4"/>
  <c r="C114" i="11"/>
  <c r="F28" i="1"/>
  <c r="F90" i="1" s="1"/>
  <c r="C92" i="11"/>
  <c r="F87" i="1"/>
  <c r="F86" i="1"/>
  <c r="H13" i="5"/>
  <c r="H29" i="5"/>
  <c r="F27" i="1"/>
  <c r="F89" i="1" s="1"/>
  <c r="B59" i="6"/>
  <c r="H9" i="5"/>
  <c r="H11" i="5"/>
  <c r="H15" i="5"/>
  <c r="H17" i="5"/>
  <c r="H21" i="5"/>
  <c r="H24" i="5"/>
  <c r="H19" i="5"/>
  <c r="H23" i="5"/>
  <c r="H25" i="5"/>
  <c r="F33" i="5"/>
  <c r="H22" i="5"/>
  <c r="F4" i="3"/>
  <c r="B8" i="3" s="1"/>
  <c r="D8" i="4"/>
  <c r="H4" i="4" s="1"/>
  <c r="L28" i="5"/>
  <c r="L30" i="5" s="1"/>
  <c r="G33" i="5"/>
  <c r="E17" i="1"/>
  <c r="E12" i="4" l="1"/>
  <c r="B22" i="4" s="1"/>
  <c r="D12" i="4"/>
  <c r="B20" i="4" s="1"/>
  <c r="C12" i="4"/>
  <c r="B9" i="3"/>
  <c r="F88" i="1"/>
  <c r="H33" i="5"/>
  <c r="H35" i="5" s="1"/>
  <c r="M28" i="5"/>
  <c r="M30" i="5" s="1"/>
  <c r="F24" i="1"/>
  <c r="F25" i="1"/>
  <c r="B18" i="12" l="1"/>
  <c r="D32" i="1"/>
  <c r="B19" i="12" l="1"/>
  <c r="C67" i="11"/>
  <c r="B18" i="4"/>
  <c r="B19" i="4"/>
  <c r="D43" i="1"/>
  <c r="F31" i="1" l="1"/>
  <c r="E11" i="3"/>
  <c r="F32" i="1" l="1"/>
  <c r="F43" i="1" s="1"/>
  <c r="K2" i="1" s="1"/>
  <c r="C68" i="11"/>
  <c r="D50" i="1" l="1"/>
  <c r="F50" i="1" s="1"/>
  <c r="D67" i="1"/>
  <c r="D52" i="1"/>
  <c r="D76" i="1"/>
  <c r="I76" i="1" s="1"/>
  <c r="D75" i="1"/>
  <c r="I75" i="1" s="1"/>
  <c r="D62" i="1"/>
  <c r="I62" i="1" s="1"/>
  <c r="D49" i="1"/>
  <c r="F49" i="1" s="1"/>
  <c r="D70" i="1"/>
  <c r="I70" i="1" s="1"/>
  <c r="D79" i="1"/>
  <c r="I79" i="1" s="1"/>
  <c r="D65" i="1"/>
  <c r="I65" i="1" s="1"/>
  <c r="D58" i="1"/>
  <c r="I58" i="1" s="1"/>
  <c r="H52" i="1"/>
  <c r="D55" i="1"/>
  <c r="I55" i="1" s="1"/>
  <c r="D72" i="1"/>
  <c r="I72" i="1" s="1"/>
  <c r="D78" i="1"/>
  <c r="I78" i="1" s="1"/>
  <c r="D64" i="1"/>
  <c r="I64" i="1" s="1"/>
  <c r="D71" i="1"/>
  <c r="I71" i="1" s="1"/>
  <c r="D63" i="1"/>
  <c r="I63" i="1" s="1"/>
  <c r="D51" i="1"/>
  <c r="I51" i="1" s="1"/>
  <c r="D53" i="1"/>
  <c r="I53" i="1" s="1"/>
  <c r="D59" i="1"/>
  <c r="I59" i="1" s="1"/>
  <c r="I67" i="1" l="1"/>
  <c r="D54" i="1" s="1"/>
  <c r="F67" i="1"/>
  <c r="I52" i="1"/>
  <c r="F58" i="1"/>
  <c r="F62" i="1"/>
  <c r="I50" i="1"/>
  <c r="F51" i="1"/>
  <c r="F63" i="1"/>
  <c r="F64" i="1"/>
  <c r="F65" i="1"/>
  <c r="I49" i="1"/>
  <c r="I54" i="1" l="1"/>
  <c r="I81" i="1" s="1"/>
  <c r="D46" i="1"/>
  <c r="F46" i="1" s="1"/>
  <c r="D74" i="1"/>
  <c r="F74" i="1" s="1"/>
  <c r="D73" i="1"/>
  <c r="F73" i="1" s="1"/>
  <c r="I100" i="1" l="1"/>
  <c r="K4" i="1"/>
  <c r="F81" i="1"/>
  <c r="K3" i="1" s="1"/>
  <c r="F82" i="1" l="1"/>
  <c r="B4" i="9"/>
  <c r="I7" i="9" s="1"/>
  <c r="K5" i="1" l="1"/>
  <c r="B8" i="9"/>
  <c r="I13" i="9" s="1"/>
  <c r="I4" i="9"/>
  <c r="K4" i="9" s="1"/>
  <c r="I5" i="9"/>
  <c r="I6" i="9"/>
  <c r="I10" i="9"/>
  <c r="I8" i="9"/>
  <c r="K9" i="9"/>
  <c r="K7" i="9"/>
  <c r="K10" i="9"/>
  <c r="K8" i="9"/>
  <c r="K5" i="9"/>
  <c r="I9" i="9"/>
  <c r="K6" i="9"/>
  <c r="I12" i="9" l="1"/>
  <c r="B10" i="9"/>
  <c r="B9" i="9"/>
  <c r="I11" i="9"/>
  <c r="I15" i="9" l="1"/>
  <c r="F85" i="1" s="1"/>
  <c r="C141" i="11" l="1"/>
  <c r="F98" i="1"/>
  <c r="F100" i="1" l="1"/>
  <c r="K6" i="1"/>
  <c r="H114" i="1" l="1"/>
  <c r="I114" i="1"/>
  <c r="K8" i="1" s="1"/>
  <c r="H104" i="1"/>
  <c r="K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L53" authorId="0" shapeId="0" xr:uid="{00000000-0006-0000-0100-000001000000}">
      <text>
        <r>
          <rPr>
            <b/>
            <sz val="9"/>
            <color indexed="81"/>
            <rFont val="Tahoma"/>
            <family val="2"/>
          </rPr>
          <t>Sandrine MORALES:</t>
        </r>
        <r>
          <rPr>
            <sz val="9"/>
            <color indexed="81"/>
            <rFont val="Tahoma"/>
            <family val="2"/>
          </rPr>
          <t xml:space="preserve">
Méthode qui a fait JURISPRUDENCE3
(h ABS * SB ) / h réèlles</t>
        </r>
      </text>
    </comment>
    <comment ref="L54" authorId="1" shapeId="0" xr:uid="{00000000-0006-0000-0100-000002000000}">
      <text>
        <r>
          <rPr>
            <b/>
            <sz val="9"/>
            <color indexed="81"/>
            <rFont val="Tahoma"/>
            <family val="2"/>
          </rPr>
          <t>cl104188:</t>
        </r>
        <r>
          <rPr>
            <sz val="9"/>
            <color indexed="81"/>
            <rFont val="Tahoma"/>
            <family val="2"/>
          </rPr>
          <t xml:space="preserve">
(h abs * SB ) / h mensuel moyen -&gt; 35h =151,67)</t>
        </r>
      </text>
    </comment>
    <comment ref="L55" authorId="1" shapeId="0" xr:uid="{00000000-0006-0000-0100-000003000000}">
      <text>
        <r>
          <rPr>
            <b/>
            <sz val="9"/>
            <color indexed="81"/>
            <rFont val="Tahoma"/>
            <family val="2"/>
          </rPr>
          <t>cl104188:</t>
        </r>
        <r>
          <rPr>
            <sz val="9"/>
            <color indexed="81"/>
            <rFont val="Tahoma"/>
            <family val="2"/>
          </rPr>
          <t xml:space="preserve">
(j abs * SB ) / nbre jours réèls</t>
        </r>
      </text>
    </comment>
    <comment ref="L56" authorId="1" shapeId="0" xr:uid="{00000000-0006-0000-0100-000004000000}">
      <text>
        <r>
          <rPr>
            <b/>
            <sz val="9"/>
            <color indexed="81"/>
            <rFont val="Tahoma"/>
            <family val="2"/>
          </rPr>
          <t>cl104188:</t>
        </r>
        <r>
          <rPr>
            <sz val="9"/>
            <color indexed="81"/>
            <rFont val="Tahoma"/>
            <family val="2"/>
          </rPr>
          <t xml:space="preserve">
(j abs * SB) / nbre jours moyen (35h-&gt;21,67)
</t>
        </r>
      </text>
    </comment>
    <comment ref="L57" authorId="1" shapeId="0" xr:uid="{00000000-0006-0000-0100-000005000000}">
      <text>
        <r>
          <rPr>
            <b/>
            <sz val="9"/>
            <color indexed="81"/>
            <rFont val="Tahoma"/>
            <family val="2"/>
          </rPr>
          <t>cl104188:</t>
        </r>
        <r>
          <rPr>
            <sz val="9"/>
            <color indexed="81"/>
            <rFont val="Tahoma"/>
            <family val="2"/>
          </rPr>
          <t xml:space="preserve">
( J abs * SB ) / j ouvrables réèls</t>
        </r>
      </text>
    </comment>
    <comment ref="L58" authorId="1" shapeId="0" xr:uid="{00000000-0006-0000-01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75" authorId="0" shapeId="0" xr:uid="{03AE8371-2D9F-4650-9A31-E97C28638459}">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77" authorId="0" shapeId="0" xr:uid="{98A7913B-976F-49FD-A4A0-CFFC08EAE8C3}">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B80" authorId="0" shapeId="0" xr:uid="{E4712047-BE98-4484-B9C9-D02327DAFA65}">
      <text>
        <r>
          <rPr>
            <b/>
            <sz val="9"/>
            <color indexed="81"/>
            <rFont val="Tahoma"/>
            <family val="2"/>
          </rPr>
          <t>Sandrine MORALES:</t>
        </r>
        <r>
          <rPr>
            <sz val="9"/>
            <color indexed="81"/>
            <rFont val="Tahoma"/>
            <family val="2"/>
          </rPr>
          <t xml:space="preserve">
1ou 2 jours de fractionnement
</t>
        </r>
      </text>
    </comment>
    <comment ref="B91" authorId="1" shapeId="0" xr:uid="{00000000-0006-0000-0100-000007000000}">
      <text>
        <r>
          <rPr>
            <b/>
            <sz val="9"/>
            <color indexed="81"/>
            <rFont val="Tahoma"/>
            <family val="2"/>
          </rPr>
          <t>cl104188:</t>
        </r>
        <r>
          <rPr>
            <sz val="9"/>
            <color indexed="81"/>
            <rFont val="Tahoma"/>
            <family val="2"/>
          </rPr>
          <t xml:space="preserve">
Nbre de jours * Valeur faciale * Part salariale en %
</t>
        </r>
      </text>
    </comment>
    <comment ref="B97" authorId="1" shapeId="0" xr:uid="{00000000-0006-0000-0100-000008000000}">
      <text>
        <r>
          <rPr>
            <b/>
            <sz val="9"/>
            <color indexed="81"/>
            <rFont val="Tahoma"/>
            <family val="2"/>
          </rPr>
          <t>cl104188:</t>
        </r>
        <r>
          <rPr>
            <sz val="9"/>
            <color indexed="81"/>
            <rFont val="Tahoma"/>
            <family val="2"/>
          </rPr>
          <t xml:space="preserve">
nbre de jours * part salariale
</t>
        </r>
      </text>
    </comment>
    <comment ref="B98" authorId="0" shapeId="0" xr:uid="{00000000-0006-0000-0100-000009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L108" authorId="0" shapeId="0" xr:uid="{00000000-0006-0000-0100-00000B000000}">
      <text>
        <r>
          <rPr>
            <b/>
            <sz val="9"/>
            <color indexed="81"/>
            <rFont val="Tahoma"/>
            <family val="2"/>
          </rPr>
          <t>Sandrine MORALES:</t>
        </r>
        <r>
          <rPr>
            <sz val="9"/>
            <color indexed="81"/>
            <rFont val="Tahoma"/>
            <family val="2"/>
          </rPr>
          <t xml:space="preserve">
Pour le forfait on ne prends que le prix d'achat du véhicule</t>
        </r>
      </text>
    </comment>
    <comment ref="B112" authorId="1" shapeId="0" xr:uid="{00000000-0006-0000-0100-00000C000000}">
      <text>
        <r>
          <rPr>
            <b/>
            <sz val="9"/>
            <color indexed="81"/>
            <rFont val="Tahoma"/>
            <family val="2"/>
          </rPr>
          <t>cl104188:</t>
        </r>
        <r>
          <rPr>
            <sz val="9"/>
            <color indexed="81"/>
            <rFont val="Tahoma"/>
            <family val="2"/>
          </rPr>
          <t xml:space="preserve">
UNIQUEMENT SUR LA METHODE AU REEL </t>
        </r>
      </text>
    </comment>
    <comment ref="L118" authorId="0" shapeId="0" xr:uid="{00000000-0006-0000-0100-00000D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L119" authorId="0" shapeId="0" xr:uid="{00000000-0006-0000-0100-00000E00000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A50" authorId="0" shapeId="0" xr:uid="{00000000-0006-0000-0200-000001000000}">
      <text>
        <r>
          <rPr>
            <b/>
            <sz val="9"/>
            <color indexed="81"/>
            <rFont val="Tahoma"/>
            <family val="2"/>
          </rPr>
          <t>cl104188:</t>
        </r>
        <r>
          <rPr>
            <sz val="9"/>
            <color indexed="81"/>
            <rFont val="Tahoma"/>
            <family val="2"/>
          </rPr>
          <t xml:space="preserve">
Limité à la tranche 1 </t>
        </r>
      </text>
    </comment>
    <comment ref="H53" authorId="0" shapeId="0" xr:uid="{00000000-0006-0000-0200-000002000000}">
      <text>
        <r>
          <rPr>
            <b/>
            <sz val="9"/>
            <color indexed="81"/>
            <rFont val="Tahoma"/>
            <family val="2"/>
          </rPr>
          <t>cl104188:</t>
        </r>
        <r>
          <rPr>
            <sz val="9"/>
            <color indexed="81"/>
            <rFont val="Tahoma"/>
            <family val="2"/>
          </rPr>
          <t xml:space="preserve">
Taux propre à l'Entreprise</t>
        </r>
      </text>
    </comment>
    <comment ref="A54" authorId="0" shapeId="0" xr:uid="{00000000-0006-0000-0200-000003000000}">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58" authorId="0" shapeId="0" xr:uid="{00000000-0006-0000-0200-000004000000}">
      <text>
        <r>
          <rPr>
            <b/>
            <sz val="9"/>
            <color indexed="81"/>
            <rFont val="Tahoma"/>
            <family val="2"/>
          </rPr>
          <t>cl104188:</t>
        </r>
        <r>
          <rPr>
            <sz val="9"/>
            <color indexed="81"/>
            <rFont val="Tahoma"/>
            <family val="2"/>
          </rPr>
          <t xml:space="preserve">
Limité à 4 PPS ou sup à 100% du SBRUT
</t>
        </r>
      </text>
    </comment>
    <comment ref="A62" authorId="0" shapeId="0" xr:uid="{00000000-0006-0000-0200-000005000000}">
      <text>
        <r>
          <rPr>
            <b/>
            <sz val="9"/>
            <color indexed="81"/>
            <rFont val="Tahoma"/>
            <family val="2"/>
          </rPr>
          <t>cl104188:</t>
        </r>
        <r>
          <rPr>
            <sz val="9"/>
            <color indexed="81"/>
            <rFont val="Tahoma"/>
            <family val="2"/>
          </rPr>
          <t xml:space="preserve">
Limité à 1*PSS</t>
        </r>
      </text>
    </comment>
    <comment ref="A70" authorId="0" shapeId="0" xr:uid="{00000000-0006-0000-0200-000006000000}">
      <text>
        <r>
          <rPr>
            <b/>
            <sz val="9"/>
            <color indexed="81"/>
            <rFont val="Tahoma"/>
            <family val="2"/>
          </rPr>
          <t>cl104188:</t>
        </r>
        <r>
          <rPr>
            <sz val="9"/>
            <color indexed="81"/>
            <rFont val="Tahoma"/>
            <family val="2"/>
          </rPr>
          <t xml:space="preserve">
2 taux en fonction du nbre de salariés</t>
        </r>
      </text>
    </comment>
    <comment ref="H70" authorId="1" shapeId="0" xr:uid="{C5228801-EC07-4F7D-A6FB-050A92C7F00F}">
      <text>
        <r>
          <rPr>
            <b/>
            <sz val="9"/>
            <color indexed="81"/>
            <rFont val="Tahoma"/>
            <family val="2"/>
          </rPr>
          <t>Sandrine MORALES:</t>
        </r>
        <r>
          <rPr>
            <sz val="9"/>
            <color indexed="81"/>
            <rFont val="Tahoma"/>
            <family val="2"/>
          </rPr>
          <t xml:space="preserve">
S i Ets &gt; 20 salariés alors tx =0,5% , sinon 0,10%</t>
        </r>
      </text>
    </comment>
    <comment ref="H75" authorId="0" shapeId="0" xr:uid="{00000000-0006-0000-0200-000007000000}">
      <text>
        <r>
          <rPr>
            <b/>
            <sz val="9"/>
            <color indexed="81"/>
            <rFont val="Tahoma"/>
            <family val="2"/>
          </rPr>
          <t>cl104188:</t>
        </r>
        <r>
          <rPr>
            <sz val="9"/>
            <color indexed="81"/>
            <rFont val="Tahoma"/>
            <family val="2"/>
          </rPr>
          <t xml:space="preserve">
Taux propre à la localité</t>
        </r>
      </text>
    </comment>
    <comment ref="A77" authorId="0" shapeId="0" xr:uid="{00000000-0006-0000-0200-000008000000}">
      <text>
        <r>
          <rPr>
            <b/>
            <sz val="9"/>
            <color indexed="81"/>
            <rFont val="Tahoma"/>
            <family val="2"/>
          </rPr>
          <t>cl104188:</t>
        </r>
        <r>
          <rPr>
            <sz val="9"/>
            <color indexed="81"/>
            <rFont val="Tahoma"/>
            <family val="2"/>
          </rPr>
          <t xml:space="preserve">
Ets non assujetis à la TVA</t>
        </r>
      </text>
    </comment>
    <comment ref="A78" authorId="0" shapeId="0" xr:uid="{00000000-0006-0000-0200-000009000000}">
      <text>
        <r>
          <rPr>
            <b/>
            <sz val="9"/>
            <color indexed="81"/>
            <rFont val="Tahoma"/>
            <family val="2"/>
          </rPr>
          <t>cl104188:</t>
        </r>
        <r>
          <rPr>
            <sz val="9"/>
            <color indexed="81"/>
            <rFont val="Tahoma"/>
            <family val="2"/>
          </rPr>
          <t xml:space="preserve">
Peut etre versé tous les trimestres ou annuelles
</t>
        </r>
      </text>
    </comment>
    <comment ref="A79" authorId="0" shapeId="0" xr:uid="{00000000-0006-0000-0200-00000A000000}">
      <text>
        <r>
          <rPr>
            <b/>
            <sz val="9"/>
            <color indexed="81"/>
            <rFont val="Tahoma"/>
            <family val="2"/>
          </rPr>
          <t>cl104188:</t>
        </r>
        <r>
          <rPr>
            <sz val="9"/>
            <color indexed="81"/>
            <rFont val="Tahoma"/>
            <family val="2"/>
          </rPr>
          <t xml:space="preserve">
Peut etre versé au trimestre ou annuelle
</t>
        </r>
      </text>
    </comment>
    <comment ref="A92" authorId="0" shapeId="0" xr:uid="{00000000-0006-0000-0200-00000B000000}">
      <text>
        <r>
          <rPr>
            <b/>
            <sz val="9"/>
            <color indexed="81"/>
            <rFont val="Tahoma"/>
            <family val="2"/>
          </rPr>
          <t xml:space="preserve">cl104188:
</t>
        </r>
        <r>
          <rPr>
            <sz val="9"/>
            <color indexed="81"/>
            <rFont val="Tahoma"/>
            <family val="2"/>
          </rPr>
          <t xml:space="preserve">frais de repas sur chantier max 9€ / 
</t>
        </r>
      </text>
    </comment>
    <comment ref="A93" authorId="0" shapeId="0" xr:uid="{00000000-0006-0000-0200-00000C000000}">
      <text>
        <r>
          <rPr>
            <b/>
            <sz val="9"/>
            <color indexed="81"/>
            <rFont val="Tahoma"/>
            <family val="2"/>
          </rPr>
          <t>cl104188:</t>
        </r>
        <r>
          <rPr>
            <sz val="9"/>
            <color indexed="81"/>
            <rFont val="Tahoma"/>
            <family val="2"/>
          </rPr>
          <t xml:space="preserve">
max 18,40€ si + on remonte la différence en haut du bulletin 
</t>
        </r>
      </text>
    </comment>
    <comment ref="A95" authorId="0" shapeId="0" xr:uid="{00000000-0006-0000-0200-00000D000000}">
      <text>
        <r>
          <rPr>
            <b/>
            <sz val="9"/>
            <color indexed="81"/>
            <rFont val="Tahoma"/>
            <family val="2"/>
          </rPr>
          <t>cl104188:</t>
        </r>
        <r>
          <rPr>
            <sz val="9"/>
            <color indexed="81"/>
            <rFont val="Tahoma"/>
            <family val="2"/>
          </rPr>
          <t xml:space="preserve">
Si avance le mois M , les 10% se rembourse la mois M+1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C10" authorId="0" shapeId="0" xr:uid="{00000000-0006-0000-0500-000001000000}">
      <text>
        <r>
          <rPr>
            <b/>
            <sz val="9"/>
            <color indexed="81"/>
            <rFont val="Tahoma"/>
            <family val="2"/>
          </rPr>
          <t>cl104188:</t>
        </r>
        <r>
          <rPr>
            <sz val="9"/>
            <color indexed="81"/>
            <rFont val="Tahoma"/>
            <family val="2"/>
          </rPr>
          <t xml:space="preserve">
Si jour férié dans la période on le compte</t>
        </r>
      </text>
    </comment>
    <comment ref="B12" authorId="1" shapeId="0" xr:uid="{00000000-0006-0000-0500-000003000000}">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shapeId="0" xr:uid="{00000000-0006-0000-0500-000004000000}">
      <text>
        <r>
          <rPr>
            <b/>
            <sz val="9"/>
            <color indexed="81"/>
            <rFont val="Tahoma"/>
            <family val="2"/>
          </rPr>
          <t>Sandrine MORALES:</t>
        </r>
        <r>
          <rPr>
            <sz val="9"/>
            <color indexed="81"/>
            <rFont val="Tahoma"/>
            <family val="2"/>
          </rPr>
          <t xml:space="preserve">
Méthode qui a fait JURISPRUDENCE3
(h ABS * SB ) / h réèlles</t>
        </r>
      </text>
    </comment>
    <comment ref="D16" authorId="1" shapeId="0" xr:uid="{00000000-0006-0000-0500-000005000000}">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shapeId="0" xr:uid="{00000000-0006-0000-0500-000006000000}">
      <text>
        <r>
          <rPr>
            <b/>
            <sz val="9"/>
            <color indexed="81"/>
            <rFont val="Tahoma"/>
            <family val="2"/>
          </rPr>
          <t>cl104188:</t>
        </r>
        <r>
          <rPr>
            <sz val="9"/>
            <color indexed="81"/>
            <rFont val="Tahoma"/>
            <family val="2"/>
          </rPr>
          <t xml:space="preserve">
(h abs * SB ) / h mensuel moyen -&gt; 35h =151,67)</t>
        </r>
      </text>
    </comment>
    <comment ref="A18" authorId="0" shapeId="0" xr:uid="{00000000-0006-0000-0500-000007000000}">
      <text>
        <r>
          <rPr>
            <b/>
            <sz val="9"/>
            <color indexed="81"/>
            <rFont val="Tahoma"/>
            <family val="2"/>
          </rPr>
          <t>cl104188:</t>
        </r>
        <r>
          <rPr>
            <sz val="9"/>
            <color indexed="81"/>
            <rFont val="Tahoma"/>
            <family val="2"/>
          </rPr>
          <t xml:space="preserve">
(j abs * SB ) / nbre jours réèls</t>
        </r>
      </text>
    </comment>
    <comment ref="A19" authorId="0" shapeId="0" xr:uid="{00000000-0006-0000-0500-000008000000}">
      <text>
        <r>
          <rPr>
            <b/>
            <sz val="9"/>
            <color indexed="81"/>
            <rFont val="Tahoma"/>
            <family val="2"/>
          </rPr>
          <t>cl104188:</t>
        </r>
        <r>
          <rPr>
            <sz val="9"/>
            <color indexed="81"/>
            <rFont val="Tahoma"/>
            <family val="2"/>
          </rPr>
          <t xml:space="preserve">
(j abs * SB) / nbre jours moyen (35h-&gt;21,67)
</t>
        </r>
      </text>
    </comment>
    <comment ref="A20" authorId="0" shapeId="0" xr:uid="{00000000-0006-0000-0500-000009000000}">
      <text>
        <r>
          <rPr>
            <b/>
            <sz val="9"/>
            <color indexed="81"/>
            <rFont val="Tahoma"/>
            <family val="2"/>
          </rPr>
          <t>cl104188:</t>
        </r>
        <r>
          <rPr>
            <sz val="9"/>
            <color indexed="81"/>
            <rFont val="Tahoma"/>
            <family val="2"/>
          </rPr>
          <t xml:space="preserve">
( J abs * SB ) / j ouvrables réèls</t>
        </r>
      </text>
    </comment>
    <comment ref="A21" authorId="0" shapeId="0" xr:uid="{00000000-0006-0000-0500-00000A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C10" authorId="0" shapeId="0" xr:uid="{00000000-0006-0000-0600-000001000000}">
      <text>
        <r>
          <rPr>
            <b/>
            <sz val="9"/>
            <color indexed="81"/>
            <rFont val="Tahoma"/>
            <family val="2"/>
          </rPr>
          <t>cl104188:</t>
        </r>
        <r>
          <rPr>
            <sz val="9"/>
            <color indexed="81"/>
            <rFont val="Tahoma"/>
            <family val="2"/>
          </rPr>
          <t xml:space="preserve">
Si jour férié dans la période on le compte</t>
        </r>
      </text>
    </comment>
    <comment ref="B12" authorId="1" shapeId="0" xr:uid="{00000000-0006-0000-0600-000003000000}">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shapeId="0" xr:uid="{00000000-0006-0000-0600-000004000000}">
      <text>
        <r>
          <rPr>
            <b/>
            <sz val="9"/>
            <color indexed="81"/>
            <rFont val="Tahoma"/>
            <family val="2"/>
          </rPr>
          <t>Sandrine MORALES:</t>
        </r>
        <r>
          <rPr>
            <sz val="9"/>
            <color indexed="81"/>
            <rFont val="Tahoma"/>
            <family val="2"/>
          </rPr>
          <t xml:space="preserve">
Méthode qui a fait JURISPRUDENCE3
(h ABS * SB ) / h réèlles</t>
        </r>
      </text>
    </comment>
    <comment ref="D16" authorId="1" shapeId="0" xr:uid="{00000000-0006-0000-0600-000005000000}">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shapeId="0" xr:uid="{00000000-0006-0000-0600-000006000000}">
      <text>
        <r>
          <rPr>
            <b/>
            <sz val="9"/>
            <color indexed="81"/>
            <rFont val="Tahoma"/>
            <family val="2"/>
          </rPr>
          <t>cl104188:</t>
        </r>
        <r>
          <rPr>
            <sz val="9"/>
            <color indexed="81"/>
            <rFont val="Tahoma"/>
            <family val="2"/>
          </rPr>
          <t xml:space="preserve">
(h abs * SB ) / h mensuel moyen -&gt; 35h =151,67)</t>
        </r>
      </text>
    </comment>
    <comment ref="A18" authorId="0" shapeId="0" xr:uid="{00000000-0006-0000-0600-000007000000}">
      <text>
        <r>
          <rPr>
            <b/>
            <sz val="9"/>
            <color indexed="81"/>
            <rFont val="Tahoma"/>
            <family val="2"/>
          </rPr>
          <t>cl104188:</t>
        </r>
        <r>
          <rPr>
            <sz val="9"/>
            <color indexed="81"/>
            <rFont val="Tahoma"/>
            <family val="2"/>
          </rPr>
          <t xml:space="preserve">
(j abs * SB ) / nbre jours réèls</t>
        </r>
      </text>
    </comment>
    <comment ref="A19" authorId="0" shapeId="0" xr:uid="{00000000-0006-0000-0600-000008000000}">
      <text>
        <r>
          <rPr>
            <b/>
            <sz val="9"/>
            <color indexed="81"/>
            <rFont val="Tahoma"/>
            <family val="2"/>
          </rPr>
          <t>cl104188:</t>
        </r>
        <r>
          <rPr>
            <sz val="9"/>
            <color indexed="81"/>
            <rFont val="Tahoma"/>
            <family val="2"/>
          </rPr>
          <t xml:space="preserve">
(j abs * SB) / nbre jours moyen (35h-&gt;21,67)
</t>
        </r>
      </text>
    </comment>
    <comment ref="A20" authorId="0" shapeId="0" xr:uid="{00000000-0006-0000-0600-000009000000}">
      <text>
        <r>
          <rPr>
            <b/>
            <sz val="9"/>
            <color indexed="81"/>
            <rFont val="Tahoma"/>
            <family val="2"/>
          </rPr>
          <t>cl104188:</t>
        </r>
        <r>
          <rPr>
            <sz val="9"/>
            <color indexed="81"/>
            <rFont val="Tahoma"/>
            <family val="2"/>
          </rPr>
          <t xml:space="preserve">
( J abs * SB ) / j ouvrables réèls</t>
        </r>
      </text>
    </comment>
    <comment ref="A21" authorId="0" shapeId="0" xr:uid="{00000000-0006-0000-0600-00000A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 authorId="0" shapeId="0" xr:uid="{00000000-0006-0000-0700-00000100000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B7" authorId="0" shapeId="0" xr:uid="{00000000-0006-0000-0700-000002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D9" authorId="0" shapeId="0" xr:uid="{00000000-0006-0000-0700-00000300000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shapeId="0" xr:uid="{00000000-0006-0000-0700-000005000000}">
      <text>
        <r>
          <rPr>
            <b/>
            <sz val="9"/>
            <color indexed="81"/>
            <rFont val="Tahoma"/>
            <family val="2"/>
          </rPr>
          <t>cl104188:</t>
        </r>
        <r>
          <rPr>
            <sz val="9"/>
            <color indexed="81"/>
            <rFont val="Tahoma"/>
            <family val="2"/>
          </rPr>
          <t xml:space="preserve">
ICCP déjà percus</t>
        </r>
      </text>
    </comment>
    <comment ref="B19" authorId="1" shapeId="0" xr:uid="{00000000-0006-0000-0700-000006000000}">
      <text>
        <r>
          <rPr>
            <b/>
            <sz val="9"/>
            <color indexed="81"/>
            <rFont val="Tahoma"/>
            <family val="2"/>
          </rPr>
          <t>cl104188:</t>
        </r>
        <r>
          <rPr>
            <sz val="9"/>
            <color indexed="81"/>
            <rFont val="Tahoma"/>
            <family val="2"/>
          </rPr>
          <t xml:space="preserve">
Nbre de jours de CP restant</t>
        </r>
      </text>
    </comment>
    <comment ref="A24" authorId="0" shapeId="0" xr:uid="{00000000-0006-0000-0700-000007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shapeId="0" xr:uid="{00000000-0006-0000-0700-000008000000}">
      <text>
        <r>
          <rPr>
            <b/>
            <sz val="9"/>
            <color indexed="81"/>
            <rFont val="Tahoma"/>
            <family val="2"/>
          </rPr>
          <t>cl104188:</t>
        </r>
        <r>
          <rPr>
            <sz val="9"/>
            <color indexed="81"/>
            <rFont val="Tahoma"/>
            <family val="2"/>
          </rPr>
          <t xml:space="preserve">
Prendre le salaire brut de M-1 </t>
        </r>
      </text>
    </comment>
    <comment ref="B27" authorId="1" shapeId="0" xr:uid="{00000000-0006-0000-0700-000009000000}">
      <text>
        <r>
          <rPr>
            <b/>
            <sz val="9"/>
            <color indexed="81"/>
            <rFont val="Tahoma"/>
            <family val="2"/>
          </rPr>
          <t>cl104188:</t>
        </r>
        <r>
          <rPr>
            <sz val="9"/>
            <color indexed="81"/>
            <rFont val="Tahoma"/>
            <family val="2"/>
          </rPr>
          <t xml:space="preserve">
Si ouvrés alors 25 ; si ouvrables alors 30
</t>
        </r>
      </text>
    </comment>
    <comment ref="A30" authorId="0" shapeId="0" xr:uid="{00000000-0006-0000-0700-00000A00000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5" authorId="0" shapeId="0" xr:uid="{00000000-0006-0000-0800-000001000000}">
      <text>
        <r>
          <rPr>
            <b/>
            <sz val="9"/>
            <color indexed="81"/>
            <rFont val="Tahoma"/>
            <family val="2"/>
          </rPr>
          <t>cl104188:</t>
        </r>
        <r>
          <rPr>
            <sz val="9"/>
            <color indexed="81"/>
            <rFont val="Tahoma"/>
            <family val="2"/>
          </rPr>
          <t xml:space="preserve">
Valeur en € du ticket resto donné par l'employeur</t>
        </r>
      </text>
    </comment>
    <comment ref="B6" authorId="0" shapeId="0" xr:uid="{00000000-0006-0000-0800-000002000000}">
      <text>
        <r>
          <rPr>
            <b/>
            <sz val="9"/>
            <color indexed="81"/>
            <rFont val="Tahoma"/>
            <family val="2"/>
          </rPr>
          <t>cl104188:</t>
        </r>
        <r>
          <rPr>
            <sz val="9"/>
            <color indexed="81"/>
            <rFont val="Tahoma"/>
            <family val="2"/>
          </rPr>
          <t xml:space="preserve">
Valeur transmis par les Impôts</t>
        </r>
      </text>
    </comment>
    <comment ref="B7" authorId="0" shapeId="0" xr:uid="{00000000-0006-0000-0800-00000300000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shapeId="0" xr:uid="{00000000-0006-0000-0800-000004000000}">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shapeId="0" xr:uid="{00000000-0006-0000-0800-000005000000}">
      <text>
        <r>
          <rPr>
            <b/>
            <sz val="9"/>
            <color indexed="81"/>
            <rFont val="Tahoma"/>
            <family val="2"/>
          </rPr>
          <t>cl104188:</t>
        </r>
        <r>
          <rPr>
            <sz val="9"/>
            <color indexed="81"/>
            <rFont val="Tahoma"/>
            <family val="2"/>
          </rPr>
          <t xml:space="preserve">
Nbre de jours * Valeur faciale * Part salariale en %
</t>
        </r>
      </text>
    </comment>
    <comment ref="B16" authorId="0" shapeId="0" xr:uid="{00000000-0006-0000-0800-000006000000}">
      <text>
        <r>
          <rPr>
            <b/>
            <sz val="9"/>
            <color indexed="81"/>
            <rFont val="Tahoma"/>
            <family val="2"/>
          </rPr>
          <t>cl104188:</t>
        </r>
        <r>
          <rPr>
            <sz val="9"/>
            <color indexed="81"/>
            <rFont val="Tahoma"/>
            <family val="2"/>
          </rPr>
          <t xml:space="preserve">
Valeur transmise par les impôts</t>
        </r>
      </text>
    </comment>
    <comment ref="A19" authorId="0" shapeId="0" xr:uid="{00000000-0006-0000-0800-000007000000}">
      <text>
        <r>
          <rPr>
            <b/>
            <sz val="9"/>
            <color indexed="81"/>
            <rFont val="Tahoma"/>
            <family val="2"/>
          </rPr>
          <t>cl104188:</t>
        </r>
        <r>
          <rPr>
            <sz val="9"/>
            <color indexed="81"/>
            <rFont val="Tahoma"/>
            <family val="2"/>
          </rPr>
          <t xml:space="preserve">
nbre de jours * part salariale
</t>
        </r>
      </text>
    </comment>
    <comment ref="A20" authorId="1" shapeId="0" xr:uid="{00000000-0006-0000-0800-000008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shapeId="0" xr:uid="{00000000-0006-0000-0800-00000900000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shapeId="0" xr:uid="{00000000-0006-0000-0800-00000A000000}">
      <text>
        <r>
          <rPr>
            <b/>
            <sz val="9"/>
            <color indexed="81"/>
            <rFont val="Tahoma"/>
            <family val="2"/>
          </rPr>
          <t>Sandrine MORALES:</t>
        </r>
        <r>
          <rPr>
            <sz val="9"/>
            <color indexed="81"/>
            <rFont val="Tahoma"/>
            <family val="2"/>
          </rPr>
          <t xml:space="preserve">
REEL on prends en compte l'assurance et les frais divers
</t>
        </r>
      </text>
    </comment>
    <comment ref="H38" authorId="1" shapeId="0" xr:uid="{00000000-0006-0000-0800-00000B000000}">
      <text>
        <r>
          <rPr>
            <b/>
            <sz val="9"/>
            <color indexed="81"/>
            <rFont val="Tahoma"/>
            <family val="2"/>
          </rPr>
          <t>Sandrine MORALES:</t>
        </r>
        <r>
          <rPr>
            <sz val="9"/>
            <color indexed="81"/>
            <rFont val="Tahoma"/>
            <family val="2"/>
          </rPr>
          <t xml:space="preserve">
Pour le forfait on ne prends que le prix d'achat du véhicule</t>
        </r>
      </text>
    </comment>
    <comment ref="A43" authorId="1" shapeId="0" xr:uid="{00000000-0006-0000-0800-00000C000000}">
      <text>
        <r>
          <rPr>
            <b/>
            <sz val="9"/>
            <color indexed="81"/>
            <rFont val="Tahoma"/>
            <family val="2"/>
          </rPr>
          <t>Sandrine MORALES:</t>
        </r>
        <r>
          <rPr>
            <sz val="9"/>
            <color indexed="81"/>
            <rFont val="Tahoma"/>
            <family val="2"/>
          </rPr>
          <t xml:space="preserve">
Choisir sur liste déroulante</t>
        </r>
      </text>
    </comment>
    <comment ref="D43" authorId="1" shapeId="0" xr:uid="{00000000-0006-0000-0800-00000D000000}">
      <text>
        <r>
          <rPr>
            <b/>
            <sz val="9"/>
            <color indexed="81"/>
            <rFont val="Tahoma"/>
            <family val="2"/>
          </rPr>
          <t>Sandrine MORALES:</t>
        </r>
        <r>
          <rPr>
            <sz val="9"/>
            <color indexed="81"/>
            <rFont val="Tahoma"/>
            <family val="2"/>
          </rPr>
          <t xml:space="preserve">
Choisir sur liste déroulante</t>
        </r>
      </text>
    </comment>
    <comment ref="H43" authorId="1" shapeId="0" xr:uid="{00000000-0006-0000-0800-00000E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shapeId="0" xr:uid="{00000000-0006-0000-0800-00000F000000}">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shapeId="0" xr:uid="{00000000-0006-0000-0800-000010000000}">
      <text>
        <r>
          <rPr>
            <b/>
            <sz val="9"/>
            <color indexed="81"/>
            <rFont val="Tahoma"/>
            <family val="2"/>
          </rPr>
          <t>cl104188:</t>
        </r>
        <r>
          <rPr>
            <sz val="9"/>
            <color indexed="81"/>
            <rFont val="Tahoma"/>
            <family val="2"/>
          </rPr>
          <t xml:space="preserve">
UNIQUEMENT SUR LA METHODE AU REEL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E10" authorId="0" shapeId="0" xr:uid="{CC63BDE3-448F-4E2D-9402-13C6B8824E67}">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sharedStrings.xml><?xml version="1.0" encoding="utf-8"?>
<sst xmlns="http://schemas.openxmlformats.org/spreadsheetml/2006/main" count="725" uniqueCount="498">
  <si>
    <t xml:space="preserve">BULLETIN DE PAIE </t>
  </si>
  <si>
    <t>Matricule</t>
  </si>
  <si>
    <t>N° Sécurité sociale</t>
  </si>
  <si>
    <t xml:space="preserve">Emploi : </t>
  </si>
  <si>
    <t xml:space="preserve">Qualification </t>
  </si>
  <si>
    <t>Date d'entrée</t>
  </si>
  <si>
    <t>Coeffcient</t>
  </si>
  <si>
    <t>RUBRIQUES</t>
  </si>
  <si>
    <t>Salaire de Base</t>
  </si>
  <si>
    <t>TOTAL BRUT</t>
  </si>
  <si>
    <t>COTISATIONS</t>
  </si>
  <si>
    <t>CSG Déductible</t>
  </si>
  <si>
    <t>SECURITE SOCIALE</t>
  </si>
  <si>
    <t>Maladie, Maternité, Invalidité, Décés</t>
  </si>
  <si>
    <t>Vieillesse déplafonnée</t>
  </si>
  <si>
    <t>Allocations familiales</t>
  </si>
  <si>
    <t>Accident du travail</t>
  </si>
  <si>
    <t>POLE EMPLOI</t>
  </si>
  <si>
    <t>Assurance chômage Tr A + Tr B</t>
  </si>
  <si>
    <t xml:space="preserve">AGS( FNGC) </t>
  </si>
  <si>
    <t>RETRAITE ET PREVOYANCE COMPLEMENTAIRE</t>
  </si>
  <si>
    <t>AUTRES CONTRIBUTIONS</t>
  </si>
  <si>
    <t>FNAL</t>
  </si>
  <si>
    <t>Contribution de Solidarité pour l'Autonomie</t>
  </si>
  <si>
    <t>BASE</t>
  </si>
  <si>
    <t>Taux salarial</t>
  </si>
  <si>
    <t>Cotisations salariales</t>
  </si>
  <si>
    <t>Taux Patronal</t>
  </si>
  <si>
    <t>Cotisations patronales</t>
  </si>
  <si>
    <t>Réduction FILLON</t>
  </si>
  <si>
    <t>TOTAL</t>
  </si>
  <si>
    <t>SALAIRE NET</t>
  </si>
  <si>
    <t>DEDUCTIONS ET RETENUES</t>
  </si>
  <si>
    <t>INDEMNITES NON SOUMISES A COTISATIONS</t>
  </si>
  <si>
    <t xml:space="preserve">Payé le : </t>
  </si>
  <si>
    <t xml:space="preserve">Mode de Règlement : </t>
  </si>
  <si>
    <t>NET IMPOSABLE</t>
  </si>
  <si>
    <t>NET A PAYER</t>
  </si>
  <si>
    <t>ENTREPRISE</t>
  </si>
  <si>
    <t>Nom</t>
  </si>
  <si>
    <t>Adresse</t>
  </si>
  <si>
    <t>URSAAF (N° et Lieu)</t>
  </si>
  <si>
    <t>NAF</t>
  </si>
  <si>
    <t>SIRET</t>
  </si>
  <si>
    <t xml:space="preserve">Convention Collective (nom complet + IDCC) </t>
  </si>
  <si>
    <t>SALARIE</t>
  </si>
  <si>
    <t>Nom Prénom</t>
  </si>
  <si>
    <t>Code postal</t>
  </si>
  <si>
    <t>Paye du :</t>
  </si>
  <si>
    <t>LIBELLE DES RUBRIQUES</t>
  </si>
  <si>
    <t xml:space="preserve">Taux </t>
  </si>
  <si>
    <t>Montant</t>
  </si>
  <si>
    <t>Commentaires</t>
  </si>
  <si>
    <t>Salaire forfaitaire</t>
  </si>
  <si>
    <t>Total brut</t>
  </si>
  <si>
    <t>Cotisations</t>
  </si>
  <si>
    <t>Sécurité Sociale</t>
  </si>
  <si>
    <t>Complémentaire Santé</t>
  </si>
  <si>
    <t>Incapacité, Invalidité, Capital décés</t>
  </si>
  <si>
    <t>ASSURANCE ACCIDENT DU TRAVAIL, MALADIE PROF</t>
  </si>
  <si>
    <t>ASSURANCE RETRAITE</t>
  </si>
  <si>
    <t>Complémentaire</t>
  </si>
  <si>
    <t>Supplémentaire</t>
  </si>
  <si>
    <t>ALLOCATIONS FAMILIALES</t>
  </si>
  <si>
    <t>ASSURANCE CHÔMAGE</t>
  </si>
  <si>
    <t>APEC</t>
  </si>
  <si>
    <t>Autres contributions dues par l'employeur</t>
  </si>
  <si>
    <t>Cotisations Statutaires ou prévues par la Conv. Coll.</t>
  </si>
  <si>
    <t>ASSURANCE SANTE</t>
  </si>
  <si>
    <t>CSG Non Imposables</t>
  </si>
  <si>
    <t>CSG &amp; CRDS Imposables</t>
  </si>
  <si>
    <t>Allègement de Cotisations</t>
  </si>
  <si>
    <t>TOTAL DES COTISATIONS ET CONTRIBUTIONS</t>
  </si>
  <si>
    <t>Part Salariale</t>
  </si>
  <si>
    <t>Part Patronale</t>
  </si>
  <si>
    <t>NET A PAYER EN EUROS</t>
  </si>
  <si>
    <t>Total versé par l'employeur</t>
  </si>
  <si>
    <t>Allègement de cotisations</t>
  </si>
  <si>
    <t>Plafond</t>
  </si>
  <si>
    <t>Complément SMIC</t>
  </si>
  <si>
    <t>Taux horaire</t>
  </si>
  <si>
    <t>Heures supplémentaires à 25%</t>
  </si>
  <si>
    <t>Heures supplémentaires à 50%</t>
  </si>
  <si>
    <t>Absence</t>
  </si>
  <si>
    <t>ICCP</t>
  </si>
  <si>
    <t xml:space="preserve">CALCUL DES CP </t>
  </si>
  <si>
    <t>ouvrés</t>
  </si>
  <si>
    <t>ouvrables</t>
  </si>
  <si>
    <t>réèls</t>
  </si>
  <si>
    <t>moyen</t>
  </si>
  <si>
    <t>Calcul du maintien</t>
  </si>
  <si>
    <t xml:space="preserve">Nbre de jours CP </t>
  </si>
  <si>
    <t>Salaire BRUT M-1</t>
  </si>
  <si>
    <t>Salaire de ref</t>
  </si>
  <si>
    <t>quotien R10</t>
  </si>
  <si>
    <t>CHOIX / JOURS</t>
  </si>
  <si>
    <t>Réèls ou Moyen</t>
  </si>
  <si>
    <t>SOLDE DES CP</t>
  </si>
  <si>
    <t xml:space="preserve">Cumul des ICP </t>
  </si>
  <si>
    <t>Règle du 10eme</t>
  </si>
  <si>
    <t>FRACTIONNEMENT</t>
  </si>
  <si>
    <t>Nbre de jours de fractionnement</t>
  </si>
  <si>
    <t>Cumul des ICP</t>
  </si>
  <si>
    <t>ICCP Annuel</t>
  </si>
  <si>
    <t>Régul ICCP</t>
  </si>
  <si>
    <t>Ouvrés réèls</t>
  </si>
  <si>
    <t>Ouvrables réèls</t>
  </si>
  <si>
    <t>Calendaires</t>
  </si>
  <si>
    <t>SALAIRE BRUT</t>
  </si>
  <si>
    <t>Calcul de l'absence</t>
  </si>
  <si>
    <t>Horaire réèl</t>
  </si>
  <si>
    <t>Mensuel Moyen</t>
  </si>
  <si>
    <t>J ouvrés réèls</t>
  </si>
  <si>
    <t>J ouvrés moyen</t>
  </si>
  <si>
    <t>J ouvrables réèls</t>
  </si>
  <si>
    <t>J ouvrables moyen</t>
  </si>
  <si>
    <t>Calendaires réèls</t>
  </si>
  <si>
    <t>Du 30eme</t>
  </si>
  <si>
    <t>HEURES SUPPLEMENTAIRES</t>
  </si>
  <si>
    <t>36eme à 43eme</t>
  </si>
  <si>
    <t>Soit les 8 premières heures</t>
  </si>
  <si>
    <t xml:space="preserve"> + de la 44eme </t>
  </si>
  <si>
    <t>Si heures structurelles</t>
  </si>
  <si>
    <t>Au-delà des H structurelles à la 43eme</t>
  </si>
  <si>
    <t>Liste déroulante</t>
  </si>
  <si>
    <t>A remplir</t>
  </si>
  <si>
    <t>Début de l'absence</t>
  </si>
  <si>
    <t>Fin de l'absence</t>
  </si>
  <si>
    <t>Mois de</t>
  </si>
  <si>
    <t>Jour de l'an</t>
  </si>
  <si>
    <t>Lundi de Pâques</t>
  </si>
  <si>
    <t>Fête du travail</t>
  </si>
  <si>
    <t>Victoire 1945</t>
  </si>
  <si>
    <t>Ascension</t>
  </si>
  <si>
    <t>Fete nationale</t>
  </si>
  <si>
    <t>Assomption</t>
  </si>
  <si>
    <t>Toussaint</t>
  </si>
  <si>
    <t>Armistice</t>
  </si>
  <si>
    <t>Noêl</t>
  </si>
  <si>
    <t>Pâques</t>
  </si>
  <si>
    <t>Pentecôte</t>
  </si>
  <si>
    <t>Liste des jours fériés de l'annee</t>
  </si>
  <si>
    <t>Date de début CP</t>
  </si>
  <si>
    <t>Date de fin CP</t>
  </si>
  <si>
    <t>Jours ouvrables réèl du mois</t>
  </si>
  <si>
    <t>Nbre heures de travail par semaine</t>
  </si>
  <si>
    <t>Nbre jours de travail par semaine</t>
  </si>
  <si>
    <t>Attention aux semaines à cheval sur 2 mois, les heures sup du mois précédent basculent sur le mois M</t>
  </si>
  <si>
    <t>Prime d'anciènneté</t>
  </si>
  <si>
    <t>h</t>
  </si>
  <si>
    <t>J</t>
  </si>
  <si>
    <t>Avantage en nature déduction</t>
  </si>
  <si>
    <t>AVANTAGE EN NATURE</t>
  </si>
  <si>
    <t>Valeur faciale TR</t>
  </si>
  <si>
    <t>Tickets Resto Part salariale</t>
  </si>
  <si>
    <t>Part salariale</t>
  </si>
  <si>
    <t>Valeur maxi de la PP du TR</t>
  </si>
  <si>
    <t>TICKETS RESTO</t>
  </si>
  <si>
    <t>AVANTAGE EN NATURE - TR</t>
  </si>
  <si>
    <t>AVANTAGE EN NATURE - Evaluation Forfaitaire nourriture</t>
  </si>
  <si>
    <t xml:space="preserve">Part salariale </t>
  </si>
  <si>
    <t>Evaluation forfaitaire</t>
  </si>
  <si>
    <t>Participation salarié repas</t>
  </si>
  <si>
    <t>Nbre de jours</t>
  </si>
  <si>
    <t>Participation Salarié repas</t>
  </si>
  <si>
    <t>AVANTAGE EN NATURE - Logement forfaitaire</t>
  </si>
  <si>
    <t>Rémunération brute</t>
  </si>
  <si>
    <t>1 Pièce</t>
  </si>
  <si>
    <t>Nbre de pièces</t>
  </si>
  <si>
    <t>Plusieurs pièces</t>
  </si>
  <si>
    <t>TOTAL AN</t>
  </si>
  <si>
    <t>De 1634,50 à 1961,39</t>
  </si>
  <si>
    <t>De 1961,40 à 2288,29</t>
  </si>
  <si>
    <t>De 2288,30 à 2942,09</t>
  </si>
  <si>
    <t>De 2942,10 à 3595,89</t>
  </si>
  <si>
    <t>De 3595,90 à 4249,69</t>
  </si>
  <si>
    <t>De 4249,70 à 4903,49</t>
  </si>
  <si>
    <t>Au-delà de 4903,50</t>
  </si>
  <si>
    <t>Infèrieur à 1634,50</t>
  </si>
  <si>
    <t>Avantage en nature logement</t>
  </si>
  <si>
    <t>LISTE DEROULANTE</t>
  </si>
  <si>
    <t>AVANTAGE EN NATURE - Véhicule</t>
  </si>
  <si>
    <t>Frais assurance</t>
  </si>
  <si>
    <t>Autres frais</t>
  </si>
  <si>
    <t>Frais entretien</t>
  </si>
  <si>
    <t>Location annuelle</t>
  </si>
  <si>
    <t>Choix de l'AN</t>
  </si>
  <si>
    <t>Lundi de pentecôte</t>
  </si>
  <si>
    <t>Acompte</t>
  </si>
  <si>
    <t>Solde de CP N-1</t>
  </si>
  <si>
    <t>Règle du 10 eme</t>
  </si>
  <si>
    <t>Solde de CP N</t>
  </si>
  <si>
    <t>Salaire de ref N</t>
  </si>
  <si>
    <t xml:space="preserve">Si pas d'ICCP sur les CP N-1 pris il faut réguler l'ICCP au solde </t>
  </si>
  <si>
    <t>ICCP N-1</t>
  </si>
  <si>
    <t>ICCP N-1 Solde ( règle du 10eme annuel)</t>
  </si>
  <si>
    <t>Solde CP N-1 / ICCP</t>
  </si>
  <si>
    <t>Solde CP N / ICCP</t>
  </si>
  <si>
    <t>règle du 10eme</t>
  </si>
  <si>
    <t>maintien</t>
  </si>
  <si>
    <t>Avantage en nature véhicule</t>
  </si>
  <si>
    <t xml:space="preserve">ACHAT </t>
  </si>
  <si>
    <t>LOCATION OPTION ACHAT</t>
  </si>
  <si>
    <t>TTC</t>
  </si>
  <si>
    <t xml:space="preserve"> / An</t>
  </si>
  <si>
    <t>Choix du calcul de l'AN sur du LOA</t>
  </si>
  <si>
    <t xml:space="preserve">On assimile à du travail effectif les repos compensateur et congés pour évènements familiaux. </t>
  </si>
  <si>
    <t xml:space="preserve">Est exclus les CP, les congés maladies, et les jours fériés ( sf 1er mai) </t>
  </si>
  <si>
    <t>Calcul d'heures</t>
  </si>
  <si>
    <t>matin</t>
  </si>
  <si>
    <t>debut</t>
  </si>
  <si>
    <t>fin</t>
  </si>
  <si>
    <t>depart</t>
  </si>
  <si>
    <t>am</t>
  </si>
  <si>
    <t>total</t>
  </si>
  <si>
    <t>1-Réèl - 5 ans</t>
  </si>
  <si>
    <t>2-Réèl + 5 ans</t>
  </si>
  <si>
    <t>3-Forfait - 5 ans</t>
  </si>
  <si>
    <t>4-Forfait + 5 ans</t>
  </si>
  <si>
    <t>5-Forfait / employeur paye le carburant / - 5 ANS</t>
  </si>
  <si>
    <t>6-Forfait / employeur paye le carburant / + 5ANS</t>
  </si>
  <si>
    <t>1-Loa réèl</t>
  </si>
  <si>
    <t>2-Forfait LOA / Salarié paye son carburant</t>
  </si>
  <si>
    <t>3-Forfait LOA / Employeur paye le carburant / PRIVE + PERSO</t>
  </si>
  <si>
    <t>4-Forfait LOA / Employeur paye le carburant / PRIVE</t>
  </si>
  <si>
    <t>Choix du calcul de l'AN sur l'achat</t>
  </si>
  <si>
    <t>ABS</t>
  </si>
  <si>
    <t>CP</t>
  </si>
  <si>
    <t>BULLETIN</t>
  </si>
  <si>
    <t>Avantage en nature Repas</t>
  </si>
  <si>
    <t>ANTR</t>
  </si>
  <si>
    <t>ANREPAS</t>
  </si>
  <si>
    <t>ANLOGEMENT</t>
  </si>
  <si>
    <t>ANVEHICULE</t>
  </si>
  <si>
    <t>HS</t>
  </si>
  <si>
    <t xml:space="preserve">quotient maintien </t>
  </si>
  <si>
    <t>Jours ouvrés réèls du mois</t>
  </si>
  <si>
    <t>Prime de précarité</t>
  </si>
  <si>
    <t>Heures complémentaires à 10%</t>
  </si>
  <si>
    <t>CONVERSION MINUTES EN CENTIEMES</t>
  </si>
  <si>
    <t>CONVERSION CENTIEMES EN MINUTES</t>
  </si>
  <si>
    <t>Prime exceptionnelle</t>
  </si>
  <si>
    <t>Salaire de base</t>
  </si>
  <si>
    <t>Avantage en nature NVELLE TECHNOLOGIE</t>
  </si>
  <si>
    <t>Embauche</t>
  </si>
  <si>
    <t>Date du jour</t>
  </si>
  <si>
    <t>DIFFERENCE</t>
  </si>
  <si>
    <t>BAREME DE SAISIE DES REMUNERATIONS</t>
  </si>
  <si>
    <t xml:space="preserve"> </t>
  </si>
  <si>
    <t xml:space="preserve">  </t>
  </si>
  <si>
    <t>Saisie sur salaire</t>
  </si>
  <si>
    <t>SAISIE</t>
  </si>
  <si>
    <t>Avance sur salaire 10% du net après retenue</t>
  </si>
  <si>
    <t>http://rfpaye.grouperf.com/calcul/?fichier=saisie_sur_salaires</t>
  </si>
  <si>
    <t>Salaire net après retenue</t>
  </si>
  <si>
    <t>Salaire net à payer</t>
  </si>
  <si>
    <t>Px HA véhicule ou amortissement</t>
  </si>
  <si>
    <t>Km perso</t>
  </si>
  <si>
    <t>Total km</t>
  </si>
  <si>
    <t>Avantage en nature mensuel</t>
  </si>
  <si>
    <t>W Réalisé</t>
  </si>
  <si>
    <t>H SUP</t>
  </si>
  <si>
    <t>H SUP 25%</t>
  </si>
  <si>
    <t>H SUP 50%</t>
  </si>
  <si>
    <t>Indemnité repas s/ chantier</t>
  </si>
  <si>
    <t>Prise en charge abonnement Transport</t>
  </si>
  <si>
    <t>Montant du titre</t>
  </si>
  <si>
    <t>Prise en charge transport</t>
  </si>
  <si>
    <t>Prise en charge PART PATRONALE</t>
  </si>
  <si>
    <t>A remonter dans le brut</t>
  </si>
  <si>
    <t>Transport</t>
  </si>
  <si>
    <t>Pour le cacul du taux horaire des heures supplémentaires</t>
  </si>
  <si>
    <t>Prime de rendement</t>
  </si>
  <si>
    <t xml:space="preserve">il faut prendre tout ce qui est lier au travail ( AN + PRIME ) </t>
  </si>
  <si>
    <t>TEMPS PARTIEL</t>
  </si>
  <si>
    <t>Les heures complémentaires réalisés à hauteur de 1/10 du contrat de travail sont majorés à 10%</t>
  </si>
  <si>
    <t>les heures complémentaires réalisés entre le 1/10 et le 1/3 du contrat de travail sont majorés à 25 %</t>
  </si>
  <si>
    <t xml:space="preserve">Choix de l'Absence </t>
  </si>
  <si>
    <t>Jour Mois REELS</t>
  </si>
  <si>
    <t xml:space="preserve"> Jours Mois MOYEN</t>
  </si>
  <si>
    <t>lien direct</t>
  </si>
  <si>
    <t>Contrat</t>
  </si>
  <si>
    <t>1/10 HC</t>
  </si>
  <si>
    <t>1/3 MAX HC</t>
  </si>
  <si>
    <t>Contrat semaine</t>
  </si>
  <si>
    <t xml:space="preserve">TOTAL </t>
  </si>
  <si>
    <t>Centièmes</t>
  </si>
  <si>
    <t>Heures</t>
  </si>
  <si>
    <t xml:space="preserve">Choix de l'absence </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</si>
  <si>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</si>
  <si>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</si>
  <si>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</si>
  <si>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 les primes de danger, de froid, d’insalubrité, de pénibilité</t>
  </si>
  <si>
    <t>– les primes de rendement directement liées au travail individuel ou collectif du salarié</t>
  </si>
  <si>
    <t>– les primes d’assiduité</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</si>
  <si>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</si>
  <si>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</si>
  <si>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</si>
  <si>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 les primes d’ancienneté, liées à la durée de présence et non au travail fourni</t>
  </si>
  <si>
    <t>– les primes de rendement liées à la productivité générale de l’entreprise.</t>
  </si>
  <si>
    <t>Quelles primes inclure dans la base de calcul de la majoration pour heure supplémentaire ?</t>
  </si>
  <si>
    <t>Tranche</t>
  </si>
  <si>
    <t>Tranche personne à charge</t>
  </si>
  <si>
    <t>Quotité saisissable</t>
  </si>
  <si>
    <t>Quotité saisissable par tranche</t>
  </si>
  <si>
    <t>Nbre de personnes à charge</t>
  </si>
  <si>
    <t>Quotité Insaisissable</t>
  </si>
  <si>
    <t>Quotité Totalement Saisissable</t>
  </si>
  <si>
    <t>Quotité Relativement Saisissable
( Pensions Alimentaires )  (1)</t>
  </si>
  <si>
    <t>Personne à charge Montant</t>
  </si>
  <si>
    <t>RMI / RSA</t>
  </si>
  <si>
    <t>TOTAL SAISISSABLE</t>
  </si>
  <si>
    <t>Plaft.
RMI
(O/N)</t>
  </si>
  <si>
    <t>Quotité saisissable plafonnée</t>
  </si>
  <si>
    <t>SAISIE A EFFECTUER</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</si>
  <si>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</si>
  <si>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Différence</t>
  </si>
  <si>
    <t>Qtt S</t>
  </si>
  <si>
    <t xml:space="preserve"> 1/20</t>
  </si>
  <si>
    <t xml:space="preserve"> 1/10</t>
  </si>
  <si>
    <t xml:space="preserve"> 1/5</t>
  </si>
  <si>
    <t xml:space="preserve"> 1/4</t>
  </si>
  <si>
    <t xml:space="preserve"> 1/3</t>
  </si>
  <si>
    <t xml:space="preserve"> 2/3 </t>
  </si>
  <si>
    <t>100</t>
  </si>
  <si>
    <t>Frais de déplacement</t>
  </si>
  <si>
    <t xml:space="preserve">Plafond Sécu </t>
  </si>
  <si>
    <t>Plafond secu</t>
  </si>
  <si>
    <t>Vieillesse plafonnée TR A</t>
  </si>
  <si>
    <t>smic mensuel 151,67</t>
  </si>
  <si>
    <t>BASE SMIC</t>
  </si>
  <si>
    <t>Taux AT Moyen</t>
  </si>
  <si>
    <t>Nbre salariés</t>
  </si>
  <si>
    <t>ARRCO Tr2</t>
  </si>
  <si>
    <t>ARRCO Tr1</t>
  </si>
  <si>
    <t>AGGF Tr2</t>
  </si>
  <si>
    <t>AGFF Tr1</t>
  </si>
  <si>
    <t>Prévoyance Complémentaire Décés</t>
  </si>
  <si>
    <t xml:space="preserve">Prévoyance Complémentaire Santé ( mutuelle) </t>
  </si>
  <si>
    <t>Forfait Social</t>
  </si>
  <si>
    <t>Cotisation pénibilité de base</t>
  </si>
  <si>
    <t>Financement des organisations syndicales</t>
  </si>
  <si>
    <t>Versement Transport</t>
  </si>
  <si>
    <t>Total Cot SAL</t>
  </si>
  <si>
    <t>Tot Cot PAT</t>
  </si>
  <si>
    <t>Participation Construction</t>
  </si>
  <si>
    <t>Taxe sur les salaires</t>
  </si>
  <si>
    <t>TVA</t>
  </si>
  <si>
    <t xml:space="preserve">Uniquement pour les associations , masquer la ligne si besoin </t>
  </si>
  <si>
    <t>Taxe d'apprentissage</t>
  </si>
  <si>
    <t>Taxe sur la Formation Continue</t>
  </si>
  <si>
    <t>Total</t>
  </si>
  <si>
    <t>CSG Non déductibles</t>
  </si>
  <si>
    <t>CRDS Non déductibles</t>
  </si>
  <si>
    <t>Salaire Net Après Retenue</t>
  </si>
  <si>
    <t>SALAIRE NET A PAYER</t>
  </si>
  <si>
    <t xml:space="preserve">Nbre heures / mois </t>
  </si>
  <si>
    <t>Taux AT Donné</t>
  </si>
  <si>
    <t>Taux AT applicable</t>
  </si>
  <si>
    <t>Calcul de l'absence cp</t>
  </si>
  <si>
    <t>Nbre heures absence réèlles</t>
  </si>
  <si>
    <t>Nbre heure travail réèl / mois</t>
  </si>
  <si>
    <t>INFORMATION GENERALE</t>
  </si>
  <si>
    <t>PRIMES</t>
  </si>
  <si>
    <t xml:space="preserve"> * Liste déroulante</t>
  </si>
  <si>
    <t xml:space="preserve">Abs CP </t>
  </si>
  <si>
    <t>Calcul des ABSENCES CP</t>
  </si>
  <si>
    <t>Montant de l'absence</t>
  </si>
  <si>
    <t>Prime exceptionnalle</t>
  </si>
  <si>
    <t>Ville</t>
  </si>
  <si>
    <t>INFO</t>
  </si>
  <si>
    <t>Valeur faciale</t>
  </si>
  <si>
    <t xml:space="preserve"> * A remplir sur l'onglet CP</t>
  </si>
  <si>
    <t>Prévoyance Mutuelle</t>
  </si>
  <si>
    <t>Part SALARIAL Mutuelle</t>
  </si>
  <si>
    <t>Versement transport</t>
  </si>
  <si>
    <t>Choix du calcul HA</t>
  </si>
  <si>
    <t>Choix du calcul LOA</t>
  </si>
  <si>
    <t>Avantage en nature HA</t>
  </si>
  <si>
    <t>Avantage en nature LOA</t>
  </si>
  <si>
    <t>A remplir 1 fois par an ou si modif / données nationales</t>
  </si>
  <si>
    <t>calcul automatique</t>
  </si>
  <si>
    <t xml:space="preserve">HA sur l'année </t>
  </si>
  <si>
    <t>Abonnement mensuel</t>
  </si>
  <si>
    <t>HEURES COMPLEMNTAIRES 10%</t>
  </si>
  <si>
    <t>HEURES SUPPLEMENTAIRES 25%</t>
  </si>
  <si>
    <t>HEURES SUPPLEMENTAIRES 50%</t>
  </si>
  <si>
    <t>en centièmes</t>
  </si>
  <si>
    <t>Avance sur salaire</t>
  </si>
  <si>
    <t>OUI</t>
  </si>
  <si>
    <t>NON</t>
  </si>
  <si>
    <t>SASIE SUR SALAIRE</t>
  </si>
  <si>
    <t>Tx H complémentaires à 10%</t>
  </si>
  <si>
    <t>Tx H supplémentaires à 25%</t>
  </si>
  <si>
    <t>Tx H supplémentaires à 50%</t>
  </si>
  <si>
    <t xml:space="preserve"> * liste déroulante</t>
  </si>
  <si>
    <t>RMI/RSA</t>
  </si>
  <si>
    <t>Saisie salaire</t>
  </si>
  <si>
    <t>Aller sur l'onglet Abs_CP</t>
  </si>
  <si>
    <t>Aller sur l'onglet CP</t>
  </si>
  <si>
    <t>Si HSUP aller sur l'onglet H SUP</t>
  </si>
  <si>
    <t>Salaire brut pour calcul</t>
  </si>
  <si>
    <t>Calcul des ABSENCES Non Rémunérées</t>
  </si>
  <si>
    <t>Calcul de l'absence non rémunérée</t>
  </si>
  <si>
    <t>abs non rémunéree</t>
  </si>
  <si>
    <t>ABS_NR</t>
  </si>
  <si>
    <t xml:space="preserve">Nbre de pièces </t>
  </si>
  <si>
    <t>Type contrat</t>
  </si>
  <si>
    <t>Durée contrat</t>
  </si>
  <si>
    <t>CDI</t>
  </si>
  <si>
    <t>Temps Complet</t>
  </si>
  <si>
    <t>Temps Partiel</t>
  </si>
  <si>
    <t>Prévoyance DC Part salariale</t>
  </si>
  <si>
    <t>Prévoyance DC Part Patronale</t>
  </si>
  <si>
    <t>Nbre total d'heures</t>
  </si>
  <si>
    <t>Nbre d'heures à 10%</t>
  </si>
  <si>
    <t>Nbre d'heures à 25%</t>
  </si>
  <si>
    <t>Sub Bouton1_QuandClic()</t>
  </si>
  <si>
    <t>Dim C As Range</t>
  </si>
  <si>
    <t>    For Each C In[B] Sheets("Feuil1")[/B].UsedRange</t>
  </si>
  <si>
    <t>        With C.Interior</t>
  </si>
  <si>
    <t>            .ColorIndex = IIf(.ColorIndex = 6, xlNone, .ColorIndex)</t>
  </si>
  <si>
    <t>        End With</t>
  </si>
  <si>
    <t>    Next C</t>
  </si>
  <si>
    <t>End Sub</t>
  </si>
  <si>
    <t xml:space="preserve">macro POUR SUPPRIMER DES CELLULLES EN JAUNE </t>
  </si>
  <si>
    <t>Nbre de jours donnant droit au TR</t>
  </si>
  <si>
    <t>Taux Applicable chômage</t>
  </si>
  <si>
    <t>CDD &lt; =1 mois</t>
  </si>
  <si>
    <t>CDD Compris entre 1 mois et 3 mois</t>
  </si>
  <si>
    <t>CDD d'usage &lt;= 3 Mois</t>
  </si>
  <si>
    <t xml:space="preserve">CDD remplacement , saisonnier ; intérim </t>
  </si>
  <si>
    <t>CDD &gt; 3 mois</t>
  </si>
  <si>
    <t>HA véhicule / amortissement</t>
  </si>
  <si>
    <t>Transport Montant</t>
  </si>
  <si>
    <t xml:space="preserve">Montant de la PP </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</si>
  <si>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</si>
  <si>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Solde de RTT</t>
  </si>
  <si>
    <t>Solde de RTT à payer</t>
  </si>
  <si>
    <t>Nbre de jours cp acquis sur l'année</t>
  </si>
  <si>
    <t>Nbre de jours cp sur l'année normale</t>
  </si>
  <si>
    <t>ICCP DE SOLDE CP N</t>
  </si>
  <si>
    <t xml:space="preserve">REPAS / TR </t>
  </si>
  <si>
    <t>LOGEMENT</t>
  </si>
  <si>
    <t>VEHICULE</t>
  </si>
  <si>
    <t>NOUVELLE TECHNOLOGIE</t>
  </si>
  <si>
    <t>TITRE DE TRANSPORT</t>
  </si>
  <si>
    <t>Janvier</t>
  </si>
  <si>
    <t>Février</t>
  </si>
  <si>
    <t>Mars</t>
  </si>
  <si>
    <t>Avril</t>
  </si>
  <si>
    <t>Mai</t>
  </si>
  <si>
    <t>Juin</t>
  </si>
  <si>
    <t>Juillet</t>
  </si>
  <si>
    <t>Août</t>
  </si>
  <si>
    <t>Septembre</t>
  </si>
  <si>
    <t>Octobre</t>
  </si>
  <si>
    <t>Novembre</t>
  </si>
  <si>
    <t>Décembre</t>
  </si>
  <si>
    <t>Ouvrables réels en comptant les jours fériés</t>
  </si>
  <si>
    <t>Nbre heures/ semaine</t>
  </si>
  <si>
    <t>Nbre Jours / semaine</t>
  </si>
  <si>
    <t>Salaire brut M-1 pour calcul</t>
  </si>
  <si>
    <t>Salaire de référence pour calcul</t>
  </si>
  <si>
    <t>Cumul des ICCP percus * montant</t>
  </si>
  <si>
    <t>Solde de CP N-1 à payer * jours</t>
  </si>
  <si>
    <t>Solde de CP N à payer * jours</t>
  </si>
  <si>
    <t>Salaire M-1 pour maintien</t>
  </si>
  <si>
    <t>Salaire de ref N pour règle du 10eme</t>
  </si>
  <si>
    <t>Nbre de jours CP donné par l'Ets sur 12 mois</t>
  </si>
  <si>
    <t>Cumul ICCP percus</t>
  </si>
  <si>
    <t>Salaire net après cotisations</t>
  </si>
  <si>
    <t>Total déduction et indemnités</t>
  </si>
  <si>
    <t>Net imposable</t>
  </si>
  <si>
    <t>Montant du salaire pour AN logement</t>
  </si>
  <si>
    <t>Fourchette</t>
  </si>
  <si>
    <t>Montant de la retenue CP</t>
  </si>
  <si>
    <t>Montant ICCP</t>
  </si>
  <si>
    <t>Montant solde ICCP N</t>
  </si>
  <si>
    <t>Montant solde ICCP N-1</t>
  </si>
  <si>
    <t>Régul ICCP fractionnement</t>
  </si>
  <si>
    <t>Régul ICCP (Fractionnement)</t>
  </si>
  <si>
    <t>AN EVALUATION FORFAITAIRE</t>
  </si>
  <si>
    <t>AN TR</t>
  </si>
  <si>
    <t>AN LOGEMENT</t>
  </si>
  <si>
    <t>AN VEHICULE HA</t>
  </si>
  <si>
    <t>AN VEHICULE LOA</t>
  </si>
  <si>
    <t>AN TECHNO</t>
  </si>
  <si>
    <t>AN ABONNEMENT</t>
  </si>
  <si>
    <t>NOM Prénom</t>
  </si>
  <si>
    <t>NOM</t>
  </si>
  <si>
    <t xml:space="preserve">Montant salaire pour calcul </t>
  </si>
  <si>
    <t>Matricule :</t>
  </si>
  <si>
    <t>N° Sécurité sociale :</t>
  </si>
  <si>
    <t>Qualification :</t>
  </si>
  <si>
    <t>Coeffcient :</t>
  </si>
  <si>
    <t>Date d'entrée :</t>
  </si>
  <si>
    <t>Plafond Sécu: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</si>
</sst>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_-* #,##0.00\ [$€-40C]_-;\-* #,##0.00\ [$€-40C]_-;_-* &quot;-&quot;??\ [$€-40C]_-;_-@_-"/>
    <numFmt numFmtId="165" formatCode="[h]:mm;@"/>
    <numFmt numFmtId="166" formatCode="[h]:mm"/>
    <numFmt numFmtId="167" formatCode="0.000%"/>
    <numFmt numFmtId="168" formatCode="[$-40C]mmm\-yyyy;@"/>
  </numFmts>
  <fonts count="52" x14ac:knownFonts="1">
    <font>
      <sz val="11"/>
      <color theme="1"/>
      <name val="Calibri"/>
      <family val="2"/>
      <scheme val="minor"/>
    </font>
    <font>
      <b/>
      <sz val="11"/>
      <color theme="1"/>
      <name val="Calibri"/>
      <family val="2"/>
      <scheme val="minor"/>
    </font>
    <font>
      <b/>
      <sz val="11"/>
      <name val="Calibri"/>
      <family val="2"/>
      <scheme val="minor"/>
    </font>
    <font>
      <sz val="11"/>
      <color theme="1"/>
      <name val="Calibri"/>
      <family val="2"/>
      <scheme val="minor"/>
    </font>
    <font>
      <b/>
      <sz val="11"/>
      <color rgb="FFFF0000"/>
      <name val="Calibri"/>
      <family val="2"/>
      <scheme val="minor"/>
    </font>
    <font>
      <sz val="10"/>
      <color theme="1"/>
      <name val="Calibri"/>
      <family val="2"/>
      <scheme val="minor"/>
    </font>
    <font>
      <sz val="9"/>
      <color theme="1"/>
      <name val="Calibri"/>
      <family val="2"/>
      <scheme val="minor"/>
    </font>
    <font>
      <b/>
      <u/>
      <sz val="16"/>
      <color rgb="FFFF0000"/>
      <name val="Calibri"/>
      <family val="2"/>
      <scheme val="minor"/>
    </font>
    <font>
      <sz val="11"/>
      <color rgb="FF141414"/>
      <name val="Calibri"/>
      <family val="2"/>
      <scheme val="minor"/>
    </font>
    <font>
      <b/>
      <u/>
      <sz val="11"/>
      <color rgb="FFFF0000"/>
      <name val="Calibri"/>
      <family val="2"/>
      <scheme val="minor"/>
    </font>
    <font>
      <sz val="9"/>
      <color indexed="81"/>
      <name val="Tahoma"/>
      <family val="2"/>
    </font>
    <font>
      <b/>
      <u/>
      <sz val="16"/>
      <name val="Calibri"/>
      <family val="2"/>
      <scheme val="minor"/>
    </font>
    <font>
      <b/>
      <sz val="9"/>
      <color indexed="81"/>
      <name val="Tahoma"/>
      <family val="2"/>
    </font>
    <font>
      <sz val="11"/>
      <color theme="1"/>
      <name val="Calibri"/>
      <family val="2"/>
      <scheme val="minor"/>
    </font>
    <font>
      <b/>
      <sz val="11"/>
      <color rgb="FFFF0000"/>
      <name val="Calibri"/>
      <family val="2"/>
      <scheme val="minor"/>
    </font>
    <font>
      <b/>
      <sz val="16"/>
      <color rgb="FFFF0000"/>
      <name val="Calibri"/>
      <family val="2"/>
      <scheme val="minor"/>
    </font>
    <font>
      <b/>
      <u/>
      <sz val="16"/>
      <color rgb="FFFF0000"/>
      <name val="Calibri"/>
      <family val="2"/>
      <scheme val="minor"/>
    </font>
    <font>
      <sz val="11"/>
      <color theme="1"/>
      <name val="Calibri"/>
      <family val="2"/>
      <scheme val="minor"/>
    </font>
    <font>
      <b/>
      <sz val="14"/>
      <color theme="1"/>
      <name val="Calibri"/>
      <family val="2"/>
      <scheme val="minor"/>
    </font>
    <font>
      <b/>
      <sz val="11"/>
      <color rgb="FFFF0000"/>
      <name val="Calibri"/>
      <family val="2"/>
      <scheme val="minor"/>
    </font>
    <font>
      <b/>
      <u/>
      <sz val="11"/>
      <color theme="1"/>
      <name val="Calibri"/>
      <family val="2"/>
      <scheme val="minor"/>
    </font>
    <font>
      <u/>
      <sz val="11"/>
      <color theme="10"/>
      <name val="Calibri"/>
      <family val="2"/>
      <scheme val="minor"/>
    </font>
    <font>
      <sz val="10"/>
      <name val="Calibri"/>
      <family val="2"/>
    </font>
    <font>
      <sz val="11"/>
      <name val="Calibri"/>
      <family val="2"/>
      <scheme val="minor"/>
    </font>
    <font>
      <sz val="11"/>
      <color rgb="FFFF0000"/>
      <name val="Calibri"/>
      <family val="2"/>
      <scheme val="minor"/>
    </font>
    <font>
      <b/>
      <sz val="18"/>
      <color theme="1"/>
      <name val="Calibri"/>
      <family val="2"/>
      <scheme val="minor"/>
    </font>
    <font>
      <sz val="11"/>
      <color theme="1"/>
      <name val="Calibri"/>
      <family val="2"/>
      <scheme val="minor"/>
    </font>
    <font>
      <b/>
      <sz val="9"/>
      <color theme="1"/>
      <name val="Calibri"/>
      <family val="2"/>
      <scheme val="minor"/>
    </font>
    <font>
      <sz val="9"/>
      <color theme="1"/>
      <name val="Calibri"/>
      <family val="2"/>
      <scheme val="minor"/>
    </font>
    <font>
      <b/>
      <sz val="11"/>
      <color theme="1"/>
      <name val="Calibri"/>
      <family val="2"/>
      <scheme val="minor"/>
    </font>
    <font>
      <u/>
      <sz val="11"/>
      <color theme="10"/>
      <name val="Calibri"/>
      <family val="2"/>
      <scheme val="minor"/>
    </font>
    <font>
      <b/>
      <i/>
      <sz val="11"/>
      <color theme="1"/>
      <name val="Calibri"/>
      <family val="2"/>
      <scheme val="minor"/>
    </font>
    <font>
      <i/>
      <sz val="11"/>
      <color theme="1"/>
      <name val="Calibri"/>
      <family val="2"/>
      <scheme val="minor"/>
    </font>
    <font>
      <vertAlign val="superscript"/>
      <sz val="11"/>
      <color theme="1"/>
      <name val="Calibri"/>
      <family val="2"/>
      <scheme val="minor"/>
    </font>
    <font>
      <sz val="12"/>
      <color theme="1"/>
      <name val="Calibri"/>
      <family val="2"/>
      <scheme val="minor"/>
    </font>
    <font>
      <sz val="11"/>
      <color rgb="FF000000"/>
      <name val="Calibri"/>
      <family val="2"/>
    </font>
    <font>
      <sz val="10"/>
      <color theme="1"/>
      <name val="Calibri"/>
      <family val="2"/>
    </font>
    <font>
      <b/>
      <sz val="10"/>
      <name val="Calibri"/>
      <family val="2"/>
    </font>
    <font>
      <sz val="10"/>
      <color indexed="17"/>
      <name val="Calibri"/>
      <family val="2"/>
    </font>
    <font>
      <sz val="10"/>
      <name val="Calibri"/>
      <family val="2"/>
      <scheme val="minor"/>
    </font>
    <font>
      <b/>
      <sz val="10"/>
      <color rgb="FFFF0000"/>
      <name val="Calibri"/>
      <family val="2"/>
    </font>
    <font>
      <b/>
      <sz val="16"/>
      <name val="Calibri"/>
      <family val="2"/>
    </font>
    <font>
      <b/>
      <sz val="12"/>
      <color rgb="FFFF0000"/>
      <name val="Calibri"/>
      <family val="2"/>
    </font>
    <font>
      <i/>
      <sz val="10"/>
      <name val="Calibri"/>
      <family val="2"/>
    </font>
    <font>
      <i/>
      <sz val="10"/>
      <color theme="1"/>
      <name val="Calibri"/>
      <family val="2"/>
    </font>
    <font>
      <sz val="8"/>
      <color theme="1"/>
      <name val="Calibri"/>
      <family val="2"/>
      <scheme val="minor"/>
    </font>
    <font>
      <sz val="9"/>
      <name val="Calibri"/>
      <family val="2"/>
      <scheme val="minor"/>
    </font>
    <font>
      <b/>
      <sz val="18"/>
      <name val="Calibri"/>
      <family val="2"/>
      <scheme val="minor"/>
    </font>
    <font>
      <b/>
      <sz val="9"/>
      <name val="Calibri"/>
      <family val="2"/>
      <scheme val="minor"/>
    </font>
    <font>
      <sz val="10"/>
      <color rgb="FF141414"/>
      <name val="Arial"/>
      <family val="2"/>
    </font>
    <font>
      <b/>
      <u/>
      <sz val="14"/>
      <color theme="10"/>
      <name val="Calibri"/>
      <family val="2"/>
      <scheme val="minor"/>
    </font>
    <font>
      <b/>
      <sz val="14"/>
      <name val="Calibri"/>
      <family val="2"/>
      <scheme val="minor"/>
    </font>
  </fonts>
  <fills count="20">
    <fill>
      <patternFill patternType="none"/>
    </fill>
    <fill>
      <patternFill patternType="gray125"/>
    </fill>
    <fill>
      <patternFill patternType="solid">
        <fgColor theme="0"/>
        <bgColor indexed="64"/>
      </patternFill>
    </fill>
    <fill>
      <patternFill patternType="solid">
        <fgColor theme="7" tint="0.59999389629810485"/>
        <bgColor indexed="64"/>
      </patternFill>
    </fill>
    <fill>
      <patternFill patternType="solid">
        <fgColor rgb="FFFFFF00"/>
        <bgColor indexed="64"/>
      </patternFill>
    </fill>
    <fill>
      <patternFill patternType="solid">
        <fgColor rgb="FFFFC00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00B0F0"/>
        <bgColor indexed="64"/>
      </patternFill>
    </fill>
    <fill>
      <patternFill patternType="solid">
        <fgColor rgb="FF92D050"/>
        <bgColor indexed="64"/>
      </patternFill>
    </fill>
    <fill>
      <patternFill patternType="solid">
        <fgColor rgb="FFFF0000"/>
        <bgColor indexed="64"/>
      </patternFill>
    </fill>
    <fill>
      <patternFill patternType="solid">
        <fgColor theme="2"/>
        <bgColor indexed="64"/>
      </patternFill>
    </fill>
    <fill>
      <patternFill patternType="solid">
        <fgColor rgb="FFFF99FF"/>
        <bgColor indexed="64"/>
      </patternFill>
    </fill>
    <fill>
      <patternFill patternType="solid">
        <fgColor indexed="27"/>
        <bgColor indexed="41"/>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theme="8" tint="0.59999389629810485"/>
        <bgColor indexed="64"/>
      </patternFill>
    </fill>
  </fills>
  <borders count="144">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dashDotDot">
        <color indexed="64"/>
      </left>
      <right/>
      <top style="dashDotDot">
        <color indexed="64"/>
      </top>
      <bottom/>
      <diagonal/>
    </border>
    <border>
      <left/>
      <right/>
      <top style="dashDotDot">
        <color indexed="64"/>
      </top>
      <bottom/>
      <diagonal/>
    </border>
    <border>
      <left/>
      <right style="dashDotDot">
        <color indexed="64"/>
      </right>
      <top style="dashDotDot">
        <color indexed="64"/>
      </top>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style="dashDotDot">
        <color auto="1"/>
      </left>
      <right/>
      <top/>
      <bottom/>
      <diagonal/>
    </border>
    <border>
      <left/>
      <right style="dashDotDot">
        <color auto="1"/>
      </right>
      <top/>
      <bottom/>
      <diagonal/>
    </border>
    <border>
      <left style="dashDotDot">
        <color auto="1"/>
      </left>
      <right/>
      <top/>
      <bottom style="dashDotDot">
        <color auto="1"/>
      </bottom>
      <diagonal/>
    </border>
    <border>
      <left/>
      <right style="dashDotDot">
        <color auto="1"/>
      </right>
      <top/>
      <bottom style="dashDotDot">
        <color auto="1"/>
      </bottom>
      <diagonal/>
    </border>
    <border>
      <left/>
      <right/>
      <top/>
      <bottom style="dashDotDot">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right/>
      <top style="dotted">
        <color indexed="64"/>
      </top>
      <bottom/>
      <diagonal/>
    </border>
    <border>
      <left/>
      <right style="medium">
        <color indexed="64"/>
      </right>
      <top style="dotted">
        <color indexed="64"/>
      </top>
      <bottom/>
      <diagonal/>
    </border>
    <border>
      <left style="thin">
        <color indexed="64"/>
      </left>
      <right style="thin">
        <color indexed="64"/>
      </right>
      <top/>
      <bottom style="thin">
        <color indexed="64"/>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medium">
        <color indexed="64"/>
      </left>
      <right style="medium">
        <color indexed="64"/>
      </right>
      <top/>
      <bottom style="medium">
        <color indexed="64"/>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bottom style="dotted">
        <color indexed="64"/>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style="dashDotDot">
        <color auto="1"/>
      </top>
      <bottom style="dashDotDot">
        <color auto="1"/>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hair">
        <color indexed="64"/>
      </left>
      <right style="thin">
        <color indexed="64"/>
      </right>
      <top style="hair">
        <color indexed="64"/>
      </top>
      <bottom/>
      <diagonal/>
    </border>
    <border>
      <left/>
      <right style="thin">
        <color indexed="8"/>
      </right>
      <top style="hair">
        <color indexed="8"/>
      </top>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right/>
      <top style="mediumDashDot">
        <color auto="1"/>
      </top>
      <bottom/>
      <diagonal/>
    </border>
    <border>
      <left style="thin">
        <color auto="1"/>
      </left>
      <right style="thin">
        <color auto="1"/>
      </right>
      <top style="thin">
        <color auto="1"/>
      </top>
      <bottom style="thin">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diagonal/>
    </border>
    <border>
      <left style="medium">
        <color indexed="64"/>
      </left>
      <right/>
      <top/>
      <bottom style="dotted">
        <color indexed="64"/>
      </bottom>
      <diagonal/>
    </border>
    <border>
      <left/>
      <right/>
      <top style="thin">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medium">
        <color indexed="64"/>
      </left>
      <right style="medium">
        <color indexed="64"/>
      </right>
      <top style="thin">
        <color indexed="64"/>
      </top>
      <bottom/>
      <diagonal/>
    </border>
    <border>
      <left style="dashDotDot">
        <color indexed="64"/>
      </left>
      <right style="hair">
        <color indexed="64"/>
      </right>
      <top style="hair">
        <color indexed="64"/>
      </top>
      <bottom/>
      <diagonal/>
    </border>
  </borders>
  <cellStyleXfs count="4">
    <xf numFmtId="0" fontId="0" fillId="0" borderId="0"/>
    <xf numFmtId="9" fontId="3" fillId="0" borderId="0" applyFont="0" applyFill="0" applyBorder="0" applyAlignment="0" applyProtection="0"/>
    <xf numFmtId="0" fontId="21" fillId="0" borderId="0" applyNumberFormat="0" applyFill="0" applyBorder="0" applyAlignment="0" applyProtection="0"/>
    <xf numFmtId="0" fontId="22" fillId="0" borderId="0"/>
  </cellStyleXfs>
  <cellXfs count="660">
    <xf numFmtId="0" fontId="0" fillId="0" borderId="0" xfId="0"/>
    <xf numFmtId="0" fontId="1" fillId="0" borderId="0" xfId="0" applyFont="1"/>
    <xf numFmtId="0" fontId="0" fillId="0" borderId="19" xfId="0" applyBorder="1"/>
    <xf numFmtId="0" fontId="0" fillId="0" borderId="20" xfId="0" applyBorder="1"/>
    <xf numFmtId="0" fontId="0" fillId="0" borderId="21" xfId="0" applyBorder="1"/>
    <xf numFmtId="0" fontId="0" fillId="0" borderId="10" xfId="0" applyBorder="1"/>
    <xf numFmtId="0" fontId="0" fillId="0" borderId="15" xfId="0" applyBorder="1"/>
    <xf numFmtId="0" fontId="0" fillId="0" borderId="13" xfId="0" applyBorder="1"/>
    <xf numFmtId="0" fontId="0" fillId="0" borderId="0" xfId="0" applyBorder="1"/>
    <xf numFmtId="0" fontId="0" fillId="0" borderId="14" xfId="0" applyBorder="1"/>
    <xf numFmtId="0" fontId="2" fillId="3" borderId="19" xfId="0" applyFont="1" applyFill="1" applyBorder="1"/>
    <xf numFmtId="0" fontId="2" fillId="3" borderId="21" xfId="0" applyFont="1" applyFill="1" applyBorder="1"/>
    <xf numFmtId="0" fontId="2" fillId="3" borderId="10" xfId="0" applyFont="1" applyFill="1" applyBorder="1"/>
    <xf numFmtId="0" fontId="1" fillId="3" borderId="19" xfId="0" applyFont="1" applyFill="1" applyBorder="1"/>
    <xf numFmtId="0" fontId="1" fillId="3" borderId="20" xfId="0" applyFont="1" applyFill="1" applyBorder="1"/>
    <xf numFmtId="0" fontId="1" fillId="3" borderId="10" xfId="0" applyFont="1" applyFill="1" applyBorder="1"/>
    <xf numFmtId="0" fontId="1" fillId="3" borderId="21" xfId="0" applyFont="1" applyFill="1" applyBorder="1"/>
    <xf numFmtId="0" fontId="4" fillId="0" borderId="10" xfId="0" applyFont="1" applyBorder="1" applyAlignment="1">
      <alignment horizontal="center" vertical="center"/>
    </xf>
    <xf numFmtId="2" fontId="4" fillId="0" borderId="10" xfId="0" applyNumberFormat="1" applyFont="1" applyBorder="1" applyAlignment="1">
      <alignment horizontal="center" vertical="center"/>
    </xf>
    <xf numFmtId="0" fontId="6" fillId="0" borderId="0" xfId="0" applyFont="1" applyAlignment="1">
      <alignment vertical="center"/>
    </xf>
    <xf numFmtId="0" fontId="6" fillId="0" borderId="0" xfId="0" applyFont="1" applyBorder="1" applyAlignment="1">
      <alignment vertical="center"/>
    </xf>
    <xf numFmtId="0" fontId="0" fillId="0" borderId="0" xfId="0" applyFont="1" applyAlignment="1">
      <alignment horizontal="center" vertical="center"/>
    </xf>
    <xf numFmtId="0" fontId="7" fillId="0" borderId="0" xfId="0" applyFont="1" applyFill="1" applyBorder="1" applyAlignment="1">
      <alignment horizontal="center" vertical="center"/>
    </xf>
    <xf numFmtId="0" fontId="0" fillId="0" borderId="10" xfId="0" applyFont="1" applyFill="1" applyBorder="1" applyAlignment="1">
      <alignment horizontal="center" vertical="center"/>
    </xf>
    <xf numFmtId="14" fontId="0" fillId="0" borderId="0" xfId="0" applyNumberFormat="1" applyFont="1" applyAlignment="1">
      <alignment horizontal="center" vertical="center"/>
    </xf>
    <xf numFmtId="2" fontId="0" fillId="0" borderId="10" xfId="0" applyNumberFormat="1" applyFont="1" applyFill="1" applyBorder="1" applyAlignment="1">
      <alignment horizontal="center" vertical="center"/>
    </xf>
    <xf numFmtId="0" fontId="0" fillId="0" borderId="10" xfId="0" applyFont="1" applyBorder="1" applyAlignment="1">
      <alignment horizontal="center" vertical="center"/>
    </xf>
    <xf numFmtId="1" fontId="0" fillId="0" borderId="10" xfId="0" applyNumberFormat="1" applyFont="1" applyFill="1" applyBorder="1" applyAlignment="1">
      <alignment horizontal="center" vertical="center"/>
    </xf>
    <xf numFmtId="0" fontId="9" fillId="0" borderId="0" xfId="0" applyFont="1" applyAlignment="1">
      <alignment horizontal="left" vertical="center"/>
    </xf>
    <xf numFmtId="0" fontId="1" fillId="0" borderId="0" xfId="0" applyFont="1" applyAlignment="1">
      <alignment horizontal="center" vertical="center"/>
    </xf>
    <xf numFmtId="0" fontId="1" fillId="0" borderId="0" xfId="0" applyFont="1" applyAlignment="1">
      <alignment horizontal="right" vertical="center"/>
    </xf>
    <xf numFmtId="0" fontId="1" fillId="0" borderId="51" xfId="0" applyFont="1" applyBorder="1" applyAlignment="1">
      <alignment horizontal="left" vertical="center"/>
    </xf>
    <xf numFmtId="0" fontId="1" fillId="0" borderId="53" xfId="0" applyFont="1" applyBorder="1" applyAlignment="1">
      <alignment horizontal="left" vertical="center"/>
    </xf>
    <xf numFmtId="14" fontId="0" fillId="0" borderId="0" xfId="0" applyNumberFormat="1" applyFont="1" applyFill="1" applyAlignment="1">
      <alignment horizontal="center" vertical="center"/>
    </xf>
    <xf numFmtId="0" fontId="13" fillId="0" borderId="0" xfId="0" applyFont="1" applyAlignment="1">
      <alignment vertical="center"/>
    </xf>
    <xf numFmtId="2" fontId="13" fillId="0" borderId="0" xfId="0" applyNumberFormat="1" applyFont="1" applyAlignment="1">
      <alignment vertical="center"/>
    </xf>
    <xf numFmtId="2" fontId="14" fillId="0" borderId="10" xfId="0" applyNumberFormat="1" applyFont="1" applyBorder="1" applyAlignment="1">
      <alignment vertical="center"/>
    </xf>
    <xf numFmtId="0" fontId="13" fillId="8" borderId="10" xfId="0" applyFont="1" applyFill="1" applyBorder="1" applyAlignment="1">
      <alignment vertical="center"/>
    </xf>
    <xf numFmtId="0" fontId="13" fillId="0" borderId="10" xfId="0" applyFont="1" applyBorder="1" applyAlignment="1">
      <alignment vertical="center"/>
    </xf>
    <xf numFmtId="2" fontId="13" fillId="0" borderId="10" xfId="0" applyNumberFormat="1" applyFont="1" applyBorder="1" applyAlignment="1">
      <alignment vertical="center"/>
    </xf>
    <xf numFmtId="0" fontId="13" fillId="0" borderId="63" xfId="0" applyFont="1" applyBorder="1" applyAlignment="1">
      <alignment vertical="center"/>
    </xf>
    <xf numFmtId="2" fontId="13" fillId="0" borderId="64" xfId="0" applyNumberFormat="1" applyFont="1" applyBorder="1" applyAlignment="1">
      <alignment vertical="center"/>
    </xf>
    <xf numFmtId="2" fontId="13" fillId="0" borderId="65" xfId="0" applyNumberFormat="1" applyFont="1" applyBorder="1" applyAlignment="1">
      <alignment vertical="center"/>
    </xf>
    <xf numFmtId="0" fontId="13" fillId="0" borderId="40" xfId="0" applyFont="1" applyBorder="1" applyAlignment="1">
      <alignment vertical="center"/>
    </xf>
    <xf numFmtId="2" fontId="13" fillId="0" borderId="66" xfId="0" applyNumberFormat="1" applyFont="1" applyBorder="1" applyAlignment="1">
      <alignment vertical="center"/>
    </xf>
    <xf numFmtId="2" fontId="13" fillId="0" borderId="41" xfId="0" applyNumberFormat="1" applyFont="1" applyBorder="1" applyAlignment="1">
      <alignment vertical="center"/>
    </xf>
    <xf numFmtId="0" fontId="13" fillId="0" borderId="42" xfId="0" applyFont="1" applyBorder="1" applyAlignment="1">
      <alignment vertical="center"/>
    </xf>
    <xf numFmtId="2" fontId="13" fillId="0" borderId="67" xfId="0" applyNumberFormat="1" applyFont="1" applyBorder="1" applyAlignment="1">
      <alignment vertical="center"/>
    </xf>
    <xf numFmtId="2" fontId="13" fillId="0" borderId="43" xfId="0" applyNumberFormat="1" applyFont="1" applyBorder="1" applyAlignment="1">
      <alignment vertical="center"/>
    </xf>
    <xf numFmtId="0" fontId="13" fillId="10" borderId="10" xfId="0" applyFont="1" applyFill="1" applyBorder="1" applyAlignment="1">
      <alignment vertical="center"/>
    </xf>
    <xf numFmtId="0" fontId="14" fillId="8" borderId="10" xfId="0" applyFont="1" applyFill="1" applyBorder="1" applyAlignment="1">
      <alignment horizontal="center" vertical="center"/>
    </xf>
    <xf numFmtId="9" fontId="13" fillId="0" borderId="41" xfId="0" applyNumberFormat="1" applyFont="1" applyBorder="1" applyAlignment="1">
      <alignment vertical="center"/>
    </xf>
    <xf numFmtId="9" fontId="13" fillId="0" borderId="43" xfId="0" applyNumberFormat="1" applyFont="1" applyBorder="1" applyAlignment="1">
      <alignment vertical="center"/>
    </xf>
    <xf numFmtId="9" fontId="13" fillId="0" borderId="45" xfId="0" applyNumberFormat="1" applyFont="1" applyBorder="1" applyAlignment="1">
      <alignment vertical="center"/>
    </xf>
    <xf numFmtId="2" fontId="13" fillId="0" borderId="18" xfId="0" applyNumberFormat="1" applyFont="1" applyBorder="1" applyAlignment="1">
      <alignment vertical="center"/>
    </xf>
    <xf numFmtId="2" fontId="13" fillId="0" borderId="0" xfId="0" applyNumberFormat="1" applyFont="1" applyBorder="1" applyAlignment="1">
      <alignment vertical="center"/>
    </xf>
    <xf numFmtId="0" fontId="17" fillId="0" borderId="0" xfId="0" applyFont="1" applyAlignment="1">
      <alignment horizontal="center" vertical="center"/>
    </xf>
    <xf numFmtId="0" fontId="17" fillId="9" borderId="46" xfId="0" applyFont="1" applyFill="1" applyBorder="1" applyAlignment="1">
      <alignment horizontal="right" vertical="center"/>
    </xf>
    <xf numFmtId="0" fontId="18" fillId="9" borderId="47" xfId="0" applyFont="1" applyFill="1" applyBorder="1" applyAlignment="1">
      <alignment horizontal="center" vertical="center"/>
    </xf>
    <xf numFmtId="14" fontId="17" fillId="0" borderId="0" xfId="0" applyNumberFormat="1" applyFont="1" applyFill="1" applyAlignment="1">
      <alignment horizontal="center" vertical="center"/>
    </xf>
    <xf numFmtId="0" fontId="17" fillId="0" borderId="44" xfId="0" applyFont="1" applyBorder="1" applyAlignment="1">
      <alignment horizontal="right" vertical="center"/>
    </xf>
    <xf numFmtId="14" fontId="17" fillId="0" borderId="45" xfId="0" applyNumberFormat="1" applyFont="1" applyBorder="1" applyAlignment="1">
      <alignment horizontal="center" vertical="center"/>
    </xf>
    <xf numFmtId="14" fontId="17" fillId="0" borderId="0" xfId="0" applyNumberFormat="1" applyFont="1" applyAlignment="1">
      <alignment horizontal="center" vertical="center"/>
    </xf>
    <xf numFmtId="0" fontId="17" fillId="0" borderId="40" xfId="0" applyFont="1" applyBorder="1" applyAlignment="1">
      <alignment horizontal="right" vertical="center"/>
    </xf>
    <xf numFmtId="14" fontId="17" fillId="0" borderId="41" xfId="0" applyNumberFormat="1" applyFont="1" applyBorder="1" applyAlignment="1">
      <alignment horizontal="center" vertical="center"/>
    </xf>
    <xf numFmtId="0" fontId="17" fillId="0" borderId="10" xfId="0" applyFont="1" applyBorder="1" applyAlignment="1">
      <alignment horizontal="center" vertical="center"/>
    </xf>
    <xf numFmtId="0" fontId="19" fillId="0" borderId="10" xfId="0" applyFont="1" applyBorder="1" applyAlignment="1">
      <alignment horizontal="center" vertical="center"/>
    </xf>
    <xf numFmtId="2" fontId="19" fillId="0" borderId="10" xfId="0" applyNumberFormat="1" applyFont="1" applyBorder="1" applyAlignment="1">
      <alignment horizontal="center" vertical="center"/>
    </xf>
    <xf numFmtId="14" fontId="17" fillId="8" borderId="41" xfId="0" applyNumberFormat="1" applyFont="1" applyFill="1" applyBorder="1" applyAlignment="1">
      <alignment horizontal="center" vertical="center"/>
    </xf>
    <xf numFmtId="0" fontId="20" fillId="0" borderId="0" xfId="0" applyFont="1" applyAlignment="1">
      <alignment horizontal="center" vertical="center"/>
    </xf>
    <xf numFmtId="0" fontId="17" fillId="0" borderId="42" xfId="0" applyFont="1" applyBorder="1" applyAlignment="1">
      <alignment horizontal="right" vertical="center"/>
    </xf>
    <xf numFmtId="14" fontId="17" fillId="0" borderId="43" xfId="0" applyNumberFormat="1" applyFont="1" applyBorder="1" applyAlignment="1">
      <alignment horizontal="center" vertical="center"/>
    </xf>
    <xf numFmtId="0" fontId="0" fillId="0" borderId="0" xfId="0" applyFont="1" applyAlignment="1">
      <alignment vertical="center"/>
    </xf>
    <xf numFmtId="9" fontId="13" fillId="0" borderId="72" xfId="0" applyNumberFormat="1" applyFont="1" applyBorder="1" applyAlignment="1">
      <alignment vertical="center"/>
    </xf>
    <xf numFmtId="0" fontId="13" fillId="0" borderId="47" xfId="0" applyFont="1" applyBorder="1" applyAlignment="1">
      <alignment vertical="center"/>
    </xf>
    <xf numFmtId="9" fontId="13" fillId="0" borderId="0" xfId="1" applyFont="1" applyAlignment="1">
      <alignment vertical="center"/>
    </xf>
    <xf numFmtId="2" fontId="4" fillId="0" borderId="0" xfId="0" applyNumberFormat="1" applyFont="1" applyAlignment="1">
      <alignment vertical="center"/>
    </xf>
    <xf numFmtId="0" fontId="4" fillId="0" borderId="0" xfId="0" applyFont="1" applyAlignment="1">
      <alignment vertical="center"/>
    </xf>
    <xf numFmtId="0" fontId="13" fillId="0" borderId="0" xfId="0" applyFont="1" applyAlignment="1">
      <alignment horizontal="center" vertical="center"/>
    </xf>
    <xf numFmtId="0" fontId="0" fillId="6" borderId="44" xfId="0" applyFont="1" applyFill="1" applyBorder="1" applyAlignment="1">
      <alignment vertical="center"/>
    </xf>
    <xf numFmtId="0" fontId="1" fillId="0" borderId="46" xfId="0" applyFont="1" applyBorder="1" applyAlignment="1">
      <alignment horizontal="center" vertical="center"/>
    </xf>
    <xf numFmtId="9" fontId="13" fillId="0" borderId="45" xfId="1" applyFont="1" applyBorder="1" applyAlignment="1">
      <alignment vertical="center"/>
    </xf>
    <xf numFmtId="0" fontId="0" fillId="6" borderId="40" xfId="0" applyFont="1" applyFill="1" applyBorder="1" applyAlignment="1">
      <alignment vertical="center"/>
    </xf>
    <xf numFmtId="0" fontId="0" fillId="7" borderId="40" xfId="0" applyFont="1" applyFill="1" applyBorder="1" applyAlignment="1">
      <alignment vertical="center"/>
    </xf>
    <xf numFmtId="0" fontId="0" fillId="7" borderId="71" xfId="0" applyFont="1" applyFill="1" applyBorder="1" applyAlignment="1">
      <alignment vertical="center"/>
    </xf>
    <xf numFmtId="0" fontId="0" fillId="7" borderId="42" xfId="0" applyFont="1" applyFill="1" applyBorder="1" applyAlignment="1">
      <alignment vertical="center"/>
    </xf>
    <xf numFmtId="0" fontId="21" fillId="0" borderId="0" xfId="2" applyFill="1" applyBorder="1" applyAlignment="1">
      <alignment horizontal="center" vertical="center"/>
    </xf>
    <xf numFmtId="0" fontId="21" fillId="0" borderId="0" xfId="2" applyAlignment="1">
      <alignment horizontal="center" vertical="center"/>
    </xf>
    <xf numFmtId="0" fontId="13" fillId="0" borderId="18" xfId="0" applyFont="1" applyBorder="1" applyAlignment="1">
      <alignment vertical="center"/>
    </xf>
    <xf numFmtId="0" fontId="13" fillId="0" borderId="0" xfId="0" applyFont="1" applyBorder="1" applyAlignment="1">
      <alignment horizontal="center" vertical="center"/>
    </xf>
    <xf numFmtId="0" fontId="0" fillId="0" borderId="10" xfId="0" applyFont="1" applyBorder="1" applyAlignment="1">
      <alignment horizontal="left" vertical="center"/>
    </xf>
    <xf numFmtId="0" fontId="0" fillId="0" borderId="10" xfId="0" applyFont="1" applyBorder="1" applyAlignment="1">
      <alignment horizontal="left" vertical="center" wrapText="1"/>
    </xf>
    <xf numFmtId="0" fontId="0" fillId="8" borderId="40" xfId="0" applyFont="1" applyFill="1" applyBorder="1" applyAlignment="1">
      <alignment horizontal="right" vertical="center"/>
    </xf>
    <xf numFmtId="0" fontId="0" fillId="0" borderId="0" xfId="0" applyAlignment="1">
      <alignment horizontal="center" vertical="center"/>
    </xf>
    <xf numFmtId="0" fontId="4" fillId="0" borderId="54" xfId="0" applyFont="1" applyBorder="1" applyAlignment="1">
      <alignment horizontal="center" vertical="center"/>
    </xf>
    <xf numFmtId="0" fontId="4" fillId="0" borderId="0" xfId="0" applyFont="1" applyAlignment="1">
      <alignment horizontal="right" vertical="center"/>
    </xf>
    <xf numFmtId="0" fontId="21" fillId="0" borderId="0" xfId="2"/>
    <xf numFmtId="0" fontId="22" fillId="0" borderId="0" xfId="3"/>
    <xf numFmtId="0" fontId="22" fillId="0" borderId="0" xfId="3" applyBorder="1" applyAlignment="1">
      <alignment horizontal="center"/>
    </xf>
    <xf numFmtId="0" fontId="22" fillId="0" borderId="0" xfId="3" applyBorder="1"/>
    <xf numFmtId="0" fontId="0" fillId="0" borderId="77" xfId="0" applyBorder="1" applyAlignment="1">
      <alignment horizontal="center" vertical="center"/>
    </xf>
    <xf numFmtId="0" fontId="0" fillId="0" borderId="78" xfId="0" applyBorder="1" applyAlignment="1">
      <alignment horizontal="center" vertical="center"/>
    </xf>
    <xf numFmtId="0" fontId="22" fillId="0" borderId="58" xfId="3" applyBorder="1" applyAlignment="1">
      <alignment horizontal="center"/>
    </xf>
    <xf numFmtId="0" fontId="0" fillId="0" borderId="10" xfId="0" applyFont="1" applyBorder="1" applyAlignment="1">
      <alignment vertical="center"/>
    </xf>
    <xf numFmtId="2" fontId="23" fillId="0" borderId="0" xfId="0" applyNumberFormat="1" applyFont="1" applyAlignment="1">
      <alignment vertical="center"/>
    </xf>
    <xf numFmtId="9" fontId="13" fillId="0" borderId="0" xfId="0" applyNumberFormat="1" applyFont="1" applyAlignment="1">
      <alignment vertical="center"/>
    </xf>
    <xf numFmtId="0" fontId="0" fillId="0" borderId="0" xfId="0" applyFont="1" applyBorder="1" applyAlignment="1">
      <alignment vertical="center"/>
    </xf>
    <xf numFmtId="0" fontId="1" fillId="0" borderId="10" xfId="0" applyFont="1" applyBorder="1" applyAlignment="1">
      <alignment horizontal="left" vertical="center"/>
    </xf>
    <xf numFmtId="2" fontId="4" fillId="0" borderId="0" xfId="0" applyNumberFormat="1" applyFont="1" applyAlignment="1">
      <alignment horizontal="center" vertical="center"/>
    </xf>
    <xf numFmtId="0" fontId="26" fillId="2" borderId="0" xfId="0" applyFont="1" applyFill="1" applyAlignment="1">
      <alignment vertical="center"/>
    </xf>
    <xf numFmtId="0" fontId="27" fillId="12" borderId="11" xfId="0" applyFont="1" applyFill="1" applyBorder="1" applyAlignment="1">
      <alignment vertical="center"/>
    </xf>
    <xf numFmtId="0" fontId="28" fillId="12" borderId="17" xfId="0" applyFont="1" applyFill="1" applyBorder="1" applyAlignment="1">
      <alignment vertical="center"/>
    </xf>
    <xf numFmtId="0" fontId="28" fillId="12" borderId="12" xfId="0" applyFont="1" applyFill="1" applyBorder="1" applyAlignment="1">
      <alignment vertical="center"/>
    </xf>
    <xf numFmtId="0" fontId="26" fillId="0" borderId="0" xfId="0" applyFont="1" applyAlignment="1">
      <alignment vertical="center"/>
    </xf>
    <xf numFmtId="0" fontId="28" fillId="12" borderId="13" xfId="0" applyFont="1" applyFill="1" applyBorder="1" applyAlignment="1">
      <alignment vertical="center"/>
    </xf>
    <xf numFmtId="0" fontId="27" fillId="12" borderId="0" xfId="0" applyFont="1" applyFill="1" applyBorder="1" applyAlignment="1">
      <alignment vertical="center"/>
    </xf>
    <xf numFmtId="0" fontId="28" fillId="12" borderId="0" xfId="0" applyFont="1" applyFill="1" applyBorder="1" applyAlignment="1">
      <alignment vertical="center"/>
    </xf>
    <xf numFmtId="0" fontId="28" fillId="12" borderId="14" xfId="0" applyFont="1" applyFill="1" applyBorder="1" applyAlignment="1">
      <alignment vertical="center"/>
    </xf>
    <xf numFmtId="0" fontId="28" fillId="2" borderId="0" xfId="0" applyFont="1" applyFill="1" applyAlignment="1">
      <alignment vertical="center"/>
    </xf>
    <xf numFmtId="0" fontId="28" fillId="0" borderId="0" xfId="0" applyFont="1" applyAlignment="1">
      <alignment vertical="center"/>
    </xf>
    <xf numFmtId="0" fontId="28" fillId="12" borderId="0" xfId="0" applyFont="1" applyFill="1" applyAlignment="1">
      <alignment vertical="center"/>
    </xf>
    <xf numFmtId="0" fontId="28" fillId="12" borderId="15" xfId="0" applyFont="1" applyFill="1" applyBorder="1" applyAlignment="1">
      <alignment vertical="center"/>
    </xf>
    <xf numFmtId="0" fontId="28" fillId="12" borderId="18" xfId="0" applyFont="1" applyFill="1" applyBorder="1" applyAlignment="1">
      <alignment vertical="center"/>
    </xf>
    <xf numFmtId="0" fontId="28" fillId="12" borderId="16" xfId="0" applyFont="1" applyFill="1" applyBorder="1" applyAlignment="1">
      <alignment vertical="center"/>
    </xf>
    <xf numFmtId="0" fontId="28" fillId="2" borderId="0" xfId="0" applyFont="1" applyFill="1" applyBorder="1" applyAlignment="1">
      <alignment vertical="center"/>
    </xf>
    <xf numFmtId="0" fontId="29" fillId="0" borderId="0" xfId="0" applyFont="1" applyAlignment="1">
      <alignment vertical="center"/>
    </xf>
    <xf numFmtId="0" fontId="26" fillId="0" borderId="31" xfId="0" applyFont="1" applyBorder="1" applyAlignment="1">
      <alignment vertical="center"/>
    </xf>
    <xf numFmtId="0" fontId="26" fillId="0" borderId="32" xfId="0" applyFont="1" applyBorder="1" applyAlignment="1">
      <alignment vertical="center"/>
    </xf>
    <xf numFmtId="0" fontId="26" fillId="0" borderId="0" xfId="0" applyFont="1" applyFill="1" applyAlignment="1">
      <alignment vertical="center"/>
    </xf>
    <xf numFmtId="0" fontId="26" fillId="0" borderId="29" xfId="0" applyFont="1" applyBorder="1" applyAlignment="1">
      <alignment horizontal="center" vertical="center"/>
    </xf>
    <xf numFmtId="4" fontId="26" fillId="0" borderId="29" xfId="0" applyNumberFormat="1" applyFont="1" applyFill="1" applyBorder="1" applyAlignment="1">
      <alignment vertical="center"/>
    </xf>
    <xf numFmtId="4" fontId="26" fillId="0" borderId="29" xfId="0" applyNumberFormat="1" applyFont="1" applyBorder="1" applyAlignment="1">
      <alignment vertical="center"/>
    </xf>
    <xf numFmtId="0" fontId="26" fillId="0" borderId="29" xfId="0" applyFont="1" applyBorder="1" applyAlignment="1">
      <alignment vertical="center"/>
    </xf>
    <xf numFmtId="0" fontId="26" fillId="0" borderId="33" xfId="0" applyFont="1" applyBorder="1" applyAlignment="1">
      <alignment vertical="center"/>
    </xf>
    <xf numFmtId="0" fontId="29" fillId="0" borderId="0" xfId="0" applyFont="1" applyFill="1" applyAlignment="1">
      <alignment vertical="center"/>
    </xf>
    <xf numFmtId="0" fontId="26" fillId="0" borderId="0" xfId="0" applyFont="1" applyBorder="1" applyAlignment="1">
      <alignment horizontal="center" vertical="center"/>
    </xf>
    <xf numFmtId="0" fontId="26" fillId="0" borderId="0" xfId="0" applyFont="1" applyBorder="1" applyAlignment="1">
      <alignment vertical="center"/>
    </xf>
    <xf numFmtId="2" fontId="26" fillId="0" borderId="0" xfId="0" applyNumberFormat="1" applyFont="1" applyFill="1" applyAlignment="1">
      <alignment vertical="center"/>
    </xf>
    <xf numFmtId="9" fontId="26" fillId="0" borderId="29" xfId="1" applyFont="1" applyBorder="1" applyAlignment="1">
      <alignment vertical="center"/>
    </xf>
    <xf numFmtId="0" fontId="30" fillId="0" borderId="0" xfId="2" applyFont="1" applyAlignment="1">
      <alignment horizontal="center" vertical="center"/>
    </xf>
    <xf numFmtId="0" fontId="26" fillId="0" borderId="0" xfId="0" applyFont="1" applyAlignment="1">
      <alignment horizontal="center" vertical="center"/>
    </xf>
    <xf numFmtId="0" fontId="30" fillId="0" borderId="0" xfId="2" applyFont="1" applyBorder="1" applyAlignment="1">
      <alignment horizontal="center" vertical="center"/>
    </xf>
    <xf numFmtId="0" fontId="26" fillId="0" borderId="35" xfId="0" applyFont="1" applyBorder="1" applyAlignment="1">
      <alignment horizontal="center" vertical="center"/>
    </xf>
    <xf numFmtId="0" fontId="26" fillId="0" borderId="35" xfId="0" applyFont="1" applyBorder="1" applyAlignment="1">
      <alignment vertical="center"/>
    </xf>
    <xf numFmtId="0" fontId="26" fillId="0" borderId="36" xfId="0" applyFont="1" applyBorder="1" applyAlignment="1">
      <alignment vertical="center"/>
    </xf>
    <xf numFmtId="0" fontId="31" fillId="3" borderId="3" xfId="0" applyFont="1" applyFill="1" applyBorder="1" applyAlignment="1">
      <alignment horizontal="center" vertical="center"/>
    </xf>
    <xf numFmtId="0" fontId="32" fillId="0" borderId="0" xfId="0" applyFont="1" applyAlignment="1">
      <alignment vertical="center"/>
    </xf>
    <xf numFmtId="0" fontId="26" fillId="0" borderId="31" xfId="0" applyFont="1" applyBorder="1" applyAlignment="1">
      <alignment horizontal="center" vertical="center"/>
    </xf>
    <xf numFmtId="4" fontId="26" fillId="0" borderId="31" xfId="0" applyNumberFormat="1" applyFont="1" applyBorder="1" applyAlignment="1">
      <alignment vertical="center"/>
    </xf>
    <xf numFmtId="4" fontId="26" fillId="0" borderId="33" xfId="0" applyNumberFormat="1" applyFont="1" applyBorder="1" applyAlignment="1">
      <alignment vertical="center"/>
    </xf>
    <xf numFmtId="4" fontId="26" fillId="0" borderId="35" xfId="0" applyNumberFormat="1" applyFont="1" applyBorder="1" applyAlignment="1">
      <alignment vertical="center"/>
    </xf>
    <xf numFmtId="4" fontId="26" fillId="0" borderId="36" xfId="0" applyNumberFormat="1" applyFont="1" applyBorder="1" applyAlignment="1">
      <alignment vertical="center"/>
    </xf>
    <xf numFmtId="0" fontId="26" fillId="0" borderId="0" xfId="0" applyFont="1" applyBorder="1" applyAlignment="1">
      <alignment horizontal="center" vertical="center"/>
    </xf>
    <xf numFmtId="4" fontId="26" fillId="0" borderId="0" xfId="0" applyNumberFormat="1" applyFont="1" applyBorder="1" applyAlignment="1">
      <alignment vertical="center"/>
    </xf>
    <xf numFmtId="4" fontId="26" fillId="0" borderId="8" xfId="0" applyNumberFormat="1" applyFont="1" applyBorder="1" applyAlignment="1">
      <alignment vertical="center"/>
    </xf>
    <xf numFmtId="0" fontId="26" fillId="0" borderId="7" xfId="0" applyFont="1" applyBorder="1" applyAlignment="1">
      <alignment vertical="center"/>
    </xf>
    <xf numFmtId="4" fontId="26" fillId="0" borderId="74" xfId="0" applyNumberFormat="1" applyFont="1" applyBorder="1" applyAlignment="1">
      <alignment vertical="center"/>
    </xf>
    <xf numFmtId="4" fontId="29" fillId="3" borderId="1" xfId="0" applyNumberFormat="1" applyFont="1" applyFill="1" applyBorder="1" applyAlignment="1">
      <alignment vertical="center"/>
    </xf>
    <xf numFmtId="4" fontId="29" fillId="3" borderId="4" xfId="0" applyNumberFormat="1" applyFont="1" applyFill="1" applyBorder="1" applyAlignment="1">
      <alignment vertical="center"/>
    </xf>
    <xf numFmtId="4" fontId="26" fillId="0" borderId="76" xfId="0" applyNumberFormat="1" applyFont="1" applyFill="1" applyBorder="1" applyAlignment="1">
      <alignment vertical="center"/>
    </xf>
    <xf numFmtId="4" fontId="26" fillId="0" borderId="76" xfId="0" applyNumberFormat="1" applyFont="1" applyBorder="1" applyAlignment="1">
      <alignment vertical="center"/>
    </xf>
    <xf numFmtId="4" fontId="30" fillId="0" borderId="0" xfId="2" applyNumberFormat="1" applyFont="1" applyBorder="1" applyAlignment="1">
      <alignment horizontal="center" vertical="center"/>
    </xf>
    <xf numFmtId="4" fontId="26" fillId="0" borderId="0" xfId="0" applyNumberFormat="1" applyFont="1" applyBorder="1" applyAlignment="1">
      <alignment horizontal="center" vertical="center"/>
    </xf>
    <xf numFmtId="0" fontId="26" fillId="0" borderId="29" xfId="0" applyFont="1" applyFill="1" applyBorder="1" applyAlignment="1">
      <alignment horizontal="center" vertical="center"/>
    </xf>
    <xf numFmtId="0" fontId="26" fillId="0" borderId="68" xfId="0" applyFont="1" applyFill="1" applyBorder="1" applyAlignment="1">
      <alignment horizontal="center" vertical="center"/>
    </xf>
    <xf numFmtId="0" fontId="26" fillId="0" borderId="68" xfId="0" applyFont="1" applyFill="1" applyBorder="1" applyAlignment="1">
      <alignment horizontal="right" vertical="center"/>
    </xf>
    <xf numFmtId="4" fontId="26" fillId="0" borderId="69" xfId="0" applyNumberFormat="1" applyFont="1" applyBorder="1" applyAlignment="1">
      <alignment vertical="center"/>
    </xf>
    <xf numFmtId="0" fontId="26" fillId="0" borderId="68" xfId="0" applyFont="1" applyBorder="1" applyAlignment="1">
      <alignment vertical="center"/>
    </xf>
    <xf numFmtId="0" fontId="26" fillId="0" borderId="5" xfId="0" applyFont="1" applyBorder="1" applyAlignment="1">
      <alignment vertical="center"/>
    </xf>
    <xf numFmtId="0" fontId="26" fillId="0" borderId="9" xfId="0" applyFont="1" applyBorder="1" applyAlignment="1">
      <alignment vertical="center"/>
    </xf>
    <xf numFmtId="4" fontId="26" fillId="0" borderId="9" xfId="0" applyNumberFormat="1" applyFont="1" applyBorder="1" applyAlignment="1">
      <alignment vertical="center"/>
    </xf>
    <xf numFmtId="0" fontId="26" fillId="3" borderId="3" xfId="0" applyFont="1" applyFill="1" applyBorder="1" applyAlignment="1">
      <alignment vertical="center"/>
    </xf>
    <xf numFmtId="0" fontId="26" fillId="3" borderId="4" xfId="0" applyFont="1" applyFill="1" applyBorder="1" applyAlignment="1">
      <alignment vertical="center"/>
    </xf>
    <xf numFmtId="0" fontId="26" fillId="0" borderId="8" xfId="0" applyFont="1" applyBorder="1" applyAlignment="1">
      <alignment vertical="center"/>
    </xf>
    <xf numFmtId="0" fontId="26" fillId="0" borderId="6" xfId="0" applyFont="1" applyBorder="1" applyAlignment="1">
      <alignment vertical="center"/>
    </xf>
    <xf numFmtId="0" fontId="5" fillId="6" borderId="51" xfId="0" applyFont="1" applyFill="1" applyBorder="1" applyAlignment="1">
      <alignment horizontal="center" vertical="center"/>
    </xf>
    <xf numFmtId="2" fontId="0" fillId="6" borderId="52" xfId="0" applyNumberFormat="1" applyFont="1" applyFill="1" applyBorder="1" applyAlignment="1">
      <alignment horizontal="center" vertical="center"/>
    </xf>
    <xf numFmtId="0" fontId="5" fillId="7" borderId="81" xfId="0" applyFont="1" applyFill="1" applyBorder="1" applyAlignment="1">
      <alignment horizontal="center" vertical="center"/>
    </xf>
    <xf numFmtId="2" fontId="0" fillId="0" borderId="82" xfId="0" applyNumberFormat="1" applyFont="1" applyFill="1" applyBorder="1" applyAlignment="1">
      <alignment horizontal="center" vertical="center"/>
    </xf>
    <xf numFmtId="0" fontId="5" fillId="7" borderId="53" xfId="0" applyFont="1" applyFill="1" applyBorder="1" applyAlignment="1">
      <alignment horizontal="center" vertical="center"/>
    </xf>
    <xf numFmtId="2" fontId="0" fillId="0" borderId="54" xfId="0" applyNumberFormat="1" applyFont="1" applyFill="1" applyBorder="1" applyAlignment="1">
      <alignment horizontal="center" vertical="center"/>
    </xf>
    <xf numFmtId="0" fontId="8" fillId="0" borderId="10" xfId="0" applyFont="1" applyBorder="1" applyAlignment="1">
      <alignment horizontal="center" vertical="center"/>
    </xf>
    <xf numFmtId="0" fontId="1" fillId="0" borderId="10" xfId="0" applyFont="1" applyBorder="1" applyAlignment="1">
      <alignment horizontal="left" vertical="center" wrapText="1"/>
    </xf>
    <xf numFmtId="0" fontId="3" fillId="0" borderId="10" xfId="0" applyFont="1" applyBorder="1" applyAlignment="1">
      <alignment horizontal="left" vertical="center" wrapText="1"/>
    </xf>
    <xf numFmtId="0" fontId="3" fillId="0" borderId="10" xfId="0" applyFont="1" applyBorder="1" applyAlignment="1">
      <alignment horizontal="center" vertical="center"/>
    </xf>
    <xf numFmtId="0" fontId="3" fillId="0" borderId="10" xfId="0" applyFont="1" applyFill="1" applyBorder="1" applyAlignment="1">
      <alignment horizontal="center" vertical="center"/>
    </xf>
    <xf numFmtId="4" fontId="36" fillId="0" borderId="0" xfId="0" applyNumberFormat="1" applyFont="1" applyAlignment="1">
      <alignment vertical="center"/>
    </xf>
    <xf numFmtId="4" fontId="36" fillId="0" borderId="44" xfId="0" applyNumberFormat="1" applyFont="1" applyBorder="1" applyAlignment="1">
      <alignment vertical="center"/>
    </xf>
    <xf numFmtId="4" fontId="36" fillId="0" borderId="45" xfId="0" applyNumberFormat="1" applyFont="1" applyBorder="1" applyAlignment="1">
      <alignment vertical="center"/>
    </xf>
    <xf numFmtId="4" fontId="38" fillId="0" borderId="106" xfId="0" applyNumberFormat="1" applyFont="1" applyBorder="1" applyAlignment="1" applyProtection="1">
      <alignment horizontal="center" vertical="center"/>
    </xf>
    <xf numFmtId="4" fontId="36" fillId="0" borderId="107" xfId="0" applyNumberFormat="1" applyFont="1" applyBorder="1" applyAlignment="1">
      <alignment vertical="center"/>
    </xf>
    <xf numFmtId="4" fontId="36" fillId="0" borderId="108" xfId="0" applyNumberFormat="1" applyFont="1" applyBorder="1" applyAlignment="1">
      <alignment vertical="center"/>
    </xf>
    <xf numFmtId="4" fontId="36" fillId="0" borderId="109" xfId="0" applyNumberFormat="1" applyFont="1" applyBorder="1" applyAlignment="1">
      <alignment vertical="center"/>
    </xf>
    <xf numFmtId="4" fontId="38" fillId="0" borderId="110" xfId="0" applyNumberFormat="1" applyFont="1" applyBorder="1" applyAlignment="1" applyProtection="1">
      <alignment horizontal="center" vertical="center"/>
    </xf>
    <xf numFmtId="4" fontId="36" fillId="0" borderId="111" xfId="0" applyNumberFormat="1" applyFont="1" applyBorder="1" applyAlignment="1">
      <alignment vertical="center"/>
    </xf>
    <xf numFmtId="4" fontId="36" fillId="0" borderId="105" xfId="0" applyNumberFormat="1" applyFont="1" applyBorder="1" applyAlignment="1">
      <alignment vertical="center"/>
    </xf>
    <xf numFmtId="4" fontId="36" fillId="0" borderId="104" xfId="0" applyNumberFormat="1" applyFont="1" applyBorder="1" applyAlignment="1">
      <alignment vertical="center"/>
    </xf>
    <xf numFmtId="4" fontId="36" fillId="0" borderId="112" xfId="0" applyNumberFormat="1" applyFont="1" applyBorder="1" applyAlignment="1">
      <alignment vertical="center"/>
    </xf>
    <xf numFmtId="4" fontId="38" fillId="0" borderId="113" xfId="0" applyNumberFormat="1" applyFont="1" applyBorder="1" applyAlignment="1" applyProtection="1">
      <alignment horizontal="center" vertical="center"/>
    </xf>
    <xf numFmtId="4" fontId="36" fillId="0" borderId="10" xfId="0" applyNumberFormat="1" applyFont="1" applyBorder="1" applyAlignment="1">
      <alignment vertical="center"/>
    </xf>
    <xf numFmtId="4" fontId="37" fillId="0" borderId="115" xfId="0" applyNumberFormat="1" applyFont="1" applyBorder="1" applyAlignment="1" applyProtection="1">
      <alignment horizontal="center" vertical="center"/>
    </xf>
    <xf numFmtId="4" fontId="0" fillId="0" borderId="0" xfId="0" applyNumberFormat="1" applyFont="1" applyAlignment="1">
      <alignment vertical="center"/>
    </xf>
    <xf numFmtId="0" fontId="36" fillId="0" borderId="79" xfId="0" applyFont="1" applyBorder="1" applyAlignment="1">
      <alignment horizontal="right" vertical="center"/>
    </xf>
    <xf numFmtId="0" fontId="22" fillId="0" borderId="0" xfId="3" applyBorder="1" applyAlignment="1">
      <alignment horizontal="left" vertical="center" wrapText="1"/>
    </xf>
    <xf numFmtId="0" fontId="22" fillId="0" borderId="49" xfId="3" applyBorder="1" applyAlignment="1">
      <alignment horizontal="left" vertical="center" wrapText="1"/>
    </xf>
    <xf numFmtId="0" fontId="36" fillId="0" borderId="51" xfId="0" applyFont="1" applyBorder="1" applyAlignment="1">
      <alignment horizontal="right" vertical="center"/>
    </xf>
    <xf numFmtId="4" fontId="36" fillId="0" borderId="52" xfId="0" applyNumberFormat="1" applyFont="1" applyBorder="1" applyAlignment="1">
      <alignment vertical="center"/>
    </xf>
    <xf numFmtId="0" fontId="39" fillId="0" borderId="116" xfId="0" applyFont="1" applyFill="1" applyBorder="1" applyAlignment="1" applyProtection="1">
      <alignment horizontal="right" vertical="center"/>
    </xf>
    <xf numFmtId="4" fontId="36" fillId="0" borderId="117" xfId="0" applyNumberFormat="1" applyFont="1" applyBorder="1" applyAlignment="1">
      <alignment vertical="center"/>
    </xf>
    <xf numFmtId="0" fontId="39" fillId="0" borderId="118" xfId="0" applyFont="1" applyFill="1" applyBorder="1" applyAlignment="1" applyProtection="1">
      <alignment horizontal="right" vertical="center"/>
    </xf>
    <xf numFmtId="4" fontId="36" fillId="0" borderId="119" xfId="0" applyNumberFormat="1" applyFont="1" applyBorder="1" applyAlignment="1">
      <alignment vertical="center"/>
    </xf>
    <xf numFmtId="4" fontId="36" fillId="0" borderId="51" xfId="0" applyNumberFormat="1" applyFont="1" applyBorder="1" applyAlignment="1">
      <alignment horizontal="right" vertical="center"/>
    </xf>
    <xf numFmtId="4" fontId="36" fillId="0" borderId="118" xfId="0" applyNumberFormat="1" applyFont="1" applyBorder="1" applyAlignment="1">
      <alignment horizontal="right" vertical="center"/>
    </xf>
    <xf numFmtId="4" fontId="37" fillId="14" borderId="10" xfId="0" applyNumberFormat="1" applyFont="1" applyFill="1" applyBorder="1" applyAlignment="1" applyProtection="1">
      <alignment horizontal="center" vertical="center" wrapText="1"/>
    </xf>
    <xf numFmtId="4" fontId="36" fillId="10" borderId="10" xfId="0" applyNumberFormat="1" applyFont="1" applyFill="1" applyBorder="1" applyAlignment="1">
      <alignment horizontal="center" vertical="center" wrapText="1"/>
    </xf>
    <xf numFmtId="0" fontId="22" fillId="0" borderId="122" xfId="3" applyBorder="1"/>
    <xf numFmtId="4" fontId="36" fillId="0" borderId="122" xfId="0" applyNumberFormat="1" applyFont="1" applyBorder="1" applyAlignment="1">
      <alignment horizontal="center" vertical="center" textRotation="90"/>
    </xf>
    <xf numFmtId="4" fontId="36" fillId="0" borderId="122" xfId="0" applyNumberFormat="1" applyFont="1" applyBorder="1" applyAlignment="1">
      <alignment horizontal="center" vertical="center" textRotation="90" wrapText="1"/>
    </xf>
    <xf numFmtId="2" fontId="42" fillId="0" borderId="123" xfId="3" applyNumberFormat="1" applyFont="1" applyBorder="1" applyAlignment="1"/>
    <xf numFmtId="0" fontId="21" fillId="0" borderId="0" xfId="2" applyBorder="1" applyAlignment="1">
      <alignment horizontal="center" vertical="center"/>
    </xf>
    <xf numFmtId="0" fontId="26" fillId="0" borderId="0" xfId="0" applyFont="1" applyBorder="1" applyAlignment="1">
      <alignment horizontal="center" vertical="center"/>
    </xf>
    <xf numFmtId="0" fontId="29" fillId="3" borderId="2" xfId="0" applyFont="1" applyFill="1" applyBorder="1" applyAlignment="1">
      <alignment horizontal="center" vertical="center"/>
    </xf>
    <xf numFmtId="0" fontId="22" fillId="0" borderId="0" xfId="3" applyAlignment="1">
      <alignment horizontal="center"/>
    </xf>
    <xf numFmtId="4" fontId="44" fillId="0" borderId="124" xfId="0" applyNumberFormat="1" applyFont="1" applyBorder="1" applyAlignment="1">
      <alignment horizontal="center" vertical="center"/>
    </xf>
    <xf numFmtId="4" fontId="44" fillId="0" borderId="126" xfId="0" applyNumberFormat="1" applyFont="1" applyBorder="1" applyAlignment="1">
      <alignment horizontal="center" vertical="center"/>
    </xf>
    <xf numFmtId="4" fontId="44" fillId="0" borderId="44" xfId="0" applyNumberFormat="1" applyFont="1" applyBorder="1" applyAlignment="1">
      <alignment horizontal="center" vertical="center"/>
    </xf>
    <xf numFmtId="0" fontId="43" fillId="0" borderId="46" xfId="3" applyFont="1" applyBorder="1" applyAlignment="1">
      <alignment horizontal="center" vertical="center"/>
    </xf>
    <xf numFmtId="0" fontId="43" fillId="0" borderId="47" xfId="3" applyFont="1" applyBorder="1" applyAlignment="1">
      <alignment horizontal="center" vertical="center"/>
    </xf>
    <xf numFmtId="49" fontId="43" fillId="0" borderId="45" xfId="3" applyNumberFormat="1" applyFont="1" applyBorder="1" applyAlignment="1">
      <alignment horizontal="center" vertical="center"/>
    </xf>
    <xf numFmtId="0" fontId="43" fillId="0" borderId="125" xfId="3" applyFont="1" applyBorder="1" applyAlignment="1">
      <alignment horizontal="center" vertical="center"/>
    </xf>
    <xf numFmtId="49" fontId="44" fillId="0" borderId="127" xfId="0" applyNumberFormat="1" applyFont="1" applyBorder="1" applyAlignment="1">
      <alignment horizontal="center" vertical="center"/>
    </xf>
    <xf numFmtId="0" fontId="6" fillId="12" borderId="15" xfId="0" applyFont="1" applyFill="1" applyBorder="1" applyAlignment="1">
      <alignment vertical="center"/>
    </xf>
    <xf numFmtId="2" fontId="28" fillId="12" borderId="16" xfId="0" applyNumberFormat="1" applyFont="1" applyFill="1" applyBorder="1" applyAlignment="1">
      <alignment horizontal="center" vertical="center"/>
    </xf>
    <xf numFmtId="10" fontId="26" fillId="0" borderId="31" xfId="1" applyNumberFormat="1" applyFont="1" applyBorder="1" applyAlignment="1">
      <alignment vertical="center"/>
    </xf>
    <xf numFmtId="10" fontId="26" fillId="0" borderId="29" xfId="1" applyNumberFormat="1" applyFont="1" applyBorder="1" applyAlignment="1">
      <alignment vertical="center"/>
    </xf>
    <xf numFmtId="10" fontId="26" fillId="0" borderId="0" xfId="1" applyNumberFormat="1" applyFont="1" applyBorder="1" applyAlignment="1">
      <alignment vertical="center"/>
    </xf>
    <xf numFmtId="4" fontId="6" fillId="0" borderId="0" xfId="0" applyNumberFormat="1" applyFont="1" applyAlignment="1">
      <alignment vertical="center"/>
    </xf>
    <xf numFmtId="10" fontId="26" fillId="15" borderId="31" xfId="1" applyNumberFormat="1" applyFont="1" applyFill="1" applyBorder="1" applyAlignment="1">
      <alignment vertical="center"/>
    </xf>
    <xf numFmtId="4" fontId="26" fillId="15" borderId="32" xfId="0" applyNumberFormat="1" applyFont="1" applyFill="1" applyBorder="1" applyAlignment="1">
      <alignment vertical="center"/>
    </xf>
    <xf numFmtId="10" fontId="26" fillId="12" borderId="29" xfId="1" applyNumberFormat="1" applyFont="1" applyFill="1" applyBorder="1" applyAlignment="1">
      <alignment vertical="center"/>
    </xf>
    <xf numFmtId="4" fontId="26" fillId="12" borderId="29" xfId="0" applyNumberFormat="1" applyFont="1" applyFill="1" applyBorder="1" applyAlignment="1">
      <alignment vertical="center"/>
    </xf>
    <xf numFmtId="10" fontId="26" fillId="0" borderId="29" xfId="1" applyNumberFormat="1" applyFont="1" applyFill="1" applyBorder="1" applyAlignment="1">
      <alignment vertical="center"/>
    </xf>
    <xf numFmtId="0" fontId="26" fillId="0" borderId="129" xfId="0" applyFont="1" applyBorder="1" applyAlignment="1">
      <alignment horizontal="center" vertical="center"/>
    </xf>
    <xf numFmtId="4" fontId="26" fillId="0" borderId="129" xfId="0" applyNumberFormat="1" applyFont="1" applyBorder="1" applyAlignment="1">
      <alignment vertical="center"/>
    </xf>
    <xf numFmtId="10" fontId="26" fillId="0" borderId="129" xfId="1" applyNumberFormat="1" applyFont="1" applyBorder="1" applyAlignment="1">
      <alignment vertical="center"/>
    </xf>
    <xf numFmtId="4" fontId="26" fillId="0" borderId="130" xfId="0" applyNumberFormat="1" applyFont="1" applyBorder="1" applyAlignment="1">
      <alignment vertical="center"/>
    </xf>
    <xf numFmtId="10" fontId="26" fillId="12" borderId="129" xfId="1" applyNumberFormat="1" applyFont="1" applyFill="1" applyBorder="1" applyAlignment="1">
      <alignment vertical="center"/>
    </xf>
    <xf numFmtId="4" fontId="26" fillId="12" borderId="129" xfId="0" applyNumberFormat="1" applyFont="1" applyFill="1" applyBorder="1" applyAlignment="1">
      <alignment vertical="center"/>
    </xf>
    <xf numFmtId="0" fontId="26" fillId="0" borderId="76" xfId="0" applyFont="1" applyBorder="1" applyAlignment="1">
      <alignment horizontal="center" vertical="center"/>
    </xf>
    <xf numFmtId="167" fontId="26" fillId="0" borderId="76" xfId="1" applyNumberFormat="1" applyFont="1" applyBorder="1" applyAlignment="1">
      <alignment vertical="center"/>
    </xf>
    <xf numFmtId="10" fontId="26" fillId="12" borderId="76" xfId="1" applyNumberFormat="1" applyFont="1" applyFill="1" applyBorder="1" applyAlignment="1">
      <alignment vertical="center"/>
    </xf>
    <xf numFmtId="4" fontId="26" fillId="12" borderId="76" xfId="0" applyNumberFormat="1" applyFont="1" applyFill="1" applyBorder="1" applyAlignment="1">
      <alignment vertical="center"/>
    </xf>
    <xf numFmtId="4" fontId="26" fillId="0" borderId="4" xfId="0" applyNumberFormat="1" applyFont="1" applyBorder="1" applyAlignment="1">
      <alignment vertical="center"/>
    </xf>
    <xf numFmtId="4" fontId="0" fillId="0" borderId="1" xfId="0" applyNumberFormat="1" applyFont="1" applyBorder="1" applyAlignment="1">
      <alignment vertical="center"/>
    </xf>
    <xf numFmtId="0" fontId="0" fillId="0" borderId="29" xfId="0" applyFont="1" applyBorder="1" applyAlignment="1">
      <alignment horizontal="center" vertical="center"/>
    </xf>
    <xf numFmtId="0" fontId="45" fillId="0" borderId="0" xfId="0" applyFont="1" applyAlignment="1">
      <alignment vertical="center"/>
    </xf>
    <xf numFmtId="0" fontId="26" fillId="0" borderId="9" xfId="0" applyFont="1" applyBorder="1" applyAlignment="1">
      <alignment horizontal="center" vertical="center"/>
    </xf>
    <xf numFmtId="4" fontId="29" fillId="3" borderId="3" xfId="0" applyNumberFormat="1" applyFont="1" applyFill="1" applyBorder="1" applyAlignment="1">
      <alignment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16" borderId="1" xfId="0" applyFont="1" applyFill="1" applyBorder="1" applyAlignment="1">
      <alignment horizontal="center" vertical="center"/>
    </xf>
    <xf numFmtId="0" fontId="29" fillId="16" borderId="3" xfId="0" applyFont="1" applyFill="1" applyBorder="1" applyAlignment="1">
      <alignment vertical="center"/>
    </xf>
    <xf numFmtId="0" fontId="29" fillId="16" borderId="4" xfId="0" applyFont="1" applyFill="1" applyBorder="1" applyAlignment="1">
      <alignment vertical="center"/>
    </xf>
    <xf numFmtId="0" fontId="31" fillId="16" borderId="3" xfId="0" applyFont="1" applyFill="1" applyBorder="1" applyAlignment="1">
      <alignment horizontal="center" vertical="center"/>
    </xf>
    <xf numFmtId="0" fontId="31" fillId="16" borderId="3" xfId="0" applyFont="1" applyFill="1" applyBorder="1" applyAlignment="1">
      <alignment vertical="center"/>
    </xf>
    <xf numFmtId="0" fontId="31" fillId="16" borderId="4" xfId="0" applyFont="1" applyFill="1" applyBorder="1" applyAlignment="1">
      <alignment vertical="center"/>
    </xf>
    <xf numFmtId="4" fontId="31" fillId="16" borderId="3" xfId="0" applyNumberFormat="1" applyFont="1" applyFill="1" applyBorder="1" applyAlignment="1">
      <alignment horizontal="center" vertical="center"/>
    </xf>
    <xf numFmtId="4" fontId="31" fillId="16" borderId="3" xfId="0" applyNumberFormat="1" applyFont="1" applyFill="1" applyBorder="1" applyAlignment="1">
      <alignment vertical="center"/>
    </xf>
    <xf numFmtId="4" fontId="31" fillId="16" borderId="4" xfId="0" applyNumberFormat="1" applyFont="1" applyFill="1" applyBorder="1" applyAlignment="1">
      <alignment vertical="center"/>
    </xf>
    <xf numFmtId="0" fontId="26" fillId="0" borderId="7" xfId="0" applyFont="1" applyFill="1" applyBorder="1" applyAlignment="1">
      <alignment horizontal="left" vertical="center"/>
    </xf>
    <xf numFmtId="0" fontId="26" fillId="0" borderId="0" xfId="0" applyFont="1" applyFill="1" applyBorder="1" applyAlignment="1">
      <alignment horizontal="left" vertical="center"/>
    </xf>
    <xf numFmtId="0" fontId="0" fillId="0" borderId="1" xfId="0" applyFont="1" applyBorder="1" applyAlignment="1">
      <alignment vertical="center"/>
    </xf>
    <xf numFmtId="10" fontId="26" fillId="0" borderId="76" xfId="1" applyNumberFormat="1" applyFont="1" applyFill="1" applyBorder="1" applyAlignment="1">
      <alignment vertical="center"/>
    </xf>
    <xf numFmtId="4" fontId="26" fillId="12" borderId="74" xfId="0" applyNumberFormat="1" applyFont="1" applyFill="1" applyBorder="1" applyAlignment="1">
      <alignment vertical="center"/>
    </xf>
    <xf numFmtId="4" fontId="0" fillId="0" borderId="75" xfId="0" applyNumberFormat="1" applyFont="1" applyBorder="1" applyAlignment="1">
      <alignment vertical="center"/>
    </xf>
    <xf numFmtId="4" fontId="29" fillId="0" borderId="0" xfId="0" applyNumberFormat="1" applyFont="1" applyFill="1" applyBorder="1" applyAlignment="1">
      <alignment vertical="center"/>
    </xf>
    <xf numFmtId="4" fontId="1" fillId="0" borderId="0" xfId="0" applyNumberFormat="1" applyFont="1" applyFill="1" applyBorder="1" applyAlignment="1">
      <alignment vertical="center"/>
    </xf>
    <xf numFmtId="4" fontId="1" fillId="0" borderId="8" xfId="0" applyNumberFormat="1" applyFont="1" applyFill="1" applyBorder="1" applyAlignment="1">
      <alignment vertical="center"/>
    </xf>
    <xf numFmtId="2" fontId="4" fillId="3" borderId="26" xfId="0" applyNumberFormat="1" applyFont="1" applyFill="1" applyBorder="1" applyAlignment="1">
      <alignment vertical="center"/>
    </xf>
    <xf numFmtId="2" fontId="4" fillId="3" borderId="27" xfId="0" applyNumberFormat="1" applyFont="1" applyFill="1" applyBorder="1" applyAlignment="1">
      <alignment vertical="center"/>
    </xf>
    <xf numFmtId="0" fontId="4" fillId="3" borderId="24" xfId="0" applyFont="1" applyFill="1" applyBorder="1" applyAlignment="1">
      <alignment horizontal="center" vertical="center"/>
    </xf>
    <xf numFmtId="0" fontId="24" fillId="3" borderId="25" xfId="0" applyFont="1" applyFill="1" applyBorder="1" applyAlignment="1">
      <alignment vertical="center"/>
    </xf>
    <xf numFmtId="0" fontId="6" fillId="12" borderId="0" xfId="0" applyFont="1" applyFill="1" applyBorder="1" applyAlignment="1">
      <alignment vertical="center"/>
    </xf>
    <xf numFmtId="0" fontId="6" fillId="12" borderId="0" xfId="0" applyFont="1" applyFill="1" applyAlignment="1">
      <alignment vertical="center"/>
    </xf>
    <xf numFmtId="2" fontId="26" fillId="0" borderId="29" xfId="0" applyNumberFormat="1" applyFont="1" applyBorder="1" applyAlignment="1">
      <alignment horizontal="right" vertical="center"/>
    </xf>
    <xf numFmtId="0" fontId="0" fillId="0" borderId="0" xfId="0" applyFont="1" applyFill="1" applyAlignment="1">
      <alignment horizontal="center" vertical="center"/>
    </xf>
    <xf numFmtId="14" fontId="0" fillId="0" borderId="52" xfId="0" applyNumberFormat="1" applyFont="1" applyFill="1" applyBorder="1" applyAlignment="1">
      <alignment horizontal="center" vertical="center"/>
    </xf>
    <xf numFmtId="14" fontId="0" fillId="0" borderId="54" xfId="0" applyNumberFormat="1" applyFont="1" applyFill="1" applyBorder="1" applyAlignment="1">
      <alignment horizontal="center" vertical="center"/>
    </xf>
    <xf numFmtId="0" fontId="6" fillId="0" borderId="0" xfId="0" applyFont="1" applyAlignment="1">
      <alignment horizontal="center" vertical="center"/>
    </xf>
    <xf numFmtId="0" fontId="17" fillId="0" borderId="10" xfId="0" applyFont="1" applyFill="1" applyBorder="1" applyAlignment="1">
      <alignment horizontal="center" vertical="center"/>
    </xf>
    <xf numFmtId="168" fontId="28" fillId="12" borderId="0" xfId="0" applyNumberFormat="1" applyFont="1" applyFill="1" applyAlignment="1">
      <alignment vertical="center"/>
    </xf>
    <xf numFmtId="1" fontId="28" fillId="12" borderId="0" xfId="0" applyNumberFormat="1" applyFont="1" applyFill="1" applyBorder="1" applyAlignment="1">
      <alignment vertical="center"/>
    </xf>
    <xf numFmtId="14" fontId="28" fillId="12" borderId="14" xfId="0" applyNumberFormat="1" applyFont="1" applyFill="1" applyBorder="1" applyAlignment="1">
      <alignment horizontal="center" vertical="center"/>
    </xf>
    <xf numFmtId="0" fontId="28" fillId="12" borderId="12" xfId="0" applyFont="1" applyFill="1" applyBorder="1" applyAlignment="1">
      <alignment horizontal="left" vertical="center"/>
    </xf>
    <xf numFmtId="0" fontId="28" fillId="12" borderId="14" xfId="0" applyFont="1" applyFill="1" applyBorder="1" applyAlignment="1">
      <alignment horizontal="left" vertical="center"/>
    </xf>
    <xf numFmtId="0" fontId="22" fillId="0" borderId="0" xfId="3" applyAlignment="1">
      <alignment horizontal="center" vertical="center"/>
    </xf>
    <xf numFmtId="0" fontId="13" fillId="0" borderId="10" xfId="0" applyFont="1" applyFill="1" applyBorder="1" applyAlignment="1">
      <alignment vertical="center"/>
    </xf>
    <xf numFmtId="9" fontId="13" fillId="0" borderId="10" xfId="0" applyNumberFormat="1" applyFont="1" applyFill="1" applyBorder="1" applyAlignment="1">
      <alignment vertical="center"/>
    </xf>
    <xf numFmtId="9" fontId="0" fillId="0" borderId="10" xfId="0" applyNumberFormat="1" applyFont="1" applyBorder="1" applyAlignment="1">
      <alignment vertical="center"/>
    </xf>
    <xf numFmtId="0" fontId="45" fillId="0" borderId="0" xfId="0" applyFont="1" applyBorder="1" applyAlignment="1">
      <alignment horizontal="center" vertical="center"/>
    </xf>
    <xf numFmtId="0" fontId="13" fillId="0" borderId="10" xfId="0" applyFont="1" applyFill="1" applyBorder="1" applyAlignment="1">
      <alignment horizontal="center" vertical="center"/>
    </xf>
    <xf numFmtId="0" fontId="6" fillId="6" borderId="44" xfId="0" applyFont="1" applyFill="1" applyBorder="1" applyAlignment="1">
      <alignment vertical="center"/>
    </xf>
    <xf numFmtId="0" fontId="6" fillId="6" borderId="40" xfId="0" applyFont="1" applyFill="1" applyBorder="1" applyAlignment="1">
      <alignment vertical="center"/>
    </xf>
    <xf numFmtId="0" fontId="6" fillId="7" borderId="40" xfId="0" applyFont="1" applyFill="1" applyBorder="1" applyAlignment="1">
      <alignment vertical="center"/>
    </xf>
    <xf numFmtId="0" fontId="6" fillId="7" borderId="71" xfId="0" applyFont="1" applyFill="1" applyBorder="1" applyAlignment="1">
      <alignment vertical="center"/>
    </xf>
    <xf numFmtId="0" fontId="6" fillId="0" borderId="0" xfId="0" applyFont="1" applyFill="1" applyAlignment="1">
      <alignment vertical="center"/>
    </xf>
    <xf numFmtId="0" fontId="6" fillId="7" borderId="42" xfId="0" applyFont="1" applyFill="1" applyBorder="1" applyAlignment="1">
      <alignment vertical="center"/>
    </xf>
    <xf numFmtId="0" fontId="13" fillId="0" borderId="0" xfId="0" applyFont="1" applyFill="1" applyAlignment="1">
      <alignment vertical="center"/>
    </xf>
    <xf numFmtId="2" fontId="13" fillId="0" borderId="10" xfId="0" applyNumberFormat="1" applyFont="1" applyFill="1" applyBorder="1" applyAlignment="1">
      <alignment vertical="center"/>
    </xf>
    <xf numFmtId="4" fontId="36" fillId="0" borderId="80" xfId="0" applyNumberFormat="1" applyFont="1" applyFill="1" applyBorder="1" applyAlignment="1">
      <alignment vertical="center"/>
    </xf>
    <xf numFmtId="4" fontId="36" fillId="0" borderId="52" xfId="0" applyNumberFormat="1" applyFont="1" applyFill="1" applyBorder="1" applyAlignment="1">
      <alignment vertical="center"/>
    </xf>
    <xf numFmtId="2" fontId="13" fillId="0" borderId="0" xfId="0" applyNumberFormat="1" applyFont="1" applyFill="1" applyAlignment="1">
      <alignment vertical="center"/>
    </xf>
    <xf numFmtId="9" fontId="13" fillId="0" borderId="0" xfId="0" applyNumberFormat="1" applyFont="1" applyFill="1" applyAlignment="1">
      <alignment vertical="center"/>
    </xf>
    <xf numFmtId="0" fontId="1" fillId="16" borderId="3" xfId="0" applyFont="1" applyFill="1" applyBorder="1" applyAlignment="1">
      <alignment horizontal="center" vertical="center"/>
    </xf>
    <xf numFmtId="0" fontId="1" fillId="16" borderId="19" xfId="0" applyFont="1" applyFill="1" applyBorder="1"/>
    <xf numFmtId="0" fontId="1" fillId="16" borderId="20" xfId="0" applyFont="1" applyFill="1" applyBorder="1"/>
    <xf numFmtId="0" fontId="23" fillId="2" borderId="0" xfId="0" applyFont="1" applyFill="1" applyAlignment="1">
      <alignment vertical="center"/>
    </xf>
    <xf numFmtId="0" fontId="46" fillId="2" borderId="0" xfId="0" applyFont="1" applyFill="1" applyBorder="1" applyAlignment="1">
      <alignment vertical="center"/>
    </xf>
    <xf numFmtId="0" fontId="46" fillId="2" borderId="0" xfId="0" applyFont="1" applyFill="1" applyAlignment="1">
      <alignment vertical="center"/>
    </xf>
    <xf numFmtId="0" fontId="23" fillId="2" borderId="0" xfId="0" applyFont="1" applyFill="1"/>
    <xf numFmtId="0" fontId="46" fillId="15" borderId="0" xfId="0" applyFont="1" applyFill="1" applyAlignment="1">
      <alignment vertical="center"/>
    </xf>
    <xf numFmtId="0" fontId="46" fillId="15" borderId="11" xfId="0" applyFont="1" applyFill="1" applyBorder="1" applyAlignment="1">
      <alignment vertical="center"/>
    </xf>
    <xf numFmtId="0" fontId="46" fillId="15" borderId="12" xfId="0" applyFont="1" applyFill="1" applyBorder="1" applyAlignment="1">
      <alignment vertical="center"/>
    </xf>
    <xf numFmtId="0" fontId="46" fillId="15" borderId="13" xfId="0" applyFont="1" applyFill="1" applyBorder="1" applyAlignment="1">
      <alignment vertical="center"/>
    </xf>
    <xf numFmtId="0" fontId="46" fillId="15" borderId="14" xfId="0" applyFont="1" applyFill="1" applyBorder="1" applyAlignment="1">
      <alignment vertical="center"/>
    </xf>
    <xf numFmtId="0" fontId="46" fillId="15" borderId="15" xfId="0" applyFont="1" applyFill="1" applyBorder="1" applyAlignment="1">
      <alignment vertical="center"/>
    </xf>
    <xf numFmtId="0" fontId="46" fillId="15" borderId="16" xfId="0" applyFont="1" applyFill="1" applyBorder="1" applyAlignment="1">
      <alignment vertical="center"/>
    </xf>
    <xf numFmtId="0" fontId="48" fillId="15" borderId="11" xfId="0" applyFont="1" applyFill="1" applyBorder="1" applyAlignment="1">
      <alignment vertical="center"/>
    </xf>
    <xf numFmtId="0" fontId="46" fillId="15" borderId="17" xfId="0" applyFont="1" applyFill="1" applyBorder="1" applyAlignment="1">
      <alignment vertical="center"/>
    </xf>
    <xf numFmtId="0" fontId="46" fillId="15" borderId="0" xfId="0" applyFont="1" applyFill="1" applyBorder="1" applyAlignment="1">
      <alignment vertical="center"/>
    </xf>
    <xf numFmtId="0" fontId="46" fillId="15" borderId="18" xfId="0" applyFont="1" applyFill="1" applyBorder="1" applyAlignment="1">
      <alignment vertical="center"/>
    </xf>
    <xf numFmtId="14" fontId="46" fillId="15" borderId="14" xfId="0" applyNumberFormat="1" applyFont="1" applyFill="1" applyBorder="1" applyAlignment="1">
      <alignment vertical="center"/>
    </xf>
    <xf numFmtId="1" fontId="46" fillId="15" borderId="0" xfId="0" applyNumberFormat="1" applyFont="1" applyFill="1" applyBorder="1" applyAlignment="1">
      <alignment vertical="center"/>
    </xf>
    <xf numFmtId="2" fontId="46" fillId="15" borderId="16" xfId="0" applyNumberFormat="1" applyFont="1" applyFill="1" applyBorder="1" applyAlignment="1">
      <alignment horizontal="center" vertical="center"/>
    </xf>
    <xf numFmtId="0" fontId="46" fillId="15" borderId="18" xfId="0" applyFont="1" applyFill="1" applyBorder="1" applyAlignment="1">
      <alignment horizontal="right" vertical="center"/>
    </xf>
    <xf numFmtId="0" fontId="5" fillId="0" borderId="0" xfId="0" applyFont="1" applyFill="1" applyAlignment="1">
      <alignment vertical="center"/>
    </xf>
    <xf numFmtId="0" fontId="0" fillId="0" borderId="29" xfId="0" applyFont="1" applyFill="1" applyBorder="1" applyAlignment="1">
      <alignment horizontal="center" vertical="center"/>
    </xf>
    <xf numFmtId="164" fontId="0" fillId="0" borderId="10" xfId="0" applyNumberFormat="1" applyFont="1" applyFill="1" applyBorder="1" applyAlignment="1">
      <alignment horizontal="center" vertical="center"/>
    </xf>
    <xf numFmtId="0" fontId="6" fillId="0" borderId="51" xfId="0" applyFont="1" applyBorder="1" applyAlignment="1">
      <alignment vertical="center"/>
    </xf>
    <xf numFmtId="10" fontId="6" fillId="0" borderId="52" xfId="0" applyNumberFormat="1" applyFont="1" applyBorder="1" applyAlignment="1">
      <alignment vertical="center"/>
    </xf>
    <xf numFmtId="0" fontId="6" fillId="0" borderId="116" xfId="0" applyFont="1" applyBorder="1" applyAlignment="1">
      <alignment vertical="center"/>
    </xf>
    <xf numFmtId="10" fontId="6" fillId="0" borderId="117" xfId="0" applyNumberFormat="1" applyFont="1" applyBorder="1" applyAlignment="1">
      <alignment vertical="center"/>
    </xf>
    <xf numFmtId="0" fontId="6" fillId="0" borderId="118" xfId="0" applyFont="1" applyBorder="1" applyAlignment="1">
      <alignment vertical="center"/>
    </xf>
    <xf numFmtId="10" fontId="6" fillId="0" borderId="119" xfId="0" applyNumberFormat="1" applyFont="1" applyBorder="1" applyAlignment="1">
      <alignment vertical="center"/>
    </xf>
    <xf numFmtId="0" fontId="6" fillId="0" borderId="140" xfId="0" applyFont="1" applyBorder="1" applyAlignment="1">
      <alignment vertical="center"/>
    </xf>
    <xf numFmtId="0" fontId="6" fillId="0" borderId="141" xfId="0" applyFont="1" applyBorder="1" applyAlignment="1">
      <alignment vertical="center"/>
    </xf>
    <xf numFmtId="0" fontId="26" fillId="0" borderId="0" xfId="0" applyFont="1" applyBorder="1" applyAlignment="1">
      <alignment horizontal="center" vertical="center"/>
    </xf>
    <xf numFmtId="2" fontId="17" fillId="0" borderId="0" xfId="0" applyNumberFormat="1" applyFont="1" applyAlignment="1">
      <alignment horizontal="center" vertical="center"/>
    </xf>
    <xf numFmtId="0" fontId="4" fillId="0" borderId="0" xfId="0" applyFont="1" applyBorder="1" applyAlignment="1">
      <alignment horizontal="center" vertical="center"/>
    </xf>
    <xf numFmtId="2" fontId="4" fillId="0" borderId="0" xfId="0" applyNumberFormat="1" applyFont="1" applyBorder="1" applyAlignment="1">
      <alignment horizontal="center" vertical="center"/>
    </xf>
    <xf numFmtId="0" fontId="23" fillId="0" borderId="10" xfId="0" applyFont="1" applyBorder="1" applyAlignment="1">
      <alignment horizontal="center" vertical="center"/>
    </xf>
    <xf numFmtId="2" fontId="23" fillId="0" borderId="10" xfId="0" applyNumberFormat="1" applyFont="1" applyBorder="1" applyAlignment="1">
      <alignment horizontal="center" vertical="center"/>
    </xf>
    <xf numFmtId="0" fontId="4" fillId="0" borderId="123" xfId="0" applyFont="1" applyBorder="1" applyAlignment="1">
      <alignment horizontal="center" vertical="center"/>
    </xf>
    <xf numFmtId="2" fontId="4" fillId="0" borderId="123" xfId="0" applyNumberFormat="1" applyFont="1" applyBorder="1" applyAlignment="1">
      <alignment horizontal="center" vertical="center"/>
    </xf>
    <xf numFmtId="0" fontId="23" fillId="0" borderId="123" xfId="0" applyFont="1" applyBorder="1" applyAlignment="1">
      <alignment horizontal="center" vertical="center"/>
    </xf>
    <xf numFmtId="2" fontId="23" fillId="0" borderId="123" xfId="0" applyNumberFormat="1" applyFont="1" applyFill="1" applyBorder="1" applyAlignment="1">
      <alignment horizontal="center" vertical="center"/>
    </xf>
    <xf numFmtId="0" fontId="18" fillId="0" borderId="0" xfId="0" applyFont="1" applyAlignment="1">
      <alignment vertical="center"/>
    </xf>
    <xf numFmtId="0" fontId="50" fillId="0" borderId="0" xfId="2" applyFont="1" applyFill="1" applyBorder="1" applyAlignment="1">
      <alignment horizontal="center" vertical="center" textRotation="90"/>
    </xf>
    <xf numFmtId="0" fontId="18" fillId="12" borderId="0" xfId="0" applyFont="1" applyFill="1" applyAlignment="1">
      <alignment vertical="center"/>
    </xf>
    <xf numFmtId="0" fontId="50" fillId="12" borderId="0" xfId="2" applyFont="1" applyFill="1" applyBorder="1" applyAlignment="1">
      <alignment horizontal="center" vertical="center" textRotation="90"/>
    </xf>
    <xf numFmtId="0" fontId="51" fillId="12" borderId="0" xfId="0" applyFont="1" applyFill="1" applyAlignment="1">
      <alignment vertical="center"/>
    </xf>
    <xf numFmtId="0" fontId="0" fillId="4" borderId="0" xfId="0" applyFont="1" applyFill="1" applyAlignment="1">
      <alignment vertical="center"/>
    </xf>
    <xf numFmtId="0" fontId="0" fillId="10" borderId="0" xfId="0" applyFont="1" applyFill="1" applyAlignment="1">
      <alignment vertical="center" wrapText="1"/>
    </xf>
    <xf numFmtId="0" fontId="0" fillId="6" borderId="0" xfId="0" applyFont="1" applyFill="1" applyAlignment="1">
      <alignment vertical="center"/>
    </xf>
    <xf numFmtId="0" fontId="0" fillId="18" borderId="0" xfId="0" applyFont="1" applyFill="1" applyAlignment="1">
      <alignment vertical="center"/>
    </xf>
    <xf numFmtId="0" fontId="0" fillId="0" borderId="136" xfId="0" applyFont="1" applyFill="1" applyBorder="1" applyAlignment="1">
      <alignment vertical="center"/>
    </xf>
    <xf numFmtId="0" fontId="1" fillId="12" borderId="133" xfId="0" applyFont="1" applyFill="1" applyBorder="1" applyAlignment="1">
      <alignment vertical="center"/>
    </xf>
    <xf numFmtId="0" fontId="0" fillId="12" borderId="133" xfId="0" applyFont="1" applyFill="1" applyBorder="1" applyAlignment="1">
      <alignment vertical="center"/>
    </xf>
    <xf numFmtId="0" fontId="0" fillId="12" borderId="137" xfId="0" applyFont="1" applyFill="1" applyBorder="1" applyAlignment="1">
      <alignment vertical="center"/>
    </xf>
    <xf numFmtId="0" fontId="0" fillId="12" borderId="139" xfId="0" applyFont="1" applyFill="1" applyBorder="1" applyAlignment="1">
      <alignment vertical="center"/>
    </xf>
    <xf numFmtId="0" fontId="1" fillId="12" borderId="0" xfId="0" applyFont="1" applyFill="1" applyBorder="1" applyAlignment="1">
      <alignment vertical="center"/>
    </xf>
    <xf numFmtId="0" fontId="0" fillId="12" borderId="0" xfId="0" applyFont="1" applyFill="1" applyBorder="1" applyAlignment="1">
      <alignment vertical="center"/>
    </xf>
    <xf numFmtId="0" fontId="0" fillId="12" borderId="138" xfId="0" applyFont="1" applyFill="1" applyBorder="1" applyAlignment="1">
      <alignment vertical="center"/>
    </xf>
    <xf numFmtId="0" fontId="0" fillId="12" borderId="14" xfId="0" applyFont="1" applyFill="1" applyBorder="1" applyAlignment="1">
      <alignment vertical="center"/>
    </xf>
    <xf numFmtId="0" fontId="0" fillId="12" borderId="18" xfId="0" applyFont="1" applyFill="1" applyBorder="1" applyAlignment="1">
      <alignment vertical="center"/>
    </xf>
    <xf numFmtId="0" fontId="0" fillId="12" borderId="16" xfId="0" applyFont="1" applyFill="1" applyBorder="1" applyAlignment="1">
      <alignment vertical="center"/>
    </xf>
    <xf numFmtId="0" fontId="0" fillId="12" borderId="70" xfId="0" applyFont="1" applyFill="1" applyBorder="1" applyAlignment="1">
      <alignment vertical="center"/>
    </xf>
    <xf numFmtId="0" fontId="0" fillId="0" borderId="0" xfId="0" applyFont="1" applyFill="1" applyAlignment="1">
      <alignment vertical="center"/>
    </xf>
    <xf numFmtId="4" fontId="0" fillId="18" borderId="10" xfId="0" applyNumberFormat="1" applyFont="1" applyFill="1" applyBorder="1" applyAlignment="1">
      <alignment horizontal="center" vertical="center"/>
    </xf>
    <xf numFmtId="0" fontId="0" fillId="0" borderId="0" xfId="0" applyFont="1" applyFill="1" applyBorder="1" applyAlignment="1">
      <alignment vertical="center"/>
    </xf>
    <xf numFmtId="2" fontId="0" fillId="18" borderId="123" xfId="0" applyNumberFormat="1" applyFont="1" applyFill="1" applyBorder="1" applyAlignment="1">
      <alignment horizontal="center" vertical="center"/>
    </xf>
    <xf numFmtId="2" fontId="0" fillId="18" borderId="10" xfId="0" applyNumberFormat="1" applyFont="1" applyFill="1" applyBorder="1" applyAlignment="1">
      <alignment horizontal="center" vertical="center"/>
    </xf>
    <xf numFmtId="4" fontId="0" fillId="18" borderId="10" xfId="0" applyNumberFormat="1" applyFont="1" applyFill="1" applyBorder="1" applyAlignment="1">
      <alignment vertical="center"/>
    </xf>
    <xf numFmtId="0" fontId="0" fillId="11" borderId="0" xfId="0" applyFont="1" applyFill="1" applyBorder="1" applyAlignment="1">
      <alignment vertical="center"/>
    </xf>
    <xf numFmtId="0" fontId="21" fillId="0" borderId="0" xfId="2" applyFont="1" applyAlignment="1">
      <alignment vertical="center"/>
    </xf>
    <xf numFmtId="10" fontId="0" fillId="0" borderId="123" xfId="0" applyNumberFormat="1" applyFont="1" applyBorder="1" applyAlignment="1">
      <alignment vertical="center"/>
    </xf>
    <xf numFmtId="10" fontId="0" fillId="18" borderId="10" xfId="1" applyNumberFormat="1" applyFont="1" applyFill="1" applyBorder="1" applyAlignment="1">
      <alignment vertical="center"/>
    </xf>
    <xf numFmtId="10" fontId="0" fillId="18" borderId="123" xfId="1" applyNumberFormat="1" applyFont="1" applyFill="1" applyBorder="1" applyAlignment="1">
      <alignment vertical="center"/>
    </xf>
    <xf numFmtId="10" fontId="0" fillId="0" borderId="0" xfId="1" applyNumberFormat="1" applyFont="1" applyFill="1" applyBorder="1" applyAlignment="1">
      <alignment vertical="center"/>
    </xf>
    <xf numFmtId="0" fontId="0" fillId="12" borderId="0" xfId="0" applyFont="1" applyFill="1" applyAlignment="1">
      <alignment vertical="center"/>
    </xf>
    <xf numFmtId="4" fontId="0" fillId="18" borderId="10" xfId="1" applyNumberFormat="1" applyFont="1" applyFill="1" applyBorder="1" applyAlignment="1">
      <alignment vertical="center"/>
    </xf>
    <xf numFmtId="2" fontId="0" fillId="0" borderId="0" xfId="1" applyNumberFormat="1" applyFont="1" applyFill="1" applyBorder="1" applyAlignment="1">
      <alignment vertical="center"/>
    </xf>
    <xf numFmtId="4" fontId="0" fillId="0" borderId="0" xfId="0" applyNumberFormat="1" applyFont="1" applyFill="1" applyBorder="1" applyAlignment="1">
      <alignment horizontal="center" vertical="center"/>
    </xf>
    <xf numFmtId="4" fontId="0" fillId="12" borderId="0" xfId="0" applyNumberFormat="1" applyFont="1" applyFill="1" applyBorder="1" applyAlignment="1">
      <alignment horizontal="center" vertical="center"/>
    </xf>
    <xf numFmtId="0" fontId="0" fillId="0" borderId="0" xfId="0" applyFont="1" applyBorder="1" applyAlignment="1">
      <alignment horizontal="left" vertical="center"/>
    </xf>
    <xf numFmtId="0" fontId="23" fillId="12" borderId="0" xfId="0" applyFont="1" applyFill="1" applyBorder="1" applyAlignment="1">
      <alignment vertical="center"/>
    </xf>
    <xf numFmtId="0" fontId="23" fillId="12" borderId="0" xfId="0" applyFont="1" applyFill="1" applyAlignment="1">
      <alignment vertical="center"/>
    </xf>
    <xf numFmtId="0" fontId="0" fillId="0" borderId="0" xfId="0" applyFont="1" applyBorder="1" applyAlignment="1">
      <alignment horizontal="left" vertical="center" wrapText="1"/>
    </xf>
    <xf numFmtId="2" fontId="0" fillId="18" borderId="10" xfId="0" applyNumberFormat="1" applyFont="1" applyFill="1" applyBorder="1" applyAlignment="1">
      <alignment vertical="center"/>
    </xf>
    <xf numFmtId="0" fontId="23" fillId="0" borderId="0" xfId="0" applyFont="1" applyBorder="1" applyAlignment="1">
      <alignment vertical="center"/>
    </xf>
    <xf numFmtId="10" fontId="0" fillId="18" borderId="10" xfId="0" applyNumberFormat="1" applyFont="1" applyFill="1" applyBorder="1" applyAlignment="1">
      <alignment horizontal="center" vertical="center"/>
    </xf>
    <xf numFmtId="2" fontId="23" fillId="18" borderId="10" xfId="0" applyNumberFormat="1" applyFont="1" applyFill="1" applyBorder="1" applyAlignment="1">
      <alignment vertical="center"/>
    </xf>
    <xf numFmtId="0" fontId="2" fillId="0" borderId="0" xfId="2" applyFont="1" applyBorder="1" applyAlignment="1">
      <alignment vertical="center"/>
    </xf>
    <xf numFmtId="9" fontId="0" fillId="0" borderId="0" xfId="0" applyNumberFormat="1" applyFont="1" applyFill="1" applyBorder="1" applyAlignment="1">
      <alignment horizontal="center" vertical="center"/>
    </xf>
    <xf numFmtId="0" fontId="0" fillId="17" borderId="10" xfId="0" applyFont="1" applyFill="1" applyBorder="1" applyAlignment="1">
      <alignment vertical="center"/>
    </xf>
    <xf numFmtId="2" fontId="0" fillId="18" borderId="123" xfId="0" applyNumberFormat="1" applyFont="1" applyFill="1" applyBorder="1" applyAlignment="1">
      <alignment vertical="center"/>
    </xf>
    <xf numFmtId="0" fontId="3" fillId="0" borderId="70" xfId="0" applyFont="1" applyFill="1" applyBorder="1" applyAlignment="1">
      <alignment horizontal="center" vertical="center"/>
    </xf>
    <xf numFmtId="4" fontId="28" fillId="0" borderId="0" xfId="0" applyNumberFormat="1" applyFont="1" applyAlignment="1">
      <alignment vertical="center"/>
    </xf>
    <xf numFmtId="0" fontId="13" fillId="18" borderId="0" xfId="0" applyFont="1" applyFill="1" applyAlignment="1">
      <alignment vertical="center"/>
    </xf>
    <xf numFmtId="0" fontId="13" fillId="0" borderId="124" xfId="0" applyFont="1" applyBorder="1" applyAlignment="1">
      <alignment vertical="center"/>
    </xf>
    <xf numFmtId="0" fontId="23" fillId="18" borderId="123" xfId="0" applyFont="1" applyFill="1" applyBorder="1" applyAlignment="1">
      <alignment vertical="center"/>
    </xf>
    <xf numFmtId="2" fontId="23" fillId="18" borderId="123" xfId="0" applyNumberFormat="1" applyFont="1" applyFill="1" applyBorder="1" applyAlignment="1">
      <alignment vertical="center"/>
    </xf>
    <xf numFmtId="0" fontId="1" fillId="0" borderId="0" xfId="0" applyFont="1" applyAlignment="1">
      <alignment vertical="center"/>
    </xf>
    <xf numFmtId="0" fontId="1" fillId="0" borderId="0" xfId="0" applyFont="1" applyBorder="1" applyAlignment="1">
      <alignment vertical="center"/>
    </xf>
    <xf numFmtId="0" fontId="5" fillId="7" borderId="143" xfId="0" applyFont="1" applyFill="1" applyBorder="1" applyAlignment="1">
      <alignment horizontal="center" vertical="center"/>
    </xf>
    <xf numFmtId="2" fontId="0" fillId="18" borderId="123" xfId="0" applyNumberFormat="1" applyFont="1" applyFill="1" applyBorder="1" applyAlignment="1">
      <alignment horizontal="right" vertical="center"/>
    </xf>
    <xf numFmtId="0" fontId="2" fillId="0" borderId="0" xfId="0" applyFont="1" applyBorder="1" applyAlignment="1">
      <alignment vertical="center"/>
    </xf>
    <xf numFmtId="17" fontId="0" fillId="4" borderId="123" xfId="0" applyNumberFormat="1" applyFont="1" applyFill="1" applyBorder="1" applyAlignment="1" applyProtection="1">
      <alignment horizontal="center" vertical="center"/>
      <protection locked="0"/>
    </xf>
    <xf numFmtId="0" fontId="0" fillId="4" borderId="123" xfId="0" applyFont="1" applyFill="1" applyBorder="1" applyAlignment="1" applyProtection="1">
      <alignment vertical="center"/>
      <protection locked="0"/>
    </xf>
    <xf numFmtId="1" fontId="0" fillId="4" borderId="123" xfId="0" applyNumberFormat="1" applyFont="1" applyFill="1" applyBorder="1" applyAlignment="1" applyProtection="1">
      <alignment vertical="center"/>
      <protection locked="0"/>
    </xf>
    <xf numFmtId="0" fontId="0" fillId="6" borderId="123" xfId="0" applyFont="1" applyFill="1" applyBorder="1" applyAlignment="1" applyProtection="1">
      <alignment horizontal="center" vertical="center"/>
      <protection locked="0"/>
    </xf>
    <xf numFmtId="4" fontId="0" fillId="4" borderId="10" xfId="0" applyNumberFormat="1" applyFont="1" applyFill="1" applyBorder="1" applyAlignment="1" applyProtection="1">
      <alignment horizontal="center" vertical="center"/>
      <protection locked="0"/>
    </xf>
    <xf numFmtId="4" fontId="0" fillId="10" borderId="10" xfId="0" applyNumberFormat="1" applyFont="1" applyFill="1" applyBorder="1" applyAlignment="1" applyProtection="1">
      <alignment horizontal="center" vertical="center"/>
      <protection locked="0"/>
    </xf>
    <xf numFmtId="0" fontId="0" fillId="4" borderId="136" xfId="0" applyFont="1" applyFill="1" applyBorder="1" applyAlignment="1" applyProtection="1">
      <alignment vertical="center"/>
      <protection locked="0"/>
    </xf>
    <xf numFmtId="14" fontId="0" fillId="4" borderId="136" xfId="0" applyNumberFormat="1" applyFont="1" applyFill="1" applyBorder="1" applyAlignment="1" applyProtection="1">
      <alignment vertical="center"/>
      <protection locked="0"/>
    </xf>
    <xf numFmtId="4" fontId="0" fillId="4" borderId="136" xfId="0" applyNumberFormat="1" applyFont="1" applyFill="1" applyBorder="1" applyAlignment="1" applyProtection="1">
      <alignment horizontal="center" vertical="center"/>
      <protection locked="0"/>
    </xf>
    <xf numFmtId="0" fontId="0" fillId="4" borderId="123" xfId="0" applyFont="1" applyFill="1" applyBorder="1" applyAlignment="1" applyProtection="1">
      <alignment horizontal="center" vertical="center"/>
      <protection locked="0"/>
    </xf>
    <xf numFmtId="10" fontId="0" fillId="4" borderId="10" xfId="1" applyNumberFormat="1" applyFont="1" applyFill="1" applyBorder="1" applyAlignment="1" applyProtection="1">
      <alignment horizontal="center" vertical="center"/>
      <protection locked="0"/>
    </xf>
    <xf numFmtId="9" fontId="23" fillId="4" borderId="10" xfId="1" applyFont="1" applyFill="1" applyBorder="1" applyAlignment="1" applyProtection="1">
      <alignment horizontal="center" vertical="center"/>
      <protection locked="0"/>
    </xf>
    <xf numFmtId="9" fontId="0" fillId="4" borderId="10" xfId="1" applyFont="1" applyFill="1" applyBorder="1" applyAlignment="1" applyProtection="1">
      <alignment horizontal="center" vertical="center"/>
      <protection locked="0"/>
    </xf>
    <xf numFmtId="0" fontId="0" fillId="6" borderId="10" xfId="0" applyFont="1" applyFill="1" applyBorder="1" applyAlignment="1" applyProtection="1">
      <alignment horizontal="center" vertical="center"/>
      <protection locked="0"/>
    </xf>
    <xf numFmtId="2" fontId="0" fillId="4" borderId="10" xfId="0" applyNumberFormat="1" applyFont="1" applyFill="1" applyBorder="1" applyAlignment="1" applyProtection="1">
      <alignment horizontal="center" vertical="center"/>
      <protection locked="0"/>
    </xf>
    <xf numFmtId="4" fontId="0" fillId="6" borderId="123" xfId="0" applyNumberFormat="1" applyFont="1" applyFill="1" applyBorder="1" applyAlignment="1" applyProtection="1">
      <alignment horizontal="center" vertical="center"/>
      <protection locked="0"/>
    </xf>
    <xf numFmtId="14" fontId="0" fillId="4" borderId="10" xfId="0" applyNumberFormat="1" applyFont="1" applyFill="1" applyBorder="1" applyAlignment="1" applyProtection="1">
      <alignment horizontal="center" vertical="center"/>
      <protection locked="0"/>
    </xf>
    <xf numFmtId="0" fontId="0" fillId="4" borderId="10" xfId="0" applyFont="1" applyFill="1" applyBorder="1" applyAlignment="1" applyProtection="1">
      <alignment horizontal="center" vertical="center"/>
      <protection locked="0"/>
    </xf>
    <xf numFmtId="0" fontId="0" fillId="4" borderId="70" xfId="0" applyFont="1" applyFill="1" applyBorder="1" applyAlignment="1" applyProtection="1">
      <alignment horizontal="center" vertical="center"/>
      <protection locked="0"/>
    </xf>
    <xf numFmtId="0" fontId="0" fillId="10" borderId="10" xfId="0" applyFont="1" applyFill="1" applyBorder="1" applyAlignment="1" applyProtection="1">
      <alignment horizontal="center" vertical="center"/>
      <protection locked="0"/>
    </xf>
    <xf numFmtId="2" fontId="13" fillId="4" borderId="123" xfId="0" applyNumberFormat="1" applyFont="1" applyFill="1" applyBorder="1" applyAlignment="1" applyProtection="1">
      <alignment horizontal="center" vertical="center"/>
      <protection locked="0"/>
    </xf>
    <xf numFmtId="4" fontId="0" fillId="4" borderId="70" xfId="0" applyNumberFormat="1" applyFont="1" applyFill="1" applyBorder="1" applyAlignment="1" applyProtection="1">
      <alignment horizontal="center" vertical="center"/>
      <protection locked="0"/>
    </xf>
    <xf numFmtId="4" fontId="0" fillId="4" borderId="123" xfId="0" applyNumberFormat="1" applyFont="1" applyFill="1" applyBorder="1" applyAlignment="1" applyProtection="1">
      <alignment horizontal="center" vertical="center"/>
      <protection locked="0"/>
    </xf>
    <xf numFmtId="3" fontId="0" fillId="4" borderId="10" xfId="0" applyNumberFormat="1" applyFont="1" applyFill="1" applyBorder="1" applyAlignment="1" applyProtection="1">
      <alignment horizontal="center" vertical="center"/>
      <protection locked="0"/>
    </xf>
    <xf numFmtId="0" fontId="0" fillId="6" borderId="10" xfId="0" applyFont="1" applyFill="1" applyBorder="1" applyAlignment="1" applyProtection="1">
      <alignment vertical="center"/>
      <protection locked="0"/>
    </xf>
    <xf numFmtId="0" fontId="0" fillId="4" borderId="10" xfId="0" applyFont="1" applyFill="1" applyBorder="1" applyAlignment="1" applyProtection="1">
      <alignment vertical="center"/>
      <protection locked="0"/>
    </xf>
    <xf numFmtId="9" fontId="0" fillId="4" borderId="10" xfId="0" applyNumberFormat="1" applyFont="1" applyFill="1" applyBorder="1" applyAlignment="1" applyProtection="1">
      <alignment horizontal="center" vertical="center"/>
      <protection locked="0"/>
    </xf>
    <xf numFmtId="0" fontId="0" fillId="10" borderId="10" xfId="0" applyFont="1" applyFill="1" applyBorder="1" applyAlignment="1" applyProtection="1">
      <alignment vertical="center"/>
      <protection locked="0"/>
    </xf>
    <xf numFmtId="0" fontId="21" fillId="0" borderId="0" xfId="2" applyFill="1" applyBorder="1" applyAlignment="1" applyProtection="1">
      <alignment horizontal="center" vertical="center"/>
      <protection locked="0"/>
    </xf>
    <xf numFmtId="0" fontId="11"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1"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23" fillId="0" borderId="0" xfId="0" applyFont="1" applyFill="1" applyBorder="1" applyAlignment="1" applyProtection="1">
      <alignment horizontal="left" vertical="center"/>
      <protection locked="0"/>
    </xf>
    <xf numFmtId="2" fontId="23" fillId="4" borderId="10" xfId="0" applyNumberFormat="1" applyFont="1" applyFill="1" applyBorder="1" applyAlignment="1" applyProtection="1">
      <alignment horizontal="center" vertical="center"/>
      <protection locked="0"/>
    </xf>
    <xf numFmtId="0" fontId="1" fillId="0" borderId="0" xfId="0" applyFont="1" applyProtection="1">
      <protection locked="0"/>
    </xf>
    <xf numFmtId="0" fontId="1" fillId="0" borderId="2" xfId="0" applyFont="1" applyBorder="1" applyAlignment="1" applyProtection="1">
      <alignment horizontal="center" vertical="center"/>
      <protection locked="0"/>
    </xf>
    <xf numFmtId="0" fontId="1" fillId="0" borderId="3" xfId="0" applyFont="1" applyBorder="1" applyAlignment="1" applyProtection="1">
      <alignment horizontal="center" vertical="center"/>
      <protection locked="0"/>
    </xf>
    <xf numFmtId="0" fontId="1" fillId="0" borderId="4"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20" fontId="0" fillId="0" borderId="93" xfId="0" applyNumberFormat="1" applyFill="1" applyBorder="1" applyProtection="1">
      <protection locked="0"/>
    </xf>
    <xf numFmtId="20" fontId="0" fillId="0" borderId="94" xfId="0" applyNumberFormat="1" applyFill="1" applyBorder="1" applyProtection="1">
      <protection locked="0"/>
    </xf>
    <xf numFmtId="20" fontId="0" fillId="0" borderId="95" xfId="0" applyNumberFormat="1" applyFill="1" applyBorder="1" applyProtection="1">
      <protection locked="0"/>
    </xf>
    <xf numFmtId="20" fontId="0" fillId="0" borderId="93" xfId="0" applyNumberFormat="1" applyBorder="1" applyProtection="1">
      <protection locked="0"/>
    </xf>
    <xf numFmtId="20" fontId="0" fillId="0" borderId="95" xfId="0" applyNumberFormat="1" applyBorder="1" applyProtection="1">
      <protection locked="0"/>
    </xf>
    <xf numFmtId="20" fontId="0" fillId="0" borderId="101" xfId="0" applyNumberFormat="1" applyBorder="1" applyProtection="1">
      <protection locked="0"/>
    </xf>
    <xf numFmtId="166" fontId="0" fillId="4"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96" xfId="0" applyNumberFormat="1" applyFill="1" applyBorder="1" applyProtection="1">
      <protection locked="0"/>
    </xf>
    <xf numFmtId="20" fontId="0" fillId="0" borderId="66" xfId="0" applyNumberFormat="1" applyFill="1" applyBorder="1" applyProtection="1">
      <protection locked="0"/>
    </xf>
    <xf numFmtId="20" fontId="0" fillId="0" borderId="97" xfId="0" applyNumberFormat="1" applyFill="1" applyBorder="1" applyProtection="1">
      <protection locked="0"/>
    </xf>
    <xf numFmtId="20" fontId="0" fillId="0" borderId="96" xfId="0" applyNumberFormat="1" applyBorder="1" applyProtection="1">
      <protection locked="0"/>
    </xf>
    <xf numFmtId="20" fontId="0" fillId="0" borderId="97" xfId="0" applyNumberFormat="1" applyBorder="1" applyProtection="1">
      <protection locked="0"/>
    </xf>
    <xf numFmtId="20" fontId="0" fillId="0" borderId="102" xfId="0" applyNumberFormat="1" applyBorder="1" applyProtection="1">
      <protection locked="0"/>
    </xf>
    <xf numFmtId="0" fontId="4" fillId="0" borderId="79" xfId="0" applyFont="1" applyBorder="1" applyAlignment="1" applyProtection="1">
      <alignment horizontal="center" vertical="center"/>
      <protection locked="0"/>
    </xf>
    <xf numFmtId="0" fontId="4" fillId="0" borderId="90" xfId="0" applyFont="1" applyBorder="1" applyAlignment="1" applyProtection="1">
      <alignment horizontal="center" vertical="center"/>
      <protection locked="0"/>
    </xf>
    <xf numFmtId="0" fontId="4" fillId="0" borderId="80" xfId="0" applyFont="1" applyBorder="1" applyAlignment="1" applyProtection="1">
      <alignment horizontal="center" vertical="center"/>
      <protection locked="0"/>
    </xf>
    <xf numFmtId="166" fontId="0" fillId="0" borderId="77" xfId="0" applyNumberFormat="1" applyBorder="1" applyAlignment="1" applyProtection="1">
      <alignment vertical="center"/>
      <protection locked="0"/>
    </xf>
    <xf numFmtId="20" fontId="0" fillId="0" borderId="89" xfId="0" applyNumberFormat="1" applyBorder="1" applyAlignment="1" applyProtection="1">
      <alignment vertical="center"/>
      <protection locked="0"/>
    </xf>
    <xf numFmtId="20" fontId="0" fillId="0" borderId="78" xfId="0" applyNumberFormat="1" applyBorder="1" applyAlignment="1" applyProtection="1">
      <alignment vertical="center"/>
      <protection locked="0"/>
    </xf>
    <xf numFmtId="166" fontId="0" fillId="0" borderId="81" xfId="0" applyNumberFormat="1" applyBorder="1" applyAlignment="1" applyProtection="1">
      <alignment vertical="center"/>
      <protection locked="0"/>
    </xf>
    <xf numFmtId="0" fontId="1" fillId="0" borderId="0" xfId="0" applyFont="1" applyFill="1" applyProtection="1">
      <protection locked="0"/>
    </xf>
    <xf numFmtId="20" fontId="0" fillId="0" borderId="102" xfId="0" applyNumberFormat="1" applyFill="1" applyBorder="1" applyProtection="1">
      <protection locked="0"/>
    </xf>
    <xf numFmtId="166" fontId="0" fillId="0" borderId="53" xfId="0" applyNumberFormat="1" applyBorder="1" applyAlignment="1" applyProtection="1">
      <alignment vertical="center"/>
      <protection locked="0"/>
    </xf>
    <xf numFmtId="20" fontId="0" fillId="0" borderId="91" xfId="0" applyNumberFormat="1" applyBorder="1" applyAlignment="1" applyProtection="1">
      <alignment vertical="center"/>
      <protection locked="0"/>
    </xf>
    <xf numFmtId="20" fontId="0" fillId="0" borderId="92" xfId="0" applyNumberFormat="1" applyBorder="1" applyAlignment="1" applyProtection="1">
      <alignment vertical="center"/>
      <protection locked="0"/>
    </xf>
    <xf numFmtId="0" fontId="4" fillId="0" borderId="79" xfId="0" applyFont="1" applyBorder="1" applyAlignment="1" applyProtection="1">
      <alignment vertical="center"/>
      <protection locked="0"/>
    </xf>
    <xf numFmtId="166" fontId="4" fillId="0" borderId="90" xfId="0" applyNumberFormat="1" applyFont="1" applyBorder="1" applyAlignment="1" applyProtection="1">
      <alignment vertical="center"/>
      <protection locked="0"/>
    </xf>
    <xf numFmtId="166" fontId="4" fillId="0" borderId="80"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98" xfId="0" applyNumberFormat="1" applyFill="1" applyBorder="1" applyProtection="1">
      <protection locked="0"/>
    </xf>
    <xf numFmtId="20" fontId="0" fillId="0" borderId="99" xfId="0" applyNumberFormat="1" applyFill="1" applyBorder="1" applyProtection="1">
      <protection locked="0"/>
    </xf>
    <xf numFmtId="20" fontId="0" fillId="0" borderId="100" xfId="0" applyNumberFormat="1" applyFill="1" applyBorder="1" applyProtection="1">
      <protection locked="0"/>
    </xf>
    <xf numFmtId="20" fontId="0" fillId="0" borderId="103" xfId="0" applyNumberFormat="1" applyFill="1" applyBorder="1" applyProtection="1">
      <protection locked="0"/>
    </xf>
    <xf numFmtId="0" fontId="0" fillId="0" borderId="0" xfId="0" applyProtection="1">
      <protection locked="0"/>
    </xf>
    <xf numFmtId="165" fontId="0" fillId="0" borderId="0" xfId="0" applyNumberFormat="1" applyProtection="1">
      <protection locked="0"/>
    </xf>
    <xf numFmtId="0" fontId="0" fillId="0" borderId="10" xfId="0" applyBorder="1" applyAlignment="1" applyProtection="1">
      <alignment vertical="center"/>
      <protection locked="0"/>
    </xf>
    <xf numFmtId="9" fontId="0" fillId="0" borderId="10"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34" fillId="0" borderId="0" xfId="0" applyFont="1" applyAlignment="1" applyProtection="1">
      <alignment vertical="center"/>
      <protection locked="0"/>
    </xf>
    <xf numFmtId="0" fontId="4" fillId="0" borderId="0" xfId="0" applyFont="1" applyAlignment="1" applyProtection="1">
      <alignment vertical="center"/>
      <protection locked="0"/>
    </xf>
    <xf numFmtId="0" fontId="0" fillId="4" borderId="0" xfId="0" applyFill="1" applyAlignment="1" applyProtection="1">
      <alignment vertical="center"/>
      <protection locked="0"/>
    </xf>
    <xf numFmtId="0" fontId="26" fillId="0" borderId="29" xfId="0" applyFont="1" applyBorder="1" applyAlignment="1" applyProtection="1">
      <alignment horizontal="center" vertical="center"/>
      <protection locked="0"/>
    </xf>
    <xf numFmtId="4" fontId="26" fillId="0" borderId="29" xfId="0" applyNumberFormat="1" applyFont="1" applyBorder="1" applyAlignment="1" applyProtection="1">
      <alignment vertical="center"/>
      <protection locked="0"/>
    </xf>
    <xf numFmtId="0" fontId="26" fillId="0" borderId="29" xfId="0" applyFont="1" applyFill="1" applyBorder="1" applyAlignment="1" applyProtection="1">
      <alignment horizontal="center" vertical="center"/>
      <protection locked="0"/>
    </xf>
    <xf numFmtId="2" fontId="26" fillId="0" borderId="29" xfId="0" applyNumberFormat="1" applyFont="1" applyFill="1" applyBorder="1" applyAlignment="1" applyProtection="1">
      <alignment horizontal="right" vertical="center"/>
      <protection locked="0"/>
    </xf>
    <xf numFmtId="14" fontId="0" fillId="4" borderId="0" xfId="0" applyNumberFormat="1" applyFill="1" applyAlignment="1" applyProtection="1">
      <alignment horizontal="center" vertical="center"/>
      <protection locked="0"/>
    </xf>
    <xf numFmtId="0" fontId="0" fillId="4" borderId="53" xfId="0" applyFill="1" applyBorder="1" applyAlignment="1" applyProtection="1">
      <alignment horizontal="center" vertical="center"/>
      <protection locked="0"/>
    </xf>
    <xf numFmtId="0" fontId="49" fillId="0" borderId="0" xfId="0" applyFont="1" applyProtection="1">
      <protection locked="0"/>
    </xf>
    <xf numFmtId="0" fontId="0" fillId="4" borderId="0" xfId="0" applyFill="1" applyProtection="1">
      <protection locked="0"/>
    </xf>
    <xf numFmtId="0" fontId="6" fillId="12" borderId="11" xfId="0" applyFont="1" applyFill="1" applyBorder="1" applyAlignment="1">
      <alignment vertical="center"/>
    </xf>
    <xf numFmtId="0" fontId="6" fillId="12" borderId="13" xfId="0" applyFont="1" applyFill="1" applyBorder="1" applyAlignment="1">
      <alignment vertical="center"/>
    </xf>
    <xf numFmtId="0" fontId="50" fillId="5" borderId="75" xfId="2" applyFont="1" applyFill="1" applyBorder="1" applyAlignment="1">
      <alignment horizontal="center" vertical="center" textRotation="90"/>
    </xf>
    <xf numFmtId="0" fontId="50" fillId="5" borderId="134" xfId="2" applyFont="1" applyFill="1" applyBorder="1" applyAlignment="1">
      <alignment horizontal="center" vertical="center" textRotation="90"/>
    </xf>
    <xf numFmtId="0" fontId="50" fillId="5" borderId="73" xfId="2" applyFont="1" applyFill="1" applyBorder="1" applyAlignment="1">
      <alignment horizontal="center" vertical="center" textRotation="90"/>
    </xf>
    <xf numFmtId="0" fontId="21" fillId="0" borderId="2" xfId="2" applyBorder="1" applyAlignment="1">
      <alignment horizontal="center" vertical="center"/>
    </xf>
    <xf numFmtId="0" fontId="21" fillId="0" borderId="4" xfId="2" applyBorder="1" applyAlignment="1">
      <alignment horizontal="center" vertical="center"/>
    </xf>
    <xf numFmtId="0" fontId="2" fillId="0" borderId="3" xfId="2" applyFont="1" applyBorder="1" applyAlignment="1">
      <alignment horizontal="center" vertical="center"/>
    </xf>
    <xf numFmtId="0" fontId="2" fillId="0" borderId="4" xfId="2" applyFont="1" applyBorder="1" applyAlignment="1">
      <alignment horizontal="center" vertical="center"/>
    </xf>
    <xf numFmtId="0" fontId="50" fillId="10" borderId="75" xfId="2" applyFont="1" applyFill="1" applyBorder="1" applyAlignment="1">
      <alignment horizontal="center" vertical="center" textRotation="90"/>
    </xf>
    <xf numFmtId="0" fontId="50" fillId="10" borderId="134" xfId="2" applyFont="1" applyFill="1" applyBorder="1" applyAlignment="1">
      <alignment horizontal="center" vertical="center" textRotation="90"/>
    </xf>
    <xf numFmtId="0" fontId="50" fillId="10" borderId="73" xfId="2" applyFont="1" applyFill="1" applyBorder="1" applyAlignment="1">
      <alignment horizontal="center" vertical="center" textRotation="90"/>
    </xf>
    <xf numFmtId="0" fontId="21" fillId="0" borderId="3" xfId="2" applyBorder="1" applyAlignment="1">
      <alignment horizontal="center" vertical="center"/>
    </xf>
    <xf numFmtId="0" fontId="21" fillId="0" borderId="0" xfId="2" applyFont="1" applyAlignment="1">
      <alignment horizontal="center" vertical="center"/>
    </xf>
    <xf numFmtId="0" fontId="50" fillId="13" borderId="75" xfId="2" applyFont="1" applyFill="1" applyBorder="1" applyAlignment="1">
      <alignment horizontal="center" vertical="center" textRotation="90"/>
    </xf>
    <xf numFmtId="0" fontId="50" fillId="13" borderId="134" xfId="2" applyFont="1" applyFill="1" applyBorder="1" applyAlignment="1">
      <alignment horizontal="center" vertical="center" textRotation="90"/>
    </xf>
    <xf numFmtId="0" fontId="50" fillId="13" borderId="73" xfId="2" applyFont="1" applyFill="1" applyBorder="1" applyAlignment="1">
      <alignment horizontal="center" vertical="center" textRotation="90"/>
    </xf>
    <xf numFmtId="0" fontId="50" fillId="0" borderId="75" xfId="2" applyFont="1" applyBorder="1" applyAlignment="1">
      <alignment horizontal="center" vertical="center" textRotation="90"/>
    </xf>
    <xf numFmtId="0" fontId="50" fillId="0" borderId="134" xfId="2" applyFont="1" applyBorder="1" applyAlignment="1">
      <alignment horizontal="center" vertical="center" textRotation="90"/>
    </xf>
    <xf numFmtId="0" fontId="50" fillId="0" borderId="73" xfId="2" applyFont="1" applyBorder="1" applyAlignment="1">
      <alignment horizontal="center" vertical="center" textRotation="90"/>
    </xf>
    <xf numFmtId="0" fontId="50" fillId="5" borderId="24" xfId="2" applyFont="1" applyFill="1" applyBorder="1" applyAlignment="1">
      <alignment horizontal="center" vertical="center" textRotation="90"/>
    </xf>
    <xf numFmtId="0" fontId="50" fillId="5" borderId="135" xfId="2" applyFont="1" applyFill="1" applyBorder="1" applyAlignment="1">
      <alignment horizontal="center" vertical="center" textRotation="90"/>
    </xf>
    <xf numFmtId="0" fontId="50" fillId="5" borderId="142" xfId="2" applyFont="1" applyFill="1" applyBorder="1" applyAlignment="1">
      <alignment horizontal="center" vertical="center" textRotation="90"/>
    </xf>
    <xf numFmtId="0" fontId="50" fillId="5" borderId="27" xfId="2" applyFont="1" applyFill="1" applyBorder="1" applyAlignment="1">
      <alignment horizontal="center" vertical="center" textRotation="90"/>
    </xf>
    <xf numFmtId="0" fontId="50" fillId="6" borderId="75" xfId="2" applyFont="1" applyFill="1" applyBorder="1" applyAlignment="1">
      <alignment horizontal="center" vertical="center" textRotation="90" wrapText="1"/>
    </xf>
    <xf numFmtId="0" fontId="50" fillId="6" borderId="134" xfId="2" applyFont="1" applyFill="1" applyBorder="1" applyAlignment="1">
      <alignment horizontal="center" vertical="center" textRotation="90" wrapText="1"/>
    </xf>
    <xf numFmtId="0" fontId="50" fillId="6" borderId="73" xfId="2" applyFont="1" applyFill="1" applyBorder="1" applyAlignment="1">
      <alignment horizontal="center" vertical="center" textRotation="90" wrapText="1"/>
    </xf>
    <xf numFmtId="14" fontId="0" fillId="0" borderId="28" xfId="0" applyNumberFormat="1" applyFont="1" applyFill="1" applyBorder="1"/>
    <xf numFmtId="14" fontId="26" fillId="0" borderId="29" xfId="0" applyNumberFormat="1" applyFont="1" applyFill="1" applyBorder="1"/>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6" fillId="0" borderId="28" xfId="0" applyFont="1" applyBorder="1" applyAlignment="1">
      <alignment horizontal="left" vertical="center"/>
    </xf>
    <xf numFmtId="0" fontId="26" fillId="0" borderId="29" xfId="0" applyFont="1" applyBorder="1" applyAlignment="1">
      <alignment horizontal="left" vertical="center"/>
    </xf>
    <xf numFmtId="0" fontId="26" fillId="0" borderId="30" xfId="0" applyFont="1" applyBorder="1" applyAlignment="1">
      <alignment horizontal="center" vertical="center"/>
    </xf>
    <xf numFmtId="0" fontId="26" fillId="0" borderId="31" xfId="0" applyFont="1" applyBorder="1" applyAlignment="1">
      <alignment horizontal="center" vertical="center"/>
    </xf>
    <xf numFmtId="0" fontId="26" fillId="0" borderId="28" xfId="0" applyFont="1" applyFill="1" applyBorder="1" applyAlignment="1">
      <alignment horizontal="left" vertical="center"/>
    </xf>
    <xf numFmtId="0" fontId="26" fillId="0" borderId="29" xfId="0" applyFont="1" applyFill="1" applyBorder="1" applyAlignment="1">
      <alignment horizontal="left" vertical="center"/>
    </xf>
    <xf numFmtId="0" fontId="23" fillId="4" borderId="28" xfId="0" applyFont="1" applyFill="1" applyBorder="1" applyAlignment="1">
      <alignment horizontal="left" vertical="center"/>
    </xf>
    <xf numFmtId="0" fontId="23" fillId="4" borderId="29" xfId="0" applyFont="1" applyFill="1" applyBorder="1" applyAlignment="1">
      <alignment horizontal="left" vertical="center"/>
    </xf>
    <xf numFmtId="0" fontId="26" fillId="0" borderId="128" xfId="0" applyFont="1" applyBorder="1" applyAlignment="1">
      <alignment horizontal="left" vertical="center"/>
    </xf>
    <xf numFmtId="0" fontId="26" fillId="0" borderId="129" xfId="0" applyFont="1" applyBorder="1" applyAlignment="1">
      <alignment horizontal="left" vertical="center"/>
    </xf>
    <xf numFmtId="0" fontId="26" fillId="0" borderId="131" xfId="0" applyFont="1" applyFill="1" applyBorder="1" applyAlignment="1">
      <alignment horizontal="left" vertical="center"/>
    </xf>
    <xf numFmtId="0" fontId="26" fillId="0" borderId="68" xfId="0" applyFont="1" applyFill="1" applyBorder="1" applyAlignment="1">
      <alignment horizontal="left" vertical="center"/>
    </xf>
    <xf numFmtId="0" fontId="0" fillId="0" borderId="28" xfId="0" applyFont="1" applyBorder="1" applyAlignment="1">
      <alignment horizontal="left" vertical="center"/>
    </xf>
    <xf numFmtId="0" fontId="0" fillId="0" borderId="29" xfId="0" applyFont="1" applyBorder="1" applyAlignment="1">
      <alignment horizontal="left" vertical="center"/>
    </xf>
    <xf numFmtId="0" fontId="31" fillId="3" borderId="2" xfId="0" applyFont="1" applyFill="1" applyBorder="1" applyAlignment="1">
      <alignment horizontal="center" vertical="center"/>
    </xf>
    <xf numFmtId="0" fontId="31" fillId="3" borderId="3" xfId="0" applyFont="1" applyFill="1" applyBorder="1" applyAlignment="1">
      <alignment horizontal="center" vertical="center"/>
    </xf>
    <xf numFmtId="0" fontId="4" fillId="3" borderId="22" xfId="0" applyFont="1" applyFill="1" applyBorder="1" applyAlignment="1">
      <alignment horizontal="center" vertical="center"/>
    </xf>
    <xf numFmtId="0" fontId="4" fillId="3" borderId="23" xfId="0" applyFont="1" applyFill="1" applyBorder="1" applyAlignment="1">
      <alignment horizontal="center" vertical="center"/>
    </xf>
    <xf numFmtId="4" fontId="29" fillId="3" borderId="2" xfId="0" applyNumberFormat="1" applyFont="1" applyFill="1" applyBorder="1" applyAlignment="1">
      <alignment horizontal="center" vertical="center"/>
    </xf>
    <xf numFmtId="4" fontId="29" fillId="3" borderId="4" xfId="0" applyNumberFormat="1" applyFont="1" applyFill="1" applyBorder="1" applyAlignment="1">
      <alignment horizontal="center" vertical="center"/>
    </xf>
    <xf numFmtId="4" fontId="29" fillId="2" borderId="5" xfId="0" applyNumberFormat="1" applyFont="1" applyFill="1" applyBorder="1" applyAlignment="1">
      <alignment horizontal="center" vertical="center"/>
    </xf>
    <xf numFmtId="4" fontId="29" fillId="2" borderId="6" xfId="0" applyNumberFormat="1" applyFont="1" applyFill="1" applyBorder="1" applyAlignment="1">
      <alignment horizontal="center" vertical="center"/>
    </xf>
    <xf numFmtId="0" fontId="26" fillId="0" borderId="7" xfId="0" applyFont="1" applyBorder="1" applyAlignment="1">
      <alignment horizontal="center" vertical="center"/>
    </xf>
    <xf numFmtId="0" fontId="26" fillId="0" borderId="0" xfId="0" applyFont="1" applyBorder="1" applyAlignment="1">
      <alignment horizontal="center" vertical="center"/>
    </xf>
    <xf numFmtId="0" fontId="31" fillId="16" borderId="2" xfId="0" applyFont="1" applyFill="1" applyBorder="1" applyAlignment="1">
      <alignment horizontal="center" vertical="center"/>
    </xf>
    <xf numFmtId="0" fontId="31" fillId="16" borderId="3" xfId="0" applyFont="1" applyFill="1" applyBorder="1" applyAlignment="1">
      <alignment horizontal="center" vertical="center"/>
    </xf>
    <xf numFmtId="0" fontId="29" fillId="3" borderId="2" xfId="0" applyFont="1" applyFill="1" applyBorder="1" applyAlignment="1">
      <alignment horizontal="center" vertical="center"/>
    </xf>
    <xf numFmtId="0" fontId="29" fillId="3" borderId="4" xfId="0" applyFont="1" applyFill="1" applyBorder="1" applyAlignment="1">
      <alignment horizontal="center" vertical="center"/>
    </xf>
    <xf numFmtId="0" fontId="26" fillId="0" borderId="5" xfId="0" applyFont="1" applyBorder="1" applyAlignment="1">
      <alignment horizontal="center" vertical="center"/>
    </xf>
    <xf numFmtId="0" fontId="26" fillId="0" borderId="9" xfId="0" applyFont="1" applyBorder="1" applyAlignment="1">
      <alignment horizontal="center" vertical="center"/>
    </xf>
    <xf numFmtId="0" fontId="26" fillId="0" borderId="30" xfId="0" applyFont="1" applyBorder="1" applyAlignment="1">
      <alignment horizontal="left" vertical="center"/>
    </xf>
    <xf numFmtId="0" fontId="26" fillId="0" borderId="31" xfId="0" applyFont="1" applyBorder="1" applyAlignment="1">
      <alignment horizontal="left" vertical="center"/>
    </xf>
    <xf numFmtId="0" fontId="0" fillId="0" borderId="28" xfId="0" applyFont="1" applyFill="1" applyBorder="1" applyAlignment="1">
      <alignment horizontal="left" vertical="center"/>
    </xf>
    <xf numFmtId="0" fontId="26" fillId="0" borderId="28" xfId="0" applyFont="1" applyBorder="1" applyAlignment="1" applyProtection="1">
      <alignment horizontal="left" vertical="center"/>
      <protection locked="0"/>
    </xf>
    <xf numFmtId="0" fontId="26" fillId="0" borderId="29" xfId="0" applyFont="1" applyBorder="1" applyAlignment="1" applyProtection="1">
      <alignment horizontal="left" vertical="center"/>
      <protection locked="0"/>
    </xf>
    <xf numFmtId="4" fontId="1" fillId="3" borderId="2" xfId="0" applyNumberFormat="1" applyFont="1" applyFill="1" applyBorder="1" applyAlignment="1">
      <alignment horizontal="center" vertical="center"/>
    </xf>
    <xf numFmtId="4" fontId="1" fillId="3" borderId="4" xfId="0" applyNumberFormat="1" applyFont="1" applyFill="1" applyBorder="1" applyAlignment="1">
      <alignment horizontal="center" vertical="center"/>
    </xf>
    <xf numFmtId="4" fontId="29" fillId="3" borderId="3" xfId="0" applyNumberFormat="1" applyFont="1" applyFill="1" applyBorder="1" applyAlignment="1">
      <alignment horizontal="center" vertical="center"/>
    </xf>
    <xf numFmtId="0" fontId="25" fillId="2" borderId="0" xfId="0" applyFont="1" applyFill="1" applyAlignment="1">
      <alignment horizontal="center" vertical="center"/>
    </xf>
    <xf numFmtId="0" fontId="26" fillId="0" borderId="34" xfId="0" applyFont="1" applyBorder="1" applyAlignment="1">
      <alignment horizontal="center" vertical="center"/>
    </xf>
    <xf numFmtId="0" fontId="26" fillId="0" borderId="35" xfId="0" applyFont="1" applyBorder="1" applyAlignment="1">
      <alignment horizontal="center" vertical="center"/>
    </xf>
    <xf numFmtId="0" fontId="0" fillId="0" borderId="128" xfId="0" applyFont="1" applyBorder="1" applyAlignment="1">
      <alignment horizontal="left" vertical="center"/>
    </xf>
    <xf numFmtId="0" fontId="0" fillId="0" borderId="132" xfId="0" applyFont="1" applyBorder="1" applyAlignment="1">
      <alignment horizontal="left" vertical="center"/>
    </xf>
    <xf numFmtId="0" fontId="26" fillId="0" borderId="76" xfId="0" applyFont="1" applyBorder="1" applyAlignment="1">
      <alignment horizontal="left" vertical="center"/>
    </xf>
    <xf numFmtId="0" fontId="47" fillId="2" borderId="0" xfId="0" applyFont="1" applyFill="1" applyAlignment="1">
      <alignment horizontal="center" vertical="center"/>
    </xf>
    <xf numFmtId="0" fontId="1" fillId="16" borderId="2" xfId="0" applyFont="1" applyFill="1" applyBorder="1" applyAlignment="1">
      <alignment horizontal="center" vertical="center"/>
    </xf>
    <xf numFmtId="0" fontId="1" fillId="16" borderId="3" xfId="0" applyFont="1" applyFill="1" applyBorder="1" applyAlignment="1">
      <alignment horizontal="center" vertical="center"/>
    </xf>
    <xf numFmtId="0" fontId="1" fillId="16" borderId="19" xfId="0" applyFont="1" applyFill="1" applyBorder="1" applyAlignment="1">
      <alignment horizontal="center"/>
    </xf>
    <xf numFmtId="0" fontId="1" fillId="16" borderId="20" xfId="0" applyFont="1" applyFill="1" applyBorder="1" applyAlignment="1">
      <alignment horizontal="center"/>
    </xf>
    <xf numFmtId="0" fontId="1" fillId="16" borderId="21" xfId="0" applyFont="1" applyFill="1" applyBorder="1" applyAlignment="1">
      <alignment horizontal="center"/>
    </xf>
    <xf numFmtId="0" fontId="1" fillId="3" borderId="19" xfId="0" applyFont="1" applyFill="1" applyBorder="1" applyAlignment="1">
      <alignment horizontal="center"/>
    </xf>
    <xf numFmtId="0" fontId="1" fillId="3" borderId="20" xfId="0" applyFont="1" applyFill="1" applyBorder="1" applyAlignment="1">
      <alignment horizontal="center"/>
    </xf>
    <xf numFmtId="0" fontId="1" fillId="3" borderId="21" xfId="0" applyFont="1" applyFill="1" applyBorder="1" applyAlignment="1">
      <alignment horizontal="center"/>
    </xf>
    <xf numFmtId="0" fontId="2" fillId="3" borderId="19" xfId="0" applyFont="1" applyFill="1" applyBorder="1" applyAlignment="1">
      <alignment horizontal="center"/>
    </xf>
    <xf numFmtId="0" fontId="2" fillId="3" borderId="20" xfId="0" applyFont="1" applyFill="1" applyBorder="1" applyAlignment="1">
      <alignment horizontal="center"/>
    </xf>
    <xf numFmtId="0" fontId="2" fillId="3" borderId="21" xfId="0" applyFont="1"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1" fillId="16" borderId="4" xfId="0" applyFont="1" applyFill="1" applyBorder="1" applyAlignment="1">
      <alignment horizontal="center" vertical="center"/>
    </xf>
    <xf numFmtId="0" fontId="0" fillId="0" borderId="10" xfId="0" applyBorder="1" applyAlignment="1" applyProtection="1">
      <alignment horizontal="left" vertical="center"/>
      <protection locked="0"/>
    </xf>
    <xf numFmtId="0" fontId="1" fillId="0" borderId="10" xfId="0" applyFont="1" applyBorder="1" applyAlignment="1" applyProtection="1">
      <alignment horizontal="left" vertical="center"/>
      <protection locked="0"/>
    </xf>
    <xf numFmtId="0" fontId="11" fillId="11" borderId="55" xfId="0" applyFont="1" applyFill="1" applyBorder="1" applyAlignment="1" applyProtection="1">
      <alignment horizontal="center" vertical="center"/>
      <protection locked="0"/>
    </xf>
    <xf numFmtId="0" fontId="11" fillId="11" borderId="56" xfId="0" applyFont="1" applyFill="1" applyBorder="1" applyAlignment="1" applyProtection="1">
      <alignment horizontal="center" vertical="center"/>
      <protection locked="0"/>
    </xf>
    <xf numFmtId="0" fontId="11" fillId="11" borderId="57" xfId="0" applyFont="1" applyFill="1"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7" fillId="19" borderId="55" xfId="0" applyFont="1" applyFill="1" applyBorder="1" applyAlignment="1">
      <alignment horizontal="center" vertical="center"/>
    </xf>
    <xf numFmtId="0" fontId="7" fillId="19" borderId="56" xfId="0" applyFont="1" applyFill="1" applyBorder="1" applyAlignment="1">
      <alignment horizontal="center" vertical="center"/>
    </xf>
    <xf numFmtId="0" fontId="7" fillId="19" borderId="57" xfId="0" applyFont="1" applyFill="1" applyBorder="1" applyAlignment="1">
      <alignment horizontal="center" vertical="center"/>
    </xf>
    <xf numFmtId="0" fontId="0" fillId="8" borderId="87" xfId="0" applyFont="1" applyFill="1" applyBorder="1" applyAlignment="1">
      <alignment horizontal="center" vertical="center"/>
    </xf>
    <xf numFmtId="0" fontId="0" fillId="8" borderId="88" xfId="0" applyFont="1" applyFill="1" applyBorder="1" applyAlignment="1">
      <alignment horizontal="center" vertical="center"/>
    </xf>
    <xf numFmtId="0" fontId="4" fillId="0" borderId="51" xfId="0" applyFont="1" applyBorder="1" applyAlignment="1">
      <alignment horizontal="center" vertical="center"/>
    </xf>
    <xf numFmtId="0" fontId="4" fillId="0" borderId="52" xfId="0" applyFont="1" applyBorder="1" applyAlignment="1">
      <alignment horizontal="center" vertical="center"/>
    </xf>
    <xf numFmtId="4" fontId="4" fillId="8" borderId="83" xfId="0" applyNumberFormat="1" applyFont="1" applyFill="1" applyBorder="1" applyAlignment="1">
      <alignment horizontal="center" vertical="center"/>
    </xf>
    <xf numFmtId="0" fontId="4" fillId="8" borderId="84" xfId="0" applyFont="1" applyFill="1" applyBorder="1" applyAlignment="1">
      <alignment horizontal="center" vertical="center"/>
    </xf>
    <xf numFmtId="0" fontId="0" fillId="0" borderId="48" xfId="0" applyFont="1" applyBorder="1" applyAlignment="1">
      <alignment horizontal="left" vertical="top" wrapText="1"/>
    </xf>
    <xf numFmtId="0" fontId="0" fillId="0" borderId="50" xfId="0" applyFont="1" applyBorder="1" applyAlignment="1">
      <alignment horizontal="left" vertical="top" wrapText="1"/>
    </xf>
    <xf numFmtId="0" fontId="0" fillId="0" borderId="58" xfId="0" applyFont="1" applyBorder="1" applyAlignment="1">
      <alignment horizontal="left" vertical="top" wrapText="1"/>
    </xf>
    <xf numFmtId="0" fontId="0" fillId="0" borderId="59" xfId="0" applyFont="1" applyBorder="1" applyAlignment="1">
      <alignment horizontal="left" vertical="top" wrapText="1"/>
    </xf>
    <xf numFmtId="0" fontId="0" fillId="0" borderId="60" xfId="0" applyFont="1" applyBorder="1" applyAlignment="1">
      <alignment horizontal="left" vertical="top" wrapText="1"/>
    </xf>
    <xf numFmtId="0" fontId="0" fillId="0" borderId="61" xfId="0" applyFont="1" applyBorder="1" applyAlignment="1">
      <alignment horizontal="left" vertical="top" wrapText="1"/>
    </xf>
    <xf numFmtId="2" fontId="4" fillId="0" borderId="85" xfId="0" applyNumberFormat="1" applyFont="1" applyBorder="1" applyAlignment="1">
      <alignment horizontal="center" vertical="center"/>
    </xf>
    <xf numFmtId="2" fontId="4" fillId="0" borderId="86" xfId="0" applyNumberFormat="1" applyFont="1" applyBorder="1" applyAlignment="1">
      <alignment horizontal="center" vertical="center"/>
    </xf>
    <xf numFmtId="0" fontId="7" fillId="5" borderId="55" xfId="0" applyFont="1" applyFill="1" applyBorder="1" applyAlignment="1">
      <alignment horizontal="center" vertical="center"/>
    </xf>
    <xf numFmtId="0" fontId="7" fillId="5" borderId="56" xfId="0" applyFont="1" applyFill="1" applyBorder="1" applyAlignment="1">
      <alignment horizontal="center" vertical="center"/>
    </xf>
    <xf numFmtId="0" fontId="7" fillId="5" borderId="57" xfId="0" applyFont="1" applyFill="1" applyBorder="1" applyAlignment="1">
      <alignment horizontal="center" vertical="center"/>
    </xf>
    <xf numFmtId="0" fontId="4" fillId="8" borderId="83" xfId="0" applyFont="1" applyFill="1" applyBorder="1" applyAlignment="1">
      <alignment horizontal="center" vertical="center"/>
    </xf>
    <xf numFmtId="0" fontId="17" fillId="0" borderId="0" xfId="0" applyFont="1" applyAlignment="1">
      <alignment horizontal="left" vertical="center" wrapText="1"/>
    </xf>
    <xf numFmtId="0" fontId="16" fillId="7" borderId="37" xfId="0" applyFont="1" applyFill="1" applyBorder="1" applyAlignment="1">
      <alignment horizontal="center" vertical="center"/>
    </xf>
    <xf numFmtId="0" fontId="16" fillId="7" borderId="38" xfId="0" applyFont="1" applyFill="1" applyBorder="1" applyAlignment="1">
      <alignment horizontal="center" vertical="center"/>
    </xf>
    <xf numFmtId="0" fontId="16" fillId="7" borderId="39" xfId="0" applyFont="1" applyFill="1" applyBorder="1" applyAlignment="1">
      <alignment horizontal="center" vertical="center"/>
    </xf>
    <xf numFmtId="0" fontId="16" fillId="7" borderId="37" xfId="0" applyFont="1" applyFill="1" applyBorder="1" applyAlignment="1">
      <alignment horizontal="center" vertical="center" wrapText="1"/>
    </xf>
    <xf numFmtId="0" fontId="16" fillId="7" borderId="38" xfId="0" applyFont="1" applyFill="1" applyBorder="1" applyAlignment="1">
      <alignment horizontal="center" vertical="center" wrapText="1"/>
    </xf>
    <xf numFmtId="0" fontId="16" fillId="7" borderId="39" xfId="0" applyFont="1" applyFill="1" applyBorder="1" applyAlignment="1">
      <alignment horizontal="center" vertical="center" wrapText="1"/>
    </xf>
    <xf numFmtId="0" fontId="15" fillId="10" borderId="55" xfId="0" applyFont="1" applyFill="1" applyBorder="1" applyAlignment="1">
      <alignment horizontal="center" vertical="center"/>
    </xf>
    <xf numFmtId="0" fontId="15" fillId="10" borderId="56" xfId="0" applyFont="1" applyFill="1" applyBorder="1" applyAlignment="1">
      <alignment horizontal="center" vertical="center"/>
    </xf>
    <xf numFmtId="0" fontId="15" fillId="10" borderId="57" xfId="0" applyFont="1" applyFill="1" applyBorder="1" applyAlignment="1">
      <alignment horizontal="center" vertical="center"/>
    </xf>
    <xf numFmtId="0" fontId="0" fillId="8" borderId="0" xfId="0" applyFont="1" applyFill="1" applyAlignment="1">
      <alignment horizontal="center" vertical="center"/>
    </xf>
    <xf numFmtId="0" fontId="13" fillId="0" borderId="49" xfId="0" applyFont="1" applyBorder="1" applyAlignment="1">
      <alignment horizontal="left" vertical="top" wrapText="1"/>
    </xf>
    <xf numFmtId="0" fontId="13" fillId="0" borderId="50" xfId="0" applyFont="1" applyBorder="1" applyAlignment="1">
      <alignment horizontal="left" vertical="top" wrapText="1"/>
    </xf>
    <xf numFmtId="0" fontId="13" fillId="0" borderId="58" xfId="0" applyFont="1" applyBorder="1" applyAlignment="1">
      <alignment horizontal="left" vertical="top" wrapText="1"/>
    </xf>
    <xf numFmtId="0" fontId="13" fillId="0" borderId="0" xfId="0" applyFont="1" applyBorder="1" applyAlignment="1">
      <alignment horizontal="left" vertical="top" wrapText="1"/>
    </xf>
    <xf numFmtId="0" fontId="13" fillId="0" borderId="59" xfId="0" applyFont="1" applyBorder="1" applyAlignment="1">
      <alignment horizontal="left" vertical="top" wrapText="1"/>
    </xf>
    <xf numFmtId="0" fontId="13" fillId="0" borderId="60" xfId="0" applyFont="1" applyBorder="1" applyAlignment="1">
      <alignment horizontal="left" vertical="top" wrapText="1"/>
    </xf>
    <xf numFmtId="0" fontId="13" fillId="0" borderId="62" xfId="0" applyFont="1" applyBorder="1" applyAlignment="1">
      <alignment horizontal="left" vertical="top" wrapText="1"/>
    </xf>
    <xf numFmtId="0" fontId="13" fillId="0" borderId="61" xfId="0" applyFont="1" applyBorder="1" applyAlignment="1">
      <alignment horizontal="left" vertical="top" wrapText="1"/>
    </xf>
    <xf numFmtId="0" fontId="1" fillId="8" borderId="19" xfId="0" applyFont="1" applyFill="1" applyBorder="1" applyAlignment="1">
      <alignment horizontal="center" vertical="center"/>
    </xf>
    <xf numFmtId="0" fontId="1" fillId="8" borderId="21" xfId="0" applyFont="1" applyFill="1" applyBorder="1" applyAlignment="1">
      <alignment horizontal="center" vertical="center"/>
    </xf>
    <xf numFmtId="0" fontId="14" fillId="0" borderId="10" xfId="0" applyFont="1" applyBorder="1" applyAlignment="1">
      <alignment horizontal="center" vertical="center"/>
    </xf>
    <xf numFmtId="0" fontId="1" fillId="8" borderId="10" xfId="0" applyFont="1" applyFill="1" applyBorder="1" applyAlignment="1">
      <alignment horizontal="center" vertical="center"/>
    </xf>
    <xf numFmtId="4" fontId="36" fillId="0" borderId="10" xfId="0" applyNumberFormat="1" applyFont="1" applyBorder="1" applyAlignment="1">
      <alignment horizontal="center" vertical="center" wrapText="1"/>
    </xf>
    <xf numFmtId="4" fontId="40" fillId="0" borderId="120" xfId="0" applyNumberFormat="1" applyFont="1" applyBorder="1" applyAlignment="1">
      <alignment horizontal="center" vertical="center"/>
    </xf>
    <xf numFmtId="4" fontId="40" fillId="0" borderId="121" xfId="0" applyNumberFormat="1" applyFont="1" applyBorder="1" applyAlignment="1">
      <alignment horizontal="center" vertical="center"/>
    </xf>
    <xf numFmtId="0" fontId="41" fillId="13" borderId="55" xfId="3" applyFont="1" applyFill="1" applyBorder="1" applyAlignment="1">
      <alignment horizontal="center" vertical="center"/>
    </xf>
    <xf numFmtId="0" fontId="41" fillId="13" borderId="56" xfId="3" applyFont="1" applyFill="1" applyBorder="1" applyAlignment="1">
      <alignment horizontal="center" vertical="center"/>
    </xf>
    <xf numFmtId="0" fontId="41" fillId="13" borderId="57" xfId="3" applyFont="1" applyFill="1" applyBorder="1" applyAlignment="1">
      <alignment horizontal="center" vertical="center"/>
    </xf>
    <xf numFmtId="0" fontId="42" fillId="0" borderId="123" xfId="3" applyFont="1" applyBorder="1" applyAlignment="1">
      <alignment horizontal="center"/>
    </xf>
    <xf numFmtId="4" fontId="22" fillId="0" borderId="114" xfId="0" applyNumberFormat="1" applyFont="1" applyFill="1" applyBorder="1" applyAlignment="1" applyProtection="1">
      <alignment horizontal="center" vertical="center"/>
    </xf>
    <xf numFmtId="4" fontId="22" fillId="0" borderId="10" xfId="0" applyNumberFormat="1" applyFont="1" applyFill="1" applyBorder="1" applyAlignment="1" applyProtection="1">
      <alignment horizontal="center" vertical="center" wrapText="1"/>
    </xf>
    <xf numFmtId="0" fontId="1" fillId="0" borderId="79" xfId="0" applyFont="1" applyBorder="1" applyAlignment="1">
      <alignment horizontal="center" vertical="center"/>
    </xf>
    <xf numFmtId="0" fontId="1" fillId="0" borderId="80" xfId="0" applyFont="1" applyBorder="1" applyAlignment="1">
      <alignment horizontal="center" vertical="center"/>
    </xf>
  </cellXfs>
  <cellStyles count="4">
    <cellStyle name="Lien hypertexte" xfId="2" builtinId="8"/>
    <cellStyle name="Normal" xfId="0" builtinId="0"/>
    <cellStyle name="Normal 2" xfId="3" xr:uid="{00000000-0005-0000-0000-000002000000}"/>
    <cellStyle name="Pourcentage" xfId="1" builtinId="5"/>
  </cellStyles>
  <dxfs count="3">
    <dxf>
      <font>
        <b/>
        <i val="0"/>
        <condense val="0"/>
        <extend val="0"/>
        <color indexed="10"/>
      </font>
    </dxf>
    <dxf>
      <font>
        <color rgb="FF006100"/>
      </font>
      <fill>
        <patternFill>
          <bgColor rgb="FFC6EFCE"/>
        </patternFill>
      </fill>
    </dxf>
    <dxf>
      <font>
        <color rgb="FF006100"/>
      </font>
      <fill>
        <patternFill>
          <bgColor rgb="FFC6EFCE"/>
        </patternFill>
      </fill>
    </dxf>
  </dxfs>
  <tableStyles count="0" defaultTableStyle="TableStyleMedium2" defaultPivotStyle="PivotStyleLight16"/>
  <colors>
    <mruColors>
      <color rgb="FFFF99F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742950</xdr:colOff>
          <xdr:row>4</xdr:row>
          <xdr:rowOff>19050</xdr:rowOff>
        </xdr:from>
        <xdr:to>
          <xdr:col>7</xdr:col>
          <xdr:colOff>619125</xdr:colOff>
          <xdr:row>7</xdr:row>
          <xdr:rowOff>38100</xdr:rowOff>
        </xdr:to>
        <xdr:sp macro="" textlink="">
          <xdr:nvSpPr>
            <xdr:cNvPr id="34817" name="Button 1" hidden="1">
              <a:extLst>
                <a:ext uri="{63B3BB69-23CF-44E3-9099-C40C66FF867C}">
                  <a14:compatExt spid="_x0000_s34817"/>
                </a:ext>
                <a:ext uri="{FF2B5EF4-FFF2-40B4-BE49-F238E27FC236}">
                  <a16:creationId xmlns:a16="http://schemas.microsoft.com/office/drawing/2014/main" id="{00000000-0008-0000-0000-0000018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1133475</xdr:colOff>
      <xdr:row>56</xdr:row>
      <xdr:rowOff>76200</xdr:rowOff>
    </xdr:from>
    <xdr:to>
      <xdr:col>5</xdr:col>
      <xdr:colOff>1181100</xdr:colOff>
      <xdr:row>56</xdr:row>
      <xdr:rowOff>121919</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8858250" y="7905750"/>
          <a:ext cx="47625" cy="4571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0</xdr:colOff>
          <xdr:row>48</xdr:row>
          <xdr:rowOff>28575</xdr:rowOff>
        </xdr:from>
        <xdr:to>
          <xdr:col>8</xdr:col>
          <xdr:colOff>9525</xdr:colOff>
          <xdr:row>50</xdr:row>
          <xdr:rowOff>85725</xdr:rowOff>
        </xdr:to>
        <xdr:sp macro="" textlink="">
          <xdr:nvSpPr>
            <xdr:cNvPr id="8228" name="Bouton 36" hidden="1">
              <a:extLst>
                <a:ext uri="{63B3BB69-23CF-44E3-9099-C40C66FF867C}">
                  <a14:compatExt spid="_x0000_s8228"/>
                </a:ext>
                <a:ext uri="{FF2B5EF4-FFF2-40B4-BE49-F238E27FC236}">
                  <a16:creationId xmlns:a16="http://schemas.microsoft.com/office/drawing/2014/main" id="{00000000-0008-0000-0800-000024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4.vml"/></Relationships>
</file>

<file path=xl/worksheets/_rels/sheet7.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3.xml"/><Relationship Id="rId1" Type="http://schemas.openxmlformats.org/officeDocument/2006/relationships/printerSettings" Target="../printerSettings/printerSettings8.bin"/><Relationship Id="rId5" Type="http://schemas.openxmlformats.org/officeDocument/2006/relationships/comments" Target="../comments6.xml"/><Relationship Id="rId4" Type="http://schemas.openxmlformats.org/officeDocument/2006/relationships/ctrlProp" Target="../ctrlProps/ctrlProp2.xml"/></Relationships>
</file>

<file path=xl/worksheets/_rels/sheet10.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hyperlink" Target="http://rfpaye.grouperf.com/calcul/?fichier=saisie_sur_salaires" TargetMode="External"/></Relationships>
</file>

<file path=xl/worksheets/_rels/sheet11.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8.v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C15"/>
  <sheetViews>
    <sheetView workbookViewId="0">
      <selection activeCell="E21" sqref="E21"/>
    </sheetView>
  </sheetViews>
  <sheetFormatPr baseColWidth="10" defaultRowHeight="15" x14ac:dyDescent="0.25"/>
  <cols>
    <col min="1" max="16384" width="11.42578125" style="491"/>
  </cols>
  <sheetData>
    <row r="1" spans="1:3" x14ac:dyDescent="0.25">
      <c r="A1" s="491" t="s">
        <v>425</v>
      </c>
    </row>
    <row r="2" spans="1:3" x14ac:dyDescent="0.25">
      <c r="B2" s="506" t="s">
        <v>417</v>
      </c>
    </row>
    <row r="3" spans="1:3" x14ac:dyDescent="0.25">
      <c r="B3" s="506" t="s">
        <v>418</v>
      </c>
    </row>
    <row r="4" spans="1:3" x14ac:dyDescent="0.25">
      <c r="B4" s="506" t="s">
        <v>419</v>
      </c>
    </row>
    <row r="5" spans="1:3" x14ac:dyDescent="0.25">
      <c r="B5" s="506" t="s">
        <v>420</v>
      </c>
    </row>
    <row r="6" spans="1:3" x14ac:dyDescent="0.25">
      <c r="B6" s="506" t="s">
        <v>421</v>
      </c>
    </row>
    <row r="7" spans="1:3" x14ac:dyDescent="0.25">
      <c r="B7" s="506" t="s">
        <v>422</v>
      </c>
    </row>
    <row r="8" spans="1:3" x14ac:dyDescent="0.25">
      <c r="B8" s="506" t="s">
        <v>423</v>
      </c>
    </row>
    <row r="9" spans="1:3" x14ac:dyDescent="0.25">
      <c r="B9" s="506" t="s">
        <v>424</v>
      </c>
    </row>
    <row r="11" spans="1:3" x14ac:dyDescent="0.25">
      <c r="C11" s="507">
        <v>3</v>
      </c>
    </row>
    <row r="13" spans="1:3" x14ac:dyDescent="0.25">
      <c r="C13" s="507">
        <v>3</v>
      </c>
    </row>
    <row r="15" spans="1:3" x14ac:dyDescent="0.25">
      <c r="C15" s="507">
        <v>4</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4817" r:id="rId4" name="Button 1">
              <controlPr defaultSize="0" print="0" autoFill="0" autoPict="0" macro="[0]!Feuil2.Bouton1_QuandClic">
                <anchor moveWithCells="1" sizeWithCells="1">
                  <from>
                    <xdr:col>5</xdr:col>
                    <xdr:colOff>742950</xdr:colOff>
                    <xdr:row>4</xdr:row>
                    <xdr:rowOff>19050</xdr:rowOff>
                  </from>
                  <to>
                    <xdr:col>7</xdr:col>
                    <xdr:colOff>619125</xdr:colOff>
                    <xdr:row>7</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dimension ref="A1:P141"/>
  <sheetViews>
    <sheetView tabSelected="1" workbookViewId="0">
      <selection activeCell="B1" sqref="B1"/>
    </sheetView>
  </sheetViews>
  <sheetFormatPr baseColWidth="10" defaultRowHeight="18.75" x14ac:dyDescent="0.25"/>
  <cols>
    <col min="1" max="1" width="11.42578125" style="356"/>
    <col min="2" max="2" width="41.28515625" style="72" bestFit="1" customWidth="1"/>
    <col min="3" max="3" width="35.5703125" style="72" bestFit="1" customWidth="1"/>
    <col min="4" max="4" width="4.140625" style="72" customWidth="1"/>
    <col min="5" max="5" width="25.7109375" style="72" customWidth="1"/>
    <col min="6" max="6" width="26.140625" style="72" customWidth="1"/>
    <col min="7" max="7" width="19" style="72" customWidth="1"/>
    <col min="8" max="8" width="2.85546875" style="72" customWidth="1"/>
    <col min="9" max="9" width="19.28515625" style="72" customWidth="1"/>
    <col min="10" max="10" width="34.5703125" style="72" customWidth="1"/>
    <col min="11" max="11" width="21.5703125" style="19" customWidth="1"/>
    <col min="12" max="12" width="39" style="19" bestFit="1" customWidth="1"/>
    <col min="13" max="13" width="8.7109375" style="19" bestFit="1" customWidth="1"/>
    <col min="14" max="14" width="19" style="19" bestFit="1" customWidth="1"/>
    <col min="15" max="16384" width="11.42578125" style="19"/>
  </cols>
  <sheetData>
    <row r="1" spans="1:13" ht="30" x14ac:dyDescent="0.25">
      <c r="B1" s="361" t="s">
        <v>125</v>
      </c>
      <c r="C1" s="362" t="s">
        <v>380</v>
      </c>
      <c r="E1" s="363" t="s">
        <v>124</v>
      </c>
      <c r="F1" s="364" t="s">
        <v>381</v>
      </c>
    </row>
    <row r="2" spans="1:13" ht="20.25" customHeight="1" thickBot="1" x14ac:dyDescent="0.3"/>
    <row r="3" spans="1:13" ht="15" x14ac:dyDescent="0.25">
      <c r="A3" s="525" t="s">
        <v>362</v>
      </c>
      <c r="B3" s="365" t="s">
        <v>48</v>
      </c>
      <c r="C3" s="417">
        <v>42736</v>
      </c>
    </row>
    <row r="4" spans="1:13" ht="15" x14ac:dyDescent="0.25">
      <c r="A4" s="526"/>
      <c r="B4" s="366" t="s">
        <v>38</v>
      </c>
      <c r="C4" s="367"/>
      <c r="D4" s="367"/>
      <c r="E4" s="366" t="s">
        <v>45</v>
      </c>
      <c r="F4" s="367"/>
      <c r="G4" s="368"/>
      <c r="I4" s="369" t="s">
        <v>1</v>
      </c>
      <c r="J4" s="423"/>
    </row>
    <row r="5" spans="1:13" ht="15" x14ac:dyDescent="0.25">
      <c r="A5" s="526"/>
      <c r="B5" s="370" t="s">
        <v>490</v>
      </c>
      <c r="C5" s="418"/>
      <c r="D5" s="371"/>
      <c r="E5" s="370" t="s">
        <v>489</v>
      </c>
      <c r="F5" s="418"/>
      <c r="G5" s="418"/>
      <c r="I5" s="372" t="s">
        <v>2</v>
      </c>
      <c r="J5" s="423"/>
    </row>
    <row r="6" spans="1:13" ht="15" x14ac:dyDescent="0.25">
      <c r="A6" s="526"/>
      <c r="B6" s="371" t="s">
        <v>40</v>
      </c>
      <c r="C6" s="418"/>
      <c r="D6" s="371"/>
      <c r="E6" s="371" t="s">
        <v>40</v>
      </c>
      <c r="F6" s="418"/>
      <c r="G6" s="373"/>
      <c r="I6" s="372" t="s">
        <v>3</v>
      </c>
      <c r="J6" s="423"/>
    </row>
    <row r="7" spans="1:13" ht="15" x14ac:dyDescent="0.25">
      <c r="A7" s="526"/>
      <c r="B7" s="371" t="s">
        <v>41</v>
      </c>
      <c r="C7" s="418"/>
      <c r="D7" s="371"/>
      <c r="E7" s="371" t="s">
        <v>47</v>
      </c>
      <c r="F7" s="418"/>
      <c r="G7" s="373"/>
      <c r="I7" s="372" t="s">
        <v>4</v>
      </c>
      <c r="J7" s="423"/>
    </row>
    <row r="8" spans="1:13" ht="15" x14ac:dyDescent="0.25">
      <c r="A8" s="526"/>
      <c r="B8" s="371" t="s">
        <v>42</v>
      </c>
      <c r="C8" s="418"/>
      <c r="D8" s="371"/>
      <c r="E8" s="371" t="s">
        <v>369</v>
      </c>
      <c r="F8" s="418"/>
      <c r="G8" s="373"/>
      <c r="I8" s="372" t="s">
        <v>6</v>
      </c>
      <c r="J8" s="423"/>
    </row>
    <row r="9" spans="1:13" ht="15" x14ac:dyDescent="0.25">
      <c r="A9" s="526"/>
      <c r="B9" s="373" t="s">
        <v>44</v>
      </c>
      <c r="C9" s="418"/>
      <c r="D9" s="371"/>
      <c r="E9" s="371"/>
      <c r="F9" s="371"/>
      <c r="G9" s="373"/>
      <c r="I9" s="372" t="s">
        <v>5</v>
      </c>
      <c r="J9" s="424"/>
    </row>
    <row r="10" spans="1:13" ht="15" x14ac:dyDescent="0.25">
      <c r="A10" s="526"/>
      <c r="B10" s="374" t="s">
        <v>43</v>
      </c>
      <c r="C10" s="419"/>
      <c r="D10" s="374"/>
      <c r="E10" s="374" t="s">
        <v>305</v>
      </c>
      <c r="F10" s="426"/>
      <c r="G10" s="375"/>
      <c r="I10" s="376" t="s">
        <v>332</v>
      </c>
      <c r="J10" s="425"/>
      <c r="L10" s="338" t="s">
        <v>409</v>
      </c>
      <c r="M10" s="339">
        <v>4.0500000000000001E-2</v>
      </c>
    </row>
    <row r="11" spans="1:13" ht="15" x14ac:dyDescent="0.25">
      <c r="A11" s="526"/>
      <c r="B11" s="377"/>
      <c r="C11" s="377"/>
      <c r="D11" s="377"/>
      <c r="E11" s="377"/>
      <c r="F11" s="377"/>
      <c r="G11" s="377"/>
      <c r="L11" s="340" t="s">
        <v>428</v>
      </c>
      <c r="M11" s="341">
        <v>7.0000000000000007E-2</v>
      </c>
    </row>
    <row r="12" spans="1:13" ht="15" x14ac:dyDescent="0.25">
      <c r="A12" s="526"/>
      <c r="B12" s="72" t="s">
        <v>407</v>
      </c>
      <c r="C12" s="420" t="s">
        <v>409</v>
      </c>
      <c r="D12" s="377"/>
      <c r="E12" s="377"/>
      <c r="F12" s="377"/>
      <c r="G12" s="377"/>
      <c r="L12" s="340" t="s">
        <v>429</v>
      </c>
      <c r="M12" s="341">
        <v>5.5E-2</v>
      </c>
    </row>
    <row r="13" spans="1:13" ht="15" x14ac:dyDescent="0.25">
      <c r="A13" s="526"/>
      <c r="B13" s="72" t="s">
        <v>408</v>
      </c>
      <c r="C13" s="420" t="s">
        <v>410</v>
      </c>
      <c r="D13" s="377"/>
      <c r="E13" s="377"/>
      <c r="F13" s="377"/>
      <c r="G13" s="377"/>
      <c r="L13" s="340" t="s">
        <v>432</v>
      </c>
      <c r="M13" s="341">
        <v>4.0500000000000001E-2</v>
      </c>
    </row>
    <row r="14" spans="1:13" ht="15" x14ac:dyDescent="0.25">
      <c r="A14" s="526"/>
      <c r="B14" s="72" t="s">
        <v>460</v>
      </c>
      <c r="C14" s="421"/>
      <c r="D14" s="377"/>
      <c r="E14" s="377"/>
      <c r="F14" s="377"/>
      <c r="G14" s="377"/>
      <c r="L14" s="340" t="s">
        <v>430</v>
      </c>
      <c r="M14" s="341">
        <v>4.4999999999999998E-2</v>
      </c>
    </row>
    <row r="15" spans="1:13" ht="15" x14ac:dyDescent="0.25">
      <c r="A15" s="526"/>
      <c r="B15" s="72" t="s">
        <v>461</v>
      </c>
      <c r="C15" s="421"/>
      <c r="E15" s="72" t="s">
        <v>356</v>
      </c>
      <c r="F15" s="378">
        <f>C14*52/12</f>
        <v>0</v>
      </c>
      <c r="G15" s="377"/>
      <c r="L15" s="342" t="s">
        <v>431</v>
      </c>
      <c r="M15" s="343">
        <v>4.0500000000000001E-2</v>
      </c>
    </row>
    <row r="16" spans="1:13" ht="15" x14ac:dyDescent="0.25">
      <c r="A16" s="526"/>
      <c r="B16" s="72" t="s">
        <v>242</v>
      </c>
      <c r="C16" s="421"/>
      <c r="D16" s="377"/>
      <c r="E16" s="377"/>
      <c r="F16" s="285"/>
      <c r="G16" s="377"/>
    </row>
    <row r="17" spans="1:12" ht="15" x14ac:dyDescent="0.25">
      <c r="A17" s="526"/>
      <c r="B17" s="72" t="s">
        <v>327</v>
      </c>
      <c r="C17" s="422">
        <v>3269</v>
      </c>
      <c r="D17" s="377"/>
      <c r="E17" s="379" t="s">
        <v>326</v>
      </c>
      <c r="F17" s="380">
        <f>IF(SBASE="",0,IF(NBRE_H_SEM&lt;35,BASE_HOR*PS/151.67,PS))</f>
        <v>0</v>
      </c>
      <c r="G17" s="377"/>
      <c r="L17" s="344" t="s">
        <v>410</v>
      </c>
    </row>
    <row r="18" spans="1:12" ht="15" x14ac:dyDescent="0.25">
      <c r="A18" s="526"/>
      <c r="B18" s="72" t="s">
        <v>329</v>
      </c>
      <c r="C18" s="422">
        <f>9.76*151.67</f>
        <v>1480.2991999999999</v>
      </c>
      <c r="E18" s="72" t="s">
        <v>330</v>
      </c>
      <c r="F18" s="381">
        <f>IF(NBRE_H_SEM=35,C18,BASE_HOR*C18/151.67)</f>
        <v>0</v>
      </c>
      <c r="L18" s="345" t="s">
        <v>411</v>
      </c>
    </row>
    <row r="19" spans="1:12" ht="15" x14ac:dyDescent="0.25">
      <c r="A19" s="526"/>
    </row>
    <row r="20" spans="1:12" ht="15" x14ac:dyDescent="0.25">
      <c r="A20" s="526"/>
      <c r="B20" s="72" t="s">
        <v>80</v>
      </c>
      <c r="C20" s="382">
        <f>IF(NBRE_H_MOIS=0,0,SBASE/NBRE_H_MOIS)</f>
        <v>0</v>
      </c>
    </row>
    <row r="21" spans="1:12" ht="15" x14ac:dyDescent="0.25">
      <c r="A21" s="526"/>
      <c r="B21" s="383" t="s">
        <v>392</v>
      </c>
      <c r="C21" s="382">
        <f>C20*1.1</f>
        <v>0</v>
      </c>
      <c r="E21" s="384" t="s">
        <v>400</v>
      </c>
    </row>
    <row r="22" spans="1:12" ht="15" x14ac:dyDescent="0.25">
      <c r="A22" s="526"/>
      <c r="B22" s="383" t="s">
        <v>393</v>
      </c>
      <c r="C22" s="382">
        <f>TX_HOR*1.25</f>
        <v>0</v>
      </c>
      <c r="L22" s="344" t="s">
        <v>389</v>
      </c>
    </row>
    <row r="23" spans="1:12" ht="15" x14ac:dyDescent="0.25">
      <c r="A23" s="526"/>
      <c r="B23" s="383" t="s">
        <v>394</v>
      </c>
      <c r="C23" s="382">
        <f>TX_HOR*1.5</f>
        <v>0</v>
      </c>
      <c r="L23" s="345" t="s">
        <v>390</v>
      </c>
    </row>
    <row r="24" spans="1:12" ht="15" x14ac:dyDescent="0.25">
      <c r="A24" s="526"/>
    </row>
    <row r="25" spans="1:12" ht="15" x14ac:dyDescent="0.25">
      <c r="A25" s="526"/>
      <c r="B25" s="72" t="s">
        <v>438</v>
      </c>
      <c r="C25" s="426"/>
    </row>
    <row r="26" spans="1:12" ht="15" x14ac:dyDescent="0.25">
      <c r="A26" s="526"/>
      <c r="B26" s="72" t="s">
        <v>331</v>
      </c>
      <c r="C26" s="385">
        <v>2.3230000000000001E-2</v>
      </c>
      <c r="E26" s="379" t="s">
        <v>395</v>
      </c>
    </row>
    <row r="27" spans="1:12" ht="15" x14ac:dyDescent="0.25">
      <c r="A27" s="526"/>
      <c r="B27" s="72" t="s">
        <v>357</v>
      </c>
      <c r="C27" s="427"/>
      <c r="D27" s="379"/>
    </row>
    <row r="28" spans="1:12" ht="15" x14ac:dyDescent="0.25">
      <c r="A28" s="526"/>
      <c r="B28" s="72" t="s">
        <v>358</v>
      </c>
      <c r="C28" s="386">
        <f>IF(TATD="",TATM,TATD)</f>
        <v>2.3230000000000001E-2</v>
      </c>
    </row>
    <row r="29" spans="1:12" ht="15" x14ac:dyDescent="0.25">
      <c r="A29" s="526"/>
      <c r="B29" s="72" t="s">
        <v>427</v>
      </c>
      <c r="C29" s="387">
        <f>VLOOKUP(C12,L10:M15,2,FALSE)</f>
        <v>4.0500000000000001E-2</v>
      </c>
    </row>
    <row r="30" spans="1:12" ht="15" x14ac:dyDescent="0.25">
      <c r="A30" s="526"/>
      <c r="B30" s="72" t="s">
        <v>375</v>
      </c>
      <c r="C30" s="427"/>
    </row>
    <row r="31" spans="1:12" ht="15" x14ac:dyDescent="0.25">
      <c r="A31" s="526"/>
      <c r="B31" s="72" t="s">
        <v>373</v>
      </c>
      <c r="C31" s="421"/>
    </row>
    <row r="32" spans="1:12" ht="15" x14ac:dyDescent="0.25">
      <c r="A32" s="526"/>
      <c r="B32" s="72" t="s">
        <v>374</v>
      </c>
      <c r="C32" s="428"/>
    </row>
    <row r="33" spans="1:14" ht="15" x14ac:dyDescent="0.25">
      <c r="A33" s="526"/>
      <c r="B33" s="72" t="s">
        <v>412</v>
      </c>
      <c r="C33" s="429"/>
    </row>
    <row r="34" spans="1:14" ht="15" x14ac:dyDescent="0.25">
      <c r="A34" s="526"/>
      <c r="B34" s="72" t="s">
        <v>413</v>
      </c>
      <c r="C34" s="428"/>
    </row>
    <row r="35" spans="1:14" ht="15" x14ac:dyDescent="0.25">
      <c r="A35" s="526"/>
    </row>
    <row r="36" spans="1:14" ht="15" x14ac:dyDescent="0.25">
      <c r="A36" s="526"/>
      <c r="B36" s="72" t="s">
        <v>388</v>
      </c>
      <c r="C36" s="430" t="s">
        <v>390</v>
      </c>
    </row>
    <row r="37" spans="1:14" ht="15" x14ac:dyDescent="0.25">
      <c r="A37" s="526"/>
      <c r="B37" s="72" t="s">
        <v>188</v>
      </c>
      <c r="C37" s="431"/>
    </row>
    <row r="38" spans="1:14" ht="15.75" thickBot="1" x14ac:dyDescent="0.3">
      <c r="A38" s="527"/>
    </row>
    <row r="39" spans="1:14" s="305" customFormat="1" ht="15" x14ac:dyDescent="0.25">
      <c r="A39" s="357"/>
      <c r="B39" s="377"/>
      <c r="C39" s="388"/>
      <c r="D39" s="377"/>
      <c r="E39" s="388"/>
      <c r="F39" s="377"/>
      <c r="G39" s="377"/>
      <c r="H39" s="377"/>
      <c r="I39" s="377"/>
      <c r="J39" s="377"/>
    </row>
    <row r="40" spans="1:14" ht="19.5" thickBot="1" x14ac:dyDescent="0.3">
      <c r="A40" s="358"/>
      <c r="B40" s="371"/>
      <c r="C40" s="371"/>
      <c r="D40" s="389"/>
      <c r="E40" s="389"/>
      <c r="F40" s="389"/>
      <c r="G40" s="389"/>
      <c r="H40" s="389"/>
      <c r="I40" s="389"/>
      <c r="J40" s="389"/>
      <c r="K40" s="283"/>
    </row>
    <row r="41" spans="1:14" ht="15" x14ac:dyDescent="0.25">
      <c r="A41" s="525" t="s">
        <v>363</v>
      </c>
      <c r="B41" s="106" t="s">
        <v>237</v>
      </c>
      <c r="C41" s="421"/>
    </row>
    <row r="42" spans="1:14" ht="15" x14ac:dyDescent="0.25">
      <c r="A42" s="526"/>
      <c r="B42" s="106" t="s">
        <v>148</v>
      </c>
      <c r="C42" s="429"/>
      <c r="E42" s="390">
        <f>C42*SBASE</f>
        <v>0</v>
      </c>
    </row>
    <row r="43" spans="1:14" ht="15" x14ac:dyDescent="0.25">
      <c r="A43" s="526"/>
      <c r="B43" s="106" t="s">
        <v>272</v>
      </c>
      <c r="C43" s="421"/>
      <c r="D43" s="391"/>
    </row>
    <row r="44" spans="1:14" ht="15.75" thickBot="1" x14ac:dyDescent="0.3">
      <c r="A44" s="527"/>
      <c r="B44" s="72" t="s">
        <v>368</v>
      </c>
      <c r="C44" s="421"/>
    </row>
    <row r="45" spans="1:14" s="305" customFormat="1" ht="15" x14ac:dyDescent="0.25">
      <c r="A45" s="357"/>
      <c r="B45" s="377"/>
      <c r="C45" s="392"/>
      <c r="D45" s="377"/>
      <c r="E45" s="377"/>
      <c r="F45" s="377"/>
      <c r="G45" s="377"/>
      <c r="H45" s="377"/>
      <c r="I45" s="377"/>
      <c r="J45" s="377"/>
      <c r="L45" s="19"/>
    </row>
    <row r="46" spans="1:14" s="305" customFormat="1" ht="15.75" thickBot="1" x14ac:dyDescent="0.3">
      <c r="A46" s="359"/>
      <c r="B46" s="389"/>
      <c r="C46" s="393"/>
      <c r="D46" s="389"/>
      <c r="E46" s="389"/>
      <c r="F46" s="389"/>
      <c r="G46" s="389"/>
      <c r="H46" s="389"/>
      <c r="I46" s="389"/>
      <c r="J46" s="389"/>
      <c r="K46" s="283"/>
      <c r="L46" s="19"/>
      <c r="M46" s="288"/>
      <c r="N46" s="288"/>
    </row>
    <row r="47" spans="1:14" s="305" customFormat="1" ht="15" x14ac:dyDescent="0.25">
      <c r="A47" s="532" t="s">
        <v>404</v>
      </c>
      <c r="B47" s="377" t="s">
        <v>403</v>
      </c>
      <c r="C47" s="432" t="s">
        <v>110</v>
      </c>
      <c r="D47" s="377"/>
      <c r="E47" s="377" t="s">
        <v>395</v>
      </c>
      <c r="F47" s="377"/>
      <c r="G47" s="377"/>
      <c r="H47" s="377"/>
      <c r="I47" s="377"/>
      <c r="J47" s="377"/>
      <c r="L47" s="19"/>
      <c r="M47" s="288"/>
      <c r="N47" s="288"/>
    </row>
    <row r="48" spans="1:14" s="305" customFormat="1" ht="15" x14ac:dyDescent="0.25">
      <c r="A48" s="533"/>
      <c r="B48" s="72" t="s">
        <v>401</v>
      </c>
      <c r="C48" s="426"/>
      <c r="D48" s="377"/>
      <c r="E48" s="377"/>
      <c r="F48" s="377"/>
      <c r="G48" s="377"/>
      <c r="H48" s="377"/>
      <c r="I48" s="377"/>
      <c r="J48" s="377"/>
      <c r="L48" s="19"/>
      <c r="M48" s="288"/>
      <c r="N48" s="288"/>
    </row>
    <row r="49" spans="1:14" s="305" customFormat="1" ht="15" x14ac:dyDescent="0.25">
      <c r="A49" s="533"/>
      <c r="B49" s="394" t="s">
        <v>126</v>
      </c>
      <c r="C49" s="433"/>
      <c r="D49" s="377"/>
      <c r="E49" s="377"/>
      <c r="F49" s="377"/>
      <c r="G49" s="377"/>
      <c r="H49" s="377"/>
      <c r="I49" s="377"/>
      <c r="J49" s="377"/>
      <c r="L49" s="19"/>
      <c r="M49" s="288"/>
      <c r="N49" s="288"/>
    </row>
    <row r="50" spans="1:14" s="305" customFormat="1" ht="15" x14ac:dyDescent="0.25">
      <c r="A50" s="533"/>
      <c r="B50" s="394" t="s">
        <v>127</v>
      </c>
      <c r="C50" s="433"/>
      <c r="D50" s="377"/>
      <c r="E50" s="377"/>
      <c r="F50" s="377"/>
      <c r="G50" s="377"/>
      <c r="H50" s="377"/>
      <c r="I50" s="377"/>
      <c r="J50" s="377"/>
      <c r="L50" s="19"/>
      <c r="M50" s="288"/>
      <c r="N50" s="288"/>
    </row>
    <row r="51" spans="1:14" s="305" customFormat="1" ht="15" x14ac:dyDescent="0.25">
      <c r="A51" s="533"/>
      <c r="B51" s="106" t="s">
        <v>360</v>
      </c>
      <c r="C51" s="434"/>
      <c r="D51" s="377"/>
      <c r="E51" s="377"/>
      <c r="F51" s="377"/>
      <c r="G51" s="377"/>
      <c r="H51" s="377"/>
      <c r="I51" s="377"/>
      <c r="J51" s="377"/>
      <c r="L51" s="19"/>
      <c r="M51" s="288"/>
      <c r="N51" s="288"/>
    </row>
    <row r="52" spans="1:14" s="305" customFormat="1" ht="15.75" thickBot="1" x14ac:dyDescent="0.3">
      <c r="A52" s="534"/>
      <c r="B52" s="106" t="s">
        <v>361</v>
      </c>
      <c r="C52" s="434"/>
      <c r="D52" s="377"/>
      <c r="E52" s="377"/>
      <c r="F52" s="377"/>
      <c r="G52" s="377"/>
      <c r="H52" s="377"/>
      <c r="I52" s="377"/>
      <c r="J52" s="377"/>
      <c r="L52" s="19"/>
      <c r="M52" s="288"/>
      <c r="N52" s="288"/>
    </row>
    <row r="53" spans="1:14" s="305" customFormat="1" ht="15" x14ac:dyDescent="0.25">
      <c r="A53" s="357"/>
      <c r="B53" s="377"/>
      <c r="C53" s="392"/>
      <c r="D53" s="377"/>
      <c r="E53" s="377"/>
      <c r="F53" s="377"/>
      <c r="G53" s="377"/>
      <c r="H53" s="377"/>
      <c r="I53" s="377"/>
      <c r="J53" s="377"/>
      <c r="L53" s="175" t="s">
        <v>110</v>
      </c>
      <c r="M53" s="288" t="s">
        <v>86</v>
      </c>
      <c r="N53" s="288" t="s">
        <v>88</v>
      </c>
    </row>
    <row r="54" spans="1:14" ht="19.5" thickBot="1" x14ac:dyDescent="0.3">
      <c r="A54" s="360"/>
      <c r="B54" s="395"/>
      <c r="C54" s="395"/>
      <c r="D54" s="396"/>
      <c r="E54" s="396"/>
      <c r="F54" s="396"/>
      <c r="G54" s="396"/>
      <c r="H54" s="389"/>
      <c r="I54" s="389"/>
      <c r="J54" s="389"/>
      <c r="K54" s="283"/>
      <c r="L54" s="177" t="s">
        <v>111</v>
      </c>
      <c r="M54" s="288" t="s">
        <v>87</v>
      </c>
      <c r="N54" s="288" t="s">
        <v>89</v>
      </c>
    </row>
    <row r="55" spans="1:14" ht="15" x14ac:dyDescent="0.25">
      <c r="A55" s="528" t="s">
        <v>365</v>
      </c>
      <c r="B55" s="106" t="s">
        <v>359</v>
      </c>
      <c r="C55" s="430" t="s">
        <v>110</v>
      </c>
      <c r="E55" s="72" t="s">
        <v>364</v>
      </c>
      <c r="L55" s="177" t="s">
        <v>112</v>
      </c>
    </row>
    <row r="56" spans="1:14" ht="15" x14ac:dyDescent="0.25">
      <c r="A56" s="529"/>
      <c r="B56" s="394" t="s">
        <v>126</v>
      </c>
      <c r="C56" s="433"/>
      <c r="L56" s="177" t="s">
        <v>113</v>
      </c>
    </row>
    <row r="57" spans="1:14" ht="15" x14ac:dyDescent="0.25">
      <c r="A57" s="529"/>
      <c r="B57" s="394" t="s">
        <v>127</v>
      </c>
      <c r="C57" s="433"/>
      <c r="L57" s="177" t="s">
        <v>114</v>
      </c>
    </row>
    <row r="58" spans="1:14" ht="15" x14ac:dyDescent="0.25">
      <c r="A58" s="529"/>
      <c r="B58" s="106" t="s">
        <v>360</v>
      </c>
      <c r="C58" s="434"/>
      <c r="L58" s="177" t="s">
        <v>115</v>
      </c>
    </row>
    <row r="59" spans="1:14" ht="15" x14ac:dyDescent="0.25">
      <c r="A59" s="529"/>
      <c r="B59" s="106" t="s">
        <v>361</v>
      </c>
      <c r="C59" s="434"/>
      <c r="L59" s="177" t="s">
        <v>116</v>
      </c>
    </row>
    <row r="60" spans="1:14" ht="15" x14ac:dyDescent="0.25">
      <c r="A60" s="530"/>
      <c r="B60" s="106" t="s">
        <v>491</v>
      </c>
      <c r="C60" s="426"/>
      <c r="L60" s="414"/>
    </row>
    <row r="61" spans="1:14" ht="15" x14ac:dyDescent="0.25">
      <c r="A61" s="530"/>
      <c r="B61" s="413" t="s">
        <v>476</v>
      </c>
      <c r="C61" s="415">
        <f>ABS_CP</f>
        <v>0</v>
      </c>
      <c r="L61" s="414"/>
    </row>
    <row r="62" spans="1:14" ht="15.75" thickBot="1" x14ac:dyDescent="0.3">
      <c r="A62" s="531"/>
      <c r="B62" s="106"/>
      <c r="C62" s="106"/>
      <c r="L62" s="179" t="s">
        <v>117</v>
      </c>
    </row>
    <row r="63" spans="1:14" ht="15" customHeight="1" x14ac:dyDescent="0.25">
      <c r="A63" s="510" t="s">
        <v>227</v>
      </c>
      <c r="B63" s="394" t="s">
        <v>95</v>
      </c>
      <c r="C63" s="430" t="s">
        <v>87</v>
      </c>
      <c r="E63" s="72" t="s">
        <v>364</v>
      </c>
    </row>
    <row r="64" spans="1:14" ht="15" x14ac:dyDescent="0.25">
      <c r="A64" s="511"/>
      <c r="B64" s="397" t="s">
        <v>96</v>
      </c>
      <c r="C64" s="430" t="s">
        <v>89</v>
      </c>
      <c r="E64" s="72" t="s">
        <v>364</v>
      </c>
    </row>
    <row r="65" spans="1:5" ht="15" x14ac:dyDescent="0.25">
      <c r="A65" s="511"/>
      <c r="B65" s="72" t="s">
        <v>462</v>
      </c>
      <c r="C65" s="418"/>
    </row>
    <row r="66" spans="1:5" ht="15" x14ac:dyDescent="0.25">
      <c r="A66" s="511"/>
      <c r="B66" s="72" t="s">
        <v>463</v>
      </c>
      <c r="C66" s="418"/>
    </row>
    <row r="67" spans="1:5" ht="15" x14ac:dyDescent="0.25">
      <c r="A67" s="511"/>
      <c r="B67" s="106" t="s">
        <v>367</v>
      </c>
      <c r="C67" s="398">
        <f>ABS_CP</f>
        <v>0</v>
      </c>
      <c r="E67" s="384" t="s">
        <v>398</v>
      </c>
    </row>
    <row r="68" spans="1:5" ht="15" x14ac:dyDescent="0.25">
      <c r="A68" s="511"/>
      <c r="B68" s="413" t="s">
        <v>477</v>
      </c>
      <c r="C68" s="398">
        <f>ICCP</f>
        <v>0</v>
      </c>
      <c r="E68" s="384" t="s">
        <v>399</v>
      </c>
    </row>
    <row r="69" spans="1:5" ht="15" x14ac:dyDescent="0.25">
      <c r="A69" s="511"/>
      <c r="C69" s="106"/>
    </row>
    <row r="70" spans="1:5" ht="15" x14ac:dyDescent="0.25">
      <c r="A70" s="511"/>
      <c r="B70" s="72" t="s">
        <v>464</v>
      </c>
      <c r="C70" s="418"/>
    </row>
    <row r="71" spans="1:5" ht="15" x14ac:dyDescent="0.25">
      <c r="A71" s="511"/>
      <c r="B71" s="72" t="s">
        <v>465</v>
      </c>
      <c r="C71" s="418"/>
    </row>
    <row r="72" spans="1:5" ht="15" x14ac:dyDescent="0.25">
      <c r="A72" s="511"/>
      <c r="B72" s="412" t="s">
        <v>479</v>
      </c>
      <c r="C72" s="405">
        <f>SoldeICCPN1</f>
        <v>0</v>
      </c>
    </row>
    <row r="73" spans="1:5" ht="15" x14ac:dyDescent="0.25">
      <c r="A73" s="511"/>
      <c r="C73" s="106"/>
    </row>
    <row r="74" spans="1:5" ht="15" x14ac:dyDescent="0.25">
      <c r="A74" s="511"/>
      <c r="B74" s="72" t="s">
        <v>466</v>
      </c>
      <c r="C74" s="418"/>
    </row>
    <row r="75" spans="1:5" ht="15" x14ac:dyDescent="0.25">
      <c r="A75" s="511"/>
      <c r="B75" s="394" t="s">
        <v>468</v>
      </c>
      <c r="C75" s="418"/>
    </row>
    <row r="76" spans="1:5" ht="15" x14ac:dyDescent="0.25">
      <c r="A76" s="511"/>
      <c r="B76" s="72" t="s">
        <v>467</v>
      </c>
      <c r="C76" s="418"/>
    </row>
    <row r="77" spans="1:5" ht="15" x14ac:dyDescent="0.25">
      <c r="A77" s="511"/>
      <c r="B77" s="72" t="s">
        <v>469</v>
      </c>
      <c r="C77" s="418"/>
    </row>
    <row r="78" spans="1:5" ht="15" x14ac:dyDescent="0.25">
      <c r="A78" s="511"/>
      <c r="B78" s="412" t="s">
        <v>478</v>
      </c>
      <c r="C78" s="405">
        <f>SoldeICCPN</f>
        <v>0</v>
      </c>
    </row>
    <row r="79" spans="1:5" ht="15" x14ac:dyDescent="0.25">
      <c r="A79" s="511"/>
    </row>
    <row r="80" spans="1:5" ht="15" x14ac:dyDescent="0.25">
      <c r="A80" s="511"/>
      <c r="B80" s="72" t="s">
        <v>101</v>
      </c>
      <c r="C80" s="418"/>
    </row>
    <row r="81" spans="1:14" ht="15" x14ac:dyDescent="0.25">
      <c r="A81" s="511"/>
      <c r="B81" s="72" t="s">
        <v>470</v>
      </c>
      <c r="C81" s="418"/>
    </row>
    <row r="82" spans="1:14" ht="15.75" thickBot="1" x14ac:dyDescent="0.3">
      <c r="A82" s="512"/>
      <c r="B82" s="412" t="s">
        <v>480</v>
      </c>
      <c r="C82" s="405">
        <f>ICCPFRACT</f>
        <v>0</v>
      </c>
    </row>
    <row r="83" spans="1:14" s="305" customFormat="1" ht="15" x14ac:dyDescent="0.25">
      <c r="A83" s="357"/>
      <c r="B83" s="377"/>
      <c r="C83" s="379"/>
      <c r="D83" s="377"/>
      <c r="E83" s="377"/>
      <c r="F83" s="377"/>
      <c r="G83" s="377"/>
      <c r="H83" s="377"/>
      <c r="I83" s="377"/>
      <c r="J83" s="377"/>
    </row>
    <row r="84" spans="1:14" ht="11.25" customHeight="1" thickBot="1" x14ac:dyDescent="0.3">
      <c r="A84" s="358"/>
      <c r="B84" s="389"/>
      <c r="C84" s="389"/>
      <c r="D84" s="389"/>
      <c r="E84" s="389"/>
      <c r="F84" s="389"/>
      <c r="G84" s="389"/>
      <c r="H84" s="389"/>
      <c r="I84" s="389"/>
      <c r="J84" s="389"/>
      <c r="K84" s="283"/>
    </row>
    <row r="85" spans="1:14" ht="15.75" thickBot="1" x14ac:dyDescent="0.3">
      <c r="A85" s="517" t="s">
        <v>152</v>
      </c>
      <c r="B85" s="520" t="s">
        <v>442</v>
      </c>
      <c r="C85" s="514"/>
    </row>
    <row r="86" spans="1:14" ht="15" customHeight="1" x14ac:dyDescent="0.25">
      <c r="A86" s="518"/>
      <c r="B86" s="72" t="s">
        <v>426</v>
      </c>
      <c r="C86" s="435"/>
    </row>
    <row r="87" spans="1:14" ht="15" customHeight="1" x14ac:dyDescent="0.25">
      <c r="A87" s="518"/>
      <c r="B87" s="72" t="s">
        <v>371</v>
      </c>
      <c r="C87" s="434"/>
    </row>
    <row r="88" spans="1:14" ht="15" customHeight="1" x14ac:dyDescent="0.25">
      <c r="A88" s="518"/>
      <c r="B88" s="106" t="s">
        <v>156</v>
      </c>
      <c r="C88" s="436">
        <v>5.38</v>
      </c>
    </row>
    <row r="89" spans="1:14" ht="15" customHeight="1" x14ac:dyDescent="0.25">
      <c r="A89" s="518"/>
      <c r="B89" s="106" t="s">
        <v>155</v>
      </c>
      <c r="C89" s="427"/>
    </row>
    <row r="90" spans="1:14" ht="15" customHeight="1" x14ac:dyDescent="0.25">
      <c r="A90" s="518"/>
      <c r="B90" s="72" t="s">
        <v>74</v>
      </c>
      <c r="C90" s="400">
        <f>100%-PSAL_TR</f>
        <v>1</v>
      </c>
    </row>
    <row r="91" spans="1:14" ht="15" customHeight="1" x14ac:dyDescent="0.25">
      <c r="A91" s="518"/>
      <c r="B91" s="416" t="s">
        <v>154</v>
      </c>
      <c r="C91" s="398">
        <f>TR_SAL</f>
        <v>0</v>
      </c>
    </row>
    <row r="92" spans="1:14" s="305" customFormat="1" ht="15" customHeight="1" x14ac:dyDescent="0.25">
      <c r="A92" s="518"/>
      <c r="B92" s="416" t="s">
        <v>483</v>
      </c>
      <c r="C92" s="398">
        <f>AN_TR</f>
        <v>0</v>
      </c>
      <c r="D92" s="377"/>
      <c r="E92" s="377"/>
      <c r="F92" s="377"/>
      <c r="G92" s="377"/>
      <c r="H92" s="377"/>
      <c r="I92" s="377"/>
      <c r="J92" s="377"/>
    </row>
    <row r="93" spans="1:14" ht="15" x14ac:dyDescent="0.25">
      <c r="A93" s="518"/>
      <c r="B93" s="521"/>
      <c r="C93" s="521"/>
      <c r="D93" s="399"/>
      <c r="E93" s="399"/>
      <c r="F93" s="399"/>
      <c r="G93" s="399"/>
      <c r="J93" s="377"/>
    </row>
    <row r="94" spans="1:14" ht="15" customHeight="1" x14ac:dyDescent="0.25">
      <c r="A94" s="518"/>
      <c r="B94" s="106" t="s">
        <v>160</v>
      </c>
      <c r="C94" s="434"/>
      <c r="D94" s="399"/>
      <c r="E94" s="399"/>
      <c r="F94" s="399"/>
      <c r="G94" s="399"/>
    </row>
    <row r="95" spans="1:14" ht="15" customHeight="1" x14ac:dyDescent="0.25">
      <c r="A95" s="518"/>
      <c r="B95" s="106" t="s">
        <v>161</v>
      </c>
      <c r="C95" s="436">
        <v>4.75</v>
      </c>
      <c r="F95" s="399"/>
      <c r="G95" s="399"/>
    </row>
    <row r="96" spans="1:14" ht="15" customHeight="1" x14ac:dyDescent="0.25">
      <c r="A96" s="518"/>
      <c r="B96" s="106" t="s">
        <v>163</v>
      </c>
      <c r="C96" s="434"/>
      <c r="F96" s="399"/>
      <c r="G96" s="399"/>
      <c r="L96" s="34"/>
      <c r="M96" s="34"/>
      <c r="N96" s="72"/>
    </row>
    <row r="97" spans="1:16" ht="15" customHeight="1" x14ac:dyDescent="0.25">
      <c r="A97" s="518"/>
      <c r="B97" s="399" t="s">
        <v>164</v>
      </c>
      <c r="C97" s="401">
        <f>EF_SAL</f>
        <v>0</v>
      </c>
      <c r="D97" s="399"/>
      <c r="E97" s="399"/>
      <c r="F97" s="399"/>
      <c r="G97" s="399"/>
      <c r="L97" s="34">
        <v>1</v>
      </c>
      <c r="M97" s="34"/>
      <c r="N97" s="40" t="s">
        <v>178</v>
      </c>
      <c r="O97" s="34"/>
      <c r="P97" s="34"/>
    </row>
    <row r="98" spans="1:16" ht="15" x14ac:dyDescent="0.25">
      <c r="A98" s="518"/>
      <c r="B98" s="416" t="s">
        <v>482</v>
      </c>
      <c r="C98" s="401">
        <f>AN_EF</f>
        <v>0</v>
      </c>
      <c r="D98" s="399"/>
      <c r="E98" s="399"/>
      <c r="F98" s="399"/>
      <c r="G98" s="399"/>
      <c r="L98" s="34">
        <v>2</v>
      </c>
      <c r="M98" s="34">
        <v>1634.5</v>
      </c>
      <c r="N98" s="43" t="s">
        <v>171</v>
      </c>
      <c r="O98" s="34"/>
      <c r="P98" s="34"/>
    </row>
    <row r="99" spans="1:16" ht="15.75" thickBot="1" x14ac:dyDescent="0.3">
      <c r="A99" s="518"/>
      <c r="B99" s="399"/>
      <c r="C99" s="399"/>
      <c r="D99" s="399"/>
      <c r="E99" s="399"/>
      <c r="F99" s="399"/>
      <c r="G99" s="399"/>
      <c r="L99" s="34">
        <v>3</v>
      </c>
      <c r="M99" s="34">
        <v>1961.4</v>
      </c>
      <c r="N99" s="43" t="s">
        <v>172</v>
      </c>
      <c r="O99" s="34"/>
      <c r="P99" s="34"/>
    </row>
    <row r="100" spans="1:16" ht="15.75" thickBot="1" x14ac:dyDescent="0.3">
      <c r="A100" s="518"/>
      <c r="B100" s="520" t="s">
        <v>443</v>
      </c>
      <c r="C100" s="514"/>
      <c r="D100" s="399"/>
      <c r="E100" s="399"/>
      <c r="F100" s="399"/>
      <c r="G100" s="399"/>
      <c r="L100" s="34">
        <v>4</v>
      </c>
      <c r="M100" s="34">
        <v>2288.3000000000002</v>
      </c>
      <c r="N100" s="43" t="s">
        <v>173</v>
      </c>
      <c r="O100" s="34"/>
      <c r="P100" s="34"/>
    </row>
    <row r="101" spans="1:16" ht="15" customHeight="1" x14ac:dyDescent="0.25">
      <c r="A101" s="518"/>
      <c r="B101" s="72" t="s">
        <v>406</v>
      </c>
      <c r="C101" s="435"/>
      <c r="D101" s="399"/>
      <c r="E101" s="399"/>
      <c r="F101" s="399"/>
      <c r="G101" s="399"/>
      <c r="L101" s="34">
        <v>5</v>
      </c>
      <c r="M101" s="34">
        <v>2942.1</v>
      </c>
      <c r="N101" s="43" t="s">
        <v>174</v>
      </c>
      <c r="O101" s="34"/>
      <c r="P101" s="34"/>
    </row>
    <row r="102" spans="1:16" ht="15" customHeight="1" x14ac:dyDescent="0.25">
      <c r="A102" s="518"/>
      <c r="B102" s="72" t="s">
        <v>474</v>
      </c>
      <c r="C102" s="437"/>
      <c r="D102" s="408">
        <f>IF(C102&gt;M106,8,IF(C102&gt;M105,7,IF(C102&gt;M102,6,IF(C102&gt;M101,5,IF(C102&gt;M100,4,IF(C102&gt;M99,3,IF(C102&gt;M98,2,1)))))))</f>
        <v>1</v>
      </c>
      <c r="E102" s="19"/>
      <c r="F102" s="19"/>
      <c r="G102" s="399"/>
      <c r="I102" s="399"/>
      <c r="L102" s="34">
        <v>6</v>
      </c>
      <c r="M102" s="34">
        <v>3595.9</v>
      </c>
      <c r="N102" s="43" t="s">
        <v>175</v>
      </c>
      <c r="O102" s="34"/>
      <c r="P102" s="34"/>
    </row>
    <row r="103" spans="1:16" ht="15" customHeight="1" x14ac:dyDescent="0.25">
      <c r="A103" s="518"/>
      <c r="B103" s="399" t="s">
        <v>475</v>
      </c>
      <c r="C103" s="410" t="str">
        <f>VLOOKUP(D102,L97:P106,3,FALSE)</f>
        <v>Infèrieur à 1634,50</v>
      </c>
      <c r="D103" s="399"/>
      <c r="E103" s="399"/>
      <c r="F103" s="399"/>
      <c r="G103" s="399"/>
      <c r="I103" s="399"/>
      <c r="L103" s="34"/>
      <c r="M103" s="34"/>
      <c r="N103" s="409"/>
      <c r="O103" s="34"/>
      <c r="P103" s="34"/>
    </row>
    <row r="104" spans="1:16" ht="15" customHeight="1" x14ac:dyDescent="0.25">
      <c r="A104" s="518"/>
      <c r="B104" s="416" t="s">
        <v>484</v>
      </c>
      <c r="C104" s="411">
        <f>AN_LOG</f>
        <v>0</v>
      </c>
      <c r="D104" s="399"/>
      <c r="E104" s="399"/>
      <c r="F104" s="399"/>
      <c r="G104" s="399"/>
      <c r="I104" s="399"/>
      <c r="L104" s="34"/>
      <c r="M104" s="34"/>
      <c r="N104" s="409"/>
      <c r="O104" s="34"/>
      <c r="P104" s="34"/>
    </row>
    <row r="105" spans="1:16" ht="15" customHeight="1" thickBot="1" x14ac:dyDescent="0.3">
      <c r="A105" s="518"/>
      <c r="L105" s="34">
        <v>7</v>
      </c>
      <c r="M105" s="34">
        <v>4249.7</v>
      </c>
      <c r="N105" s="43" t="s">
        <v>176</v>
      </c>
      <c r="O105" s="34"/>
      <c r="P105" s="34"/>
    </row>
    <row r="106" spans="1:16" ht="15.75" thickBot="1" x14ac:dyDescent="0.3">
      <c r="A106" s="518"/>
      <c r="B106" s="513" t="s">
        <v>444</v>
      </c>
      <c r="C106" s="514"/>
      <c r="L106" s="34">
        <v>8</v>
      </c>
      <c r="M106" s="34">
        <v>4903.5</v>
      </c>
      <c r="N106" s="46" t="s">
        <v>177</v>
      </c>
      <c r="O106" s="34"/>
      <c r="P106" s="34"/>
    </row>
    <row r="107" spans="1:16" ht="15" customHeight="1" x14ac:dyDescent="0.25">
      <c r="A107" s="518"/>
      <c r="B107" s="106" t="s">
        <v>433</v>
      </c>
      <c r="C107" s="438"/>
      <c r="D107" s="72" t="s">
        <v>203</v>
      </c>
      <c r="L107" s="302" t="s">
        <v>216</v>
      </c>
    </row>
    <row r="108" spans="1:16" ht="15" customHeight="1" x14ac:dyDescent="0.25">
      <c r="A108" s="518"/>
      <c r="B108" s="106" t="s">
        <v>182</v>
      </c>
      <c r="C108" s="439"/>
      <c r="D108" s="72" t="s">
        <v>204</v>
      </c>
      <c r="L108" s="303" t="s">
        <v>217</v>
      </c>
    </row>
    <row r="109" spans="1:16" ht="15" customHeight="1" x14ac:dyDescent="0.25">
      <c r="A109" s="518"/>
      <c r="B109" s="106" t="s">
        <v>184</v>
      </c>
      <c r="C109" s="439"/>
      <c r="D109" s="72" t="s">
        <v>204</v>
      </c>
      <c r="L109" s="303" t="s">
        <v>218</v>
      </c>
    </row>
    <row r="110" spans="1:16" ht="15" customHeight="1" x14ac:dyDescent="0.25">
      <c r="A110" s="518"/>
      <c r="B110" s="106" t="s">
        <v>183</v>
      </c>
      <c r="C110" s="439"/>
      <c r="D110" s="72" t="s">
        <v>204</v>
      </c>
      <c r="L110" s="303" t="s">
        <v>219</v>
      </c>
    </row>
    <row r="111" spans="1:16" ht="15" customHeight="1" x14ac:dyDescent="0.25">
      <c r="A111" s="518"/>
      <c r="L111" s="304" t="s">
        <v>220</v>
      </c>
    </row>
    <row r="112" spans="1:16" ht="15" customHeight="1" x14ac:dyDescent="0.25">
      <c r="A112" s="518"/>
      <c r="B112" s="72" t="s">
        <v>257</v>
      </c>
      <c r="C112" s="440"/>
    </row>
    <row r="113" spans="1:12" ht="15" customHeight="1" x14ac:dyDescent="0.25">
      <c r="A113" s="518"/>
      <c r="B113" s="72" t="s">
        <v>258</v>
      </c>
      <c r="C113" s="440"/>
    </row>
    <row r="114" spans="1:12" ht="15" customHeight="1" x14ac:dyDescent="0.25">
      <c r="A114" s="518"/>
      <c r="B114" s="412" t="s">
        <v>485</v>
      </c>
      <c r="C114" s="382">
        <f>+AN_VEH_HA</f>
        <v>0</v>
      </c>
    </row>
    <row r="115" spans="1:12" ht="15" customHeight="1" x14ac:dyDescent="0.25">
      <c r="A115" s="518"/>
    </row>
    <row r="116" spans="1:12" ht="15" customHeight="1" x14ac:dyDescent="0.25">
      <c r="A116" s="518"/>
      <c r="B116" s="72" t="s">
        <v>376</v>
      </c>
      <c r="C116" s="441" t="s">
        <v>215</v>
      </c>
      <c r="E116" s="72" t="s">
        <v>364</v>
      </c>
    </row>
    <row r="117" spans="1:12" ht="15" customHeight="1" x14ac:dyDescent="0.25">
      <c r="A117" s="518"/>
    </row>
    <row r="118" spans="1:12" ht="15" customHeight="1" x14ac:dyDescent="0.25">
      <c r="A118" s="518"/>
      <c r="B118" s="106" t="s">
        <v>185</v>
      </c>
      <c r="C118" s="439"/>
      <c r="D118" s="72" t="s">
        <v>204</v>
      </c>
      <c r="L118" s="301" t="s">
        <v>221</v>
      </c>
    </row>
    <row r="119" spans="1:12" ht="15" customHeight="1" x14ac:dyDescent="0.25">
      <c r="A119" s="518"/>
      <c r="B119" s="106" t="s">
        <v>182</v>
      </c>
      <c r="C119" s="439"/>
      <c r="D119" s="72" t="s">
        <v>204</v>
      </c>
      <c r="L119" s="303" t="s">
        <v>222</v>
      </c>
    </row>
    <row r="120" spans="1:12" ht="15" customHeight="1" x14ac:dyDescent="0.25">
      <c r="A120" s="518"/>
      <c r="B120" s="106" t="s">
        <v>184</v>
      </c>
      <c r="C120" s="439"/>
      <c r="D120" s="72" t="s">
        <v>204</v>
      </c>
      <c r="L120" s="303" t="s">
        <v>223</v>
      </c>
    </row>
    <row r="121" spans="1:12" ht="15" customHeight="1" x14ac:dyDescent="0.25">
      <c r="A121" s="518"/>
      <c r="B121" s="106" t="s">
        <v>183</v>
      </c>
      <c r="C121" s="439"/>
      <c r="D121" s="72" t="s">
        <v>204</v>
      </c>
      <c r="L121" s="306" t="s">
        <v>224</v>
      </c>
    </row>
    <row r="122" spans="1:12" ht="15" customHeight="1" x14ac:dyDescent="0.25">
      <c r="A122" s="518"/>
    </row>
    <row r="123" spans="1:12" ht="15" customHeight="1" x14ac:dyDescent="0.25">
      <c r="A123" s="518"/>
      <c r="B123" s="72" t="s">
        <v>377</v>
      </c>
      <c r="C123" s="441" t="s">
        <v>221</v>
      </c>
      <c r="E123" s="72" t="s">
        <v>364</v>
      </c>
    </row>
    <row r="124" spans="1:12" ht="15" customHeight="1" x14ac:dyDescent="0.25">
      <c r="A124" s="518"/>
      <c r="B124" s="412" t="s">
        <v>486</v>
      </c>
      <c r="C124" s="382">
        <f>AN_VEH_LOA</f>
        <v>0</v>
      </c>
    </row>
    <row r="125" spans="1:12" ht="15" customHeight="1" thickBot="1" x14ac:dyDescent="0.3">
      <c r="A125" s="518"/>
    </row>
    <row r="126" spans="1:12" ht="15" customHeight="1" thickBot="1" x14ac:dyDescent="0.3">
      <c r="A126" s="518"/>
      <c r="B126" s="515" t="s">
        <v>445</v>
      </c>
      <c r="C126" s="516"/>
    </row>
    <row r="127" spans="1:12" ht="15" customHeight="1" x14ac:dyDescent="0.25">
      <c r="A127" s="518"/>
      <c r="B127" s="72" t="s">
        <v>382</v>
      </c>
      <c r="C127" s="442"/>
    </row>
    <row r="128" spans="1:12" ht="15" customHeight="1" x14ac:dyDescent="0.25">
      <c r="A128" s="518"/>
      <c r="B128" s="72" t="s">
        <v>383</v>
      </c>
      <c r="C128" s="442"/>
      <c r="F128" s="402"/>
      <c r="G128" s="402"/>
    </row>
    <row r="129" spans="1:12" ht="15" customHeight="1" x14ac:dyDescent="0.25">
      <c r="A129" s="518"/>
      <c r="B129" s="412" t="s">
        <v>487</v>
      </c>
      <c r="C129" s="382">
        <f>C127*10%/12</f>
        <v>0</v>
      </c>
    </row>
    <row r="130" spans="1:12" ht="15" customHeight="1" x14ac:dyDescent="0.25">
      <c r="A130" s="518"/>
      <c r="B130" s="412" t="s">
        <v>488</v>
      </c>
      <c r="C130" s="382">
        <f>C128*10%</f>
        <v>0</v>
      </c>
    </row>
    <row r="131" spans="1:12" ht="15" customHeight="1" thickBot="1" x14ac:dyDescent="0.3">
      <c r="A131" s="518"/>
    </row>
    <row r="132" spans="1:12" ht="15" customHeight="1" thickBot="1" x14ac:dyDescent="0.3">
      <c r="A132" s="518"/>
      <c r="B132" s="515" t="s">
        <v>446</v>
      </c>
      <c r="C132" s="516"/>
    </row>
    <row r="133" spans="1:12" ht="15" customHeight="1" x14ac:dyDescent="0.25">
      <c r="A133" s="518"/>
      <c r="B133" s="72" t="s">
        <v>434</v>
      </c>
      <c r="C133" s="431"/>
    </row>
    <row r="134" spans="1:12" ht="15" customHeight="1" thickBot="1" x14ac:dyDescent="0.3">
      <c r="A134" s="519"/>
      <c r="B134" s="72" t="s">
        <v>268</v>
      </c>
      <c r="C134" s="443"/>
    </row>
    <row r="135" spans="1:12" s="305" customFormat="1" ht="15" customHeight="1" x14ac:dyDescent="0.25">
      <c r="A135" s="357"/>
      <c r="B135" s="377"/>
      <c r="C135" s="403"/>
      <c r="D135" s="377"/>
      <c r="E135" s="377"/>
      <c r="F135" s="377"/>
      <c r="G135" s="377"/>
      <c r="H135" s="377"/>
      <c r="I135" s="377"/>
      <c r="J135" s="377"/>
      <c r="K135" s="335"/>
    </row>
    <row r="136" spans="1:12" ht="19.5" thickBot="1" x14ac:dyDescent="0.3">
      <c r="A136" s="358"/>
      <c r="B136" s="389"/>
      <c r="C136" s="389"/>
      <c r="D136" s="389"/>
      <c r="E136" s="389"/>
      <c r="F136" s="389"/>
      <c r="G136" s="389"/>
      <c r="H136" s="389"/>
      <c r="I136" s="389"/>
      <c r="J136" s="389"/>
      <c r="K136" s="283"/>
    </row>
    <row r="137" spans="1:12" ht="12.75" customHeight="1" x14ac:dyDescent="0.25">
      <c r="A137" s="522" t="s">
        <v>251</v>
      </c>
      <c r="B137" s="72" t="s">
        <v>391</v>
      </c>
      <c r="C137" s="430" t="s">
        <v>389</v>
      </c>
      <c r="E137" s="72" t="s">
        <v>364</v>
      </c>
      <c r="L137" s="19" t="s">
        <v>389</v>
      </c>
    </row>
    <row r="138" spans="1:12" ht="15" customHeight="1" x14ac:dyDescent="0.25">
      <c r="A138" s="523"/>
      <c r="B138" s="72" t="s">
        <v>309</v>
      </c>
      <c r="C138" s="444">
        <v>118.33</v>
      </c>
      <c r="L138" s="19" t="s">
        <v>390</v>
      </c>
    </row>
    <row r="139" spans="1:12" ht="15" customHeight="1" x14ac:dyDescent="0.25">
      <c r="A139" s="523"/>
      <c r="B139" s="72" t="s">
        <v>305</v>
      </c>
      <c r="C139" s="404">
        <f>NBRE_PERS_CHAR</f>
        <v>0</v>
      </c>
    </row>
    <row r="140" spans="1:12" ht="15" customHeight="1" x14ac:dyDescent="0.25">
      <c r="A140" s="523"/>
      <c r="B140" s="72" t="s">
        <v>396</v>
      </c>
      <c r="C140" s="444">
        <v>535.16999999999996</v>
      </c>
    </row>
    <row r="141" spans="1:12" ht="15" customHeight="1" thickBot="1" x14ac:dyDescent="0.3">
      <c r="A141" s="524"/>
      <c r="B141" s="72" t="s">
        <v>397</v>
      </c>
      <c r="C141" s="405">
        <f>SAISIE_SAL</f>
        <v>0</v>
      </c>
    </row>
  </sheetData>
  <sheetProtection selectLockedCells="1" sort="0"/>
  <mergeCells count="13">
    <mergeCell ref="A137:A141"/>
    <mergeCell ref="A3:A38"/>
    <mergeCell ref="A41:A44"/>
    <mergeCell ref="A55:A62"/>
    <mergeCell ref="A47:A52"/>
    <mergeCell ref="A63:A82"/>
    <mergeCell ref="B106:C106"/>
    <mergeCell ref="B132:C132"/>
    <mergeCell ref="A85:A134"/>
    <mergeCell ref="B85:C85"/>
    <mergeCell ref="B93:C93"/>
    <mergeCell ref="B100:C100"/>
    <mergeCell ref="B126:C126"/>
  </mergeCells>
  <dataValidations count="9">
    <dataValidation type="list" allowBlank="1" showInputMessage="1" showErrorMessage="1" sqref="C116" xr:uid="{00000000-0002-0000-0100-000000000000}">
      <formula1>$L$106:$L$111</formula1>
    </dataValidation>
    <dataValidation type="list" allowBlank="1" showInputMessage="1" showErrorMessage="1" sqref="C123" xr:uid="{00000000-0002-0000-0100-000001000000}">
      <formula1>$L$118:$L$121</formula1>
    </dataValidation>
    <dataValidation type="list" allowBlank="1" showInputMessage="1" showErrorMessage="1" sqref="C36" xr:uid="{00000000-0002-0000-0100-000002000000}">
      <formula1>$L$22:$L$23</formula1>
    </dataValidation>
    <dataValidation type="list" allowBlank="1" showInputMessage="1" showErrorMessage="1" sqref="C137" xr:uid="{00000000-0002-0000-0100-000003000000}">
      <formula1>$L$137:$L$138</formula1>
    </dataValidation>
    <dataValidation type="list" allowBlank="1" showInputMessage="1" showErrorMessage="1" sqref="C55 C47" xr:uid="{00000000-0002-0000-0100-000004000000}">
      <formula1>$L$53:$L$62</formula1>
    </dataValidation>
    <dataValidation type="list" allowBlank="1" showInputMessage="1" showErrorMessage="1" sqref="C63" xr:uid="{00000000-0002-0000-0100-000005000000}">
      <formula1>$M$53:$M$54</formula1>
    </dataValidation>
    <dataValidation type="list" allowBlank="1" showInputMessage="1" showErrorMessage="1" sqref="C64" xr:uid="{00000000-0002-0000-0100-000006000000}">
      <formula1>$N$53:$N$54</formula1>
    </dataValidation>
    <dataValidation type="list" allowBlank="1" showInputMessage="1" showErrorMessage="1" sqref="C13" xr:uid="{00000000-0002-0000-0100-000007000000}">
      <formula1>$L$17:$L$18</formula1>
    </dataValidation>
    <dataValidation type="list" allowBlank="1" showInputMessage="1" showErrorMessage="1" sqref="C12" xr:uid="{00000000-0002-0000-0100-000008000000}">
      <formula1>$L$10:$L$15</formula1>
    </dataValidation>
  </dataValidations>
  <hyperlinks>
    <hyperlink ref="A55:A62" location="ABS" display="Abs CP " xr:uid="{00000000-0004-0000-0100-000000000000}"/>
    <hyperlink ref="A137:A140" location="SAISIE" display="SAISIE" xr:uid="{00000000-0004-0000-0100-000001000000}"/>
    <hyperlink ref="A85:A134" location="AN_TR" display="AVANTAGE EN NATURE" xr:uid="{00000000-0004-0000-0100-000002000000}"/>
    <hyperlink ref="A41:A44" location="BULLETIN" display="PRIMES" xr:uid="{00000000-0004-0000-0100-000003000000}"/>
    <hyperlink ref="A3:A38" location="BULLETIN" display="INFORMATION GENERALE" xr:uid="{00000000-0004-0000-0100-000004000000}"/>
    <hyperlink ref="A63:A69" location="CP" display="CP" xr:uid="{00000000-0004-0000-0100-000005000000}"/>
    <hyperlink ref="E67" location="ABS_CP" display="Aller sur l'onglet Abs_CP" xr:uid="{00000000-0004-0000-0100-000006000000}"/>
    <hyperlink ref="E68" location="CP" display="Aller sur l'onglet CP" xr:uid="{00000000-0004-0000-0100-000007000000}"/>
    <hyperlink ref="E21" location="HS" display="Si HSUP aller sur l'onglet H SUP" xr:uid="{00000000-0004-0000-0100-000008000000}"/>
    <hyperlink ref="A47:A52" location="ABS_NR" display="abs non rémunéree" xr:uid="{00000000-0004-0000-0100-000009000000}"/>
    <hyperlink ref="B85:C85" location="AN_TR" display="REPAS / TR " xr:uid="{DE52182C-6506-40E6-A578-B31A25963B70}"/>
    <hyperlink ref="B100:C100" location="ANLOGEMENT" display="LOGEMENT" xr:uid="{C5399DA1-A282-4429-AD8A-9D94E38E262D}"/>
    <hyperlink ref="B106:C106" location="AN_VEH" display="VEHICULE" xr:uid="{2EFB0560-74A8-449B-B0AD-DAFC3A823F76}"/>
  </hyperlinks>
  <pageMargins left="0.7" right="0.7" top="0.75" bottom="0.75" header="0.3" footer="0.3"/>
  <pageSetup paperSize="9" orientation="portrait" r:id="rId1"/>
  <ignoredErrors>
    <ignoredError sqref="C18" unlockedFormula="1"/>
  </ignoredErrors>
  <drawing r:id="rId2"/>
  <legacy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pageSetUpPr fitToPage="1"/>
  </sheetPr>
  <dimension ref="A1:N114"/>
  <sheetViews>
    <sheetView zoomScale="110" zoomScaleNormal="110" workbookViewId="0">
      <pane ySplit="14" topLeftCell="A15" activePane="bottomLeft" state="frozen"/>
      <selection pane="bottomLeft" activeCell="F86" sqref="F86"/>
    </sheetView>
  </sheetViews>
  <sheetFormatPr baseColWidth="10" defaultRowHeight="15" x14ac:dyDescent="0.25"/>
  <cols>
    <col min="1" max="1" width="18.28515625" style="113" customWidth="1"/>
    <col min="2" max="2" width="36" style="113" customWidth="1"/>
    <col min="3" max="3" width="4.140625" style="113" customWidth="1"/>
    <col min="4" max="4" width="11.42578125" style="113"/>
    <col min="5" max="5" width="15" style="113" customWidth="1"/>
    <col min="6" max="6" width="19.7109375" style="113" bestFit="1" customWidth="1"/>
    <col min="7" max="7" width="4.42578125" style="113" customWidth="1"/>
    <col min="8" max="8" width="14.5703125" style="113" customWidth="1"/>
    <col min="9" max="9" width="20.85546875" style="113" bestFit="1" customWidth="1"/>
    <col min="10" max="10" width="22" style="113" customWidth="1"/>
    <col min="11" max="11" width="13" style="113" bestFit="1" customWidth="1"/>
    <col min="12" max="12" width="18.7109375" style="113" bestFit="1" customWidth="1"/>
    <col min="13" max="16384" width="11.42578125" style="113"/>
  </cols>
  <sheetData>
    <row r="1" spans="1:14" ht="10.5" customHeight="1" x14ac:dyDescent="0.25">
      <c r="A1" s="577" t="s">
        <v>0</v>
      </c>
      <c r="B1" s="577"/>
      <c r="C1" s="109"/>
      <c r="D1" s="110" t="s">
        <v>38</v>
      </c>
      <c r="E1" s="111"/>
      <c r="F1" s="111"/>
      <c r="G1" s="111"/>
      <c r="H1" s="111"/>
      <c r="I1" s="112"/>
      <c r="J1" s="19"/>
      <c r="K1" s="19"/>
      <c r="L1" s="19"/>
      <c r="M1" s="19"/>
    </row>
    <row r="2" spans="1:14" ht="10.5" customHeight="1" x14ac:dyDescent="0.25">
      <c r="A2" s="577"/>
      <c r="B2" s="577"/>
      <c r="C2" s="109"/>
      <c r="D2" s="114"/>
      <c r="E2" s="115" t="s">
        <v>39</v>
      </c>
      <c r="F2" s="116" t="str">
        <f>IF('info bulletin'!C5="","",'info bulletin'!C5)</f>
        <v/>
      </c>
      <c r="G2" s="116"/>
      <c r="H2" s="116"/>
      <c r="I2" s="117"/>
      <c r="J2" s="19" t="s">
        <v>108</v>
      </c>
      <c r="K2" s="236">
        <f>SBRUT</f>
        <v>0</v>
      </c>
      <c r="L2" s="19"/>
      <c r="M2" s="19"/>
    </row>
    <row r="3" spans="1:14" s="119" customFormat="1" ht="10.5" customHeight="1" x14ac:dyDescent="0.25">
      <c r="A3" s="118"/>
      <c r="B3" s="118"/>
      <c r="C3" s="118"/>
      <c r="D3" s="114"/>
      <c r="E3" s="116" t="s">
        <v>40</v>
      </c>
      <c r="F3" s="116" t="str">
        <f>IF('info bulletin'!C6="","",'info bulletin'!C6)</f>
        <v/>
      </c>
      <c r="G3" s="116"/>
      <c r="H3" s="116"/>
      <c r="I3" s="117"/>
      <c r="J3" s="19" t="s">
        <v>26</v>
      </c>
      <c r="K3" s="236">
        <f>totcotsal</f>
        <v>0</v>
      </c>
      <c r="L3" s="19"/>
      <c r="M3" s="19"/>
      <c r="N3" s="113"/>
    </row>
    <row r="4" spans="1:14" s="119" customFormat="1" ht="10.5" customHeight="1" x14ac:dyDescent="0.25">
      <c r="A4" s="120" t="s">
        <v>48</v>
      </c>
      <c r="B4" s="290">
        <f>IF('info bulletin'!C3="","",'info bulletin'!C3)</f>
        <v>42736</v>
      </c>
      <c r="C4" s="118"/>
      <c r="D4" s="114"/>
      <c r="E4" s="116" t="s">
        <v>41</v>
      </c>
      <c r="F4" s="116" t="str">
        <f>IF('info bulletin'!C7="","",'info bulletin'!C7)</f>
        <v/>
      </c>
      <c r="G4" s="116"/>
      <c r="H4" s="116"/>
      <c r="I4" s="117"/>
      <c r="J4" s="19" t="s">
        <v>28</v>
      </c>
      <c r="K4" s="407">
        <f>totcotpat</f>
        <v>0</v>
      </c>
      <c r="L4" s="19"/>
      <c r="M4" s="19"/>
      <c r="N4" s="113"/>
    </row>
    <row r="5" spans="1:14" s="119" customFormat="1" ht="10.5" customHeight="1" x14ac:dyDescent="0.25">
      <c r="A5" s="118"/>
      <c r="B5" s="118"/>
      <c r="C5" s="118"/>
      <c r="D5" s="114"/>
      <c r="E5" s="116" t="s">
        <v>42</v>
      </c>
      <c r="F5" s="116" t="str">
        <f>IF('info bulletin'!C8="","",'info bulletin'!C8)</f>
        <v/>
      </c>
      <c r="G5" s="116" t="s">
        <v>43</v>
      </c>
      <c r="H5" s="291" t="str">
        <f>IF('info bulletin'!C10="","",'info bulletin'!C10)</f>
        <v/>
      </c>
      <c r="I5" s="117"/>
      <c r="J5" s="19" t="s">
        <v>471</v>
      </c>
      <c r="K5" s="236">
        <f>SNAR</f>
        <v>0</v>
      </c>
      <c r="L5" s="19"/>
      <c r="M5" s="19"/>
      <c r="N5" s="113"/>
    </row>
    <row r="6" spans="1:14" s="119" customFormat="1" ht="10.5" customHeight="1" x14ac:dyDescent="0.25">
      <c r="A6" s="118"/>
      <c r="B6" s="118"/>
      <c r="C6" s="118"/>
      <c r="D6" s="121"/>
      <c r="E6" s="122" t="s">
        <v>44</v>
      </c>
      <c r="F6" s="122"/>
      <c r="G6" s="122"/>
      <c r="H6" s="122" t="str">
        <f>IF('info bulletin'!C9="","",'info bulletin'!C9)</f>
        <v/>
      </c>
      <c r="I6" s="123"/>
      <c r="J6" s="19" t="s">
        <v>472</v>
      </c>
      <c r="K6" s="407">
        <f>TOTRET</f>
        <v>0</v>
      </c>
      <c r="L6" s="19"/>
      <c r="M6" s="19"/>
      <c r="N6" s="113"/>
    </row>
    <row r="7" spans="1:14" s="119" customFormat="1" ht="10.5" customHeight="1" x14ac:dyDescent="0.25">
      <c r="A7" s="508" t="s">
        <v>492</v>
      </c>
      <c r="B7" s="293" t="str">
        <f>IF('info bulletin'!J4="","",'info bulletin'!J4)</f>
        <v/>
      </c>
      <c r="C7" s="118"/>
      <c r="D7" s="118"/>
      <c r="E7" s="118"/>
      <c r="F7" s="118"/>
      <c r="G7" s="118"/>
      <c r="H7" s="118"/>
      <c r="I7" s="118"/>
      <c r="J7" s="19" t="s">
        <v>255</v>
      </c>
      <c r="K7" s="236">
        <f>NAP</f>
        <v>0</v>
      </c>
      <c r="L7" s="19"/>
      <c r="M7" s="19"/>
      <c r="N7" s="113"/>
    </row>
    <row r="8" spans="1:14" s="119" customFormat="1" ht="10.5" customHeight="1" x14ac:dyDescent="0.25">
      <c r="A8" s="509" t="s">
        <v>493</v>
      </c>
      <c r="B8" s="117" t="str">
        <f>IF('info bulletin'!J5="","",'info bulletin'!J5)</f>
        <v/>
      </c>
      <c r="C8" s="124"/>
      <c r="D8" s="118"/>
      <c r="E8" s="118"/>
      <c r="F8" s="118"/>
      <c r="G8" s="118"/>
      <c r="H8" s="118"/>
      <c r="I8" s="118"/>
      <c r="J8" s="19" t="s">
        <v>473</v>
      </c>
      <c r="K8" s="236">
        <f>NetImposable</f>
        <v>0</v>
      </c>
    </row>
    <row r="9" spans="1:14" s="119" customFormat="1" ht="10.5" customHeight="1" x14ac:dyDescent="0.25">
      <c r="A9" s="114" t="s">
        <v>3</v>
      </c>
      <c r="B9" s="117" t="str">
        <f>IF('info bulletin'!J6="","",'info bulletin'!J6)</f>
        <v/>
      </c>
      <c r="C9" s="124"/>
      <c r="D9" s="110" t="s">
        <v>45</v>
      </c>
      <c r="E9" s="111"/>
      <c r="F9" s="111"/>
      <c r="G9" s="111"/>
      <c r="H9" s="111"/>
      <c r="I9" s="112"/>
      <c r="K9" s="19"/>
    </row>
    <row r="10" spans="1:14" s="119" customFormat="1" ht="10.5" customHeight="1" x14ac:dyDescent="0.25">
      <c r="A10" s="509" t="s">
        <v>494</v>
      </c>
      <c r="B10" s="294" t="str">
        <f>IF('info bulletin'!J7="","",'info bulletin'!J7)</f>
        <v/>
      </c>
      <c r="C10" s="124"/>
      <c r="D10" s="114"/>
      <c r="E10" s="115" t="s">
        <v>46</v>
      </c>
      <c r="F10" s="116" t="str">
        <f>IF('info bulletin'!F5="","",'info bulletin'!F5)</f>
        <v/>
      </c>
      <c r="G10" s="116"/>
      <c r="H10" s="116" t="str">
        <f>IF('info bulletin'!G5="","",'info bulletin'!G5)</f>
        <v/>
      </c>
      <c r="I10" s="117"/>
      <c r="K10" s="19"/>
    </row>
    <row r="11" spans="1:14" s="119" customFormat="1" ht="10.5" customHeight="1" x14ac:dyDescent="0.25">
      <c r="A11" s="509" t="s">
        <v>495</v>
      </c>
      <c r="B11" s="294" t="str">
        <f>IF('info bulletin'!J8="","",'info bulletin'!J8)</f>
        <v/>
      </c>
      <c r="C11" s="124"/>
      <c r="D11" s="114"/>
      <c r="E11" s="116" t="s">
        <v>40</v>
      </c>
      <c r="F11" s="116" t="str">
        <f>IF('info bulletin'!F6="","",'info bulletin'!F6)</f>
        <v/>
      </c>
      <c r="G11" s="116"/>
      <c r="H11" s="116"/>
      <c r="I11" s="117"/>
      <c r="K11" s="19"/>
    </row>
    <row r="12" spans="1:14" s="119" customFormat="1" ht="10.5" customHeight="1" x14ac:dyDescent="0.25">
      <c r="A12" s="509" t="s">
        <v>496</v>
      </c>
      <c r="B12" s="292" t="str">
        <f>IF('info bulletin'!J9="","",'info bulletin'!J9)</f>
        <v/>
      </c>
      <c r="C12" s="124"/>
      <c r="D12" s="114"/>
      <c r="E12" s="116" t="s">
        <v>47</v>
      </c>
      <c r="F12" s="116" t="str">
        <f>IF('info bulletin'!F7="","",'info bulletin'!F7)</f>
        <v/>
      </c>
      <c r="G12" s="116"/>
      <c r="H12" s="282" t="s">
        <v>369</v>
      </c>
      <c r="I12" s="117" t="str">
        <f>IF('info bulletin'!F8="","",'info bulletin'!F8)</f>
        <v/>
      </c>
      <c r="K12" s="19"/>
    </row>
    <row r="13" spans="1:14" s="119" customFormat="1" ht="10.5" customHeight="1" x14ac:dyDescent="0.25">
      <c r="A13" s="231" t="s">
        <v>497</v>
      </c>
      <c r="B13" s="232">
        <f>'info bulletin'!F17</f>
        <v>0</v>
      </c>
      <c r="C13" s="124"/>
      <c r="D13" s="121"/>
      <c r="E13" s="122"/>
      <c r="F13" s="122"/>
      <c r="G13" s="122"/>
      <c r="H13" s="122"/>
      <c r="I13" s="123"/>
      <c r="K13" s="19"/>
    </row>
    <row r="14" spans="1:14" ht="10.5" customHeight="1" thickBot="1" x14ac:dyDescent="0.3">
      <c r="A14" s="109"/>
      <c r="B14" s="109"/>
      <c r="C14" s="109"/>
      <c r="D14" s="109"/>
      <c r="E14" s="109"/>
      <c r="F14" s="109"/>
      <c r="G14" s="109"/>
      <c r="H14" s="109"/>
      <c r="I14" s="109"/>
    </row>
    <row r="15" spans="1:14" s="125" customFormat="1" ht="15.75" thickBot="1" x14ac:dyDescent="0.3">
      <c r="A15" s="537" t="s">
        <v>7</v>
      </c>
      <c r="B15" s="538"/>
      <c r="C15" s="258"/>
      <c r="D15" s="259" t="s">
        <v>24</v>
      </c>
      <c r="E15" s="260" t="s">
        <v>80</v>
      </c>
      <c r="F15" s="260" t="s">
        <v>51</v>
      </c>
      <c r="G15" s="261"/>
      <c r="H15" s="261"/>
      <c r="I15" s="262"/>
      <c r="J15" s="125" t="s">
        <v>280</v>
      </c>
    </row>
    <row r="16" spans="1:14" x14ac:dyDescent="0.25">
      <c r="A16" s="541"/>
      <c r="B16" s="542"/>
      <c r="C16" s="126"/>
      <c r="D16" s="126"/>
      <c r="E16" s="126"/>
      <c r="F16" s="126"/>
      <c r="G16" s="126"/>
      <c r="H16" s="126"/>
      <c r="I16" s="127"/>
      <c r="J16" s="128"/>
      <c r="M16" s="128"/>
      <c r="N16" s="128"/>
    </row>
    <row r="17" spans="1:14" x14ac:dyDescent="0.25">
      <c r="A17" s="539" t="s">
        <v>8</v>
      </c>
      <c r="B17" s="540"/>
      <c r="C17" s="129" t="s">
        <v>149</v>
      </c>
      <c r="D17" s="130">
        <f>NBRE_H_MOIS</f>
        <v>0</v>
      </c>
      <c r="E17" s="131" t="str">
        <f>IFERROR(F17/D17,"")</f>
        <v/>
      </c>
      <c r="F17" s="130">
        <f>SBASE</f>
        <v>0</v>
      </c>
      <c r="G17" s="132"/>
      <c r="H17" s="132"/>
      <c r="I17" s="133"/>
      <c r="J17" s="128"/>
      <c r="M17" s="128"/>
      <c r="N17" s="128"/>
    </row>
    <row r="18" spans="1:14" x14ac:dyDescent="0.25">
      <c r="A18" s="539" t="s">
        <v>79</v>
      </c>
      <c r="B18" s="540"/>
      <c r="C18" s="129"/>
      <c r="D18" s="131"/>
      <c r="E18" s="131"/>
      <c r="F18" s="131">
        <f>IF(BASE_HOR=0,0,IF(F17&lt;BASE_SMIC,BASE_SMIC-F17,""))</f>
        <v>0</v>
      </c>
      <c r="G18" s="132"/>
      <c r="H18" s="132"/>
      <c r="I18" s="133"/>
      <c r="J18" s="134"/>
      <c r="M18" s="128"/>
      <c r="N18" s="128"/>
    </row>
    <row r="19" spans="1:14" x14ac:dyDescent="0.25">
      <c r="A19" s="535" t="str">
        <f>"Retenue entrée sortie "  &amp;TEXT('info bulletin'!C49,"jj/mm/aaaa") &amp; " au " &amp;TEXT('info bulletin'!C50,"jj/mm/aaaa")</f>
        <v>Retenue entrée sortie 00/01/1900 au 00/01/1900</v>
      </c>
      <c r="B19" s="536"/>
      <c r="C19" s="336" t="s">
        <v>149</v>
      </c>
      <c r="D19" s="130">
        <f>-H_ABS_NR</f>
        <v>0</v>
      </c>
      <c r="E19" s="130"/>
      <c r="F19" s="130">
        <f>-ABSNR</f>
        <v>0</v>
      </c>
      <c r="G19" s="132"/>
      <c r="H19" s="132"/>
      <c r="I19" s="133"/>
      <c r="J19" s="87" t="s">
        <v>405</v>
      </c>
      <c r="K19" s="136"/>
      <c r="M19" s="128"/>
      <c r="N19" s="128"/>
    </row>
    <row r="20" spans="1:14" x14ac:dyDescent="0.25">
      <c r="A20" s="535" t="s">
        <v>437</v>
      </c>
      <c r="B20" s="536"/>
      <c r="C20" s="336" t="s">
        <v>149</v>
      </c>
      <c r="D20" s="130">
        <f>S_RTT</f>
        <v>0</v>
      </c>
      <c r="E20" s="130">
        <f>TX_HOR</f>
        <v>0</v>
      </c>
      <c r="F20" s="130">
        <f>E20*D20</f>
        <v>0</v>
      </c>
      <c r="G20" s="132"/>
      <c r="H20" s="132"/>
      <c r="I20" s="133"/>
      <c r="J20" s="87"/>
      <c r="K20" s="136"/>
      <c r="M20" s="128"/>
      <c r="N20" s="128"/>
    </row>
    <row r="21" spans="1:14" ht="14.25" customHeight="1" x14ac:dyDescent="0.25">
      <c r="A21" s="539" t="s">
        <v>148</v>
      </c>
      <c r="B21" s="540"/>
      <c r="C21" s="129"/>
      <c r="D21" s="138">
        <f>'info bulletin'!C42</f>
        <v>0</v>
      </c>
      <c r="E21" s="131"/>
      <c r="F21" s="284">
        <f>'info bulletin'!E42</f>
        <v>0</v>
      </c>
      <c r="G21" s="132"/>
      <c r="H21" s="132"/>
      <c r="I21" s="133"/>
      <c r="J21" s="128"/>
      <c r="K21" s="136"/>
      <c r="M21" s="137"/>
      <c r="N21" s="128"/>
    </row>
    <row r="22" spans="1:14" x14ac:dyDescent="0.25">
      <c r="A22" s="539" t="s">
        <v>272</v>
      </c>
      <c r="B22" s="540"/>
      <c r="C22" s="129"/>
      <c r="D22" s="131"/>
      <c r="E22" s="131"/>
      <c r="F22" s="284">
        <f>'info bulletin'!C43</f>
        <v>0</v>
      </c>
      <c r="G22" s="132"/>
      <c r="H22" s="132"/>
      <c r="I22" s="133"/>
    </row>
    <row r="23" spans="1:14" x14ac:dyDescent="0.25">
      <c r="A23" s="543" t="s">
        <v>238</v>
      </c>
      <c r="B23" s="544"/>
      <c r="C23" s="163" t="s">
        <v>149</v>
      </c>
      <c r="D23" s="130">
        <f>H_10</f>
        <v>0</v>
      </c>
      <c r="E23" s="130">
        <f>TX_10</f>
        <v>0</v>
      </c>
      <c r="F23" s="130">
        <f>IFERROR(E23*D23,"")</f>
        <v>0</v>
      </c>
      <c r="G23" s="132"/>
      <c r="H23" s="132"/>
      <c r="I23" s="133"/>
      <c r="J23" s="128"/>
      <c r="K23" s="136"/>
      <c r="M23" s="137"/>
      <c r="N23" s="128"/>
    </row>
    <row r="24" spans="1:14" x14ac:dyDescent="0.25">
      <c r="A24" s="543" t="s">
        <v>81</v>
      </c>
      <c r="B24" s="544"/>
      <c r="C24" s="163" t="s">
        <v>149</v>
      </c>
      <c r="D24" s="130">
        <f>H_25</f>
        <v>0</v>
      </c>
      <c r="E24" s="130">
        <f>TX_25</f>
        <v>0</v>
      </c>
      <c r="F24" s="130">
        <f>IFERROR(E24*D24,"")</f>
        <v>0</v>
      </c>
      <c r="G24" s="132"/>
      <c r="H24" s="132"/>
      <c r="I24" s="133"/>
      <c r="J24" s="139" t="s">
        <v>234</v>
      </c>
      <c r="M24" s="128"/>
      <c r="N24" s="128"/>
    </row>
    <row r="25" spans="1:14" x14ac:dyDescent="0.25">
      <c r="A25" s="543" t="s">
        <v>82</v>
      </c>
      <c r="B25" s="544"/>
      <c r="C25" s="163" t="s">
        <v>149</v>
      </c>
      <c r="D25" s="130">
        <f>H_50</f>
        <v>0</v>
      </c>
      <c r="E25" s="130">
        <f>TX_50</f>
        <v>0</v>
      </c>
      <c r="F25" s="130">
        <f>IFERROR(E25*D25,"")</f>
        <v>0</v>
      </c>
      <c r="G25" s="132"/>
      <c r="H25" s="132"/>
      <c r="I25" s="133"/>
      <c r="J25" s="140"/>
      <c r="K25" s="136"/>
      <c r="M25" s="128"/>
      <c r="N25" s="128"/>
    </row>
    <row r="26" spans="1:14" x14ac:dyDescent="0.25">
      <c r="A26" s="543" t="s">
        <v>229</v>
      </c>
      <c r="B26" s="544"/>
      <c r="C26" s="163"/>
      <c r="D26" s="130"/>
      <c r="E26" s="130"/>
      <c r="F26" s="130">
        <f>AN_TR+AN_EF</f>
        <v>0</v>
      </c>
      <c r="G26" s="132"/>
      <c r="H26" s="132"/>
      <c r="I26" s="133"/>
      <c r="J26" s="141" t="s">
        <v>230</v>
      </c>
      <c r="K26" s="136"/>
      <c r="M26" s="128"/>
      <c r="N26" s="128"/>
    </row>
    <row r="27" spans="1:14" x14ac:dyDescent="0.25">
      <c r="A27" s="543" t="s">
        <v>179</v>
      </c>
      <c r="B27" s="544"/>
      <c r="C27" s="163"/>
      <c r="D27" s="130"/>
      <c r="E27" s="130"/>
      <c r="F27" s="130">
        <f>AN!E27</f>
        <v>0</v>
      </c>
      <c r="G27" s="132"/>
      <c r="H27" s="132"/>
      <c r="I27" s="133"/>
      <c r="J27" s="141" t="s">
        <v>232</v>
      </c>
      <c r="K27" s="136"/>
      <c r="M27" s="128"/>
      <c r="N27" s="128"/>
    </row>
    <row r="28" spans="1:14" x14ac:dyDescent="0.25">
      <c r="A28" s="543" t="s">
        <v>200</v>
      </c>
      <c r="B28" s="544"/>
      <c r="C28" s="163"/>
      <c r="D28" s="130"/>
      <c r="E28" s="130"/>
      <c r="F28" s="130">
        <f>AN_VEH_HA+AN_VEH_LOA</f>
        <v>0</v>
      </c>
      <c r="G28" s="132"/>
      <c r="H28" s="132"/>
      <c r="I28" s="133"/>
      <c r="J28" s="141" t="s">
        <v>233</v>
      </c>
      <c r="K28" s="136"/>
      <c r="M28" s="128"/>
      <c r="N28" s="128"/>
    </row>
    <row r="29" spans="1:14" x14ac:dyDescent="0.25">
      <c r="A29" s="543" t="s">
        <v>243</v>
      </c>
      <c r="B29" s="544"/>
      <c r="C29" s="163"/>
      <c r="D29" s="130"/>
      <c r="E29" s="130"/>
      <c r="F29" s="130">
        <f>AN_TECH+AN_ABO</f>
        <v>0</v>
      </c>
      <c r="G29" s="132"/>
      <c r="H29" s="132"/>
      <c r="I29" s="133"/>
      <c r="J29" s="140"/>
      <c r="K29" s="136"/>
      <c r="M29" s="128"/>
      <c r="N29" s="128"/>
    </row>
    <row r="30" spans="1:14" x14ac:dyDescent="0.25">
      <c r="A30" s="539" t="s">
        <v>237</v>
      </c>
      <c r="B30" s="540"/>
      <c r="C30" s="129"/>
      <c r="D30" s="129"/>
      <c r="E30" s="129"/>
      <c r="F30" s="284">
        <f>'info bulletin'!C41</f>
        <v>0</v>
      </c>
      <c r="G30" s="132"/>
      <c r="H30" s="132"/>
      <c r="I30" s="133"/>
      <c r="J30" s="128"/>
      <c r="K30" s="136"/>
      <c r="M30" s="137"/>
      <c r="N30" s="128"/>
    </row>
    <row r="31" spans="1:14" x14ac:dyDescent="0.25">
      <c r="A31" s="535" t="str">
        <f>"Retenue CP du "  &amp;TEXT('info bulletin'!C56,"jj/mm/aaaa") &amp; " au " &amp;TEXT('info bulletin'!C57,"jj/mm/aaaa")</f>
        <v>Retenue CP du 00/01/1900 au 00/01/1900</v>
      </c>
      <c r="B31" s="536"/>
      <c r="C31" s="163" t="s">
        <v>149</v>
      </c>
      <c r="D31" s="130">
        <f>-H_ABS_CP</f>
        <v>0</v>
      </c>
      <c r="E31" s="130"/>
      <c r="F31" s="130">
        <f>-ABS_CP</f>
        <v>0</v>
      </c>
      <c r="G31" s="132"/>
      <c r="H31" s="132"/>
      <c r="I31" s="133"/>
      <c r="J31" s="141" t="s">
        <v>226</v>
      </c>
      <c r="K31" s="136"/>
      <c r="M31" s="128"/>
      <c r="N31" s="128"/>
    </row>
    <row r="32" spans="1:14" x14ac:dyDescent="0.25">
      <c r="A32" s="543" t="s">
        <v>84</v>
      </c>
      <c r="B32" s="544"/>
      <c r="C32" s="163" t="s">
        <v>150</v>
      </c>
      <c r="D32" s="130">
        <f>J_CP</f>
        <v>1</v>
      </c>
      <c r="E32" s="130"/>
      <c r="F32" s="130">
        <f>ICCP</f>
        <v>0</v>
      </c>
      <c r="G32" s="132"/>
      <c r="H32" s="132"/>
      <c r="I32" s="133"/>
      <c r="J32" s="141" t="s">
        <v>227</v>
      </c>
      <c r="K32" s="136"/>
      <c r="M32" s="137"/>
      <c r="N32" s="128"/>
    </row>
    <row r="33" spans="1:14" x14ac:dyDescent="0.25">
      <c r="A33" s="543" t="s">
        <v>195</v>
      </c>
      <c r="B33" s="544"/>
      <c r="C33" s="163"/>
      <c r="D33" s="130"/>
      <c r="E33" s="130"/>
      <c r="F33" s="130">
        <f>CP!B18</f>
        <v>0</v>
      </c>
      <c r="G33" s="132"/>
      <c r="H33" s="132"/>
      <c r="I33" s="133"/>
      <c r="J33" s="299" t="s">
        <v>372</v>
      </c>
      <c r="K33" s="136"/>
      <c r="M33" s="137"/>
      <c r="N33" s="128"/>
    </row>
    <row r="34" spans="1:14" x14ac:dyDescent="0.25">
      <c r="A34" s="543" t="s">
        <v>196</v>
      </c>
      <c r="B34" s="544"/>
      <c r="C34" s="163" t="s">
        <v>150</v>
      </c>
      <c r="D34" s="130">
        <f>CP!B19</f>
        <v>0</v>
      </c>
      <c r="E34" s="130"/>
      <c r="F34" s="130">
        <f>SoldeICCPN1</f>
        <v>0</v>
      </c>
      <c r="G34" s="132"/>
      <c r="H34" s="132"/>
      <c r="I34" s="133"/>
      <c r="K34" s="136"/>
      <c r="L34" s="135"/>
      <c r="M34" s="137"/>
      <c r="N34" s="128"/>
    </row>
    <row r="35" spans="1:14" x14ac:dyDescent="0.25">
      <c r="A35" s="543" t="s">
        <v>197</v>
      </c>
      <c r="B35" s="544"/>
      <c r="C35" s="163" t="s">
        <v>150</v>
      </c>
      <c r="D35" s="130">
        <f>CP!C23</f>
        <v>0</v>
      </c>
      <c r="E35" s="130"/>
      <c r="F35" s="130">
        <f>IF(SoldeICCPNR10&gt;SoldeICCPMaintien,SoldeICCPNR10,SoldeICCPMaintien)</f>
        <v>0</v>
      </c>
      <c r="G35" s="132"/>
      <c r="H35" s="132"/>
      <c r="I35" s="133"/>
      <c r="J35" s="135"/>
      <c r="K35" s="136"/>
      <c r="M35" s="137"/>
      <c r="N35" s="128"/>
    </row>
    <row r="36" spans="1:14" x14ac:dyDescent="0.25">
      <c r="A36" s="571" t="s">
        <v>481</v>
      </c>
      <c r="B36" s="544"/>
      <c r="C36" s="336" t="s">
        <v>150</v>
      </c>
      <c r="D36" s="130"/>
      <c r="E36" s="130"/>
      <c r="F36" s="130">
        <f>ICCPFRACT</f>
        <v>0</v>
      </c>
      <c r="G36" s="132"/>
      <c r="H36" s="132"/>
      <c r="I36" s="133"/>
      <c r="J36" s="346"/>
      <c r="K36" s="136"/>
      <c r="M36" s="137"/>
      <c r="N36" s="128"/>
    </row>
    <row r="37" spans="1:14" x14ac:dyDescent="0.25">
      <c r="A37" s="539" t="s">
        <v>241</v>
      </c>
      <c r="B37" s="540"/>
      <c r="C37" s="129"/>
      <c r="D37" s="131"/>
      <c r="E37" s="131"/>
      <c r="F37" s="131">
        <f>'info bulletin'!C44</f>
        <v>0</v>
      </c>
      <c r="G37" s="132"/>
      <c r="H37" s="132"/>
      <c r="I37" s="133"/>
    </row>
    <row r="38" spans="1:14" x14ac:dyDescent="0.25">
      <c r="A38" s="572"/>
      <c r="B38" s="573"/>
      <c r="C38" s="500"/>
      <c r="D38" s="501"/>
      <c r="E38" s="501"/>
      <c r="F38" s="501"/>
      <c r="G38" s="132"/>
      <c r="H38" s="132"/>
      <c r="I38" s="133"/>
      <c r="J38" s="140"/>
      <c r="K38" s="136"/>
      <c r="M38" s="128"/>
      <c r="N38" s="128"/>
    </row>
    <row r="39" spans="1:14" x14ac:dyDescent="0.25">
      <c r="A39" s="572"/>
      <c r="B39" s="573"/>
      <c r="C39" s="500"/>
      <c r="D39" s="501"/>
      <c r="E39" s="501"/>
      <c r="F39" s="501"/>
      <c r="G39" s="132"/>
      <c r="H39" s="132"/>
      <c r="I39" s="133"/>
      <c r="J39" s="140"/>
      <c r="K39" s="136"/>
      <c r="M39" s="128"/>
      <c r="N39" s="128"/>
    </row>
    <row r="40" spans="1:14" x14ac:dyDescent="0.25">
      <c r="A40" s="572"/>
      <c r="B40" s="573"/>
      <c r="C40" s="500"/>
      <c r="D40" s="501"/>
      <c r="E40" s="501"/>
      <c r="F40" s="501"/>
      <c r="G40" s="132"/>
      <c r="H40" s="132"/>
      <c r="I40" s="133"/>
      <c r="J40" s="140"/>
      <c r="K40" s="136"/>
      <c r="M40" s="128"/>
      <c r="N40" s="128"/>
    </row>
    <row r="41" spans="1:14" x14ac:dyDescent="0.25">
      <c r="A41" s="572"/>
      <c r="B41" s="573"/>
      <c r="C41" s="500"/>
      <c r="D41" s="501"/>
      <c r="E41" s="501"/>
      <c r="F41" s="501"/>
      <c r="G41" s="132"/>
      <c r="H41" s="132"/>
      <c r="I41" s="133"/>
      <c r="M41" s="128"/>
      <c r="N41" s="128"/>
    </row>
    <row r="42" spans="1:14" ht="15.75" thickBot="1" x14ac:dyDescent="0.3">
      <c r="I42" s="133"/>
    </row>
    <row r="43" spans="1:14" ht="15.75" thickBot="1" x14ac:dyDescent="0.3">
      <c r="A43" s="565" t="s">
        <v>9</v>
      </c>
      <c r="B43" s="566"/>
      <c r="C43" s="221" t="s">
        <v>149</v>
      </c>
      <c r="D43" s="158">
        <f ca="1">SUMIF(C17:D41,C43,D17:D41)</f>
        <v>0</v>
      </c>
      <c r="E43" s="257"/>
      <c r="F43" s="157">
        <f>ROUND(SUM(F16:F41),2)</f>
        <v>0</v>
      </c>
      <c r="G43" s="132"/>
      <c r="H43" s="132"/>
      <c r="I43" s="133"/>
    </row>
    <row r="44" spans="1:14" ht="15.75" thickBot="1" x14ac:dyDescent="0.3">
      <c r="A44" s="567"/>
      <c r="B44" s="568"/>
      <c r="C44" s="256"/>
      <c r="D44" s="169"/>
      <c r="E44" s="169"/>
      <c r="F44" s="169"/>
      <c r="G44" s="143"/>
      <c r="H44" s="143"/>
      <c r="I44" s="144"/>
    </row>
    <row r="45" spans="1:14" s="146" customFormat="1" ht="15.75" thickBot="1" x14ac:dyDescent="0.3">
      <c r="A45" s="563" t="s">
        <v>10</v>
      </c>
      <c r="B45" s="564"/>
      <c r="C45" s="263"/>
      <c r="D45" s="263" t="s">
        <v>24</v>
      </c>
      <c r="E45" s="264" t="s">
        <v>25</v>
      </c>
      <c r="F45" s="264" t="s">
        <v>26</v>
      </c>
      <c r="G45" s="264"/>
      <c r="H45" s="264" t="s">
        <v>27</v>
      </c>
      <c r="I45" s="265" t="s">
        <v>28</v>
      </c>
    </row>
    <row r="46" spans="1:14" x14ac:dyDescent="0.25">
      <c r="A46" s="569" t="s">
        <v>11</v>
      </c>
      <c r="B46" s="570"/>
      <c r="C46" s="147"/>
      <c r="D46" s="148">
        <f>IF(SBRUT&gt;4*PSS,SBRUT+PPMUT+PPPREVDC,(SBRUT*98.25%)+PPMUT+PPPREVDC)</f>
        <v>0</v>
      </c>
      <c r="E46" s="233">
        <v>5.0999999999999997E-2</v>
      </c>
      <c r="F46" s="148">
        <f>E46*D46</f>
        <v>0</v>
      </c>
      <c r="G46" s="148"/>
      <c r="H46" s="237"/>
      <c r="I46" s="238"/>
    </row>
    <row r="47" spans="1:14" ht="15.75" thickBot="1" x14ac:dyDescent="0.3">
      <c r="A47" s="578"/>
      <c r="B47" s="579"/>
      <c r="C47" s="142"/>
      <c r="D47" s="150"/>
      <c r="E47" s="150"/>
      <c r="F47" s="150"/>
      <c r="G47" s="150"/>
      <c r="H47" s="150"/>
      <c r="I47" s="151"/>
    </row>
    <row r="48" spans="1:14" s="146" customFormat="1" ht="15.75" thickBot="1" x14ac:dyDescent="0.3">
      <c r="A48" s="563" t="s">
        <v>12</v>
      </c>
      <c r="B48" s="564"/>
      <c r="C48" s="263"/>
      <c r="D48" s="266" t="s">
        <v>24</v>
      </c>
      <c r="E48" s="267" t="s">
        <v>25</v>
      </c>
      <c r="F48" s="267" t="s">
        <v>26</v>
      </c>
      <c r="G48" s="267"/>
      <c r="H48" s="267" t="s">
        <v>27</v>
      </c>
      <c r="I48" s="268" t="s">
        <v>28</v>
      </c>
    </row>
    <row r="49" spans="1:9" x14ac:dyDescent="0.25">
      <c r="A49" s="547" t="s">
        <v>13</v>
      </c>
      <c r="B49" s="548"/>
      <c r="C49" s="242"/>
      <c r="D49" s="243">
        <f>SBRUT</f>
        <v>0</v>
      </c>
      <c r="E49" s="244">
        <v>7.4999999999999997E-3</v>
      </c>
      <c r="F49" s="243">
        <f>D49*E49</f>
        <v>0</v>
      </c>
      <c r="G49" s="243"/>
      <c r="H49" s="244">
        <v>0.12889999999999999</v>
      </c>
      <c r="I49" s="245">
        <f>D49*H49</f>
        <v>0</v>
      </c>
    </row>
    <row r="50" spans="1:9" x14ac:dyDescent="0.25">
      <c r="A50" s="551" t="s">
        <v>328</v>
      </c>
      <c r="B50" s="540"/>
      <c r="C50" s="129"/>
      <c r="D50" s="131">
        <f>IF(SBRUT&gt;PSS,PSS,SBRUT)</f>
        <v>0</v>
      </c>
      <c r="E50" s="234">
        <v>6.9000000000000006E-2</v>
      </c>
      <c r="F50" s="131">
        <f>+E50*D50</f>
        <v>0</v>
      </c>
      <c r="G50" s="131"/>
      <c r="H50" s="234">
        <v>8.5500000000000007E-2</v>
      </c>
      <c r="I50" s="149">
        <f>H50*D50</f>
        <v>0</v>
      </c>
    </row>
    <row r="51" spans="1:9" x14ac:dyDescent="0.25">
      <c r="A51" s="539" t="s">
        <v>14</v>
      </c>
      <c r="B51" s="540"/>
      <c r="C51" s="129"/>
      <c r="D51" s="131">
        <f>SBRUT</f>
        <v>0</v>
      </c>
      <c r="E51" s="234">
        <v>4.0000000000000001E-3</v>
      </c>
      <c r="F51" s="131">
        <f>+E51*D51</f>
        <v>0</v>
      </c>
      <c r="G51" s="131"/>
      <c r="H51" s="234">
        <v>1.9E-2</v>
      </c>
      <c r="I51" s="149">
        <f>+H51*D51</f>
        <v>0</v>
      </c>
    </row>
    <row r="52" spans="1:9" x14ac:dyDescent="0.25">
      <c r="A52" s="539" t="s">
        <v>15</v>
      </c>
      <c r="B52" s="540"/>
      <c r="C52" s="129"/>
      <c r="D52" s="131">
        <f>SBRUT</f>
        <v>0</v>
      </c>
      <c r="E52" s="239"/>
      <c r="F52" s="240"/>
      <c r="G52" s="131"/>
      <c r="H52" s="234">
        <f>IF(SBRUT&gt;=3.5*BASE_SMIC,5.25%,3.45%)</f>
        <v>5.2499999999999998E-2</v>
      </c>
      <c r="I52" s="149">
        <f>H52*D52</f>
        <v>0</v>
      </c>
    </row>
    <row r="53" spans="1:9" x14ac:dyDescent="0.25">
      <c r="A53" s="539" t="s">
        <v>16</v>
      </c>
      <c r="B53" s="540"/>
      <c r="C53" s="129"/>
      <c r="D53" s="131">
        <f>SBRUT</f>
        <v>0</v>
      </c>
      <c r="E53" s="239"/>
      <c r="F53" s="240"/>
      <c r="G53" s="131"/>
      <c r="H53" s="241">
        <f>TAT</f>
        <v>2.3230000000000001E-2</v>
      </c>
      <c r="I53" s="149">
        <f>+H53*D53</f>
        <v>0</v>
      </c>
    </row>
    <row r="54" spans="1:9" x14ac:dyDescent="0.25">
      <c r="A54" s="551" t="s">
        <v>339</v>
      </c>
      <c r="B54" s="540"/>
      <c r="C54" s="129"/>
      <c r="D54" s="131">
        <f>PPMUT+PPPREVDC</f>
        <v>0</v>
      </c>
      <c r="E54" s="239"/>
      <c r="F54" s="240"/>
      <c r="G54" s="131"/>
      <c r="H54" s="241">
        <v>0.08</v>
      </c>
      <c r="I54" s="149">
        <f>H54*D54</f>
        <v>0</v>
      </c>
    </row>
    <row r="55" spans="1:9" x14ac:dyDescent="0.25">
      <c r="A55" s="539" t="s">
        <v>23</v>
      </c>
      <c r="B55" s="540"/>
      <c r="C55" s="129"/>
      <c r="D55" s="131">
        <f>SBRUT</f>
        <v>0</v>
      </c>
      <c r="E55" s="239"/>
      <c r="F55" s="240"/>
      <c r="G55" s="131"/>
      <c r="H55" s="241">
        <v>3.0000000000000001E-3</v>
      </c>
      <c r="I55" s="149">
        <f>H55*D55</f>
        <v>0</v>
      </c>
    </row>
    <row r="56" spans="1:9" ht="15.75" thickBot="1" x14ac:dyDescent="0.3">
      <c r="A56" s="561"/>
      <c r="B56" s="562"/>
      <c r="C56" s="135"/>
      <c r="D56" s="153"/>
      <c r="E56" s="153"/>
      <c r="F56" s="153"/>
      <c r="G56" s="153"/>
      <c r="H56" s="153"/>
      <c r="I56" s="154"/>
    </row>
    <row r="57" spans="1:9" s="146" customFormat="1" ht="15.75" thickBot="1" x14ac:dyDescent="0.3">
      <c r="A57" s="563" t="s">
        <v>17</v>
      </c>
      <c r="B57" s="564"/>
      <c r="C57" s="263"/>
      <c r="D57" s="266" t="s">
        <v>24</v>
      </c>
      <c r="E57" s="267" t="s">
        <v>25</v>
      </c>
      <c r="F57" s="267" t="s">
        <v>26</v>
      </c>
      <c r="G57" s="267"/>
      <c r="H57" s="267" t="s">
        <v>27</v>
      </c>
      <c r="I57" s="268" t="s">
        <v>28</v>
      </c>
    </row>
    <row r="58" spans="1:9" x14ac:dyDescent="0.25">
      <c r="A58" s="547" t="s">
        <v>18</v>
      </c>
      <c r="B58" s="548"/>
      <c r="C58" s="242"/>
      <c r="D58" s="243">
        <f>IF(SBRUT&gt;4*PSS,4*PSS,SBRUT)</f>
        <v>0</v>
      </c>
      <c r="E58" s="244">
        <v>2.4E-2</v>
      </c>
      <c r="F58" s="243">
        <f>E58*D58</f>
        <v>0</v>
      </c>
      <c r="G58" s="243"/>
      <c r="H58" s="244">
        <f>TX_CHOM</f>
        <v>4.0500000000000001E-2</v>
      </c>
      <c r="I58" s="245">
        <f>H58*D58</f>
        <v>0</v>
      </c>
    </row>
    <row r="59" spans="1:9" x14ac:dyDescent="0.25">
      <c r="A59" s="539" t="s">
        <v>19</v>
      </c>
      <c r="B59" s="540"/>
      <c r="C59" s="129"/>
      <c r="D59" s="131">
        <f>SBRUT</f>
        <v>0</v>
      </c>
      <c r="E59" s="239"/>
      <c r="F59" s="240"/>
      <c r="G59" s="131"/>
      <c r="H59" s="234">
        <v>1.5E-3</v>
      </c>
      <c r="I59" s="149">
        <f>H59*D59</f>
        <v>0</v>
      </c>
    </row>
    <row r="60" spans="1:9" ht="15.75" thickBot="1" x14ac:dyDescent="0.3">
      <c r="A60" s="561"/>
      <c r="B60" s="562"/>
      <c r="C60" s="135"/>
      <c r="D60" s="153"/>
      <c r="E60" s="235"/>
      <c r="F60" s="153"/>
      <c r="G60" s="153"/>
      <c r="H60" s="235"/>
      <c r="I60" s="154"/>
    </row>
    <row r="61" spans="1:9" s="146" customFormat="1" ht="15.75" thickBot="1" x14ac:dyDescent="0.3">
      <c r="A61" s="563" t="s">
        <v>20</v>
      </c>
      <c r="B61" s="564"/>
      <c r="C61" s="263"/>
      <c r="D61" s="266" t="s">
        <v>24</v>
      </c>
      <c r="E61" s="267" t="s">
        <v>25</v>
      </c>
      <c r="F61" s="267" t="s">
        <v>26</v>
      </c>
      <c r="G61" s="267"/>
      <c r="H61" s="267" t="s">
        <v>27</v>
      </c>
      <c r="I61" s="268" t="s">
        <v>28</v>
      </c>
    </row>
    <row r="62" spans="1:9" x14ac:dyDescent="0.25">
      <c r="A62" s="580" t="s">
        <v>334</v>
      </c>
      <c r="B62" s="548"/>
      <c r="C62" s="242"/>
      <c r="D62" s="243">
        <f>IF(SBRUT&gt;PSS,PSS,SBRUT)</f>
        <v>0</v>
      </c>
      <c r="E62" s="244">
        <v>3.1E-2</v>
      </c>
      <c r="F62" s="243">
        <f>E62*D62</f>
        <v>0</v>
      </c>
      <c r="G62" s="243"/>
      <c r="H62" s="244">
        <v>4.65E-2</v>
      </c>
      <c r="I62" s="245">
        <f>H62*D62</f>
        <v>0</v>
      </c>
    </row>
    <row r="63" spans="1:9" x14ac:dyDescent="0.25">
      <c r="A63" s="551" t="s">
        <v>336</v>
      </c>
      <c r="B63" s="540"/>
      <c r="C63" s="129"/>
      <c r="D63" s="131">
        <f>IF(SBRUT&gt;PSS,PSS,SBRUT)</f>
        <v>0</v>
      </c>
      <c r="E63" s="234">
        <v>8.0000000000000002E-3</v>
      </c>
      <c r="F63" s="131">
        <f>E63*D63</f>
        <v>0</v>
      </c>
      <c r="G63" s="131"/>
      <c r="H63" s="234">
        <v>1.2E-2</v>
      </c>
      <c r="I63" s="149">
        <f>H63*D63</f>
        <v>0</v>
      </c>
    </row>
    <row r="64" spans="1:9" x14ac:dyDescent="0.25">
      <c r="A64" s="551" t="s">
        <v>333</v>
      </c>
      <c r="B64" s="540"/>
      <c r="C64" s="129"/>
      <c r="D64" s="131" t="str">
        <f>IF(SBRUT&gt;3*PSS,(3*PSS)-PSS,IF(SBRUT&gt;PSS,SBRUT-PSS,""))</f>
        <v/>
      </c>
      <c r="E64" s="234">
        <v>8.1000000000000003E-2</v>
      </c>
      <c r="F64" s="131">
        <f>IFERROR(E64*D64,0)</f>
        <v>0</v>
      </c>
      <c r="G64" s="131"/>
      <c r="H64" s="234">
        <v>0.1215</v>
      </c>
      <c r="I64" s="149">
        <f>IFERROR(H64*D64,0)</f>
        <v>0</v>
      </c>
    </row>
    <row r="65" spans="1:10" x14ac:dyDescent="0.25">
      <c r="A65" s="551" t="s">
        <v>335</v>
      </c>
      <c r="B65" s="540"/>
      <c r="C65" s="129"/>
      <c r="D65" s="131" t="str">
        <f>IF(SBRUT&gt;3*PSS,(3*PSS)-PSS,IF(SBRUT&gt;PSS,SBRUT-PSS,""))</f>
        <v/>
      </c>
      <c r="E65" s="234">
        <v>8.9999999999999993E-3</v>
      </c>
      <c r="F65" s="131">
        <f>IFERROR(E65*D65,0)</f>
        <v>0</v>
      </c>
      <c r="G65" s="131"/>
      <c r="H65" s="234">
        <v>1.2999999999999999E-2</v>
      </c>
      <c r="I65" s="149">
        <f>IFERROR(H65*D65,0)</f>
        <v>0</v>
      </c>
    </row>
    <row r="66" spans="1:10" x14ac:dyDescent="0.25">
      <c r="A66" s="551" t="s">
        <v>338</v>
      </c>
      <c r="B66" s="540"/>
      <c r="C66" s="129"/>
      <c r="D66" s="130">
        <f>MUTUELLE</f>
        <v>0</v>
      </c>
      <c r="E66" s="241">
        <f>PSAL_MUT</f>
        <v>0</v>
      </c>
      <c r="F66" s="131">
        <f>E66*D66</f>
        <v>0</v>
      </c>
      <c r="G66" s="131"/>
      <c r="H66" s="241">
        <f>IF(PSAL_MUT=0,0%,100%-PSAL_MUT)</f>
        <v>0</v>
      </c>
      <c r="I66" s="149">
        <f t="shared" ref="I66:I67" si="0">H66*D66</f>
        <v>0</v>
      </c>
    </row>
    <row r="67" spans="1:10" x14ac:dyDescent="0.25">
      <c r="A67" s="551" t="s">
        <v>337</v>
      </c>
      <c r="B67" s="540"/>
      <c r="C67" s="129"/>
      <c r="D67" s="131">
        <f>IF(SBRUT&gt;PSS,PSS,SBRUT)</f>
        <v>0</v>
      </c>
      <c r="E67" s="241">
        <f>PSAL_PREV_DC</f>
        <v>0</v>
      </c>
      <c r="F67" s="131">
        <f t="shared" ref="F67" si="1">E67*D67</f>
        <v>0</v>
      </c>
      <c r="G67" s="131"/>
      <c r="H67" s="241">
        <f>PPAT_PREV_DC</f>
        <v>0</v>
      </c>
      <c r="I67" s="149">
        <f t="shared" si="0"/>
        <v>0</v>
      </c>
    </row>
    <row r="68" spans="1:10" ht="15.75" thickBot="1" x14ac:dyDescent="0.3">
      <c r="A68" s="561"/>
      <c r="B68" s="562"/>
      <c r="C68" s="135"/>
      <c r="D68" s="153"/>
      <c r="E68" s="235"/>
      <c r="F68" s="153"/>
      <c r="G68" s="153"/>
      <c r="H68" s="235"/>
      <c r="I68" s="154"/>
    </row>
    <row r="69" spans="1:10" s="146" customFormat="1" ht="15.75" thickBot="1" x14ac:dyDescent="0.3">
      <c r="A69" s="563" t="s">
        <v>21</v>
      </c>
      <c r="B69" s="564"/>
      <c r="C69" s="263"/>
      <c r="D69" s="266" t="s">
        <v>24</v>
      </c>
      <c r="E69" s="267" t="s">
        <v>25</v>
      </c>
      <c r="F69" s="267" t="s">
        <v>26</v>
      </c>
      <c r="G69" s="267"/>
      <c r="H69" s="267" t="s">
        <v>27</v>
      </c>
      <c r="I69" s="268" t="s">
        <v>28</v>
      </c>
    </row>
    <row r="70" spans="1:10" x14ac:dyDescent="0.25">
      <c r="A70" s="547" t="s">
        <v>22</v>
      </c>
      <c r="B70" s="548"/>
      <c r="C70" s="242"/>
      <c r="D70" s="243">
        <f>IF(NBRE_SALARIES&gt;20,SBRUT,IF(SBRUT&gt;PSS,PSS,SBRUT))</f>
        <v>0</v>
      </c>
      <c r="E70" s="246"/>
      <c r="F70" s="247"/>
      <c r="G70" s="243"/>
      <c r="H70" s="244">
        <f>IF(NBRE_SALARIES&gt;20,0.5%,0.1%)</f>
        <v>1E-3</v>
      </c>
      <c r="I70" s="245">
        <f>H70*D70</f>
        <v>0</v>
      </c>
    </row>
    <row r="71" spans="1:10" x14ac:dyDescent="0.25">
      <c r="A71" s="551" t="s">
        <v>340</v>
      </c>
      <c r="B71" s="540"/>
      <c r="C71" s="129"/>
      <c r="D71" s="131">
        <f>SBRUT</f>
        <v>0</v>
      </c>
      <c r="E71" s="240"/>
      <c r="F71" s="240"/>
      <c r="G71" s="131"/>
      <c r="H71" s="234">
        <v>1E-4</v>
      </c>
      <c r="I71" s="149">
        <f>H71*D71</f>
        <v>0</v>
      </c>
    </row>
    <row r="72" spans="1:10" x14ac:dyDescent="0.25">
      <c r="A72" s="581" t="s">
        <v>341</v>
      </c>
      <c r="B72" s="582"/>
      <c r="C72" s="248"/>
      <c r="D72" s="160">
        <f>SBRUT</f>
        <v>0</v>
      </c>
      <c r="E72" s="250"/>
      <c r="F72" s="251"/>
      <c r="G72" s="160"/>
      <c r="H72" s="249">
        <v>1.6000000000000001E-4</v>
      </c>
      <c r="I72" s="156">
        <f t="shared" ref="I72:I79" si="2">H72*D72</f>
        <v>0</v>
      </c>
    </row>
    <row r="73" spans="1:10" x14ac:dyDescent="0.25">
      <c r="A73" s="551" t="s">
        <v>352</v>
      </c>
      <c r="B73" s="552"/>
      <c r="C73" s="248"/>
      <c r="D73" s="160">
        <f>IF(SBRUT&gt;4*PSS,SBRUT+PPMUT+PPPREVDC,(SBRUT*98.25%)+PPMUT+PPPREVDC)</f>
        <v>0</v>
      </c>
      <c r="E73" s="272">
        <v>2.4E-2</v>
      </c>
      <c r="F73" s="159">
        <f>E73*D73</f>
        <v>0</v>
      </c>
      <c r="G73" s="160"/>
      <c r="H73" s="250"/>
      <c r="I73" s="273"/>
    </row>
    <row r="74" spans="1:10" x14ac:dyDescent="0.25">
      <c r="A74" s="551" t="s">
        <v>353</v>
      </c>
      <c r="B74" s="552"/>
      <c r="C74" s="248"/>
      <c r="D74" s="160">
        <f>IF(SBRUT&gt;4*PSS,SBRUT+PPMUT+PPPREVDC,(SBRUT*98.25%)+PPMUT+PPPREVDC)</f>
        <v>0</v>
      </c>
      <c r="E74" s="272">
        <v>5.0000000000000001E-3</v>
      </c>
      <c r="F74" s="159">
        <f>E74*D74</f>
        <v>0</v>
      </c>
      <c r="G74" s="160"/>
      <c r="H74" s="250"/>
      <c r="I74" s="273"/>
    </row>
    <row r="75" spans="1:10" x14ac:dyDescent="0.25">
      <c r="A75" s="551" t="s">
        <v>342</v>
      </c>
      <c r="B75" s="540"/>
      <c r="C75" s="129"/>
      <c r="D75" s="131" t="str">
        <f>IF(NBRE_SALARIES&gt;11,SBRUT,"")</f>
        <v/>
      </c>
      <c r="E75" s="239"/>
      <c r="F75" s="240"/>
      <c r="G75" s="131"/>
      <c r="H75" s="241">
        <f>COT_TR</f>
        <v>0</v>
      </c>
      <c r="I75" s="149">
        <f>IFERROR(H75*D75,0)</f>
        <v>0</v>
      </c>
    </row>
    <row r="76" spans="1:10" x14ac:dyDescent="0.25">
      <c r="A76" s="551" t="s">
        <v>345</v>
      </c>
      <c r="B76" s="540"/>
      <c r="C76" s="129"/>
      <c r="D76" s="131" t="str">
        <f>IF(NBRE_SALARIES&gt;=20,SBRUT,"")</f>
        <v/>
      </c>
      <c r="E76" s="239"/>
      <c r="F76" s="240"/>
      <c r="G76" s="131"/>
      <c r="H76" s="241">
        <v>4.4999999999999997E-3</v>
      </c>
      <c r="I76" s="149">
        <f>IFERROR(H76*D76,0)</f>
        <v>0</v>
      </c>
    </row>
    <row r="77" spans="1:10" x14ac:dyDescent="0.25">
      <c r="A77" s="551" t="s">
        <v>346</v>
      </c>
      <c r="B77" s="540"/>
      <c r="C77" s="254" t="s">
        <v>347</v>
      </c>
      <c r="D77" s="131" t="str">
        <f>IF(C77="TVA","",SBRUT)</f>
        <v/>
      </c>
      <c r="E77" s="239"/>
      <c r="F77" s="240"/>
      <c r="G77" s="131"/>
      <c r="H77" s="234">
        <v>4.2500000000000003E-2</v>
      </c>
      <c r="I77" s="149">
        <f>IFERROR(H77*D77,0)</f>
        <v>0</v>
      </c>
      <c r="J77" s="255" t="s">
        <v>348</v>
      </c>
    </row>
    <row r="78" spans="1:10" x14ac:dyDescent="0.25">
      <c r="A78" s="551" t="s">
        <v>349</v>
      </c>
      <c r="B78" s="540"/>
      <c r="C78" s="129"/>
      <c r="D78" s="131">
        <f>SBRUT</f>
        <v>0</v>
      </c>
      <c r="E78" s="239"/>
      <c r="F78" s="240"/>
      <c r="G78" s="131"/>
      <c r="H78" s="234">
        <v>6.7999999999999996E-3</v>
      </c>
      <c r="I78" s="149">
        <f t="shared" si="2"/>
        <v>0</v>
      </c>
    </row>
    <row r="79" spans="1:10" x14ac:dyDescent="0.25">
      <c r="A79" s="551" t="s">
        <v>350</v>
      </c>
      <c r="B79" s="540"/>
      <c r="C79" s="129"/>
      <c r="D79" s="131">
        <f>SBRUT</f>
        <v>0</v>
      </c>
      <c r="E79" s="239"/>
      <c r="F79" s="240"/>
      <c r="G79" s="131"/>
      <c r="H79" s="234">
        <f>IF(NBRE_SALARIES&gt;=11,1%,0.55%)</f>
        <v>5.5000000000000005E-3</v>
      </c>
      <c r="I79" s="149">
        <f t="shared" si="2"/>
        <v>0</v>
      </c>
    </row>
    <row r="80" spans="1:10" ht="15.75" thickBot="1" x14ac:dyDescent="0.3">
      <c r="A80" s="539"/>
      <c r="B80" s="540"/>
      <c r="C80" s="129"/>
      <c r="D80" s="131"/>
      <c r="E80" s="234"/>
      <c r="F80" s="131"/>
      <c r="G80" s="131"/>
      <c r="H80" s="234"/>
      <c r="I80" s="149"/>
    </row>
    <row r="81" spans="1:12" ht="15.75" thickBot="1" x14ac:dyDescent="0.3">
      <c r="A81" s="155"/>
      <c r="B81" s="136"/>
      <c r="C81" s="136"/>
      <c r="D81" s="153"/>
      <c r="E81" s="274" t="s">
        <v>343</v>
      </c>
      <c r="F81" s="252">
        <f>SUM(F46:F80)</f>
        <v>0</v>
      </c>
      <c r="G81" s="153"/>
      <c r="H81" s="253" t="s">
        <v>344</v>
      </c>
      <c r="I81" s="252">
        <f>SUM(I46:I80)</f>
        <v>0</v>
      </c>
    </row>
    <row r="82" spans="1:12" ht="15.75" thickBot="1" x14ac:dyDescent="0.3">
      <c r="A82" s="155"/>
      <c r="B82" s="276"/>
      <c r="C82" s="277"/>
      <c r="D82" s="574" t="s">
        <v>354</v>
      </c>
      <c r="E82" s="575"/>
      <c r="F82" s="158">
        <f>SBRUT-totcotsal</f>
        <v>0</v>
      </c>
      <c r="G82" s="153"/>
      <c r="H82" s="275"/>
      <c r="I82" s="154"/>
    </row>
    <row r="83" spans="1:12" x14ac:dyDescent="0.25">
      <c r="A83" s="155"/>
      <c r="B83" s="136"/>
      <c r="C83" s="136"/>
      <c r="D83" s="153"/>
      <c r="E83" s="153"/>
      <c r="F83" s="153"/>
      <c r="G83" s="153"/>
      <c r="H83" s="153"/>
      <c r="I83" s="154"/>
      <c r="L83" s="135"/>
    </row>
    <row r="84" spans="1:12" x14ac:dyDescent="0.25">
      <c r="A84" s="539" t="s">
        <v>29</v>
      </c>
      <c r="B84" s="540"/>
      <c r="C84" s="129"/>
      <c r="D84" s="131"/>
      <c r="E84" s="131"/>
      <c r="F84" s="131"/>
      <c r="G84" s="131"/>
      <c r="H84" s="131"/>
      <c r="I84" s="149"/>
      <c r="J84" s="152"/>
    </row>
    <row r="85" spans="1:12" x14ac:dyDescent="0.25">
      <c r="A85" s="543" t="s">
        <v>250</v>
      </c>
      <c r="B85" s="544"/>
      <c r="C85" s="163"/>
      <c r="D85" s="130"/>
      <c r="E85" s="130"/>
      <c r="F85" s="130">
        <f>-SAISIE!I15</f>
        <v>0</v>
      </c>
      <c r="G85" s="131"/>
      <c r="H85" s="131"/>
      <c r="I85" s="149"/>
      <c r="J85" s="219" t="s">
        <v>251</v>
      </c>
    </row>
    <row r="86" spans="1:12" x14ac:dyDescent="0.25">
      <c r="A86" s="543" t="s">
        <v>157</v>
      </c>
      <c r="B86" s="544"/>
      <c r="C86" s="163"/>
      <c r="D86" s="130"/>
      <c r="E86" s="130"/>
      <c r="F86" s="130">
        <f>-TR_SAL</f>
        <v>0</v>
      </c>
      <c r="G86" s="131"/>
      <c r="H86" s="131"/>
      <c r="I86" s="149"/>
      <c r="J86" s="161" t="s">
        <v>230</v>
      </c>
    </row>
    <row r="87" spans="1:12" x14ac:dyDescent="0.25">
      <c r="A87" s="543" t="s">
        <v>162</v>
      </c>
      <c r="B87" s="544"/>
      <c r="C87" s="163"/>
      <c r="D87" s="130"/>
      <c r="E87" s="130"/>
      <c r="F87" s="130">
        <f>-EF_SAL</f>
        <v>0</v>
      </c>
      <c r="G87" s="131"/>
      <c r="H87" s="131"/>
      <c r="I87" s="149"/>
      <c r="J87" s="161" t="s">
        <v>231</v>
      </c>
    </row>
    <row r="88" spans="1:12" x14ac:dyDescent="0.25">
      <c r="A88" s="543" t="s">
        <v>151</v>
      </c>
      <c r="B88" s="544"/>
      <c r="C88" s="163"/>
      <c r="D88" s="130"/>
      <c r="E88" s="130"/>
      <c r="F88" s="130">
        <f>-AN_REPAS</f>
        <v>0</v>
      </c>
      <c r="G88" s="131"/>
      <c r="H88" s="131"/>
      <c r="I88" s="149"/>
      <c r="J88" s="162"/>
    </row>
    <row r="89" spans="1:12" x14ac:dyDescent="0.25">
      <c r="A89" s="543" t="s">
        <v>179</v>
      </c>
      <c r="B89" s="544"/>
      <c r="C89" s="163"/>
      <c r="D89" s="130"/>
      <c r="E89" s="130"/>
      <c r="F89" s="130">
        <f>-F27</f>
        <v>0</v>
      </c>
      <c r="G89" s="131"/>
      <c r="H89" s="131"/>
      <c r="I89" s="149"/>
      <c r="J89" s="161" t="s">
        <v>232</v>
      </c>
    </row>
    <row r="90" spans="1:12" x14ac:dyDescent="0.25">
      <c r="A90" s="543" t="s">
        <v>200</v>
      </c>
      <c r="B90" s="544"/>
      <c r="C90" s="163"/>
      <c r="D90" s="130"/>
      <c r="E90" s="130"/>
      <c r="F90" s="130">
        <f>-AN_VEH</f>
        <v>0</v>
      </c>
      <c r="G90" s="131"/>
      <c r="H90" s="131"/>
      <c r="I90" s="149"/>
      <c r="J90" s="161" t="s">
        <v>233</v>
      </c>
    </row>
    <row r="91" spans="1:12" x14ac:dyDescent="0.25">
      <c r="A91" s="543" t="s">
        <v>243</v>
      </c>
      <c r="B91" s="544"/>
      <c r="C91" s="163"/>
      <c r="D91" s="130"/>
      <c r="E91" s="130"/>
      <c r="F91" s="130">
        <f>-AN_TECH_ABO</f>
        <v>0</v>
      </c>
      <c r="G91" s="131"/>
      <c r="H91" s="131"/>
      <c r="I91" s="149"/>
    </row>
    <row r="92" spans="1:12" ht="12.75" customHeight="1" x14ac:dyDescent="0.25">
      <c r="A92" s="545" t="s">
        <v>264</v>
      </c>
      <c r="B92" s="546"/>
      <c r="C92" s="163"/>
      <c r="D92" s="502"/>
      <c r="E92" s="502"/>
      <c r="F92" s="503">
        <f>E92*D92</f>
        <v>0</v>
      </c>
      <c r="G92" s="131"/>
      <c r="H92" s="131"/>
      <c r="I92" s="149"/>
      <c r="J92" s="161"/>
    </row>
    <row r="93" spans="1:12" ht="12.75" customHeight="1" x14ac:dyDescent="0.25">
      <c r="A93" s="545" t="s">
        <v>325</v>
      </c>
      <c r="B93" s="546"/>
      <c r="C93" s="163"/>
      <c r="D93" s="502"/>
      <c r="E93" s="502"/>
      <c r="F93" s="503">
        <v>0</v>
      </c>
      <c r="G93" s="131"/>
      <c r="H93" s="131"/>
      <c r="I93" s="149"/>
      <c r="J93" s="161"/>
    </row>
    <row r="94" spans="1:12" ht="12.75" customHeight="1" x14ac:dyDescent="0.25">
      <c r="A94" s="543" t="s">
        <v>270</v>
      </c>
      <c r="B94" s="544"/>
      <c r="C94" s="163"/>
      <c r="D94" s="163"/>
      <c r="E94" s="164"/>
      <c r="F94" s="165">
        <f>ABO_TR</f>
        <v>0</v>
      </c>
      <c r="G94" s="131"/>
      <c r="H94" s="131"/>
      <c r="I94" s="149"/>
      <c r="J94" s="161"/>
    </row>
    <row r="95" spans="1:12" x14ac:dyDescent="0.25">
      <c r="A95" s="543" t="s">
        <v>252</v>
      </c>
      <c r="B95" s="544"/>
      <c r="C95" s="163"/>
      <c r="D95" s="130"/>
      <c r="E95" s="130"/>
      <c r="F95" s="130">
        <f>IF('info bulletin'!C36="OUI",-SNAR*10/100,0)</f>
        <v>0</v>
      </c>
      <c r="G95" s="131"/>
      <c r="H95" s="131"/>
      <c r="I95" s="149"/>
    </row>
    <row r="96" spans="1:12" x14ac:dyDescent="0.25">
      <c r="A96" s="543" t="s">
        <v>188</v>
      </c>
      <c r="B96" s="544"/>
      <c r="C96" s="163"/>
      <c r="D96" s="130"/>
      <c r="E96" s="130"/>
      <c r="F96" s="130">
        <f>-ACOMPTE</f>
        <v>0</v>
      </c>
      <c r="G96" s="131"/>
      <c r="H96" s="131"/>
      <c r="I96" s="149"/>
      <c r="J96" s="135"/>
    </row>
    <row r="97" spans="1:10" ht="15.75" thickBot="1" x14ac:dyDescent="0.3">
      <c r="A97" s="543"/>
      <c r="B97" s="544"/>
      <c r="C97" s="163"/>
      <c r="D97" s="130"/>
      <c r="E97" s="130"/>
      <c r="F97" s="130"/>
      <c r="G97" s="131"/>
      <c r="H97" s="131"/>
      <c r="I97" s="149"/>
      <c r="J97" s="135"/>
    </row>
    <row r="98" spans="1:10" ht="15.75" thickBot="1" x14ac:dyDescent="0.3">
      <c r="A98" s="549"/>
      <c r="B98" s="550"/>
      <c r="C98" s="167"/>
      <c r="D98" s="167"/>
      <c r="E98" s="271" t="s">
        <v>351</v>
      </c>
      <c r="F98" s="252">
        <f>SUM(F84:F97)</f>
        <v>0</v>
      </c>
      <c r="G98" s="167"/>
      <c r="H98" s="167"/>
      <c r="I98" s="166"/>
      <c r="J98" s="135"/>
    </row>
    <row r="99" spans="1:10" ht="15.75" thickBot="1" x14ac:dyDescent="0.3">
      <c r="A99" s="269"/>
      <c r="B99" s="270"/>
      <c r="C99" s="136"/>
      <c r="D99" s="136"/>
      <c r="E99" s="136"/>
      <c r="F99" s="136"/>
      <c r="G99" s="136"/>
      <c r="H99" s="136"/>
      <c r="I99" s="154"/>
      <c r="J99" s="220"/>
    </row>
    <row r="100" spans="1:10" ht="15.75" thickBot="1" x14ac:dyDescent="0.3">
      <c r="A100" s="155"/>
      <c r="B100" s="136"/>
      <c r="C100" s="574" t="s">
        <v>355</v>
      </c>
      <c r="D100" s="576"/>
      <c r="E100" s="558"/>
      <c r="F100" s="158">
        <f>SNAR+TOTRET</f>
        <v>0</v>
      </c>
      <c r="G100" s="153"/>
      <c r="H100" s="157" t="s">
        <v>30</v>
      </c>
      <c r="I100" s="158">
        <f>totcotpat</f>
        <v>0</v>
      </c>
    </row>
    <row r="101" spans="1:10" x14ac:dyDescent="0.25">
      <c r="A101" s="155"/>
      <c r="B101" s="136"/>
      <c r="C101" s="136"/>
      <c r="D101" s="153"/>
      <c r="E101" s="153"/>
      <c r="F101" s="153"/>
      <c r="G101" s="153"/>
      <c r="H101" s="153"/>
      <c r="I101" s="154"/>
    </row>
    <row r="102" spans="1:10" ht="15.75" thickBot="1" x14ac:dyDescent="0.3">
      <c r="A102" s="155"/>
      <c r="B102" s="136"/>
      <c r="C102" s="136"/>
      <c r="D102" s="153"/>
      <c r="E102" s="153"/>
      <c r="F102" s="153"/>
      <c r="G102" s="153"/>
      <c r="H102" s="153"/>
      <c r="I102" s="154"/>
    </row>
    <row r="103" spans="1:10" ht="15.75" thickBot="1" x14ac:dyDescent="0.3">
      <c r="A103" s="155"/>
      <c r="B103" s="136"/>
      <c r="C103" s="136"/>
      <c r="D103" s="153"/>
      <c r="E103" s="153"/>
      <c r="F103" s="153"/>
      <c r="G103" s="153"/>
      <c r="H103" s="557" t="s">
        <v>31</v>
      </c>
      <c r="I103" s="558"/>
    </row>
    <row r="104" spans="1:10" ht="15.75" thickBot="1" x14ac:dyDescent="0.3">
      <c r="A104" s="168"/>
      <c r="B104" s="169"/>
      <c r="C104" s="169"/>
      <c r="D104" s="170"/>
      <c r="E104" s="170"/>
      <c r="F104" s="170"/>
      <c r="G104" s="170"/>
      <c r="H104" s="559">
        <f>NAP</f>
        <v>0</v>
      </c>
      <c r="I104" s="560"/>
    </row>
    <row r="105" spans="1:10" ht="15.75" thickBot="1" x14ac:dyDescent="0.3">
      <c r="A105" s="553" t="s">
        <v>32</v>
      </c>
      <c r="B105" s="554"/>
      <c r="C105" s="145"/>
      <c r="D105" s="171"/>
      <c r="E105" s="171"/>
      <c r="F105" s="171"/>
      <c r="G105" s="171"/>
      <c r="H105" s="171"/>
      <c r="I105" s="172"/>
    </row>
    <row r="106" spans="1:10" x14ac:dyDescent="0.25">
      <c r="A106" s="155"/>
      <c r="B106" s="136"/>
      <c r="C106" s="136"/>
      <c r="D106" s="136"/>
      <c r="E106" s="136"/>
      <c r="F106" s="136"/>
      <c r="G106" s="136"/>
      <c r="H106" s="136"/>
      <c r="I106" s="173"/>
    </row>
    <row r="107" spans="1:10" x14ac:dyDescent="0.25">
      <c r="A107" s="155"/>
      <c r="B107" s="136"/>
      <c r="C107" s="136"/>
      <c r="D107" s="136"/>
      <c r="E107" s="136"/>
      <c r="F107" s="136"/>
      <c r="G107" s="136"/>
      <c r="H107" s="136"/>
      <c r="I107" s="173"/>
    </row>
    <row r="108" spans="1:10" ht="15.75" thickBot="1" x14ac:dyDescent="0.3">
      <c r="A108" s="155"/>
      <c r="B108" s="136"/>
      <c r="C108" s="136"/>
      <c r="D108" s="136"/>
      <c r="E108" s="136"/>
      <c r="F108" s="136"/>
      <c r="G108" s="136"/>
      <c r="H108" s="136"/>
      <c r="I108" s="173"/>
    </row>
    <row r="109" spans="1:10" ht="15.75" thickBot="1" x14ac:dyDescent="0.3">
      <c r="A109" s="553" t="s">
        <v>33</v>
      </c>
      <c r="B109" s="554"/>
      <c r="C109" s="145"/>
      <c r="D109" s="171"/>
      <c r="E109" s="171"/>
      <c r="F109" s="171"/>
      <c r="G109" s="171"/>
      <c r="H109" s="171"/>
      <c r="I109" s="172"/>
    </row>
    <row r="110" spans="1:10" x14ac:dyDescent="0.25">
      <c r="A110" s="155"/>
      <c r="B110" s="136"/>
      <c r="C110" s="136"/>
      <c r="D110" s="136"/>
      <c r="E110" s="136"/>
      <c r="F110" s="136"/>
      <c r="G110" s="136"/>
      <c r="H110" s="136"/>
      <c r="I110" s="173"/>
    </row>
    <row r="111" spans="1:10" x14ac:dyDescent="0.25">
      <c r="A111" s="155"/>
      <c r="B111" s="136"/>
      <c r="C111" s="136"/>
      <c r="D111" s="136"/>
      <c r="E111" s="136"/>
      <c r="F111" s="136"/>
      <c r="G111" s="136"/>
      <c r="H111" s="136"/>
      <c r="I111" s="173"/>
    </row>
    <row r="112" spans="1:10" ht="15.75" thickBot="1" x14ac:dyDescent="0.3">
      <c r="A112" s="168"/>
      <c r="B112" s="169"/>
      <c r="C112" s="169"/>
      <c r="D112" s="169"/>
      <c r="E112" s="169"/>
      <c r="F112" s="169"/>
      <c r="G112" s="169"/>
      <c r="H112" s="169"/>
      <c r="I112" s="174"/>
    </row>
    <row r="113" spans="1:9" x14ac:dyDescent="0.25">
      <c r="A113" s="113" t="s">
        <v>35</v>
      </c>
      <c r="G113" s="555" t="s">
        <v>37</v>
      </c>
      <c r="H113" s="556"/>
      <c r="I113" s="280" t="s">
        <v>36</v>
      </c>
    </row>
    <row r="114" spans="1:9" ht="15.75" thickBot="1" x14ac:dyDescent="0.3">
      <c r="A114" s="113" t="s">
        <v>34</v>
      </c>
      <c r="G114" s="281"/>
      <c r="H114" s="278">
        <f>NAP</f>
        <v>0</v>
      </c>
      <c r="I114" s="279">
        <f>NAP+F73+F74+PPPREVDC-F96-F95</f>
        <v>0</v>
      </c>
    </row>
  </sheetData>
  <mergeCells count="88">
    <mergeCell ref="A1:B2"/>
    <mergeCell ref="A80:B80"/>
    <mergeCell ref="A55:B55"/>
    <mergeCell ref="A65:B65"/>
    <mergeCell ref="A31:B31"/>
    <mergeCell ref="A21:B21"/>
    <mergeCell ref="A66:B66"/>
    <mergeCell ref="A67:B67"/>
    <mergeCell ref="A77:B77"/>
    <mergeCell ref="A27:B27"/>
    <mergeCell ref="A38:B38"/>
    <mergeCell ref="A41:B41"/>
    <mergeCell ref="A47:B47"/>
    <mergeCell ref="A20:B20"/>
    <mergeCell ref="A61:B61"/>
    <mergeCell ref="A62:B62"/>
    <mergeCell ref="A49:B49"/>
    <mergeCell ref="A50:B50"/>
    <mergeCell ref="A29:B29"/>
    <mergeCell ref="A59:B59"/>
    <mergeCell ref="D82:E82"/>
    <mergeCell ref="A63:B63"/>
    <mergeCell ref="A64:B64"/>
    <mergeCell ref="A68:B68"/>
    <mergeCell ref="A69:B69"/>
    <mergeCell ref="A70:B70"/>
    <mergeCell ref="A79:B79"/>
    <mergeCell ref="A72:B72"/>
    <mergeCell ref="A75:B75"/>
    <mergeCell ref="A76:B76"/>
    <mergeCell ref="A74:B74"/>
    <mergeCell ref="A60:B60"/>
    <mergeCell ref="A53:B53"/>
    <mergeCell ref="A28:B28"/>
    <mergeCell ref="A56:B56"/>
    <mergeCell ref="A57:B57"/>
    <mergeCell ref="A51:B51"/>
    <mergeCell ref="A43:B43"/>
    <mergeCell ref="A44:B44"/>
    <mergeCell ref="A45:B45"/>
    <mergeCell ref="A46:B46"/>
    <mergeCell ref="A54:B54"/>
    <mergeCell ref="A52:B52"/>
    <mergeCell ref="A36:B36"/>
    <mergeCell ref="A39:B39"/>
    <mergeCell ref="A40:B40"/>
    <mergeCell ref="A48:B48"/>
    <mergeCell ref="A109:B109"/>
    <mergeCell ref="G113:H113"/>
    <mergeCell ref="H103:I103"/>
    <mergeCell ref="H104:I104"/>
    <mergeCell ref="A96:B96"/>
    <mergeCell ref="A97:B97"/>
    <mergeCell ref="A105:B105"/>
    <mergeCell ref="C100:E100"/>
    <mergeCell ref="A94:B94"/>
    <mergeCell ref="A98:B98"/>
    <mergeCell ref="A71:B71"/>
    <mergeCell ref="A73:B73"/>
    <mergeCell ref="A78:B78"/>
    <mergeCell ref="A89:B89"/>
    <mergeCell ref="A88:B88"/>
    <mergeCell ref="A86:B86"/>
    <mergeCell ref="A85:B85"/>
    <mergeCell ref="A90:B90"/>
    <mergeCell ref="A84:B84"/>
    <mergeCell ref="A87:B87"/>
    <mergeCell ref="A22:B22"/>
    <mergeCell ref="A95:B95"/>
    <mergeCell ref="A92:B92"/>
    <mergeCell ref="A93:B93"/>
    <mergeCell ref="A91:B91"/>
    <mergeCell ref="A30:B30"/>
    <mergeCell ref="A23:B23"/>
    <mergeCell ref="A32:B32"/>
    <mergeCell ref="A26:B26"/>
    <mergeCell ref="A24:B24"/>
    <mergeCell ref="A25:B25"/>
    <mergeCell ref="A33:B33"/>
    <mergeCell ref="A34:B34"/>
    <mergeCell ref="A35:B35"/>
    <mergeCell ref="A37:B37"/>
    <mergeCell ref="A58:B58"/>
    <mergeCell ref="A19:B19"/>
    <mergeCell ref="A15:B15"/>
    <mergeCell ref="A17:B17"/>
    <mergeCell ref="A18:B18"/>
    <mergeCell ref="A16:B16"/>
  </mergeCells>
  <hyperlinks>
    <hyperlink ref="J31" location="ABS" display="ABS" xr:uid="{00000000-0004-0000-0200-000000000000}"/>
    <hyperlink ref="J32" location="CP" display="CP" xr:uid="{00000000-0004-0000-0200-000001000000}"/>
    <hyperlink ref="J86" location="ANTR" display="ANTR" xr:uid="{00000000-0004-0000-0200-000002000000}"/>
    <hyperlink ref="J87" location="ANREPAS" display="ANREPAS" xr:uid="{00000000-0004-0000-0200-000003000000}"/>
    <hyperlink ref="J89" location="ANLOGEMENT" display="ANLOGEMENT" xr:uid="{00000000-0004-0000-0200-000004000000}"/>
    <hyperlink ref="J90" location="ANVEHICULE" display="ANVEHICULE" xr:uid="{00000000-0004-0000-0200-000005000000}"/>
    <hyperlink ref="J26" location="ANTR" display="ANTR" xr:uid="{00000000-0004-0000-0200-000006000000}"/>
    <hyperlink ref="J27" location="ANLOGEMENT" display="ANLOGEMENT" xr:uid="{00000000-0004-0000-0200-000007000000}"/>
    <hyperlink ref="J28" location="ANVEHICULE" display="ANVEHICULE" xr:uid="{00000000-0004-0000-0200-000008000000}"/>
    <hyperlink ref="J24" location="HS" display="HS" xr:uid="{00000000-0004-0000-0200-000009000000}"/>
    <hyperlink ref="J85" location="SAISIE" display="SAISIE" xr:uid="{00000000-0004-0000-0200-00000A000000}"/>
    <hyperlink ref="J19" location="ABS_NR" display="ABS_NR" xr:uid="{00000000-0004-0000-0200-00000B000000}"/>
  </hyperlinks>
  <printOptions horizontalCentered="1" verticalCentered="1"/>
  <pageMargins left="0.23622047244094491" right="0.23622047244094491" top="0.74803149606299213" bottom="0.74803149606299213" header="0.31496062992125984" footer="0.31496062992125984"/>
  <pageSetup paperSize="9" scale="47" fitToWidth="0" orientation="portrait" r:id="rId1"/>
  <headerFooter>
    <oddFooter>&amp;LMORALES Sandrine&amp;RGestionnaire de paie 2 
&amp;D</oddFooter>
  </headerFooter>
  <ignoredErrors>
    <ignoredError sqref="I52:I53 I51 I75" formula="1"/>
  </ignoredErrors>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I52"/>
  <sheetViews>
    <sheetView workbookViewId="0">
      <pane ySplit="15" topLeftCell="A16" activePane="bottomLeft" state="frozen"/>
      <selection pane="bottomLeft" activeCell="C52" sqref="C52:F52"/>
    </sheetView>
  </sheetViews>
  <sheetFormatPr baseColWidth="10" defaultRowHeight="15" x14ac:dyDescent="0.25"/>
  <cols>
    <col min="1" max="1" width="30.7109375" customWidth="1"/>
    <col min="2" max="2" width="17.28515625" customWidth="1"/>
    <col min="3" max="3" width="2.5703125" customWidth="1"/>
    <col min="4" max="4" width="14.85546875" customWidth="1"/>
    <col min="5" max="5" width="22.5703125" customWidth="1"/>
    <col min="6" max="6" width="17" customWidth="1"/>
    <col min="7" max="8" width="16.5703125" customWidth="1"/>
  </cols>
  <sheetData>
    <row r="1" spans="1:9" x14ac:dyDescent="0.25">
      <c r="A1" s="583" t="s">
        <v>0</v>
      </c>
      <c r="B1" s="583"/>
      <c r="C1" s="316"/>
      <c r="D1" s="327" t="s">
        <v>38</v>
      </c>
      <c r="E1" s="328"/>
      <c r="F1" s="328"/>
      <c r="G1" s="328"/>
      <c r="H1" s="328"/>
      <c r="I1" s="322"/>
    </row>
    <row r="2" spans="1:9" x14ac:dyDescent="0.25">
      <c r="A2" s="583"/>
      <c r="B2" s="583"/>
      <c r="C2" s="316"/>
      <c r="D2" s="323"/>
      <c r="E2" s="329" t="s">
        <v>39</v>
      </c>
      <c r="F2" s="329" t="str">
        <f>'Modèle Non Cadre'!F2</f>
        <v/>
      </c>
      <c r="G2" s="329"/>
      <c r="H2" s="329"/>
      <c r="I2" s="324"/>
    </row>
    <row r="3" spans="1:9" ht="12" customHeight="1" x14ac:dyDescent="0.25">
      <c r="A3" s="318"/>
      <c r="B3" s="318"/>
      <c r="C3" s="318"/>
      <c r="D3" s="323"/>
      <c r="E3" s="329" t="s">
        <v>40</v>
      </c>
      <c r="F3" s="329" t="str">
        <f>'Modèle Non Cadre'!F3</f>
        <v/>
      </c>
      <c r="G3" s="329"/>
      <c r="H3" s="329"/>
      <c r="I3" s="324"/>
    </row>
    <row r="4" spans="1:9" ht="12" customHeight="1" x14ac:dyDescent="0.25">
      <c r="A4" s="320" t="s">
        <v>48</v>
      </c>
      <c r="B4" s="320">
        <f>'Modèle Non Cadre'!B4</f>
        <v>42736</v>
      </c>
      <c r="C4" s="318"/>
      <c r="D4" s="323"/>
      <c r="E4" s="329" t="s">
        <v>41</v>
      </c>
      <c r="F4" s="329" t="str">
        <f>'Modèle Non Cadre'!F4</f>
        <v/>
      </c>
      <c r="G4" s="329"/>
      <c r="H4" s="329"/>
      <c r="I4" s="324"/>
    </row>
    <row r="5" spans="1:9" ht="12" customHeight="1" x14ac:dyDescent="0.25">
      <c r="A5" s="318"/>
      <c r="B5" s="318"/>
      <c r="C5" s="318"/>
      <c r="D5" s="323"/>
      <c r="E5" s="329" t="s">
        <v>42</v>
      </c>
      <c r="F5" s="329" t="str">
        <f>'Modèle Non Cadre'!F5</f>
        <v/>
      </c>
      <c r="G5" s="329" t="s">
        <v>43</v>
      </c>
      <c r="H5" s="332" t="str">
        <f>'Modèle Non Cadre'!H5</f>
        <v/>
      </c>
      <c r="I5" s="324"/>
    </row>
    <row r="6" spans="1:9" ht="12" customHeight="1" x14ac:dyDescent="0.25">
      <c r="A6" s="321" t="s">
        <v>1</v>
      </c>
      <c r="B6" s="322" t="str">
        <f>'Modèle Non Cadre'!B7</f>
        <v/>
      </c>
      <c r="C6" s="318"/>
      <c r="D6" s="325"/>
      <c r="E6" s="334" t="s">
        <v>44</v>
      </c>
      <c r="F6" s="330" t="str">
        <f>'Modèle Non Cadre'!H6</f>
        <v/>
      </c>
      <c r="G6" s="330"/>
      <c r="H6" s="330"/>
      <c r="I6" s="326"/>
    </row>
    <row r="7" spans="1:9" ht="12" customHeight="1" x14ac:dyDescent="0.25">
      <c r="A7" s="323" t="s">
        <v>2</v>
      </c>
      <c r="B7" s="324" t="str">
        <f>'Modèle Non Cadre'!B8</f>
        <v/>
      </c>
      <c r="C7" s="318"/>
      <c r="D7" s="318"/>
      <c r="E7" s="318"/>
      <c r="F7" s="318"/>
      <c r="G7" s="318"/>
      <c r="H7" s="318"/>
      <c r="I7" s="318"/>
    </row>
    <row r="8" spans="1:9" ht="12" customHeight="1" x14ac:dyDescent="0.25">
      <c r="A8" s="323" t="s">
        <v>3</v>
      </c>
      <c r="B8" s="324" t="str">
        <f>'Modèle Non Cadre'!B9</f>
        <v/>
      </c>
      <c r="C8" s="317"/>
      <c r="D8" s="318"/>
      <c r="E8" s="318"/>
      <c r="F8" s="318"/>
      <c r="G8" s="318"/>
      <c r="H8" s="318"/>
      <c r="I8" s="318"/>
    </row>
    <row r="9" spans="1:9" ht="12" customHeight="1" x14ac:dyDescent="0.25">
      <c r="A9" s="323" t="s">
        <v>4</v>
      </c>
      <c r="B9" s="324" t="str">
        <f>'Modèle Non Cadre'!B10</f>
        <v/>
      </c>
      <c r="C9" s="317"/>
      <c r="D9" s="327" t="s">
        <v>45</v>
      </c>
      <c r="E9" s="328"/>
      <c r="F9" s="328"/>
      <c r="G9" s="328"/>
      <c r="H9" s="328"/>
      <c r="I9" s="322"/>
    </row>
    <row r="10" spans="1:9" ht="12" customHeight="1" x14ac:dyDescent="0.25">
      <c r="A10" s="323" t="s">
        <v>6</v>
      </c>
      <c r="B10" s="324" t="str">
        <f>'Modèle Non Cadre'!B11</f>
        <v/>
      </c>
      <c r="C10" s="317"/>
      <c r="D10" s="323"/>
      <c r="E10" s="329" t="s">
        <v>46</v>
      </c>
      <c r="F10" s="329" t="str">
        <f>'Modèle Non Cadre'!F10</f>
        <v/>
      </c>
      <c r="G10" s="329" t="str">
        <f>'Modèle Non Cadre'!H10</f>
        <v/>
      </c>
      <c r="H10" s="329"/>
      <c r="I10" s="324"/>
    </row>
    <row r="11" spans="1:9" ht="12" customHeight="1" x14ac:dyDescent="0.25">
      <c r="A11" s="323" t="s">
        <v>5</v>
      </c>
      <c r="B11" s="331" t="str">
        <f>'Modèle Non Cadre'!B12</f>
        <v/>
      </c>
      <c r="C11" s="317"/>
      <c r="D11" s="323"/>
      <c r="E11" s="329" t="s">
        <v>40</v>
      </c>
      <c r="F11" s="329" t="str">
        <f>'Modèle Non Cadre'!F11</f>
        <v/>
      </c>
      <c r="G11" s="329"/>
      <c r="H11" s="329"/>
      <c r="I11" s="324"/>
    </row>
    <row r="12" spans="1:9" ht="12" customHeight="1" x14ac:dyDescent="0.25">
      <c r="A12" s="325" t="s">
        <v>78</v>
      </c>
      <c r="B12" s="333">
        <f>PSS</f>
        <v>0</v>
      </c>
      <c r="C12" s="317"/>
      <c r="D12" s="323"/>
      <c r="E12" s="329" t="s">
        <v>47</v>
      </c>
      <c r="F12" s="329" t="str">
        <f>'Modèle Non Cadre'!F12</f>
        <v/>
      </c>
      <c r="G12" s="329" t="s">
        <v>369</v>
      </c>
      <c r="H12" s="329" t="str">
        <f>'Modèle Non Cadre'!I12</f>
        <v/>
      </c>
      <c r="I12" s="324"/>
    </row>
    <row r="13" spans="1:9" ht="12" customHeight="1" x14ac:dyDescent="0.25">
      <c r="A13" s="319"/>
      <c r="B13" s="319"/>
      <c r="C13" s="317"/>
      <c r="D13" s="325"/>
      <c r="E13" s="330"/>
      <c r="F13" s="330"/>
      <c r="G13" s="330"/>
      <c r="H13" s="330"/>
      <c r="I13" s="326"/>
    </row>
    <row r="14" spans="1:9" ht="12" customHeight="1" thickBot="1" x14ac:dyDescent="0.3">
      <c r="C14" s="20"/>
      <c r="D14" s="20"/>
      <c r="E14" s="20"/>
      <c r="F14" s="20"/>
      <c r="G14" s="20"/>
      <c r="H14" s="20"/>
      <c r="I14" s="20"/>
    </row>
    <row r="15" spans="1:9" ht="15.75" thickBot="1" x14ac:dyDescent="0.3">
      <c r="A15" s="584" t="s">
        <v>49</v>
      </c>
      <c r="B15" s="585"/>
      <c r="C15" s="313"/>
      <c r="D15" s="313" t="s">
        <v>24</v>
      </c>
      <c r="E15" s="313" t="s">
        <v>50</v>
      </c>
      <c r="F15" s="313" t="s">
        <v>51</v>
      </c>
      <c r="G15" s="585" t="s">
        <v>52</v>
      </c>
      <c r="H15" s="585"/>
      <c r="I15" s="598"/>
    </row>
    <row r="16" spans="1:9" x14ac:dyDescent="0.25">
      <c r="A16" s="2" t="s">
        <v>53</v>
      </c>
      <c r="B16" s="4"/>
      <c r="C16" s="2"/>
      <c r="D16" s="4"/>
      <c r="E16" s="5"/>
      <c r="F16" s="4"/>
      <c r="G16" s="2"/>
      <c r="H16" s="3"/>
      <c r="I16" s="4"/>
    </row>
    <row r="17" spans="1:9" x14ac:dyDescent="0.25">
      <c r="A17" s="2"/>
      <c r="B17" s="4"/>
      <c r="C17" s="2"/>
      <c r="D17" s="4"/>
      <c r="E17" s="5"/>
      <c r="F17" s="4"/>
      <c r="G17" s="2"/>
      <c r="H17" s="3"/>
      <c r="I17" s="4"/>
    </row>
    <row r="18" spans="1:9" x14ac:dyDescent="0.25">
      <c r="A18" s="2"/>
      <c r="B18" s="4"/>
      <c r="C18" s="2"/>
      <c r="D18" s="4"/>
      <c r="E18" s="5"/>
      <c r="F18" s="4"/>
      <c r="G18" s="2"/>
      <c r="H18" s="3"/>
      <c r="I18" s="4"/>
    </row>
    <row r="19" spans="1:9" x14ac:dyDescent="0.25">
      <c r="A19" s="6"/>
      <c r="B19" s="4"/>
      <c r="C19" s="2"/>
      <c r="D19" s="4"/>
      <c r="E19" s="5"/>
      <c r="F19" s="4"/>
      <c r="G19" s="2"/>
      <c r="H19" s="3"/>
      <c r="I19" s="4"/>
    </row>
    <row r="20" spans="1:9" ht="6.75" customHeight="1" x14ac:dyDescent="0.25"/>
    <row r="21" spans="1:9" x14ac:dyDescent="0.25">
      <c r="A21" s="10" t="s">
        <v>54</v>
      </c>
      <c r="B21" s="11"/>
      <c r="C21" s="10"/>
      <c r="D21" s="11"/>
      <c r="E21" s="12"/>
      <c r="F21" s="12"/>
    </row>
    <row r="23" spans="1:9" s="1" customFormat="1" x14ac:dyDescent="0.25">
      <c r="A23" s="314" t="s">
        <v>55</v>
      </c>
      <c r="B23" s="315"/>
      <c r="C23" s="586" t="s">
        <v>73</v>
      </c>
      <c r="D23" s="587"/>
      <c r="E23" s="587"/>
      <c r="F23" s="588"/>
      <c r="G23" s="586" t="s">
        <v>74</v>
      </c>
      <c r="H23" s="587"/>
      <c r="I23" s="588"/>
    </row>
    <row r="24" spans="1:9" x14ac:dyDescent="0.25">
      <c r="A24" s="1" t="s">
        <v>68</v>
      </c>
      <c r="C24" s="7"/>
      <c r="D24" s="8"/>
      <c r="E24" s="8"/>
      <c r="F24" s="9"/>
      <c r="G24" s="7"/>
      <c r="H24" s="8"/>
      <c r="I24" s="9"/>
    </row>
    <row r="25" spans="1:9" x14ac:dyDescent="0.25">
      <c r="A25" t="s">
        <v>56</v>
      </c>
      <c r="C25" s="7"/>
      <c r="D25" s="8"/>
      <c r="E25" s="8"/>
      <c r="F25" s="9"/>
      <c r="G25" s="7"/>
      <c r="H25" s="8"/>
      <c r="I25" s="9"/>
    </row>
    <row r="26" spans="1:9" x14ac:dyDescent="0.25">
      <c r="A26" t="s">
        <v>57</v>
      </c>
      <c r="C26" s="7"/>
      <c r="D26" s="8"/>
      <c r="E26" s="8"/>
      <c r="F26" s="9"/>
      <c r="G26" s="7"/>
      <c r="H26" s="8"/>
      <c r="I26" s="9"/>
    </row>
    <row r="27" spans="1:9" x14ac:dyDescent="0.25">
      <c r="A27" t="s">
        <v>58</v>
      </c>
      <c r="C27" s="7"/>
      <c r="D27" s="8"/>
      <c r="E27" s="8"/>
      <c r="F27" s="9"/>
      <c r="G27" s="7"/>
      <c r="H27" s="8"/>
      <c r="I27" s="9"/>
    </row>
    <row r="28" spans="1:9" x14ac:dyDescent="0.25">
      <c r="C28" s="7"/>
      <c r="D28" s="8"/>
      <c r="E28" s="8"/>
      <c r="F28" s="9"/>
      <c r="G28" s="7"/>
      <c r="H28" s="8"/>
      <c r="I28" s="9"/>
    </row>
    <row r="29" spans="1:9" x14ac:dyDescent="0.25">
      <c r="A29" s="1" t="s">
        <v>59</v>
      </c>
      <c r="C29" s="7"/>
      <c r="D29" s="8"/>
      <c r="E29" s="8"/>
      <c r="F29" s="9"/>
      <c r="G29" s="7"/>
      <c r="H29" s="8"/>
      <c r="I29" s="9"/>
    </row>
    <row r="30" spans="1:9" x14ac:dyDescent="0.25">
      <c r="C30" s="7"/>
      <c r="D30" s="8"/>
      <c r="E30" s="8"/>
      <c r="F30" s="9"/>
      <c r="G30" s="7"/>
      <c r="H30" s="8"/>
      <c r="I30" s="9"/>
    </row>
    <row r="31" spans="1:9" x14ac:dyDescent="0.25">
      <c r="A31" s="1" t="s">
        <v>60</v>
      </c>
      <c r="C31" s="7"/>
      <c r="D31" s="8"/>
      <c r="E31" s="8"/>
      <c r="F31" s="9"/>
      <c r="G31" s="7"/>
      <c r="H31" s="8"/>
      <c r="I31" s="9"/>
    </row>
    <row r="32" spans="1:9" x14ac:dyDescent="0.25">
      <c r="A32" t="s">
        <v>56</v>
      </c>
      <c r="C32" s="7"/>
      <c r="D32" s="8"/>
      <c r="E32" s="8"/>
      <c r="F32" s="9"/>
      <c r="G32" s="7"/>
      <c r="H32" s="8"/>
      <c r="I32" s="9"/>
    </row>
    <row r="33" spans="1:9" x14ac:dyDescent="0.25">
      <c r="A33" t="s">
        <v>61</v>
      </c>
      <c r="C33" s="7"/>
      <c r="D33" s="8"/>
      <c r="E33" s="8"/>
      <c r="F33" s="9"/>
      <c r="G33" s="7"/>
      <c r="H33" s="8"/>
      <c r="I33" s="9"/>
    </row>
    <row r="34" spans="1:9" x14ac:dyDescent="0.25">
      <c r="A34" t="s">
        <v>62</v>
      </c>
      <c r="C34" s="7"/>
      <c r="D34" s="8"/>
      <c r="E34" s="8"/>
      <c r="F34" s="9"/>
      <c r="G34" s="7"/>
      <c r="H34" s="8"/>
      <c r="I34" s="9"/>
    </row>
    <row r="35" spans="1:9" x14ac:dyDescent="0.25">
      <c r="C35" s="7"/>
      <c r="D35" s="8"/>
      <c r="E35" s="8"/>
      <c r="F35" s="9"/>
      <c r="G35" s="7"/>
      <c r="H35" s="8"/>
      <c r="I35" s="9"/>
    </row>
    <row r="36" spans="1:9" x14ac:dyDescent="0.25">
      <c r="A36" s="1" t="s">
        <v>63</v>
      </c>
      <c r="C36" s="7"/>
      <c r="D36" s="8"/>
      <c r="E36" s="8"/>
      <c r="F36" s="9"/>
      <c r="G36" s="7"/>
      <c r="H36" s="8"/>
      <c r="I36" s="9"/>
    </row>
    <row r="37" spans="1:9" x14ac:dyDescent="0.25">
      <c r="C37" s="7"/>
      <c r="D37" s="8"/>
      <c r="E37" s="8"/>
      <c r="F37" s="9"/>
      <c r="G37" s="7"/>
      <c r="H37" s="8"/>
      <c r="I37" s="9"/>
    </row>
    <row r="38" spans="1:9" x14ac:dyDescent="0.25">
      <c r="A38" s="1" t="s">
        <v>64</v>
      </c>
      <c r="C38" s="7"/>
      <c r="D38" s="8"/>
      <c r="E38" s="8"/>
      <c r="F38" s="9"/>
      <c r="G38" s="7"/>
      <c r="H38" s="8"/>
      <c r="I38" s="9"/>
    </row>
    <row r="39" spans="1:9" x14ac:dyDescent="0.25">
      <c r="A39" t="s">
        <v>65</v>
      </c>
      <c r="C39" s="7"/>
      <c r="D39" s="8"/>
      <c r="E39" s="8"/>
      <c r="F39" s="9"/>
      <c r="G39" s="7"/>
      <c r="H39" s="8"/>
      <c r="I39" s="9"/>
    </row>
    <row r="40" spans="1:9" x14ac:dyDescent="0.25">
      <c r="C40" s="7"/>
      <c r="D40" s="8"/>
      <c r="E40" s="8"/>
      <c r="F40" s="9"/>
      <c r="G40" s="7"/>
      <c r="H40" s="8"/>
      <c r="I40" s="9"/>
    </row>
    <row r="41" spans="1:9" x14ac:dyDescent="0.25">
      <c r="A41" t="s">
        <v>66</v>
      </c>
      <c r="C41" s="7"/>
      <c r="D41" s="8"/>
      <c r="E41" s="8"/>
      <c r="F41" s="9"/>
      <c r="G41" s="7"/>
      <c r="H41" s="8"/>
      <c r="I41" s="9"/>
    </row>
    <row r="42" spans="1:9" x14ac:dyDescent="0.25">
      <c r="A42" t="s">
        <v>67</v>
      </c>
      <c r="C42" s="7"/>
      <c r="D42" s="8"/>
      <c r="E42" s="8"/>
      <c r="F42" s="9"/>
      <c r="G42" s="7"/>
      <c r="H42" s="8"/>
      <c r="I42" s="9"/>
    </row>
    <row r="43" spans="1:9" x14ac:dyDescent="0.25">
      <c r="A43" t="s">
        <v>69</v>
      </c>
      <c r="C43" s="7"/>
      <c r="D43" s="8"/>
      <c r="E43" s="8"/>
      <c r="F43" s="9"/>
      <c r="G43" s="7"/>
      <c r="H43" s="8"/>
      <c r="I43" s="9"/>
    </row>
    <row r="44" spans="1:9" x14ac:dyDescent="0.25">
      <c r="A44" t="s">
        <v>70</v>
      </c>
      <c r="C44" s="7"/>
      <c r="D44" s="8"/>
      <c r="E44" s="8"/>
      <c r="F44" s="9"/>
      <c r="G44" s="7"/>
      <c r="H44" s="8"/>
      <c r="I44" s="9"/>
    </row>
    <row r="45" spans="1:9" x14ac:dyDescent="0.25">
      <c r="A45" t="s">
        <v>71</v>
      </c>
      <c r="C45" s="7"/>
      <c r="D45" s="8"/>
      <c r="E45" s="8"/>
      <c r="F45" s="9"/>
      <c r="G45" s="7"/>
      <c r="H45" s="8"/>
      <c r="I45" s="9"/>
    </row>
    <row r="46" spans="1:9" x14ac:dyDescent="0.25">
      <c r="C46" s="7"/>
      <c r="D46" s="8"/>
      <c r="E46" s="8"/>
      <c r="F46" s="9"/>
      <c r="G46" s="7"/>
      <c r="H46" s="8"/>
      <c r="I46" s="9"/>
    </row>
    <row r="47" spans="1:9" x14ac:dyDescent="0.25">
      <c r="A47" s="15" t="s">
        <v>72</v>
      </c>
      <c r="B47" s="14"/>
      <c r="C47" s="13"/>
      <c r="D47" s="14"/>
      <c r="E47" s="14"/>
      <c r="F47" s="16"/>
      <c r="G47" s="13"/>
      <c r="H47" s="14"/>
      <c r="I47" s="16"/>
    </row>
    <row r="48" spans="1:9" ht="9.75" customHeight="1" x14ac:dyDescent="0.25"/>
    <row r="49" spans="3:9" x14ac:dyDescent="0.25">
      <c r="C49" s="589" t="s">
        <v>75</v>
      </c>
      <c r="D49" s="590"/>
      <c r="E49" s="590"/>
      <c r="F49" s="590"/>
      <c r="G49" s="590"/>
      <c r="H49" s="590"/>
      <c r="I49" s="591"/>
    </row>
    <row r="50" spans="3:9" x14ac:dyDescent="0.25">
      <c r="C50" s="595"/>
      <c r="D50" s="596"/>
      <c r="E50" s="596"/>
      <c r="F50" s="596"/>
      <c r="G50" s="596"/>
      <c r="H50" s="596"/>
      <c r="I50" s="597"/>
    </row>
    <row r="51" spans="3:9" x14ac:dyDescent="0.25">
      <c r="C51" s="592" t="s">
        <v>76</v>
      </c>
      <c r="D51" s="593"/>
      <c r="E51" s="593"/>
      <c r="F51" s="594"/>
      <c r="G51" s="592" t="s">
        <v>77</v>
      </c>
      <c r="H51" s="593"/>
      <c r="I51" s="594"/>
    </row>
    <row r="52" spans="3:9" x14ac:dyDescent="0.25">
      <c r="C52" s="595"/>
      <c r="D52" s="596"/>
      <c r="E52" s="596"/>
      <c r="F52" s="597"/>
      <c r="G52" s="595"/>
      <c r="H52" s="596"/>
      <c r="I52" s="597"/>
    </row>
  </sheetData>
  <mergeCells count="11">
    <mergeCell ref="C51:F51"/>
    <mergeCell ref="G51:I51"/>
    <mergeCell ref="C52:F52"/>
    <mergeCell ref="G52:I52"/>
    <mergeCell ref="G15:I15"/>
    <mergeCell ref="C50:I50"/>
    <mergeCell ref="A1:B2"/>
    <mergeCell ref="A15:B15"/>
    <mergeCell ref="C23:F23"/>
    <mergeCell ref="G23:I23"/>
    <mergeCell ref="C49:I49"/>
  </mergeCells>
  <pageMargins left="0.25" right="0.25" top="0.75" bottom="0.75" header="0.3" footer="0.3"/>
  <pageSetup paperSize="9" scale="83"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tabColor rgb="FFFF3300"/>
  </sheetPr>
  <dimension ref="A1:O61"/>
  <sheetViews>
    <sheetView workbookViewId="0">
      <selection activeCell="H4" sqref="H4"/>
    </sheetView>
  </sheetViews>
  <sheetFormatPr baseColWidth="10" defaultRowHeight="15" x14ac:dyDescent="0.25"/>
  <cols>
    <col min="1" max="9" width="11.42578125" style="447"/>
    <col min="10" max="10" width="12.5703125" style="447" customWidth="1"/>
    <col min="11" max="16384" width="11.42578125" style="447"/>
  </cols>
  <sheetData>
    <row r="1" spans="1:15" ht="37.5" customHeight="1" thickBot="1" x14ac:dyDescent="0.3">
      <c r="A1" s="601" t="s">
        <v>118</v>
      </c>
      <c r="B1" s="602"/>
      <c r="C1" s="602"/>
      <c r="D1" s="602"/>
      <c r="E1" s="602"/>
      <c r="F1" s="602"/>
      <c r="G1" s="602"/>
      <c r="H1" s="602"/>
      <c r="I1" s="603"/>
      <c r="J1" s="445" t="s">
        <v>228</v>
      </c>
      <c r="K1" s="445" t="s">
        <v>370</v>
      </c>
      <c r="L1" s="446"/>
      <c r="M1" s="446"/>
      <c r="N1" s="446"/>
      <c r="O1" s="446"/>
    </row>
    <row r="2" spans="1:15" s="449" customFormat="1" ht="15.75" customHeight="1" x14ac:dyDescent="0.25">
      <c r="A2" s="448"/>
      <c r="B2" s="448"/>
      <c r="C2" s="448"/>
      <c r="D2" s="448"/>
      <c r="E2" s="448"/>
      <c r="F2" s="448"/>
      <c r="G2" s="448"/>
      <c r="H2" s="448"/>
      <c r="I2" s="448"/>
      <c r="J2" s="445"/>
      <c r="K2" s="445"/>
      <c r="L2" s="446"/>
      <c r="M2" s="446"/>
      <c r="N2" s="446"/>
      <c r="O2" s="446"/>
    </row>
    <row r="3" spans="1:15" s="449" customFormat="1" ht="15.75" customHeight="1" x14ac:dyDescent="0.25">
      <c r="A3" s="450" t="s">
        <v>384</v>
      </c>
      <c r="B3" s="448"/>
      <c r="C3" s="448"/>
      <c r="D3" s="451"/>
      <c r="E3" s="450" t="s">
        <v>387</v>
      </c>
      <c r="F3" s="448"/>
      <c r="G3" s="448"/>
      <c r="H3" s="448"/>
      <c r="I3" s="448"/>
      <c r="J3" s="445"/>
      <c r="K3" s="445"/>
      <c r="L3" s="446"/>
      <c r="M3" s="446"/>
      <c r="N3" s="446"/>
      <c r="O3" s="446"/>
    </row>
    <row r="4" spans="1:15" s="449" customFormat="1" ht="15.75" customHeight="1" x14ac:dyDescent="0.25">
      <c r="A4" s="450" t="s">
        <v>385</v>
      </c>
      <c r="B4" s="448"/>
      <c r="C4" s="448"/>
      <c r="D4" s="451"/>
      <c r="E4" s="450" t="s">
        <v>387</v>
      </c>
      <c r="F4" s="448"/>
      <c r="G4" s="448"/>
      <c r="H4" s="448"/>
      <c r="I4" s="448"/>
      <c r="J4" s="445"/>
      <c r="K4" s="445"/>
      <c r="L4" s="446"/>
      <c r="M4" s="446"/>
      <c r="N4" s="446"/>
      <c r="O4" s="446"/>
    </row>
    <row r="5" spans="1:15" s="449" customFormat="1" ht="15.75" customHeight="1" x14ac:dyDescent="0.25">
      <c r="A5" s="450" t="s">
        <v>386</v>
      </c>
      <c r="B5" s="448"/>
      <c r="C5" s="448"/>
      <c r="D5" s="451"/>
      <c r="E5" s="450" t="s">
        <v>387</v>
      </c>
      <c r="F5" s="448"/>
      <c r="G5" s="448"/>
      <c r="H5" s="448"/>
      <c r="I5" s="448"/>
      <c r="J5" s="445"/>
      <c r="K5" s="445"/>
      <c r="L5" s="446"/>
      <c r="M5" s="446"/>
      <c r="N5" s="446"/>
      <c r="O5" s="446"/>
    </row>
    <row r="6" spans="1:15" s="449" customFormat="1" ht="15.75" customHeight="1" x14ac:dyDescent="0.25">
      <c r="A6" s="450"/>
      <c r="B6" s="448"/>
      <c r="C6" s="448"/>
      <c r="D6" s="448"/>
      <c r="E6" s="448"/>
      <c r="F6" s="448"/>
      <c r="G6" s="448"/>
      <c r="H6" s="448"/>
      <c r="I6" s="448"/>
      <c r="J6" s="445"/>
      <c r="K6" s="445"/>
      <c r="L6" s="446"/>
      <c r="M6" s="446"/>
      <c r="N6" s="446"/>
      <c r="O6" s="446"/>
    </row>
    <row r="7" spans="1:15" ht="15.75" thickBot="1" x14ac:dyDescent="0.3">
      <c r="A7" s="452"/>
      <c r="B7" s="452" t="s">
        <v>208</v>
      </c>
      <c r="C7" s="452"/>
      <c r="D7" s="452"/>
      <c r="E7" s="452"/>
      <c r="F7" s="452"/>
      <c r="G7" s="452"/>
      <c r="H7" s="452"/>
    </row>
    <row r="8" spans="1:15" ht="15.75" thickBot="1" x14ac:dyDescent="0.3">
      <c r="A8" s="452"/>
      <c r="B8" s="453" t="s">
        <v>209</v>
      </c>
      <c r="C8" s="454" t="s">
        <v>210</v>
      </c>
      <c r="D8" s="454" t="s">
        <v>211</v>
      </c>
      <c r="E8" s="455" t="s">
        <v>212</v>
      </c>
      <c r="F8" s="453" t="s">
        <v>209</v>
      </c>
      <c r="G8" s="454" t="s">
        <v>213</v>
      </c>
      <c r="H8" s="456" t="s">
        <v>214</v>
      </c>
      <c r="J8" s="447" t="s">
        <v>284</v>
      </c>
    </row>
    <row r="9" spans="1:15" x14ac:dyDescent="0.25">
      <c r="A9" s="452">
        <v>1</v>
      </c>
      <c r="B9" s="457">
        <v>0.35416666666666669</v>
      </c>
      <c r="C9" s="458">
        <v>0.5</v>
      </c>
      <c r="D9" s="458">
        <v>0.58333333333333337</v>
      </c>
      <c r="E9" s="459">
        <v>0.70833333333333337</v>
      </c>
      <c r="F9" s="460">
        <f>C9-B9</f>
        <v>0.14583333333333331</v>
      </c>
      <c r="G9" s="461">
        <f>E9-D9</f>
        <v>0.125</v>
      </c>
      <c r="H9" s="462">
        <f>G9+F9</f>
        <v>0.27083333333333331</v>
      </c>
      <c r="J9" s="463">
        <v>1.4583333333333333</v>
      </c>
      <c r="K9" s="464"/>
      <c r="L9" s="464">
        <v>0.33333333333333331</v>
      </c>
      <c r="M9" s="464"/>
    </row>
    <row r="10" spans="1:15" x14ac:dyDescent="0.25">
      <c r="A10" s="452">
        <v>2</v>
      </c>
      <c r="B10" s="465">
        <v>0.35416666666666669</v>
      </c>
      <c r="C10" s="466">
        <v>0.5</v>
      </c>
      <c r="D10" s="466">
        <v>0.58333333333333337</v>
      </c>
      <c r="E10" s="467">
        <v>0.6875</v>
      </c>
      <c r="F10" s="468">
        <f t="shared" ref="F10:F31" si="0">C10-B10</f>
        <v>0.14583333333333331</v>
      </c>
      <c r="G10" s="469">
        <f t="shared" ref="G10:G31" si="1">E10-D10</f>
        <v>0.10416666666666663</v>
      </c>
      <c r="H10" s="470">
        <f t="shared" ref="H10:H31" si="2">G10+F10</f>
        <v>0.24999999999999994</v>
      </c>
      <c r="J10" s="471" t="s">
        <v>260</v>
      </c>
      <c r="K10" s="472" t="s">
        <v>261</v>
      </c>
      <c r="L10" s="472" t="s">
        <v>262</v>
      </c>
      <c r="M10" s="473" t="s">
        <v>263</v>
      </c>
    </row>
    <row r="11" spans="1:15" x14ac:dyDescent="0.25">
      <c r="A11" s="452">
        <v>3</v>
      </c>
      <c r="B11" s="465">
        <v>0.36458333333333331</v>
      </c>
      <c r="C11" s="466">
        <v>0.5</v>
      </c>
      <c r="D11" s="466">
        <v>0.58333333333333337</v>
      </c>
      <c r="E11" s="467">
        <v>0.75</v>
      </c>
      <c r="F11" s="468">
        <f t="shared" si="0"/>
        <v>0.13541666666666669</v>
      </c>
      <c r="G11" s="469">
        <f t="shared" si="1"/>
        <v>0.16666666666666663</v>
      </c>
      <c r="H11" s="470">
        <f t="shared" si="2"/>
        <v>0.30208333333333331</v>
      </c>
      <c r="J11" s="474">
        <v>1.875</v>
      </c>
      <c r="K11" s="475">
        <f>IF(J11="","",J11-$J$9)</f>
        <v>0.41666666666666674</v>
      </c>
      <c r="L11" s="475">
        <f>IF(J11="","",IF(K11&gt;L9,L9,K11))</f>
        <v>0.33333333333333331</v>
      </c>
      <c r="M11" s="476">
        <f>IF(J11="","",K11-L11)</f>
        <v>8.3333333333333426E-2</v>
      </c>
    </row>
    <row r="12" spans="1:15" x14ac:dyDescent="0.25">
      <c r="A12" s="452">
        <v>4</v>
      </c>
      <c r="B12" s="465">
        <v>0.34375</v>
      </c>
      <c r="C12" s="466">
        <v>0.5</v>
      </c>
      <c r="D12" s="466">
        <v>0.58333333333333337</v>
      </c>
      <c r="E12" s="467">
        <v>0.73958333333333337</v>
      </c>
      <c r="F12" s="468">
        <f t="shared" si="0"/>
        <v>0.15625</v>
      </c>
      <c r="G12" s="469">
        <f t="shared" si="1"/>
        <v>0.15625</v>
      </c>
      <c r="H12" s="470">
        <f t="shared" si="2"/>
        <v>0.3125</v>
      </c>
      <c r="J12" s="477">
        <v>2</v>
      </c>
      <c r="K12" s="475">
        <f t="shared" ref="K12:K27" si="3">IF(J12="","",J12-$J$9)</f>
        <v>0.54166666666666674</v>
      </c>
      <c r="L12" s="475">
        <f t="shared" ref="L12:L27" si="4">IF(J12="","",IF(K12&gt;L10,L10,K12))</f>
        <v>0.54166666666666674</v>
      </c>
      <c r="M12" s="476">
        <f t="shared" ref="M12:M27" si="5">IF(J12="","",K12-L12)</f>
        <v>0</v>
      </c>
    </row>
    <row r="13" spans="1:15" x14ac:dyDescent="0.25">
      <c r="A13" s="452">
        <v>5</v>
      </c>
      <c r="B13" s="465">
        <v>0.375</v>
      </c>
      <c r="C13" s="466">
        <v>0.5</v>
      </c>
      <c r="D13" s="466">
        <v>0.58333333333333337</v>
      </c>
      <c r="E13" s="467">
        <v>0.72916666666666663</v>
      </c>
      <c r="F13" s="468">
        <f t="shared" si="0"/>
        <v>0.125</v>
      </c>
      <c r="G13" s="469">
        <f t="shared" si="1"/>
        <v>0.14583333333333326</v>
      </c>
      <c r="H13" s="470">
        <f t="shared" si="2"/>
        <v>0.27083333333333326</v>
      </c>
      <c r="J13" s="477">
        <v>1.4583333333333333</v>
      </c>
      <c r="K13" s="475">
        <f>IF(J13="","",J13-$J$9)</f>
        <v>0</v>
      </c>
      <c r="L13" s="475">
        <f t="shared" si="4"/>
        <v>0</v>
      </c>
      <c r="M13" s="476">
        <f t="shared" si="5"/>
        <v>0</v>
      </c>
    </row>
    <row r="14" spans="1:15" x14ac:dyDescent="0.25">
      <c r="A14" s="452">
        <v>6</v>
      </c>
      <c r="B14" s="465">
        <v>0.36458333333333331</v>
      </c>
      <c r="C14" s="466">
        <v>0.5</v>
      </c>
      <c r="D14" s="466">
        <v>0.58333333333333337</v>
      </c>
      <c r="E14" s="467">
        <v>0.71875</v>
      </c>
      <c r="F14" s="468">
        <f t="shared" si="0"/>
        <v>0.13541666666666669</v>
      </c>
      <c r="G14" s="469">
        <f t="shared" si="1"/>
        <v>0.13541666666666663</v>
      </c>
      <c r="H14" s="470">
        <f t="shared" si="2"/>
        <v>0.27083333333333331</v>
      </c>
      <c r="J14" s="477"/>
      <c r="K14" s="475" t="str">
        <f t="shared" si="3"/>
        <v/>
      </c>
      <c r="L14" s="475" t="str">
        <f t="shared" si="4"/>
        <v/>
      </c>
      <c r="M14" s="476" t="str">
        <f t="shared" si="5"/>
        <v/>
      </c>
    </row>
    <row r="15" spans="1:15" x14ac:dyDescent="0.25">
      <c r="A15" s="452">
        <v>7</v>
      </c>
      <c r="B15" s="465">
        <v>0.34375</v>
      </c>
      <c r="C15" s="466">
        <v>0.5</v>
      </c>
      <c r="D15" s="466">
        <v>0.58333333333333337</v>
      </c>
      <c r="E15" s="467">
        <v>0.70833333333333337</v>
      </c>
      <c r="F15" s="468">
        <f t="shared" si="0"/>
        <v>0.15625</v>
      </c>
      <c r="G15" s="469">
        <f t="shared" si="1"/>
        <v>0.125</v>
      </c>
      <c r="H15" s="470">
        <f t="shared" si="2"/>
        <v>0.28125</v>
      </c>
      <c r="J15" s="477"/>
      <c r="K15" s="475" t="str">
        <f t="shared" si="3"/>
        <v/>
      </c>
      <c r="L15" s="475" t="str">
        <f t="shared" si="4"/>
        <v/>
      </c>
      <c r="M15" s="476" t="str">
        <f t="shared" si="5"/>
        <v/>
      </c>
    </row>
    <row r="16" spans="1:15" x14ac:dyDescent="0.25">
      <c r="A16" s="452">
        <v>8</v>
      </c>
      <c r="B16" s="465">
        <v>0.32291666666666669</v>
      </c>
      <c r="C16" s="466">
        <v>0.5</v>
      </c>
      <c r="D16" s="466">
        <v>0.58333333333333337</v>
      </c>
      <c r="E16" s="467">
        <v>0.72916666666666663</v>
      </c>
      <c r="F16" s="468">
        <f t="shared" si="0"/>
        <v>0.17708333333333331</v>
      </c>
      <c r="G16" s="469">
        <f t="shared" si="1"/>
        <v>0.14583333333333326</v>
      </c>
      <c r="H16" s="470">
        <f t="shared" si="2"/>
        <v>0.32291666666666657</v>
      </c>
      <c r="J16" s="477"/>
      <c r="K16" s="475" t="str">
        <f t="shared" si="3"/>
        <v/>
      </c>
      <c r="L16" s="475" t="str">
        <f t="shared" si="4"/>
        <v/>
      </c>
      <c r="M16" s="476" t="str">
        <f t="shared" si="5"/>
        <v/>
      </c>
    </row>
    <row r="17" spans="1:13" x14ac:dyDescent="0.25">
      <c r="A17" s="478">
        <v>9</v>
      </c>
      <c r="B17" s="465">
        <v>0.33333333333333331</v>
      </c>
      <c r="C17" s="466">
        <v>0.5</v>
      </c>
      <c r="D17" s="466">
        <v>0.58333333333333337</v>
      </c>
      <c r="E17" s="467">
        <v>0.70833333333333337</v>
      </c>
      <c r="F17" s="465">
        <f t="shared" si="0"/>
        <v>0.16666666666666669</v>
      </c>
      <c r="G17" s="467">
        <f t="shared" si="1"/>
        <v>0.125</v>
      </c>
      <c r="H17" s="479">
        <f t="shared" si="2"/>
        <v>0.29166666666666669</v>
      </c>
      <c r="J17" s="477"/>
      <c r="K17" s="475" t="str">
        <f t="shared" si="3"/>
        <v/>
      </c>
      <c r="L17" s="475" t="str">
        <f t="shared" si="4"/>
        <v/>
      </c>
      <c r="M17" s="476" t="str">
        <f t="shared" si="5"/>
        <v/>
      </c>
    </row>
    <row r="18" spans="1:13" x14ac:dyDescent="0.25">
      <c r="A18" s="478">
        <v>10</v>
      </c>
      <c r="B18" s="465">
        <v>0.33333333333333331</v>
      </c>
      <c r="C18" s="466">
        <v>0.5</v>
      </c>
      <c r="D18" s="466">
        <v>0.58333333333333337</v>
      </c>
      <c r="E18" s="467">
        <v>0.70833333333333337</v>
      </c>
      <c r="F18" s="465">
        <f t="shared" si="0"/>
        <v>0.16666666666666669</v>
      </c>
      <c r="G18" s="467">
        <f t="shared" si="1"/>
        <v>0.125</v>
      </c>
      <c r="H18" s="479">
        <f t="shared" si="2"/>
        <v>0.29166666666666669</v>
      </c>
      <c r="J18" s="477"/>
      <c r="K18" s="475" t="str">
        <f t="shared" si="3"/>
        <v/>
      </c>
      <c r="L18" s="475" t="str">
        <f t="shared" si="4"/>
        <v/>
      </c>
      <c r="M18" s="476" t="str">
        <f t="shared" si="5"/>
        <v/>
      </c>
    </row>
    <row r="19" spans="1:13" x14ac:dyDescent="0.25">
      <c r="A19" s="478">
        <v>11</v>
      </c>
      <c r="B19" s="465">
        <v>0.33333333333333331</v>
      </c>
      <c r="C19" s="466">
        <v>0.5</v>
      </c>
      <c r="D19" s="466">
        <v>0.58333333333333337</v>
      </c>
      <c r="E19" s="467">
        <v>0.70833333333333337</v>
      </c>
      <c r="F19" s="465">
        <f t="shared" si="0"/>
        <v>0.16666666666666669</v>
      </c>
      <c r="G19" s="467">
        <f t="shared" si="1"/>
        <v>0.125</v>
      </c>
      <c r="H19" s="479">
        <f t="shared" si="2"/>
        <v>0.29166666666666669</v>
      </c>
      <c r="J19" s="477"/>
      <c r="K19" s="475" t="str">
        <f t="shared" si="3"/>
        <v/>
      </c>
      <c r="L19" s="475" t="str">
        <f t="shared" si="4"/>
        <v/>
      </c>
      <c r="M19" s="476" t="str">
        <f t="shared" si="5"/>
        <v/>
      </c>
    </row>
    <row r="20" spans="1:13" x14ac:dyDescent="0.25">
      <c r="A20" s="478">
        <v>12</v>
      </c>
      <c r="B20" s="465">
        <v>0.33333333333333331</v>
      </c>
      <c r="C20" s="466">
        <v>0.5</v>
      </c>
      <c r="D20" s="466">
        <v>0.58333333333333337</v>
      </c>
      <c r="E20" s="467">
        <v>0.70833333333333337</v>
      </c>
      <c r="F20" s="465">
        <f t="shared" si="0"/>
        <v>0.16666666666666669</v>
      </c>
      <c r="G20" s="467">
        <f t="shared" si="1"/>
        <v>0.125</v>
      </c>
      <c r="H20" s="479">
        <f t="shared" si="2"/>
        <v>0.29166666666666669</v>
      </c>
      <c r="J20" s="477"/>
      <c r="K20" s="475" t="str">
        <f t="shared" si="3"/>
        <v/>
      </c>
      <c r="L20" s="475" t="str">
        <f t="shared" si="4"/>
        <v/>
      </c>
      <c r="M20" s="476" t="str">
        <f t="shared" si="5"/>
        <v/>
      </c>
    </row>
    <row r="21" spans="1:13" x14ac:dyDescent="0.25">
      <c r="A21" s="452">
        <v>13</v>
      </c>
      <c r="B21" s="465">
        <v>0.32291666666666669</v>
      </c>
      <c r="C21" s="466">
        <v>0.5</v>
      </c>
      <c r="D21" s="466">
        <v>0.58333333333333337</v>
      </c>
      <c r="E21" s="467">
        <v>0.70833333333333337</v>
      </c>
      <c r="F21" s="468">
        <f t="shared" si="0"/>
        <v>0.17708333333333331</v>
      </c>
      <c r="G21" s="469">
        <f t="shared" si="1"/>
        <v>0.125</v>
      </c>
      <c r="H21" s="470">
        <f t="shared" si="2"/>
        <v>0.30208333333333331</v>
      </c>
      <c r="J21" s="477"/>
      <c r="K21" s="475" t="str">
        <f t="shared" si="3"/>
        <v/>
      </c>
      <c r="L21" s="475" t="str">
        <f t="shared" si="4"/>
        <v/>
      </c>
      <c r="M21" s="476" t="str">
        <f t="shared" si="5"/>
        <v/>
      </c>
    </row>
    <row r="22" spans="1:13" x14ac:dyDescent="0.25">
      <c r="A22" s="452">
        <v>14</v>
      </c>
      <c r="B22" s="465">
        <v>0.36458333333333331</v>
      </c>
      <c r="C22" s="466">
        <v>0.5</v>
      </c>
      <c r="D22" s="466">
        <v>0.58333333333333337</v>
      </c>
      <c r="E22" s="467">
        <v>0.71875</v>
      </c>
      <c r="F22" s="468">
        <f t="shared" si="0"/>
        <v>0.13541666666666669</v>
      </c>
      <c r="G22" s="469">
        <f t="shared" si="1"/>
        <v>0.13541666666666663</v>
      </c>
      <c r="H22" s="470">
        <f t="shared" si="2"/>
        <v>0.27083333333333331</v>
      </c>
      <c r="J22" s="477"/>
      <c r="K22" s="475" t="str">
        <f t="shared" si="3"/>
        <v/>
      </c>
      <c r="L22" s="475" t="str">
        <f t="shared" si="4"/>
        <v/>
      </c>
      <c r="M22" s="476" t="str">
        <f t="shared" si="5"/>
        <v/>
      </c>
    </row>
    <row r="23" spans="1:13" x14ac:dyDescent="0.25">
      <c r="A23" s="452">
        <v>15</v>
      </c>
      <c r="B23" s="465">
        <v>0.32291666666666669</v>
      </c>
      <c r="C23" s="466">
        <v>0.5</v>
      </c>
      <c r="D23" s="466">
        <v>0.58333333333333337</v>
      </c>
      <c r="E23" s="467">
        <v>0.72916666666666663</v>
      </c>
      <c r="F23" s="468">
        <f t="shared" si="0"/>
        <v>0.17708333333333331</v>
      </c>
      <c r="G23" s="469">
        <f t="shared" si="1"/>
        <v>0.14583333333333326</v>
      </c>
      <c r="H23" s="470">
        <f t="shared" si="2"/>
        <v>0.32291666666666657</v>
      </c>
      <c r="J23" s="477"/>
      <c r="K23" s="475" t="str">
        <f t="shared" si="3"/>
        <v/>
      </c>
      <c r="L23" s="475" t="str">
        <f t="shared" si="4"/>
        <v/>
      </c>
      <c r="M23" s="476" t="str">
        <f t="shared" si="5"/>
        <v/>
      </c>
    </row>
    <row r="24" spans="1:13" x14ac:dyDescent="0.25">
      <c r="A24" s="452">
        <v>16</v>
      </c>
      <c r="B24" s="465">
        <v>0.375</v>
      </c>
      <c r="C24" s="466">
        <v>0.5</v>
      </c>
      <c r="D24" s="466">
        <v>0.58333333333333337</v>
      </c>
      <c r="E24" s="467">
        <v>0.72916666666666663</v>
      </c>
      <c r="F24" s="468">
        <f t="shared" si="0"/>
        <v>0.125</v>
      </c>
      <c r="G24" s="469">
        <f t="shared" si="1"/>
        <v>0.14583333333333326</v>
      </c>
      <c r="H24" s="470">
        <f t="shared" si="2"/>
        <v>0.27083333333333326</v>
      </c>
      <c r="J24" s="477"/>
      <c r="K24" s="475" t="str">
        <f t="shared" si="3"/>
        <v/>
      </c>
      <c r="L24" s="475" t="str">
        <f t="shared" si="4"/>
        <v/>
      </c>
      <c r="M24" s="476" t="str">
        <f t="shared" si="5"/>
        <v/>
      </c>
    </row>
    <row r="25" spans="1:13" x14ac:dyDescent="0.25">
      <c r="A25" s="452">
        <v>17</v>
      </c>
      <c r="B25" s="465">
        <v>0.33333333333333331</v>
      </c>
      <c r="C25" s="466">
        <v>0.5</v>
      </c>
      <c r="D25" s="466">
        <v>0.58333333333333337</v>
      </c>
      <c r="E25" s="467">
        <v>0.75</v>
      </c>
      <c r="F25" s="468">
        <f t="shared" si="0"/>
        <v>0.16666666666666669</v>
      </c>
      <c r="G25" s="469">
        <f t="shared" si="1"/>
        <v>0.16666666666666663</v>
      </c>
      <c r="H25" s="470">
        <f t="shared" si="2"/>
        <v>0.33333333333333331</v>
      </c>
      <c r="J25" s="477"/>
      <c r="K25" s="475" t="str">
        <f t="shared" si="3"/>
        <v/>
      </c>
      <c r="L25" s="475" t="str">
        <f t="shared" si="4"/>
        <v/>
      </c>
      <c r="M25" s="476" t="str">
        <f t="shared" si="5"/>
        <v/>
      </c>
    </row>
    <row r="26" spans="1:13" x14ac:dyDescent="0.25">
      <c r="A26" s="452">
        <v>18</v>
      </c>
      <c r="B26" s="465">
        <v>0.33333333333333331</v>
      </c>
      <c r="C26" s="466">
        <v>0.5</v>
      </c>
      <c r="D26" s="466">
        <v>0.58333333333333337</v>
      </c>
      <c r="E26" s="467">
        <v>0.77083333333333337</v>
      </c>
      <c r="F26" s="468">
        <f t="shared" si="0"/>
        <v>0.16666666666666669</v>
      </c>
      <c r="G26" s="469">
        <f t="shared" si="1"/>
        <v>0.1875</v>
      </c>
      <c r="H26" s="470">
        <f t="shared" si="2"/>
        <v>0.35416666666666669</v>
      </c>
      <c r="J26" s="477"/>
      <c r="K26" s="475" t="str">
        <f t="shared" si="3"/>
        <v/>
      </c>
      <c r="L26" s="475" t="str">
        <f t="shared" si="4"/>
        <v/>
      </c>
      <c r="M26" s="476" t="str">
        <f t="shared" si="5"/>
        <v/>
      </c>
    </row>
    <row r="27" spans="1:13" x14ac:dyDescent="0.25">
      <c r="A27" s="452">
        <v>19</v>
      </c>
      <c r="B27" s="465">
        <v>0.36458333333333331</v>
      </c>
      <c r="C27" s="466">
        <v>0.5</v>
      </c>
      <c r="D27" s="466">
        <v>0.58333333333333337</v>
      </c>
      <c r="E27" s="467">
        <v>0.73958333333333337</v>
      </c>
      <c r="F27" s="468">
        <f t="shared" si="0"/>
        <v>0.13541666666666669</v>
      </c>
      <c r="G27" s="469">
        <f t="shared" si="1"/>
        <v>0.15625</v>
      </c>
      <c r="H27" s="470">
        <f t="shared" si="2"/>
        <v>0.29166666666666669</v>
      </c>
      <c r="J27" s="480"/>
      <c r="K27" s="481" t="str">
        <f t="shared" si="3"/>
        <v/>
      </c>
      <c r="L27" s="481" t="str">
        <f t="shared" si="4"/>
        <v/>
      </c>
      <c r="M27" s="482" t="str">
        <f t="shared" si="5"/>
        <v/>
      </c>
    </row>
    <row r="28" spans="1:13" x14ac:dyDescent="0.25">
      <c r="A28" s="452">
        <v>20</v>
      </c>
      <c r="B28" s="465">
        <v>0.33333333333333331</v>
      </c>
      <c r="C28" s="466">
        <v>0.5</v>
      </c>
      <c r="D28" s="466">
        <v>0.58333333333333337</v>
      </c>
      <c r="E28" s="467">
        <v>0.70833333333333337</v>
      </c>
      <c r="F28" s="468">
        <f t="shared" si="0"/>
        <v>0.16666666666666669</v>
      </c>
      <c r="G28" s="469">
        <f t="shared" si="1"/>
        <v>0.125</v>
      </c>
      <c r="H28" s="470">
        <f t="shared" si="2"/>
        <v>0.29166666666666669</v>
      </c>
      <c r="K28" s="483" t="s">
        <v>285</v>
      </c>
      <c r="L28" s="484">
        <f>SUM(L11:L14)</f>
        <v>0.875</v>
      </c>
      <c r="M28" s="485">
        <f>SUM(M11:M14)</f>
        <v>8.3333333333333426E-2</v>
      </c>
    </row>
    <row r="29" spans="1:13" x14ac:dyDescent="0.25">
      <c r="A29" s="452">
        <v>21</v>
      </c>
      <c r="B29" s="465">
        <v>0.33333333333333331</v>
      </c>
      <c r="C29" s="466">
        <v>0.5</v>
      </c>
      <c r="D29" s="466">
        <v>0.58333333333333337</v>
      </c>
      <c r="E29" s="467">
        <v>0.6875</v>
      </c>
      <c r="F29" s="468">
        <f t="shared" si="0"/>
        <v>0.16666666666666669</v>
      </c>
      <c r="G29" s="469">
        <f t="shared" si="1"/>
        <v>0.10416666666666663</v>
      </c>
      <c r="H29" s="470">
        <f t="shared" si="2"/>
        <v>0.27083333333333331</v>
      </c>
    </row>
    <row r="30" spans="1:13" x14ac:dyDescent="0.25">
      <c r="A30" s="452">
        <v>22</v>
      </c>
      <c r="B30" s="465">
        <v>0.33333333333333331</v>
      </c>
      <c r="C30" s="466">
        <v>0.5</v>
      </c>
      <c r="D30" s="466">
        <v>0.58333333333333337</v>
      </c>
      <c r="E30" s="467">
        <v>0.71875</v>
      </c>
      <c r="F30" s="468">
        <f t="shared" si="0"/>
        <v>0.16666666666666669</v>
      </c>
      <c r="G30" s="469">
        <f t="shared" si="1"/>
        <v>0.13541666666666663</v>
      </c>
      <c r="H30" s="470">
        <f t="shared" si="2"/>
        <v>0.30208333333333331</v>
      </c>
      <c r="K30" s="447" t="s">
        <v>286</v>
      </c>
      <c r="L30" s="486">
        <f>L28/"1:00"</f>
        <v>21</v>
      </c>
      <c r="M30" s="486">
        <f>M28/"1:00"</f>
        <v>2.0000000000000022</v>
      </c>
    </row>
    <row r="31" spans="1:13" ht="15.75" thickBot="1" x14ac:dyDescent="0.3">
      <c r="A31" s="478">
        <v>23</v>
      </c>
      <c r="B31" s="487">
        <v>0.33333333333333331</v>
      </c>
      <c r="C31" s="488">
        <v>0.5</v>
      </c>
      <c r="D31" s="488">
        <v>0.58333333333333337</v>
      </c>
      <c r="E31" s="489">
        <v>0.70833333333333337</v>
      </c>
      <c r="F31" s="487">
        <f t="shared" si="0"/>
        <v>0.16666666666666669</v>
      </c>
      <c r="G31" s="489">
        <f t="shared" si="1"/>
        <v>0.125</v>
      </c>
      <c r="H31" s="490">
        <f t="shared" si="2"/>
        <v>0.29166666666666669</v>
      </c>
    </row>
    <row r="32" spans="1:13" x14ac:dyDescent="0.25">
      <c r="A32" s="452">
        <v>7</v>
      </c>
      <c r="B32" s="491"/>
      <c r="C32" s="491"/>
      <c r="D32" s="491"/>
      <c r="E32" s="491"/>
      <c r="F32" s="491"/>
      <c r="G32" s="491"/>
      <c r="H32" s="491"/>
    </row>
    <row r="33" spans="1:13" x14ac:dyDescent="0.25">
      <c r="A33" s="452">
        <f>A31*A32</f>
        <v>161</v>
      </c>
      <c r="B33" s="491"/>
      <c r="C33" s="491"/>
      <c r="D33" s="491"/>
      <c r="E33" s="491"/>
      <c r="F33" s="492">
        <f>SUM(F9:F31)</f>
        <v>3.5937499999999991</v>
      </c>
      <c r="G33" s="492">
        <f>SUM(G9:G31)</f>
        <v>3.1562499999999987</v>
      </c>
      <c r="H33" s="492">
        <f>SUM(H9:H31)</f>
        <v>6.7499999999999991</v>
      </c>
    </row>
    <row r="34" spans="1:13" x14ac:dyDescent="0.25">
      <c r="A34" s="452"/>
      <c r="B34" s="491"/>
      <c r="C34" s="491"/>
      <c r="D34" s="491"/>
      <c r="E34" s="491"/>
      <c r="F34" s="491"/>
      <c r="G34" s="491"/>
      <c r="H34" s="492">
        <v>6.708333333333333</v>
      </c>
    </row>
    <row r="35" spans="1:13" x14ac:dyDescent="0.25">
      <c r="A35" s="452"/>
      <c r="B35" s="491"/>
      <c r="C35" s="491"/>
      <c r="D35" s="491"/>
      <c r="E35" s="491"/>
      <c r="F35" s="491"/>
      <c r="G35" s="491"/>
      <c r="H35" s="492">
        <f>H33-H34</f>
        <v>4.1666666666666075E-2</v>
      </c>
    </row>
    <row r="39" spans="1:13" x14ac:dyDescent="0.25">
      <c r="A39" s="604" t="s">
        <v>119</v>
      </c>
      <c r="B39" s="604"/>
      <c r="C39" s="493" t="s">
        <v>120</v>
      </c>
      <c r="D39" s="493"/>
      <c r="E39" s="493"/>
      <c r="F39" s="494">
        <v>0.25</v>
      </c>
      <c r="H39" s="495" t="s">
        <v>271</v>
      </c>
      <c r="M39" s="491"/>
    </row>
    <row r="40" spans="1:13" x14ac:dyDescent="0.25">
      <c r="A40" s="604" t="s">
        <v>121</v>
      </c>
      <c r="B40" s="604"/>
      <c r="C40" s="604"/>
      <c r="D40" s="604"/>
      <c r="E40" s="604"/>
      <c r="F40" s="494">
        <v>0.5</v>
      </c>
      <c r="H40" s="496" t="s">
        <v>273</v>
      </c>
      <c r="M40" s="491"/>
    </row>
    <row r="41" spans="1:13" x14ac:dyDescent="0.25">
      <c r="M41" s="491"/>
    </row>
    <row r="42" spans="1:13" ht="15.75" x14ac:dyDescent="0.25">
      <c r="A42" s="600" t="s">
        <v>122</v>
      </c>
      <c r="B42" s="600"/>
      <c r="C42" s="600"/>
      <c r="D42" s="600"/>
      <c r="E42" s="600"/>
      <c r="F42" s="494">
        <v>0.1</v>
      </c>
      <c r="M42" s="497" t="s">
        <v>300</v>
      </c>
    </row>
    <row r="43" spans="1:13" x14ac:dyDescent="0.25">
      <c r="A43" s="599" t="s">
        <v>123</v>
      </c>
      <c r="B43" s="599"/>
      <c r="C43" s="599"/>
      <c r="D43" s="599"/>
      <c r="E43" s="599"/>
      <c r="F43" s="494">
        <v>0.25</v>
      </c>
      <c r="M43" s="491" t="s">
        <v>289</v>
      </c>
    </row>
    <row r="44" spans="1:13" x14ac:dyDescent="0.25">
      <c r="A44" s="599" t="s">
        <v>121</v>
      </c>
      <c r="B44" s="599"/>
      <c r="C44" s="599"/>
      <c r="D44" s="599"/>
      <c r="E44" s="599"/>
      <c r="F44" s="494">
        <v>0.5</v>
      </c>
      <c r="M44" s="491" t="s">
        <v>290</v>
      </c>
    </row>
    <row r="45" spans="1:13" x14ac:dyDescent="0.25">
      <c r="M45" s="491" t="s">
        <v>291</v>
      </c>
    </row>
    <row r="46" spans="1:13" x14ac:dyDescent="0.25">
      <c r="A46" s="447" t="s">
        <v>147</v>
      </c>
      <c r="M46" s="491" t="s">
        <v>292</v>
      </c>
    </row>
    <row r="47" spans="1:13" x14ac:dyDescent="0.25">
      <c r="M47" s="491" t="s">
        <v>293</v>
      </c>
    </row>
    <row r="48" spans="1:13" x14ac:dyDescent="0.25">
      <c r="A48" s="447" t="s">
        <v>206</v>
      </c>
      <c r="M48" s="491" t="s">
        <v>294</v>
      </c>
    </row>
    <row r="49" spans="1:13" ht="17.25" x14ac:dyDescent="0.25">
      <c r="A49" s="447" t="s">
        <v>207</v>
      </c>
      <c r="M49" s="491" t="s">
        <v>295</v>
      </c>
    </row>
    <row r="50" spans="1:13" x14ac:dyDescent="0.25">
      <c r="M50" s="491" t="s">
        <v>296</v>
      </c>
    </row>
    <row r="51" spans="1:13" x14ac:dyDescent="0.25">
      <c r="M51" s="491" t="s">
        <v>297</v>
      </c>
    </row>
    <row r="52" spans="1:13" x14ac:dyDescent="0.25">
      <c r="A52" s="498" t="s">
        <v>274</v>
      </c>
      <c r="M52" s="491" t="s">
        <v>298</v>
      </c>
    </row>
    <row r="53" spans="1:13" x14ac:dyDescent="0.25">
      <c r="A53" s="447" t="s">
        <v>275</v>
      </c>
      <c r="M53" s="491" t="s">
        <v>299</v>
      </c>
    </row>
    <row r="54" spans="1:13" x14ac:dyDescent="0.25">
      <c r="A54" s="447" t="s">
        <v>276</v>
      </c>
      <c r="M54" s="491"/>
    </row>
    <row r="56" spans="1:13" x14ac:dyDescent="0.25">
      <c r="A56" s="447" t="s">
        <v>281</v>
      </c>
      <c r="B56" s="499">
        <v>24</v>
      </c>
    </row>
    <row r="57" spans="1:13" x14ac:dyDescent="0.25">
      <c r="A57" s="447" t="s">
        <v>282</v>
      </c>
      <c r="B57" s="447">
        <f>B56/10</f>
        <v>2.4</v>
      </c>
    </row>
    <row r="58" spans="1:13" x14ac:dyDescent="0.25">
      <c r="A58" s="447" t="s">
        <v>283</v>
      </c>
      <c r="B58" s="447">
        <f>B56/3</f>
        <v>8</v>
      </c>
    </row>
    <row r="59" spans="1:13" x14ac:dyDescent="0.25">
      <c r="A59" s="447" t="s">
        <v>414</v>
      </c>
      <c r="C59" s="499">
        <v>6</v>
      </c>
    </row>
    <row r="60" spans="1:13" x14ac:dyDescent="0.25">
      <c r="A60" s="447" t="s">
        <v>415</v>
      </c>
      <c r="C60" s="447">
        <f>IF(C59&gt;10%*B56,10%*B56,C59)</f>
        <v>2.4000000000000004</v>
      </c>
    </row>
    <row r="61" spans="1:13" x14ac:dyDescent="0.25">
      <c r="A61" s="447" t="s">
        <v>416</v>
      </c>
      <c r="C61" s="447">
        <f>C59-C60</f>
        <v>3.5999999999999996</v>
      </c>
    </row>
  </sheetData>
  <mergeCells count="7">
    <mergeCell ref="A43:E43"/>
    <mergeCell ref="A44:E44"/>
    <mergeCell ref="A42:E42"/>
    <mergeCell ref="A1:I1"/>
    <mergeCell ref="A39:B39"/>
    <mergeCell ref="A40:B40"/>
    <mergeCell ref="C40:E40"/>
  </mergeCells>
  <hyperlinks>
    <hyperlink ref="J1" location="BULLETIN" display="BULLETIN" xr:uid="{00000000-0004-0000-0400-000000000000}"/>
    <hyperlink ref="K1" location="INFO" display="INFO" xr:uid="{00000000-0004-0000-0400-000001000000}"/>
  </hyperlink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2">
    <tabColor theme="8" tint="0.59999389629810485"/>
  </sheetPr>
  <dimension ref="A1:K30"/>
  <sheetViews>
    <sheetView workbookViewId="0">
      <selection activeCell="B3" sqref="B3"/>
    </sheetView>
  </sheetViews>
  <sheetFormatPr baseColWidth="10" defaultRowHeight="15" x14ac:dyDescent="0.25"/>
  <cols>
    <col min="1" max="1" width="18.28515625" bestFit="1" customWidth="1"/>
    <col min="2" max="5" width="16.5703125" customWidth="1"/>
    <col min="7" max="7" width="10.5703125" customWidth="1"/>
    <col min="8" max="8" width="32.85546875" customWidth="1"/>
  </cols>
  <sheetData>
    <row r="1" spans="1:11" ht="21.75" thickBot="1" x14ac:dyDescent="0.3">
      <c r="A1" s="605" t="s">
        <v>402</v>
      </c>
      <c r="B1" s="606"/>
      <c r="C1" s="606"/>
      <c r="D1" s="606"/>
      <c r="E1" s="606"/>
      <c r="F1" s="607"/>
    </row>
    <row r="2" spans="1:11" x14ac:dyDescent="0.25">
      <c r="H2" s="614" t="s">
        <v>315</v>
      </c>
      <c r="I2" s="615"/>
    </row>
    <row r="3" spans="1:11" x14ac:dyDescent="0.25">
      <c r="A3" s="29" t="s">
        <v>108</v>
      </c>
      <c r="B3" s="337">
        <f>'info bulletin'!C48</f>
        <v>0</v>
      </c>
      <c r="C3" s="21"/>
      <c r="D3" s="21"/>
      <c r="E3" s="30" t="s">
        <v>145</v>
      </c>
      <c r="F3" s="285">
        <f>NBRE_H_SEM</f>
        <v>0</v>
      </c>
      <c r="G3" s="21"/>
      <c r="H3" s="616"/>
      <c r="I3" s="617"/>
      <c r="J3" s="56"/>
      <c r="K3" s="56"/>
    </row>
    <row r="4" spans="1:11" x14ac:dyDescent="0.25">
      <c r="A4" s="21"/>
      <c r="B4" s="21"/>
      <c r="C4" s="21"/>
      <c r="D4" s="21"/>
      <c r="E4" s="30" t="s">
        <v>146</v>
      </c>
      <c r="F4" s="285">
        <f>NBRE_J_SEM</f>
        <v>0</v>
      </c>
      <c r="G4" s="21"/>
      <c r="H4" s="616"/>
      <c r="I4" s="617"/>
      <c r="J4" s="56"/>
      <c r="K4" s="56"/>
    </row>
    <row r="5" spans="1:11" x14ac:dyDescent="0.25">
      <c r="A5" s="21"/>
      <c r="B5" s="21"/>
      <c r="C5" s="21"/>
      <c r="D5" s="21"/>
      <c r="E5" s="21"/>
      <c r="F5" s="21"/>
      <c r="G5" s="21"/>
      <c r="H5" s="616"/>
      <c r="I5" s="617"/>
      <c r="J5" s="56"/>
      <c r="K5" s="56"/>
    </row>
    <row r="6" spans="1:11" x14ac:dyDescent="0.25">
      <c r="A6" s="28" t="s">
        <v>109</v>
      </c>
      <c r="B6" s="21"/>
      <c r="C6" s="21"/>
      <c r="D6" s="21"/>
      <c r="E6" s="21"/>
      <c r="F6" s="21"/>
      <c r="G6" s="21"/>
      <c r="H6" s="616"/>
      <c r="I6" s="617"/>
      <c r="J6" s="56"/>
      <c r="K6" s="56"/>
    </row>
    <row r="7" spans="1:11" x14ac:dyDescent="0.25">
      <c r="A7" s="31" t="s">
        <v>126</v>
      </c>
      <c r="B7" s="286">
        <f>D_ABS_NR</f>
        <v>0</v>
      </c>
      <c r="C7" s="29" t="s">
        <v>128</v>
      </c>
      <c r="D7" s="33">
        <f>MOIS_BULLETIN-DAY(MOIS_BULLETIN)+1</f>
        <v>42736</v>
      </c>
      <c r="E7" s="21"/>
      <c r="F7" s="21"/>
      <c r="G7" s="21"/>
      <c r="H7" s="616"/>
      <c r="I7" s="617"/>
      <c r="J7" s="56"/>
      <c r="K7" s="56"/>
    </row>
    <row r="8" spans="1:11" x14ac:dyDescent="0.25">
      <c r="A8" s="32" t="s">
        <v>127</v>
      </c>
      <c r="B8" s="287">
        <f>F_ABS_NR</f>
        <v>0</v>
      </c>
      <c r="C8" s="21"/>
      <c r="D8" s="24">
        <f>EOMONTH(D7,0)</f>
        <v>42766</v>
      </c>
      <c r="E8" s="21"/>
      <c r="F8" s="21"/>
      <c r="G8" s="21"/>
      <c r="H8" s="616"/>
      <c r="I8" s="617"/>
      <c r="J8" s="56"/>
      <c r="K8" s="56"/>
    </row>
    <row r="9" spans="1:11" x14ac:dyDescent="0.25">
      <c r="A9" s="21"/>
      <c r="B9" s="21"/>
      <c r="C9" s="21"/>
      <c r="D9" s="21"/>
      <c r="E9" s="21"/>
      <c r="F9" s="21"/>
      <c r="G9" s="21"/>
      <c r="H9" s="616"/>
      <c r="I9" s="617"/>
      <c r="J9" s="56"/>
      <c r="K9" s="56"/>
    </row>
    <row r="10" spans="1:11" x14ac:dyDescent="0.25">
      <c r="A10" s="21"/>
      <c r="B10" s="29" t="s">
        <v>287</v>
      </c>
      <c r="C10" s="29" t="s">
        <v>105</v>
      </c>
      <c r="D10" s="29" t="s">
        <v>106</v>
      </c>
      <c r="E10" s="29" t="s">
        <v>107</v>
      </c>
      <c r="F10" s="21"/>
      <c r="G10" s="21"/>
      <c r="H10" s="616"/>
      <c r="I10" s="617"/>
      <c r="J10" s="56"/>
      <c r="K10" s="56"/>
    </row>
    <row r="11" spans="1:11" x14ac:dyDescent="0.25">
      <c r="A11" s="29" t="s">
        <v>83</v>
      </c>
      <c r="B11" s="23">
        <f>H_ABS_NR</f>
        <v>0</v>
      </c>
      <c r="C11" s="23">
        <f>NETWORKDAYS(B7,B8,FERIES)</f>
        <v>0</v>
      </c>
      <c r="D11" s="26">
        <f>B8-B7-INT((B8-B7-IF(WEEKDAY(B8)=1,0,8-WEEKDAY(B7)))/7)</f>
        <v>1</v>
      </c>
      <c r="E11" s="27">
        <f>_xlfn.DAYS(B8,B7)+1</f>
        <v>1</v>
      </c>
      <c r="F11" s="21"/>
      <c r="G11" s="21"/>
      <c r="H11" s="616"/>
      <c r="I11" s="617"/>
      <c r="J11" s="56"/>
      <c r="K11" s="56"/>
    </row>
    <row r="12" spans="1:11" x14ac:dyDescent="0.25">
      <c r="A12" s="29" t="s">
        <v>278</v>
      </c>
      <c r="B12" s="23">
        <f>'info bulletin'!C52</f>
        <v>0</v>
      </c>
      <c r="C12" s="181">
        <f>NETWORKDAYS(D7,D8)</f>
        <v>22</v>
      </c>
      <c r="D12" s="21">
        <f>D8-D7-INT((D8-D7-IF(WEEKDAY(D7)=1,0,8-WEEKDAY(D7)))/7)</f>
        <v>26</v>
      </c>
      <c r="E12" s="27">
        <f>_xlfn.DAYS(D8,D7)+1</f>
        <v>31</v>
      </c>
      <c r="F12" s="21"/>
      <c r="G12" s="21"/>
      <c r="H12" s="616"/>
      <c r="I12" s="617"/>
      <c r="J12" s="56"/>
      <c r="K12" s="56"/>
    </row>
    <row r="13" spans="1:11" x14ac:dyDescent="0.25">
      <c r="A13" s="29" t="s">
        <v>279</v>
      </c>
      <c r="B13" s="25">
        <f>ROUND((F3*52)/12,2)</f>
        <v>0</v>
      </c>
      <c r="C13" s="25">
        <f>ROUND(F4*52,2)/12</f>
        <v>0</v>
      </c>
      <c r="D13" s="27">
        <f>(F4+1)*52/12</f>
        <v>4.333333333333333</v>
      </c>
      <c r="E13" s="27">
        <f>ROUNDDOWN(((F4+2)*52/12),0)</f>
        <v>8</v>
      </c>
      <c r="F13" s="21"/>
      <c r="G13" s="21"/>
      <c r="H13" s="616"/>
      <c r="I13" s="617"/>
      <c r="J13" s="56"/>
      <c r="K13" s="56"/>
    </row>
    <row r="14" spans="1:11" x14ac:dyDescent="0.25">
      <c r="A14" s="21"/>
      <c r="B14" s="21"/>
      <c r="C14" s="21"/>
      <c r="D14" s="21"/>
      <c r="E14" s="21"/>
      <c r="F14" s="21"/>
      <c r="G14" s="21"/>
      <c r="H14" s="618"/>
      <c r="I14" s="619"/>
      <c r="J14" s="56"/>
      <c r="K14" s="56"/>
    </row>
    <row r="15" spans="1:11" x14ac:dyDescent="0.25">
      <c r="A15" s="608" t="s">
        <v>288</v>
      </c>
      <c r="B15" s="609"/>
      <c r="C15" s="21"/>
      <c r="D15" s="21"/>
      <c r="E15" s="21"/>
      <c r="F15" s="21"/>
      <c r="G15" s="21"/>
      <c r="J15" s="56"/>
      <c r="K15" s="56"/>
    </row>
    <row r="16" spans="1:11" x14ac:dyDescent="0.25">
      <c r="A16" s="175" t="s">
        <v>110</v>
      </c>
      <c r="B16" s="176">
        <f>IF(B11=0,0,B11*B3/B12)</f>
        <v>0</v>
      </c>
      <c r="C16" s="21"/>
      <c r="D16" s="56"/>
      <c r="E16" s="21"/>
      <c r="F16" s="21"/>
      <c r="G16" s="21"/>
      <c r="J16" s="56"/>
      <c r="K16" s="56"/>
    </row>
    <row r="17" spans="1:11" x14ac:dyDescent="0.25">
      <c r="A17" s="177" t="s">
        <v>111</v>
      </c>
      <c r="B17" s="178" t="str">
        <f>IFERROR((B11/B13)*$B$3,"")</f>
        <v/>
      </c>
      <c r="C17" s="21"/>
      <c r="D17" s="610" t="s">
        <v>277</v>
      </c>
      <c r="E17" s="611"/>
      <c r="F17" s="21"/>
      <c r="G17" s="21"/>
      <c r="H17" s="21"/>
      <c r="I17" s="21"/>
      <c r="J17" s="56"/>
      <c r="K17" s="56"/>
    </row>
    <row r="18" spans="1:11" x14ac:dyDescent="0.25">
      <c r="A18" s="177" t="s">
        <v>112</v>
      </c>
      <c r="B18" s="178">
        <f>IFERROR((C11/C12)*$B$3,"")</f>
        <v>0</v>
      </c>
      <c r="C18" s="21"/>
      <c r="D18" s="612" t="str">
        <f>'info bulletin'!C47</f>
        <v>Horaire réèl</v>
      </c>
      <c r="E18" s="613"/>
      <c r="F18" s="21"/>
      <c r="G18" s="21"/>
      <c r="J18" s="56"/>
      <c r="K18" s="56"/>
    </row>
    <row r="19" spans="1:11" x14ac:dyDescent="0.25">
      <c r="A19" s="177" t="s">
        <v>113</v>
      </c>
      <c r="B19" s="178" t="e">
        <f>(C11/C13)*B3</f>
        <v>#DIV/0!</v>
      </c>
      <c r="C19" s="21"/>
      <c r="D19" s="620">
        <f>IF(B3=0,0,VLOOKUP(D18,A16:B23,2,FALSE))</f>
        <v>0</v>
      </c>
      <c r="E19" s="621"/>
      <c r="F19" s="21"/>
      <c r="G19" s="21"/>
      <c r="J19" s="56"/>
      <c r="K19" s="56"/>
    </row>
    <row r="20" spans="1:11" x14ac:dyDescent="0.25">
      <c r="A20" s="177" t="s">
        <v>114</v>
      </c>
      <c r="B20" s="178">
        <f>IFERROR((D11/D12)*$B$3,"")</f>
        <v>0</v>
      </c>
      <c r="C20" s="21"/>
      <c r="D20" s="21"/>
      <c r="E20" s="21"/>
      <c r="F20" s="21"/>
      <c r="G20" s="21"/>
      <c r="J20" s="56"/>
      <c r="K20" s="56"/>
    </row>
    <row r="21" spans="1:11" x14ac:dyDescent="0.25">
      <c r="A21" s="177" t="s">
        <v>115</v>
      </c>
      <c r="B21" s="178">
        <f>IFERROR((D11/D13)*$B$3,"")</f>
        <v>0</v>
      </c>
      <c r="C21" s="21"/>
      <c r="D21" s="21"/>
      <c r="E21" s="21"/>
      <c r="F21" s="21"/>
      <c r="G21" s="21"/>
      <c r="J21" s="56"/>
      <c r="K21" s="56"/>
    </row>
    <row r="22" spans="1:11" x14ac:dyDescent="0.25">
      <c r="A22" s="177" t="s">
        <v>116</v>
      </c>
      <c r="B22" s="178">
        <f>IFERROR((E11/E12)*$B$3,"")</f>
        <v>0</v>
      </c>
      <c r="C22" s="21"/>
      <c r="D22" s="21"/>
      <c r="E22" s="21"/>
      <c r="F22" s="21"/>
      <c r="G22" s="21"/>
      <c r="J22" s="56"/>
      <c r="K22" s="56"/>
    </row>
    <row r="23" spans="1:11" x14ac:dyDescent="0.25">
      <c r="A23" s="179" t="s">
        <v>117</v>
      </c>
      <c r="B23" s="180">
        <f>IFERROR((E11/E13)*$B$3,"")</f>
        <v>0</v>
      </c>
      <c r="C23" s="21"/>
      <c r="D23" s="21"/>
      <c r="E23" s="21"/>
      <c r="F23" s="21"/>
      <c r="G23" s="21"/>
      <c r="J23" s="56"/>
      <c r="K23" s="56"/>
    </row>
    <row r="24" spans="1:11" x14ac:dyDescent="0.25">
      <c r="A24" s="21"/>
      <c r="B24" s="21"/>
      <c r="C24" s="21"/>
      <c r="D24" s="21"/>
      <c r="E24" s="21"/>
      <c r="F24" s="21"/>
      <c r="G24" s="21"/>
      <c r="J24" s="56"/>
      <c r="K24" s="56"/>
    </row>
    <row r="25" spans="1:11" x14ac:dyDescent="0.25">
      <c r="A25" s="21"/>
      <c r="B25" s="21"/>
      <c r="C25" s="21"/>
      <c r="D25" s="21"/>
      <c r="E25" s="21"/>
      <c r="F25" s="21"/>
      <c r="G25" s="21"/>
      <c r="J25" s="56"/>
      <c r="K25" s="56"/>
    </row>
    <row r="26" spans="1:11" x14ac:dyDescent="0.25">
      <c r="A26" s="21"/>
      <c r="B26" s="21"/>
      <c r="C26" s="21"/>
      <c r="D26" s="21"/>
      <c r="E26" s="21"/>
      <c r="F26" s="21"/>
      <c r="G26" s="21"/>
      <c r="J26" s="56"/>
      <c r="K26" s="56"/>
    </row>
    <row r="27" spans="1:11" x14ac:dyDescent="0.25">
      <c r="A27" s="21"/>
      <c r="B27" s="21"/>
      <c r="C27" s="21"/>
      <c r="D27" s="21"/>
      <c r="E27" s="21"/>
      <c r="F27" s="21"/>
      <c r="G27" s="21"/>
      <c r="J27" s="56"/>
      <c r="K27" s="56"/>
    </row>
    <row r="28" spans="1:11" x14ac:dyDescent="0.25">
      <c r="A28" s="21"/>
      <c r="B28" s="21"/>
      <c r="C28" s="21"/>
      <c r="D28" s="21"/>
      <c r="E28" s="21"/>
      <c r="F28" s="21"/>
      <c r="G28" s="21"/>
      <c r="J28" s="56"/>
      <c r="K28" s="56"/>
    </row>
    <row r="29" spans="1:11" x14ac:dyDescent="0.25">
      <c r="A29" s="21"/>
      <c r="B29" s="21"/>
      <c r="C29" s="21"/>
      <c r="D29" s="21"/>
      <c r="E29" s="21"/>
      <c r="F29" s="21"/>
      <c r="G29" s="21"/>
      <c r="J29" s="56"/>
      <c r="K29" s="56"/>
    </row>
    <row r="30" spans="1:11" x14ac:dyDescent="0.25">
      <c r="A30" s="21"/>
      <c r="B30" s="21"/>
      <c r="C30" s="21"/>
      <c r="D30" s="21"/>
      <c r="E30" s="21"/>
      <c r="F30" s="21"/>
      <c r="G30" s="21"/>
      <c r="J30" s="56"/>
      <c r="K30" s="56"/>
    </row>
  </sheetData>
  <mergeCells count="6">
    <mergeCell ref="D19:E19"/>
    <mergeCell ref="A1:F1"/>
    <mergeCell ref="A15:B15"/>
    <mergeCell ref="D17:E17"/>
    <mergeCell ref="D18:E18"/>
    <mergeCell ref="H2:I14"/>
  </mergeCells>
  <conditionalFormatting sqref="B16:B23">
    <cfRule type="top10" dxfId="2" priority="1" bottom="1" rank="1"/>
  </conditionalFormatting>
  <dataValidations count="1">
    <dataValidation type="list" allowBlank="1" showInputMessage="1" showErrorMessage="1" sqref="D18" xr:uid="{00000000-0002-0000-0500-000000000000}">
      <formula1>$A$16:$A$23</formula1>
    </dataValidation>
  </dataValidations>
  <pageMargins left="0.7" right="0.7" top="0.75" bottom="0.75" header="0.3" footer="0.3"/>
  <legacyDrawing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tabColor rgb="FFFFC000"/>
  </sheetPr>
  <dimension ref="A1:K30"/>
  <sheetViews>
    <sheetView workbookViewId="0">
      <selection activeCell="B4" sqref="B4"/>
    </sheetView>
  </sheetViews>
  <sheetFormatPr baseColWidth="10" defaultRowHeight="15" x14ac:dyDescent="0.25"/>
  <cols>
    <col min="1" max="1" width="19.42578125" style="21" bestFit="1" customWidth="1"/>
    <col min="2" max="5" width="14.85546875" style="21" customWidth="1"/>
    <col min="6" max="6" width="11.42578125" style="21"/>
    <col min="7" max="7" width="13.42578125" style="21" bestFit="1" customWidth="1"/>
    <col min="8" max="8" width="29.28515625" style="21" bestFit="1" customWidth="1"/>
    <col min="9" max="10" width="11.42578125" style="21"/>
    <col min="11" max="11" width="18.28515625" style="21" bestFit="1" customWidth="1"/>
    <col min="12" max="16384" width="11.42578125" style="21"/>
  </cols>
  <sheetData>
    <row r="1" spans="1:11" ht="37.5" customHeight="1" thickBot="1" x14ac:dyDescent="0.3">
      <c r="A1" s="622" t="s">
        <v>366</v>
      </c>
      <c r="B1" s="623"/>
      <c r="C1" s="623"/>
      <c r="D1" s="623"/>
      <c r="E1" s="623"/>
      <c r="F1" s="624"/>
      <c r="G1" s="87" t="s">
        <v>228</v>
      </c>
      <c r="H1" s="87" t="s">
        <v>370</v>
      </c>
    </row>
    <row r="2" spans="1:11" ht="21" customHeight="1" x14ac:dyDescent="0.25">
      <c r="A2" s="86"/>
      <c r="B2" s="22"/>
      <c r="C2" s="22"/>
      <c r="D2" s="22"/>
      <c r="E2" s="22"/>
      <c r="F2" s="22"/>
    </row>
    <row r="3" spans="1:11" x14ac:dyDescent="0.25">
      <c r="A3" s="29" t="s">
        <v>108</v>
      </c>
      <c r="B3" s="337">
        <f>'info bulletin'!C60</f>
        <v>0</v>
      </c>
      <c r="E3" s="30" t="s">
        <v>145</v>
      </c>
      <c r="F3" s="285">
        <f>NBRE_H_SEM</f>
        <v>0</v>
      </c>
      <c r="H3" s="21" t="s">
        <v>459</v>
      </c>
      <c r="J3" s="56"/>
      <c r="K3" s="56"/>
    </row>
    <row r="4" spans="1:11" x14ac:dyDescent="0.25">
      <c r="E4" s="30" t="s">
        <v>146</v>
      </c>
      <c r="F4" s="285">
        <f>NBRE_J_SEM</f>
        <v>0</v>
      </c>
      <c r="H4" s="21">
        <f>D8-D7-INT((D8-D7-IF(WEEKDAY(D8)=1,0,8-WEEKDAY(D7)))/7)-SUMPRODUCT((FERIES&gt;=D7)*(FERIES&lt;=D8)*(WEEKDAY(FERIES)&lt;&gt;1))</f>
        <v>27</v>
      </c>
      <c r="J4" s="56"/>
      <c r="K4" s="56"/>
    </row>
    <row r="5" spans="1:11" x14ac:dyDescent="0.25">
      <c r="J5" s="56"/>
      <c r="K5" s="56"/>
    </row>
    <row r="6" spans="1:11" x14ac:dyDescent="0.25">
      <c r="A6" s="28" t="s">
        <v>109</v>
      </c>
      <c r="J6" s="56"/>
      <c r="K6" s="56"/>
    </row>
    <row r="7" spans="1:11" x14ac:dyDescent="0.25">
      <c r="A7" s="31" t="s">
        <v>126</v>
      </c>
      <c r="B7" s="286">
        <f>D_ABS_CP</f>
        <v>0</v>
      </c>
      <c r="C7" s="29" t="s">
        <v>128</v>
      </c>
      <c r="D7" s="33">
        <f>MOIS_BULLETIN-DAY(MOIS_BULLETIN)+1</f>
        <v>42736</v>
      </c>
      <c r="J7" s="56"/>
      <c r="K7" s="56"/>
    </row>
    <row r="8" spans="1:11" x14ac:dyDescent="0.25">
      <c r="A8" s="32" t="s">
        <v>127</v>
      </c>
      <c r="B8" s="287">
        <f>F_ABS_CP</f>
        <v>0</v>
      </c>
      <c r="D8" s="24">
        <f>EOMONTH(D7,0)</f>
        <v>42766</v>
      </c>
      <c r="J8" s="56"/>
      <c r="K8" s="56"/>
    </row>
    <row r="9" spans="1:11" x14ac:dyDescent="0.25">
      <c r="J9" s="56"/>
      <c r="K9" s="56"/>
    </row>
    <row r="10" spans="1:11" x14ac:dyDescent="0.25">
      <c r="B10" s="29" t="s">
        <v>287</v>
      </c>
      <c r="C10" s="29" t="s">
        <v>105</v>
      </c>
      <c r="D10" s="29" t="s">
        <v>106</v>
      </c>
      <c r="E10" s="29" t="s">
        <v>107</v>
      </c>
      <c r="J10" s="56"/>
      <c r="K10" s="56"/>
    </row>
    <row r="11" spans="1:11" x14ac:dyDescent="0.25">
      <c r="A11" s="29" t="s">
        <v>83</v>
      </c>
      <c r="B11" s="23">
        <f>H_ABS_CP</f>
        <v>0</v>
      </c>
      <c r="C11" s="23">
        <f>NETWORKDAYS(B7,B8,FERIES)</f>
        <v>0</v>
      </c>
      <c r="D11" s="26">
        <f>B8-B7-INT((B8-B7-IF(WEEKDAY(B8)=1,0,8-WEEKDAY(B7)))/7)</f>
        <v>1</v>
      </c>
      <c r="E11" s="27">
        <f>_xlfn.DAYS(B8,B7)+1</f>
        <v>1</v>
      </c>
      <c r="J11" s="56"/>
      <c r="K11" s="56"/>
    </row>
    <row r="12" spans="1:11" x14ac:dyDescent="0.25">
      <c r="A12" s="29" t="s">
        <v>278</v>
      </c>
      <c r="B12" s="23">
        <f>H_R_W_M</f>
        <v>0</v>
      </c>
      <c r="C12" s="181">
        <f>NETWORKDAYS(D7,D8)</f>
        <v>22</v>
      </c>
      <c r="D12" s="21">
        <f>D8-D7-INT((D8-D7-IF(WEEKDAY(D7)=1,0,8-WEEKDAY(D7)))/7)</f>
        <v>26</v>
      </c>
      <c r="E12" s="27">
        <f>_xlfn.DAYS(D8,D7)+1</f>
        <v>31</v>
      </c>
      <c r="J12" s="56"/>
      <c r="K12" s="56"/>
    </row>
    <row r="13" spans="1:11" x14ac:dyDescent="0.25">
      <c r="A13" s="29" t="s">
        <v>279</v>
      </c>
      <c r="B13" s="25">
        <f>ROUND((F3*52)/12,2)</f>
        <v>0</v>
      </c>
      <c r="C13" s="25">
        <f>ROUND(F4*52,2)/12</f>
        <v>0</v>
      </c>
      <c r="D13" s="27">
        <f>(F4+1)*52/12</f>
        <v>4.333333333333333</v>
      </c>
      <c r="E13" s="27">
        <f>ROUNDDOWN(((F4+2)*52/12),0)</f>
        <v>8</v>
      </c>
      <c r="J13" s="56"/>
      <c r="K13" s="56"/>
    </row>
    <row r="14" spans="1:11" x14ac:dyDescent="0.25">
      <c r="J14" s="56"/>
      <c r="K14" s="56"/>
    </row>
    <row r="15" spans="1:11" x14ac:dyDescent="0.25">
      <c r="A15" s="608" t="s">
        <v>288</v>
      </c>
      <c r="B15" s="609"/>
      <c r="J15" s="56"/>
      <c r="K15" s="56"/>
    </row>
    <row r="16" spans="1:11" x14ac:dyDescent="0.25">
      <c r="A16" s="175" t="s">
        <v>110</v>
      </c>
      <c r="B16" s="176">
        <f>IF(B11=0,0,B11*B3/B12)</f>
        <v>0</v>
      </c>
      <c r="D16" s="56"/>
      <c r="J16" s="56"/>
      <c r="K16" s="56"/>
    </row>
    <row r="17" spans="1:11" x14ac:dyDescent="0.25">
      <c r="A17" s="177" t="s">
        <v>111</v>
      </c>
      <c r="B17" s="178" t="str">
        <f>IFERROR((B11/B13)*$B$3,"")</f>
        <v/>
      </c>
      <c r="D17" s="610" t="s">
        <v>277</v>
      </c>
      <c r="E17" s="611"/>
      <c r="J17" s="56"/>
      <c r="K17" s="56"/>
    </row>
    <row r="18" spans="1:11" ht="15" customHeight="1" x14ac:dyDescent="0.25">
      <c r="A18" s="177" t="s">
        <v>112</v>
      </c>
      <c r="B18" s="178">
        <f>IFERROR((C11/C12)*$B$3,"")</f>
        <v>0</v>
      </c>
      <c r="D18" s="625" t="str">
        <f>'info bulletin'!C55</f>
        <v>Horaire réèl</v>
      </c>
      <c r="E18" s="613"/>
      <c r="H18" s="614" t="s">
        <v>315</v>
      </c>
      <c r="I18" s="615"/>
      <c r="J18" s="56"/>
      <c r="K18" s="56"/>
    </row>
    <row r="19" spans="1:11" x14ac:dyDescent="0.25">
      <c r="A19" s="177" t="s">
        <v>113</v>
      </c>
      <c r="B19" s="178" t="e">
        <f>(C11/C13)*B3</f>
        <v>#DIV/0!</v>
      </c>
      <c r="D19" s="620">
        <f>IF(B3=0,0,VLOOKUP(D18,A16:B23,2,FALSE))</f>
        <v>0</v>
      </c>
      <c r="E19" s="621"/>
      <c r="H19" s="616"/>
      <c r="I19" s="617"/>
      <c r="J19" s="56"/>
      <c r="K19" s="56"/>
    </row>
    <row r="20" spans="1:11" x14ac:dyDescent="0.25">
      <c r="A20" s="177" t="s">
        <v>114</v>
      </c>
      <c r="B20" s="178">
        <f>IFERROR((D11/D12)*$B$3,"")</f>
        <v>0</v>
      </c>
      <c r="H20" s="616"/>
      <c r="I20" s="617"/>
      <c r="J20" s="56"/>
      <c r="K20" s="56"/>
    </row>
    <row r="21" spans="1:11" x14ac:dyDescent="0.25">
      <c r="A21" s="177" t="s">
        <v>115</v>
      </c>
      <c r="B21" s="178">
        <f>IFERROR((D11/D13)*$B$3,"")</f>
        <v>0</v>
      </c>
      <c r="H21" s="616"/>
      <c r="I21" s="617"/>
      <c r="J21" s="56"/>
      <c r="K21" s="56"/>
    </row>
    <row r="22" spans="1:11" x14ac:dyDescent="0.25">
      <c r="A22" s="177" t="s">
        <v>116</v>
      </c>
      <c r="B22" s="178">
        <f>IFERROR((E11/E12)*$B$3,"")</f>
        <v>0</v>
      </c>
      <c r="H22" s="616"/>
      <c r="I22" s="617"/>
      <c r="J22" s="56"/>
      <c r="K22" s="56"/>
    </row>
    <row r="23" spans="1:11" x14ac:dyDescent="0.25">
      <c r="A23" s="179" t="s">
        <v>117</v>
      </c>
      <c r="B23" s="180">
        <f>IFERROR((E11/E13)*$B$3,"")</f>
        <v>0</v>
      </c>
      <c r="H23" s="616"/>
      <c r="I23" s="617"/>
      <c r="J23" s="56"/>
      <c r="K23" s="56"/>
    </row>
    <row r="24" spans="1:11" x14ac:dyDescent="0.25">
      <c r="H24" s="616"/>
      <c r="I24" s="617"/>
      <c r="J24" s="56"/>
      <c r="K24" s="56"/>
    </row>
    <row r="25" spans="1:11" x14ac:dyDescent="0.25">
      <c r="H25" s="616"/>
      <c r="I25" s="617"/>
      <c r="J25" s="56"/>
      <c r="K25" s="56"/>
    </row>
    <row r="26" spans="1:11" x14ac:dyDescent="0.25">
      <c r="H26" s="616"/>
      <c r="I26" s="617"/>
      <c r="J26" s="56"/>
      <c r="K26" s="56"/>
    </row>
    <row r="27" spans="1:11" x14ac:dyDescent="0.25">
      <c r="H27" s="616"/>
      <c r="I27" s="617"/>
      <c r="J27" s="56"/>
      <c r="K27" s="56"/>
    </row>
    <row r="28" spans="1:11" x14ac:dyDescent="0.25">
      <c r="H28" s="616"/>
      <c r="I28" s="617"/>
      <c r="J28" s="56"/>
      <c r="K28" s="56"/>
    </row>
    <row r="29" spans="1:11" x14ac:dyDescent="0.25">
      <c r="H29" s="616"/>
      <c r="I29" s="617"/>
      <c r="J29" s="56"/>
      <c r="K29" s="56"/>
    </row>
    <row r="30" spans="1:11" x14ac:dyDescent="0.25">
      <c r="H30" s="618"/>
      <c r="I30" s="619"/>
      <c r="J30" s="56"/>
      <c r="K30" s="56"/>
    </row>
  </sheetData>
  <mergeCells count="6">
    <mergeCell ref="A1:F1"/>
    <mergeCell ref="H18:I30"/>
    <mergeCell ref="D17:E17"/>
    <mergeCell ref="D18:E18"/>
    <mergeCell ref="D19:E19"/>
    <mergeCell ref="A15:B15"/>
  </mergeCells>
  <conditionalFormatting sqref="B16:B23">
    <cfRule type="top10" dxfId="1" priority="1" bottom="1" rank="1"/>
  </conditionalFormatting>
  <dataValidations count="1">
    <dataValidation type="list" allowBlank="1" showInputMessage="1" showErrorMessage="1" sqref="D18" xr:uid="{00000000-0002-0000-0600-000001000000}">
      <formula1>$A$16:$A$23</formula1>
    </dataValidation>
  </dataValidations>
  <hyperlinks>
    <hyperlink ref="G1" location="BULLETIN" display="BULLETIN" xr:uid="{00000000-0004-0000-0600-000000000000}"/>
    <hyperlink ref="H1" location="INFO" display="INFO" xr:uid="{00000000-0004-0000-0600-000001000000}"/>
  </hyperlinks>
  <pageMargins left="0.7" right="0.7"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6">
    <tabColor rgb="FFFFC000"/>
  </sheetPr>
  <dimension ref="A1:I34"/>
  <sheetViews>
    <sheetView topLeftCell="A16" workbookViewId="0">
      <selection activeCell="E35" sqref="E35"/>
    </sheetView>
  </sheetViews>
  <sheetFormatPr baseColWidth="10" defaultRowHeight="15" x14ac:dyDescent="0.25"/>
  <cols>
    <col min="1" max="1" width="36.140625" style="56" customWidth="1"/>
    <col min="2" max="2" width="14.7109375" style="56" bestFit="1" customWidth="1"/>
    <col min="3" max="3" width="14.28515625" style="56" customWidth="1"/>
    <col min="4" max="4" width="17.5703125" style="56" bestFit="1" customWidth="1"/>
    <col min="5" max="5" width="16.42578125" style="56" customWidth="1"/>
    <col min="6" max="12" width="11.42578125" style="56"/>
    <col min="13" max="13" width="20.28515625" style="56" customWidth="1"/>
    <col min="14" max="16384" width="11.42578125" style="56"/>
  </cols>
  <sheetData>
    <row r="1" spans="1:9" ht="37.5" customHeight="1" thickBot="1" x14ac:dyDescent="0.3">
      <c r="A1" s="627" t="s">
        <v>85</v>
      </c>
      <c r="B1" s="628"/>
      <c r="C1" s="628"/>
      <c r="D1" s="628"/>
      <c r="E1" s="628"/>
      <c r="F1" s="628"/>
      <c r="G1" s="629"/>
      <c r="H1" s="87" t="s">
        <v>228</v>
      </c>
      <c r="I1" s="87" t="s">
        <v>370</v>
      </c>
    </row>
    <row r="3" spans="1:9" x14ac:dyDescent="0.25">
      <c r="A3" s="107" t="s">
        <v>95</v>
      </c>
      <c r="B3" s="289" t="str">
        <f>CP_JOUR</f>
        <v>ouvrables</v>
      </c>
      <c r="D3" s="56" t="s">
        <v>142</v>
      </c>
      <c r="E3" s="59">
        <f>D_ABS_CP</f>
        <v>0</v>
      </c>
      <c r="F3" s="59">
        <f>MOIS_BULLETIN-DAY(MOIS_BULLETIN)+1</f>
        <v>42736</v>
      </c>
    </row>
    <row r="4" spans="1:9" x14ac:dyDescent="0.25">
      <c r="A4" s="182" t="s">
        <v>96</v>
      </c>
      <c r="B4" s="289" t="str">
        <f>CP_R_M</f>
        <v>moyen</v>
      </c>
      <c r="D4" s="56" t="s">
        <v>143</v>
      </c>
      <c r="E4" s="59">
        <f>F_ABS_CP</f>
        <v>0</v>
      </c>
      <c r="F4" s="62">
        <f>EOMONTH(F3,0)</f>
        <v>42766</v>
      </c>
    </row>
    <row r="5" spans="1:9" x14ac:dyDescent="0.25">
      <c r="A5" s="183" t="s">
        <v>91</v>
      </c>
      <c r="B5" s="184">
        <f>IF(B6="","",IF(B3="ouvrés",NETWORKDAYS(E3,E4,FERIES),E4-E3-INT((E4-E3-IF(WEEKDAY(E4)=1,0,8-WEEKDAY(E3)))/7)-SUMPRODUCT((FERIES&gt;=E3)*(FERIES&lt;=E4)*(WEEKDAY(FERIES)&lt;&gt;1))))</f>
        <v>1</v>
      </c>
    </row>
    <row r="6" spans="1:9" ht="14.25" customHeight="1" x14ac:dyDescent="0.25">
      <c r="A6" s="183" t="s">
        <v>92</v>
      </c>
      <c r="B6" s="185">
        <f>'info bulletin'!C65</f>
        <v>0</v>
      </c>
    </row>
    <row r="7" spans="1:9" x14ac:dyDescent="0.25">
      <c r="A7" s="183" t="s">
        <v>93</v>
      </c>
      <c r="B7" s="185">
        <f>'info bulletin'!C66</f>
        <v>0</v>
      </c>
    </row>
    <row r="8" spans="1:9" x14ac:dyDescent="0.25">
      <c r="A8" s="91" t="s">
        <v>144</v>
      </c>
      <c r="B8" s="184">
        <f>F4-F3-INT((F4-F3-IF(WEEKDAY(F4)=1,0,8-WEEKDAY(F3)))/7)-SUMPRODUCT((FERIES&gt;=F3)*(FERIES&lt;=F4)*(WEEKDAY(FERIES)&lt;&gt;1))</f>
        <v>27</v>
      </c>
    </row>
    <row r="9" spans="1:9" x14ac:dyDescent="0.25">
      <c r="A9" s="91" t="s">
        <v>236</v>
      </c>
      <c r="B9" s="185">
        <f>NETWORKDAYS(F3,F4,FERIES)</f>
        <v>22</v>
      </c>
      <c r="D9" s="17" t="s">
        <v>90</v>
      </c>
      <c r="E9" s="18">
        <f>IF(J_CP="","",(B5/B10)*B6)</f>
        <v>0</v>
      </c>
    </row>
    <row r="10" spans="1:9" x14ac:dyDescent="0.25">
      <c r="A10" s="90" t="s">
        <v>235</v>
      </c>
      <c r="B10" s="184">
        <f>IF(AND(B3="ouvrables",B4="moyen"),26,IF(AND(B3="ouvrables",B4="réèls"),B8,IF(AND(B3="ouvrés",B4="moyen"),21.67,B9)))</f>
        <v>26</v>
      </c>
      <c r="D10" s="17" t="s">
        <v>99</v>
      </c>
      <c r="E10" s="18">
        <f>IF(J_CP="","",((B7/10)*B5)/B11)</f>
        <v>0</v>
      </c>
    </row>
    <row r="11" spans="1:9" x14ac:dyDescent="0.25">
      <c r="A11" s="90" t="s">
        <v>94</v>
      </c>
      <c r="B11" s="184">
        <f>IF(B3="ouvrables",30,25)</f>
        <v>30</v>
      </c>
      <c r="D11" s="17" t="s">
        <v>84</v>
      </c>
      <c r="E11" s="18">
        <f>MAX(E9:E10)</f>
        <v>0</v>
      </c>
    </row>
    <row r="12" spans="1:9" ht="15.75" thickBot="1" x14ac:dyDescent="0.3"/>
    <row r="13" spans="1:9" ht="37.5" customHeight="1" thickBot="1" x14ac:dyDescent="0.3">
      <c r="A13" s="627" t="s">
        <v>97</v>
      </c>
      <c r="B13" s="628"/>
      <c r="C13" s="628"/>
      <c r="D13" s="628"/>
      <c r="E13" s="628"/>
      <c r="F13" s="628"/>
      <c r="G13" s="629"/>
      <c r="H13" s="87" t="s">
        <v>228</v>
      </c>
    </row>
    <row r="14" spans="1:9" x14ac:dyDescent="0.25">
      <c r="A14" s="69"/>
    </row>
    <row r="15" spans="1:9" x14ac:dyDescent="0.25">
      <c r="A15" s="626" t="s">
        <v>193</v>
      </c>
      <c r="B15" s="626"/>
      <c r="C15" s="626"/>
      <c r="D15" s="626"/>
    </row>
    <row r="16" spans="1:9" x14ac:dyDescent="0.25">
      <c r="A16" s="65" t="s">
        <v>98</v>
      </c>
      <c r="B16" s="289">
        <f>'info bulletin'!C70</f>
        <v>0</v>
      </c>
    </row>
    <row r="17" spans="1:8" x14ac:dyDescent="0.25">
      <c r="A17" s="26" t="s">
        <v>99</v>
      </c>
      <c r="B17" s="65">
        <f>IF(B16="",0,B6/10)</f>
        <v>0</v>
      </c>
    </row>
    <row r="18" spans="1:8" x14ac:dyDescent="0.25">
      <c r="A18" s="66" t="s">
        <v>194</v>
      </c>
      <c r="B18" s="66">
        <f>B17-B16</f>
        <v>0</v>
      </c>
    </row>
    <row r="19" spans="1:8" x14ac:dyDescent="0.25">
      <c r="A19" s="65" t="s">
        <v>189</v>
      </c>
      <c r="B19" s="289">
        <f>'info bulletin'!C71</f>
        <v>0</v>
      </c>
    </row>
    <row r="20" spans="1:8" x14ac:dyDescent="0.25">
      <c r="A20" s="17" t="s">
        <v>190</v>
      </c>
      <c r="B20" s="18">
        <f>(B6/10)*B19/30</f>
        <v>0</v>
      </c>
    </row>
    <row r="21" spans="1:8" x14ac:dyDescent="0.25">
      <c r="A21" s="348"/>
      <c r="B21" s="349"/>
    </row>
    <row r="22" spans="1:8" x14ac:dyDescent="0.25">
      <c r="B22" s="65" t="s">
        <v>198</v>
      </c>
      <c r="C22" s="65" t="s">
        <v>199</v>
      </c>
    </row>
    <row r="23" spans="1:8" x14ac:dyDescent="0.25">
      <c r="A23" s="65" t="s">
        <v>191</v>
      </c>
      <c r="C23" s="406">
        <f>'info bulletin'!C74</f>
        <v>0</v>
      </c>
    </row>
    <row r="24" spans="1:8" x14ac:dyDescent="0.25">
      <c r="A24" s="65" t="s">
        <v>192</v>
      </c>
      <c r="B24" s="185">
        <f>'info bulletin'!C75</f>
        <v>0</v>
      </c>
      <c r="C24" s="185">
        <f>'info bulletin'!C76</f>
        <v>0</v>
      </c>
    </row>
    <row r="25" spans="1:8" x14ac:dyDescent="0.25">
      <c r="A25" s="350" t="s">
        <v>191</v>
      </c>
      <c r="B25" s="351">
        <f>B24/10</f>
        <v>0</v>
      </c>
      <c r="C25" s="351">
        <f>C24*C23/B10</f>
        <v>0</v>
      </c>
    </row>
    <row r="26" spans="1:8" x14ac:dyDescent="0.25">
      <c r="A26" s="354" t="s">
        <v>439</v>
      </c>
      <c r="B26" s="355">
        <f>'info bulletin'!C77</f>
        <v>0</v>
      </c>
    </row>
    <row r="27" spans="1:8" x14ac:dyDescent="0.25">
      <c r="A27" s="354" t="s">
        <v>440</v>
      </c>
      <c r="B27" s="355">
        <f>IF(B3="ouvrés",25,30)</f>
        <v>30</v>
      </c>
    </row>
    <row r="28" spans="1:8" x14ac:dyDescent="0.25">
      <c r="A28" s="352" t="s">
        <v>441</v>
      </c>
      <c r="B28" s="353">
        <f>B25*B26/B27</f>
        <v>0</v>
      </c>
      <c r="C28" s="353">
        <f>C25</f>
        <v>0</v>
      </c>
      <c r="G28" s="347"/>
    </row>
    <row r="29" spans="1:8" ht="15.75" thickBot="1" x14ac:dyDescent="0.3"/>
    <row r="30" spans="1:8" ht="37.5" customHeight="1" thickBot="1" x14ac:dyDescent="0.3">
      <c r="A30" s="630" t="s">
        <v>100</v>
      </c>
      <c r="B30" s="631"/>
      <c r="C30" s="631"/>
      <c r="D30" s="631"/>
      <c r="E30" s="631"/>
      <c r="F30" s="631"/>
      <c r="G30" s="632"/>
      <c r="H30" s="87" t="s">
        <v>228</v>
      </c>
    </row>
    <row r="32" spans="1:8" x14ac:dyDescent="0.25">
      <c r="A32" s="65" t="s">
        <v>101</v>
      </c>
      <c r="B32" s="289">
        <f>'info bulletin'!C80</f>
        <v>0</v>
      </c>
    </row>
    <row r="33" spans="1:5" x14ac:dyDescent="0.25">
      <c r="A33" s="65" t="s">
        <v>102</v>
      </c>
      <c r="B33" s="289">
        <f>'info bulletin'!C81</f>
        <v>0</v>
      </c>
    </row>
    <row r="34" spans="1:5" x14ac:dyDescent="0.25">
      <c r="A34" s="66" t="s">
        <v>103</v>
      </c>
      <c r="B34" s="67">
        <f>IF(B32="",0,(B6/10)*((30+B32)/30))</f>
        <v>0</v>
      </c>
      <c r="D34" s="66" t="s">
        <v>104</v>
      </c>
      <c r="E34" s="67">
        <f>B34-B33</f>
        <v>0</v>
      </c>
    </row>
  </sheetData>
  <mergeCells count="4">
    <mergeCell ref="A15:D15"/>
    <mergeCell ref="A1:G1"/>
    <mergeCell ref="A13:G13"/>
    <mergeCell ref="A30:G30"/>
  </mergeCells>
  <hyperlinks>
    <hyperlink ref="H1" location="BULLETIN" display="BULLETIN" xr:uid="{00000000-0004-0000-0700-000000000000}"/>
    <hyperlink ref="H13" location="BULLETIN" display="BULLETIN" xr:uid="{00000000-0004-0000-0700-000001000000}"/>
    <hyperlink ref="H30" location="BULLETIN" display="BULLETIN" xr:uid="{00000000-0004-0000-0700-000002000000}"/>
    <hyperlink ref="I1" location="INFO" display="INFO" xr:uid="{00000000-0004-0000-0700-000003000000}"/>
  </hyperlinks>
  <pageMargins left="0.7" right="0.7" top="0.75" bottom="0.75" header="0.3" footer="0.3"/>
  <pageSetup paperSize="9" orientation="portrait" r:id="rId1"/>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tabColor rgb="FF92D050"/>
  </sheetPr>
  <dimension ref="A1:J59"/>
  <sheetViews>
    <sheetView topLeftCell="A13" workbookViewId="0">
      <selection activeCell="E10" sqref="E10"/>
    </sheetView>
  </sheetViews>
  <sheetFormatPr baseColWidth="10" defaultRowHeight="15" x14ac:dyDescent="0.25"/>
  <cols>
    <col min="1" max="1" width="31.5703125" style="34" customWidth="1"/>
    <col min="2" max="2" width="14.28515625" style="34" customWidth="1"/>
    <col min="3" max="3" width="14.5703125" style="34" customWidth="1"/>
    <col min="4" max="4" width="29.42578125" style="34" customWidth="1"/>
    <col min="5" max="5" width="16.7109375" style="34" customWidth="1"/>
    <col min="6" max="6" width="3" style="34" customWidth="1"/>
    <col min="7" max="7" width="11.42578125" style="78"/>
    <col min="8" max="8" width="53.42578125" style="34" bestFit="1" customWidth="1"/>
    <col min="9" max="9" width="16.42578125" style="34" customWidth="1"/>
    <col min="10" max="10" width="15.28515625" style="34" bestFit="1" customWidth="1"/>
    <col min="11" max="16384" width="11.42578125" style="34"/>
  </cols>
  <sheetData>
    <row r="1" spans="1:10" ht="37.5" customHeight="1" thickBot="1" x14ac:dyDescent="0.3">
      <c r="A1" s="633" t="s">
        <v>158</v>
      </c>
      <c r="B1" s="634"/>
      <c r="C1" s="634"/>
      <c r="D1" s="634"/>
      <c r="E1" s="634"/>
      <c r="F1" s="635"/>
      <c r="G1" s="87" t="s">
        <v>228</v>
      </c>
      <c r="H1" s="614" t="s">
        <v>436</v>
      </c>
      <c r="I1" s="637"/>
      <c r="J1" s="638"/>
    </row>
    <row r="2" spans="1:10" x14ac:dyDescent="0.25">
      <c r="G2" s="87" t="s">
        <v>370</v>
      </c>
      <c r="H2" s="639"/>
      <c r="I2" s="640"/>
      <c r="J2" s="641"/>
    </row>
    <row r="3" spans="1:10" x14ac:dyDescent="0.25">
      <c r="H3" s="639"/>
      <c r="I3" s="640"/>
      <c r="J3" s="641"/>
    </row>
    <row r="4" spans="1:10" x14ac:dyDescent="0.25">
      <c r="A4" s="103" t="s">
        <v>426</v>
      </c>
      <c r="B4" s="296">
        <f>J_TR</f>
        <v>0</v>
      </c>
      <c r="H4" s="639"/>
      <c r="I4" s="640"/>
      <c r="J4" s="641"/>
    </row>
    <row r="5" spans="1:10" x14ac:dyDescent="0.25">
      <c r="A5" s="38" t="s">
        <v>153</v>
      </c>
      <c r="B5" s="296">
        <f>V_F_TR</f>
        <v>0</v>
      </c>
      <c r="H5" s="639"/>
      <c r="I5" s="640"/>
      <c r="J5" s="641"/>
    </row>
    <row r="6" spans="1:10" x14ac:dyDescent="0.25">
      <c r="A6" s="38" t="s">
        <v>156</v>
      </c>
      <c r="B6" s="296">
        <f>vMax_PP_TR</f>
        <v>5.38</v>
      </c>
      <c r="H6" s="639"/>
      <c r="I6" s="640"/>
      <c r="J6" s="641"/>
    </row>
    <row r="7" spans="1:10" x14ac:dyDescent="0.25">
      <c r="A7" s="38" t="s">
        <v>155</v>
      </c>
      <c r="B7" s="297">
        <f>PSAL_TR</f>
        <v>0</v>
      </c>
      <c r="D7" s="38" t="s">
        <v>74</v>
      </c>
      <c r="E7" s="298">
        <f>PPAT_TR</f>
        <v>1</v>
      </c>
      <c r="H7" s="639"/>
      <c r="I7" s="640"/>
      <c r="J7" s="641"/>
    </row>
    <row r="8" spans="1:10" x14ac:dyDescent="0.25">
      <c r="D8" s="103" t="s">
        <v>435</v>
      </c>
      <c r="E8" s="39">
        <f>E7*B5</f>
        <v>0</v>
      </c>
      <c r="H8" s="639"/>
      <c r="I8" s="640"/>
      <c r="J8" s="641"/>
    </row>
    <row r="9" spans="1:10" x14ac:dyDescent="0.25">
      <c r="E9" s="35"/>
      <c r="H9" s="639"/>
      <c r="I9" s="640"/>
      <c r="J9" s="641"/>
    </row>
    <row r="10" spans="1:10" x14ac:dyDescent="0.25">
      <c r="A10" s="647" t="s">
        <v>154</v>
      </c>
      <c r="B10" s="647"/>
      <c r="C10" s="647"/>
      <c r="D10" s="647"/>
      <c r="E10" s="36">
        <f>(B4*B5)*B7</f>
        <v>0</v>
      </c>
      <c r="H10" s="639"/>
      <c r="I10" s="640"/>
      <c r="J10" s="641"/>
    </row>
    <row r="11" spans="1:10" x14ac:dyDescent="0.25">
      <c r="A11" s="647" t="s">
        <v>152</v>
      </c>
      <c r="B11" s="647"/>
      <c r="C11" s="647"/>
      <c r="D11" s="647"/>
      <c r="E11" s="36">
        <f>IF(E7&gt;60%,E8*B4,IF(E8&gt;B6,(E8-B6)*B4,0))</f>
        <v>0</v>
      </c>
      <c r="H11" s="639"/>
      <c r="I11" s="640"/>
      <c r="J11" s="641"/>
    </row>
    <row r="12" spans="1:10" ht="15.75" thickBot="1" x14ac:dyDescent="0.3">
      <c r="H12" s="639"/>
      <c r="I12" s="640"/>
      <c r="J12" s="641"/>
    </row>
    <row r="13" spans="1:10" ht="37.5" customHeight="1" thickBot="1" x14ac:dyDescent="0.3">
      <c r="A13" s="633" t="s">
        <v>159</v>
      </c>
      <c r="B13" s="634"/>
      <c r="C13" s="634"/>
      <c r="D13" s="634"/>
      <c r="E13" s="634"/>
      <c r="F13" s="635"/>
      <c r="G13" s="87" t="s">
        <v>228</v>
      </c>
      <c r="H13" s="642"/>
      <c r="I13" s="643"/>
      <c r="J13" s="644"/>
    </row>
    <row r="15" spans="1:10" x14ac:dyDescent="0.25">
      <c r="A15" s="38" t="s">
        <v>160</v>
      </c>
      <c r="B15" s="296">
        <f>PSAL_EF_REPAS</f>
        <v>0</v>
      </c>
    </row>
    <row r="16" spans="1:10" x14ac:dyDescent="0.25">
      <c r="A16" s="38" t="s">
        <v>161</v>
      </c>
      <c r="B16" s="296">
        <f>EVAL_FOR_REPAS</f>
        <v>4.75</v>
      </c>
    </row>
    <row r="17" spans="1:10" x14ac:dyDescent="0.25">
      <c r="A17" s="38" t="s">
        <v>163</v>
      </c>
      <c r="B17" s="296">
        <f>J_EF</f>
        <v>0</v>
      </c>
    </row>
    <row r="19" spans="1:10" x14ac:dyDescent="0.25">
      <c r="A19" s="647" t="s">
        <v>164</v>
      </c>
      <c r="B19" s="647"/>
      <c r="C19" s="647"/>
      <c r="D19" s="647"/>
      <c r="E19" s="36">
        <f>B15*B17</f>
        <v>0</v>
      </c>
    </row>
    <row r="20" spans="1:10" x14ac:dyDescent="0.25">
      <c r="A20" s="647" t="s">
        <v>152</v>
      </c>
      <c r="B20" s="647"/>
      <c r="C20" s="647"/>
      <c r="D20" s="647"/>
      <c r="E20" s="36">
        <f>IF(B15&lt;B16/2,(B16-B15)*B17,0)</f>
        <v>0</v>
      </c>
    </row>
    <row r="22" spans="1:10" ht="15.75" thickBot="1" x14ac:dyDescent="0.3"/>
    <row r="23" spans="1:10" ht="37.5" customHeight="1" thickBot="1" x14ac:dyDescent="0.3">
      <c r="A23" s="633" t="s">
        <v>165</v>
      </c>
      <c r="B23" s="634"/>
      <c r="C23" s="634"/>
      <c r="D23" s="634"/>
      <c r="E23" s="634"/>
      <c r="F23" s="635"/>
      <c r="G23" s="87" t="s">
        <v>228</v>
      </c>
      <c r="H23" s="648" t="s">
        <v>180</v>
      </c>
      <c r="I23" s="648"/>
      <c r="J23" s="648"/>
    </row>
    <row r="24" spans="1:10" x14ac:dyDescent="0.25">
      <c r="H24" s="49" t="s">
        <v>166</v>
      </c>
      <c r="I24" s="38" t="s">
        <v>168</v>
      </c>
      <c r="J24" s="38" t="s">
        <v>169</v>
      </c>
    </row>
    <row r="25" spans="1:10" x14ac:dyDescent="0.25">
      <c r="H25" s="40" t="s">
        <v>178</v>
      </c>
      <c r="I25" s="41">
        <v>68.5</v>
      </c>
      <c r="J25" s="42">
        <v>36.6</v>
      </c>
    </row>
    <row r="26" spans="1:10" x14ac:dyDescent="0.25">
      <c r="A26" s="49" t="s">
        <v>166</v>
      </c>
      <c r="B26" s="37" t="s">
        <v>167</v>
      </c>
      <c r="C26" s="37" t="s">
        <v>168</v>
      </c>
      <c r="D26" s="37" t="s">
        <v>169</v>
      </c>
      <c r="E26" s="50" t="s">
        <v>170</v>
      </c>
      <c r="H26" s="43" t="s">
        <v>171</v>
      </c>
      <c r="I26" s="44">
        <v>80</v>
      </c>
      <c r="J26" s="45">
        <v>51.4</v>
      </c>
    </row>
    <row r="27" spans="1:10" x14ac:dyDescent="0.25">
      <c r="A27" s="38" t="str">
        <f>'info bulletin'!C103</f>
        <v>Infèrieur à 1634,50</v>
      </c>
      <c r="B27" s="39">
        <f>VLOOKUP(A27,H25:J32,2,FALSE)</f>
        <v>68.5</v>
      </c>
      <c r="C27" s="300">
        <f>+NBRE_PIECES</f>
        <v>0</v>
      </c>
      <c r="D27" s="39">
        <f>VLOOKUP(A27,H25:J32,3,FALSE)</f>
        <v>36.6</v>
      </c>
      <c r="E27" s="36">
        <f>IF(C27=1,B27,C27*D27)</f>
        <v>0</v>
      </c>
      <c r="H27" s="43" t="s">
        <v>172</v>
      </c>
      <c r="I27" s="44">
        <v>91.3</v>
      </c>
      <c r="J27" s="45">
        <v>68.5</v>
      </c>
    </row>
    <row r="28" spans="1:10" x14ac:dyDescent="0.25">
      <c r="H28" s="43" t="s">
        <v>173</v>
      </c>
      <c r="I28" s="44">
        <v>102.6</v>
      </c>
      <c r="J28" s="45">
        <v>85.5</v>
      </c>
    </row>
    <row r="29" spans="1:10" x14ac:dyDescent="0.25">
      <c r="H29" s="43" t="s">
        <v>174</v>
      </c>
      <c r="I29" s="44">
        <v>125.6</v>
      </c>
      <c r="J29" s="45">
        <v>108.4</v>
      </c>
    </row>
    <row r="30" spans="1:10" x14ac:dyDescent="0.25">
      <c r="H30" s="43" t="s">
        <v>175</v>
      </c>
      <c r="I30" s="44">
        <v>148.4</v>
      </c>
      <c r="J30" s="45">
        <v>131.1</v>
      </c>
    </row>
    <row r="31" spans="1:10" x14ac:dyDescent="0.25">
      <c r="H31" s="43" t="s">
        <v>176</v>
      </c>
      <c r="I31" s="44">
        <v>171.2</v>
      </c>
      <c r="J31" s="45">
        <v>159.69999999999999</v>
      </c>
    </row>
    <row r="32" spans="1:10" x14ac:dyDescent="0.25">
      <c r="H32" s="46" t="s">
        <v>177</v>
      </c>
      <c r="I32" s="47">
        <v>194</v>
      </c>
      <c r="J32" s="48">
        <v>182.6</v>
      </c>
    </row>
    <row r="33" spans="1:10" ht="15.75" thickBot="1" x14ac:dyDescent="0.3">
      <c r="G33" s="89"/>
      <c r="H33" s="88"/>
      <c r="I33" s="54"/>
      <c r="J33" s="55"/>
    </row>
    <row r="34" spans="1:10" ht="37.5" customHeight="1" thickBot="1" x14ac:dyDescent="0.3">
      <c r="A34" s="633" t="s">
        <v>181</v>
      </c>
      <c r="B34" s="634"/>
      <c r="C34" s="634"/>
      <c r="D34" s="634"/>
      <c r="E34" s="634"/>
      <c r="F34" s="635"/>
      <c r="G34" s="87" t="s">
        <v>228</v>
      </c>
      <c r="H34" s="645" t="s">
        <v>186</v>
      </c>
      <c r="I34" s="646"/>
    </row>
    <row r="35" spans="1:10" x14ac:dyDescent="0.25">
      <c r="H35" s="80" t="s">
        <v>201</v>
      </c>
      <c r="I35" s="74"/>
    </row>
    <row r="36" spans="1:10" x14ac:dyDescent="0.25">
      <c r="A36" s="103" t="s">
        <v>256</v>
      </c>
      <c r="B36" s="308">
        <f>'info bulletin'!C107</f>
        <v>0</v>
      </c>
      <c r="C36" s="72" t="s">
        <v>203</v>
      </c>
      <c r="D36" s="38" t="s">
        <v>185</v>
      </c>
      <c r="E36" s="308">
        <f>'info bulletin'!C118</f>
        <v>0</v>
      </c>
      <c r="F36" s="72" t="s">
        <v>204</v>
      </c>
      <c r="H36" s="79" t="s">
        <v>215</v>
      </c>
      <c r="I36" s="53">
        <v>0.2</v>
      </c>
    </row>
    <row r="37" spans="1:10" x14ac:dyDescent="0.25">
      <c r="A37" s="38" t="s">
        <v>182</v>
      </c>
      <c r="B37" s="308">
        <f>'info bulletin'!C108</f>
        <v>0</v>
      </c>
      <c r="C37" s="72" t="s">
        <v>204</v>
      </c>
      <c r="D37" s="38" t="s">
        <v>182</v>
      </c>
      <c r="E37" s="308">
        <f>'info bulletin'!C119</f>
        <v>0</v>
      </c>
      <c r="F37" s="72" t="s">
        <v>204</v>
      </c>
      <c r="H37" s="82" t="s">
        <v>216</v>
      </c>
      <c r="I37" s="51">
        <v>0.1</v>
      </c>
    </row>
    <row r="38" spans="1:10" x14ac:dyDescent="0.25">
      <c r="A38" s="38" t="s">
        <v>184</v>
      </c>
      <c r="B38" s="308">
        <f>'info bulletin'!C109</f>
        <v>0</v>
      </c>
      <c r="C38" s="72" t="s">
        <v>204</v>
      </c>
      <c r="D38" s="38" t="s">
        <v>184</v>
      </c>
      <c r="E38" s="308">
        <f>'info bulletin'!C120</f>
        <v>0</v>
      </c>
      <c r="F38" s="72" t="s">
        <v>204</v>
      </c>
      <c r="H38" s="83" t="s">
        <v>217</v>
      </c>
      <c r="I38" s="51">
        <v>0.09</v>
      </c>
    </row>
    <row r="39" spans="1:10" x14ac:dyDescent="0.25">
      <c r="A39" s="38" t="s">
        <v>183</v>
      </c>
      <c r="B39" s="308">
        <f>'info bulletin'!C110</f>
        <v>0</v>
      </c>
      <c r="C39" s="72" t="s">
        <v>204</v>
      </c>
      <c r="D39" s="38" t="s">
        <v>183</v>
      </c>
      <c r="E39" s="308">
        <f>'info bulletin'!C121</f>
        <v>0</v>
      </c>
      <c r="F39" s="72" t="s">
        <v>204</v>
      </c>
      <c r="H39" s="83" t="s">
        <v>218</v>
      </c>
      <c r="I39" s="51">
        <v>0.06</v>
      </c>
    </row>
    <row r="40" spans="1:10" x14ac:dyDescent="0.25">
      <c r="B40" s="307"/>
      <c r="H40" s="83" t="s">
        <v>219</v>
      </c>
      <c r="I40" s="51">
        <v>0.12</v>
      </c>
    </row>
    <row r="41" spans="1:10" x14ac:dyDescent="0.25">
      <c r="H41" s="84" t="s">
        <v>220</v>
      </c>
      <c r="I41" s="73">
        <v>0.09</v>
      </c>
    </row>
    <row r="42" spans="1:10" x14ac:dyDescent="0.25">
      <c r="A42" s="636" t="s">
        <v>225</v>
      </c>
      <c r="B42" s="636"/>
      <c r="D42" s="636" t="s">
        <v>205</v>
      </c>
      <c r="E42" s="636"/>
      <c r="H42" s="80" t="s">
        <v>202</v>
      </c>
      <c r="I42" s="74"/>
    </row>
    <row r="43" spans="1:10" x14ac:dyDescent="0.25">
      <c r="A43" s="34" t="str">
        <f>'info bulletin'!C116</f>
        <v>1-Réèl - 5 ans</v>
      </c>
      <c r="B43" s="75">
        <f>VLOOKUP(A43,H36:I41,2,FALSE)</f>
        <v>0.2</v>
      </c>
      <c r="D43" s="34" t="str">
        <f>'info bulletin'!C123</f>
        <v>1-Loa réèl</v>
      </c>
      <c r="E43" s="75">
        <f>VLOOKUP(D43,H43:I46,2,FALSE)</f>
        <v>1</v>
      </c>
      <c r="H43" s="79" t="s">
        <v>221</v>
      </c>
      <c r="I43" s="81">
        <v>1</v>
      </c>
    </row>
    <row r="44" spans="1:10" x14ac:dyDescent="0.25">
      <c r="H44" s="83" t="s">
        <v>222</v>
      </c>
      <c r="I44" s="51">
        <v>0.3</v>
      </c>
    </row>
    <row r="45" spans="1:10" x14ac:dyDescent="0.25">
      <c r="A45" s="72" t="s">
        <v>259</v>
      </c>
      <c r="B45" s="104">
        <f>IF(A43="1-Réèl - 5 ans",((B36*B43)+B37+B38+B39)/12,IF(A43="2-Réèl + 5 ans",((B36*B43)+B37+B38+B39)/12,(B36*B43)/12))</f>
        <v>0</v>
      </c>
      <c r="D45" s="77" t="s">
        <v>379</v>
      </c>
      <c r="E45" s="76">
        <f>(E36+E37+E38+E39)*E43/12</f>
        <v>0</v>
      </c>
      <c r="H45" s="83" t="s">
        <v>223</v>
      </c>
      <c r="I45" s="51">
        <v>0.3</v>
      </c>
    </row>
    <row r="46" spans="1:10" x14ac:dyDescent="0.25">
      <c r="H46" s="85" t="s">
        <v>224</v>
      </c>
      <c r="I46" s="52">
        <v>0.4</v>
      </c>
    </row>
    <row r="47" spans="1:10" x14ac:dyDescent="0.25">
      <c r="A47" s="72" t="s">
        <v>257</v>
      </c>
      <c r="B47" s="307">
        <f>'info bulletin'!C112</f>
        <v>0</v>
      </c>
    </row>
    <row r="48" spans="1:10" x14ac:dyDescent="0.25">
      <c r="A48" s="72" t="s">
        <v>258</v>
      </c>
      <c r="B48" s="307">
        <f>'info bulletin'!C113</f>
        <v>0</v>
      </c>
    </row>
    <row r="50" spans="1:6" x14ac:dyDescent="0.25">
      <c r="A50" s="77" t="s">
        <v>378</v>
      </c>
      <c r="B50" s="108">
        <f>IF(B48=0,B45,B47*B45/B48)</f>
        <v>0</v>
      </c>
    </row>
    <row r="52" spans="1:6" ht="15.75" thickBot="1" x14ac:dyDescent="0.3"/>
    <row r="53" spans="1:6" ht="21.75" thickBot="1" x14ac:dyDescent="0.3">
      <c r="A53" s="633" t="s">
        <v>265</v>
      </c>
      <c r="B53" s="634"/>
      <c r="C53" s="634"/>
      <c r="D53" s="634"/>
      <c r="E53" s="634"/>
      <c r="F53" s="635"/>
    </row>
    <row r="55" spans="1:6" x14ac:dyDescent="0.25">
      <c r="A55" s="72" t="s">
        <v>266</v>
      </c>
      <c r="B55" s="311">
        <f>+'info bulletin'!C133</f>
        <v>0</v>
      </c>
    </row>
    <row r="56" spans="1:6" x14ac:dyDescent="0.25">
      <c r="A56" s="72" t="s">
        <v>268</v>
      </c>
      <c r="B56" s="312">
        <f>+'info bulletin'!C134</f>
        <v>0</v>
      </c>
      <c r="C56" s="105">
        <v>0.5</v>
      </c>
    </row>
    <row r="57" spans="1:6" x14ac:dyDescent="0.25">
      <c r="A57" s="72"/>
      <c r="B57" s="312"/>
      <c r="C57" s="105"/>
    </row>
    <row r="58" spans="1:6" x14ac:dyDescent="0.25">
      <c r="A58" s="72" t="s">
        <v>267</v>
      </c>
      <c r="B58" s="34">
        <f>+B56*B55</f>
        <v>0</v>
      </c>
      <c r="C58" s="34">
        <f>+C56*B55</f>
        <v>0</v>
      </c>
    </row>
    <row r="59" spans="1:6" x14ac:dyDescent="0.25">
      <c r="A59" s="72" t="s">
        <v>269</v>
      </c>
      <c r="B59" s="34">
        <f>+B58-C58</f>
        <v>0</v>
      </c>
    </row>
  </sheetData>
  <mergeCells count="14">
    <mergeCell ref="A53:F53"/>
    <mergeCell ref="A42:B42"/>
    <mergeCell ref="D42:E42"/>
    <mergeCell ref="H1:J13"/>
    <mergeCell ref="H34:I34"/>
    <mergeCell ref="A34:F34"/>
    <mergeCell ref="A19:D19"/>
    <mergeCell ref="A20:D20"/>
    <mergeCell ref="A23:F23"/>
    <mergeCell ref="H23:J23"/>
    <mergeCell ref="A1:F1"/>
    <mergeCell ref="A10:D10"/>
    <mergeCell ref="A11:D11"/>
    <mergeCell ref="A13:F13"/>
  </mergeCells>
  <dataValidations count="1">
    <dataValidation type="list" allowBlank="1" showInputMessage="1" showErrorMessage="1" sqref="A27" xr:uid="{00000000-0002-0000-0800-000000000000}">
      <formula1>$H$25:$H$32</formula1>
    </dataValidation>
  </dataValidations>
  <hyperlinks>
    <hyperlink ref="G1" location="BULLETIN" display="BULLETIN" xr:uid="{00000000-0004-0000-0800-000000000000}"/>
    <hyperlink ref="G13" location="BULLETIN" display="BULLETIN" xr:uid="{00000000-0004-0000-0800-000001000000}"/>
    <hyperlink ref="G23" location="BULLETIN" display="BULLETIN" xr:uid="{00000000-0004-0000-0800-000002000000}"/>
    <hyperlink ref="G34" location="BULLETIN" display="BULLETIN" xr:uid="{00000000-0004-0000-0800-000003000000}"/>
    <hyperlink ref="G2" location="INFO" display="INFO" xr:uid="{00000000-0004-0000-0800-000004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228" r:id="rId4" name="Bouton 36">
              <controlPr defaultSize="0" print="0" autoFill="0" autoPict="0" macro="[0]!AN_ZERO">
                <anchor moveWithCells="1" sizeWithCells="1">
                  <from>
                    <xdr:col>7</xdr:col>
                    <xdr:colOff>0</xdr:colOff>
                    <xdr:row>48</xdr:row>
                    <xdr:rowOff>28575</xdr:rowOff>
                  </from>
                  <to>
                    <xdr:col>8</xdr:col>
                    <xdr:colOff>9525</xdr:colOff>
                    <xdr:row>50</xdr:row>
                    <xdr:rowOff>85725</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8">
    <tabColor rgb="FFFF99FF"/>
  </sheetPr>
  <dimension ref="A1:M48"/>
  <sheetViews>
    <sheetView workbookViewId="0">
      <selection activeCell="F20" sqref="F20"/>
    </sheetView>
  </sheetViews>
  <sheetFormatPr baseColWidth="10" defaultRowHeight="12.75" x14ac:dyDescent="0.2"/>
  <cols>
    <col min="1" max="1" width="32.140625" style="97" customWidth="1"/>
    <col min="2" max="2" width="9" style="97" customWidth="1"/>
    <col min="3" max="3" width="8.28515625" style="97" customWidth="1"/>
    <col min="4" max="4" width="11.42578125" style="97"/>
    <col min="5" max="6" width="13.140625" style="97" customWidth="1"/>
    <col min="7" max="7" width="12.28515625" style="97" bestFit="1" customWidth="1"/>
    <col min="8" max="8" width="17.28515625" style="97" customWidth="1"/>
    <col min="9" max="9" width="18.7109375" style="97" customWidth="1"/>
    <col min="10" max="10" width="4.85546875" style="97" bestFit="1" customWidth="1"/>
    <col min="11" max="11" width="18.42578125" style="222" customWidth="1"/>
    <col min="12" max="12" width="7.85546875" style="97" bestFit="1" customWidth="1"/>
    <col min="13" max="13" width="12.7109375" style="97" customWidth="1"/>
    <col min="14" max="14" width="12.28515625" style="97" bestFit="1" customWidth="1"/>
    <col min="15" max="15" width="11.42578125" style="97"/>
    <col min="16" max="16" width="12.28515625" style="97" bestFit="1" customWidth="1"/>
    <col min="17" max="16384" width="11.42578125" style="97"/>
  </cols>
  <sheetData>
    <row r="1" spans="1:13" ht="35.25" customHeight="1" thickBot="1" x14ac:dyDescent="0.25">
      <c r="A1" s="652" t="s">
        <v>247</v>
      </c>
      <c r="B1" s="653"/>
      <c r="C1" s="653"/>
      <c r="D1" s="653"/>
      <c r="E1" s="653"/>
      <c r="F1" s="653"/>
      <c r="G1" s="653"/>
      <c r="H1" s="653"/>
      <c r="I1" s="654"/>
      <c r="K1" s="87" t="s">
        <v>228</v>
      </c>
      <c r="L1" s="87" t="s">
        <v>370</v>
      </c>
      <c r="M1" s="295"/>
    </row>
    <row r="2" spans="1:13" x14ac:dyDescent="0.2">
      <c r="A2" s="102"/>
      <c r="B2" s="98"/>
      <c r="C2" s="98"/>
      <c r="D2" s="215"/>
      <c r="E2" s="216"/>
      <c r="F2" s="215"/>
      <c r="G2" s="217"/>
      <c r="H2" s="215"/>
      <c r="I2" s="215"/>
    </row>
    <row r="3" spans="1:13" ht="38.25" customHeight="1" x14ac:dyDescent="0.2">
      <c r="A3" s="98"/>
      <c r="B3" s="98"/>
      <c r="C3" s="98"/>
      <c r="D3" s="649" t="s">
        <v>301</v>
      </c>
      <c r="E3" s="649"/>
      <c r="F3" s="649" t="s">
        <v>302</v>
      </c>
      <c r="G3" s="649"/>
      <c r="H3" s="213" t="s">
        <v>303</v>
      </c>
      <c r="I3" s="214" t="s">
        <v>304</v>
      </c>
      <c r="K3" s="226" t="s">
        <v>316</v>
      </c>
      <c r="L3" s="227" t="s">
        <v>317</v>
      </c>
    </row>
    <row r="4" spans="1:13" ht="12.75" customHeight="1" x14ac:dyDescent="0.2">
      <c r="A4" s="202" t="s">
        <v>254</v>
      </c>
      <c r="B4" s="309">
        <f>IF('info bulletin'!C137="NON",0,SNAR)</f>
        <v>0</v>
      </c>
      <c r="C4" s="99"/>
      <c r="D4" s="187">
        <v>0</v>
      </c>
      <c r="E4" s="188">
        <v>310.83</v>
      </c>
      <c r="F4" s="187">
        <f>D4</f>
        <v>0</v>
      </c>
      <c r="G4" s="188">
        <f>E4+$B$6*$B$12</f>
        <v>310.83</v>
      </c>
      <c r="H4" s="189">
        <v>0.05</v>
      </c>
      <c r="I4" s="190">
        <f>IF($B$4&gt;G4,G4*H4,$B$4*H4)</f>
        <v>0</v>
      </c>
      <c r="K4" s="225">
        <f>IF(I4=0,0,IF(G4&lt;salmensu,G4-F4,salmensu))</f>
        <v>0</v>
      </c>
      <c r="L4" s="228" t="s">
        <v>318</v>
      </c>
    </row>
    <row r="5" spans="1:13" x14ac:dyDescent="0.2">
      <c r="A5" s="204"/>
      <c r="B5" s="203"/>
      <c r="C5" s="99"/>
      <c r="D5" s="191">
        <f>E4</f>
        <v>310.83</v>
      </c>
      <c r="E5" s="192">
        <v>606.66999999999996</v>
      </c>
      <c r="F5" s="191">
        <f>G4</f>
        <v>310.83</v>
      </c>
      <c r="G5" s="192">
        <f>E5+$B$6*$B$12</f>
        <v>606.66999999999996</v>
      </c>
      <c r="H5" s="193">
        <v>0.1</v>
      </c>
      <c r="I5" s="194">
        <f>IF($B$4&gt;G5,(G5-F5)*H5,IF($B$4&gt;F5,($B$4-F5)*H5,0))</f>
        <v>0</v>
      </c>
      <c r="K5" s="223">
        <f>IF($B$4&gt;G5,(G5-F5),IF($B$4&gt;F5,($B$4-F5),0))</f>
        <v>0</v>
      </c>
      <c r="L5" s="229" t="s">
        <v>319</v>
      </c>
    </row>
    <row r="6" spans="1:13" x14ac:dyDescent="0.2">
      <c r="A6" s="202" t="s">
        <v>305</v>
      </c>
      <c r="B6" s="309">
        <f>NBRE_PERS_CHAR</f>
        <v>0</v>
      </c>
      <c r="C6" s="99"/>
      <c r="D6" s="191">
        <f t="shared" ref="D6:D10" si="0">E5</f>
        <v>606.66999999999996</v>
      </c>
      <c r="E6" s="192">
        <v>904.17</v>
      </c>
      <c r="F6" s="191">
        <f t="shared" ref="F6:F10" si="1">G5</f>
        <v>606.66999999999996</v>
      </c>
      <c r="G6" s="192">
        <f t="shared" ref="G6:G9" si="2">E6+$B$6*$B$12</f>
        <v>904.17</v>
      </c>
      <c r="H6" s="193">
        <v>0.2</v>
      </c>
      <c r="I6" s="194">
        <f t="shared" ref="I6:I10" si="3">IF($B$4&gt;G6,(G6-F6)*H6,IF($B$4&gt;F6,($B$4-F6)*H6,0))</f>
        <v>0</v>
      </c>
      <c r="K6" s="223">
        <f t="shared" ref="K6:K10" si="4">IF($B$4&gt;G6,(G6-F6),IF($B$4&gt;F6,($B$4-F6),0))</f>
        <v>0</v>
      </c>
      <c r="L6" s="229" t="s">
        <v>320</v>
      </c>
    </row>
    <row r="7" spans="1:13" x14ac:dyDescent="0.2">
      <c r="D7" s="191">
        <f t="shared" si="0"/>
        <v>904.17</v>
      </c>
      <c r="E7" s="192">
        <v>1200.83</v>
      </c>
      <c r="F7" s="191">
        <f t="shared" si="1"/>
        <v>904.17</v>
      </c>
      <c r="G7" s="192">
        <f t="shared" si="2"/>
        <v>1200.83</v>
      </c>
      <c r="H7" s="193">
        <v>0.25</v>
      </c>
      <c r="I7" s="194">
        <f>IF($B$4&gt;G7,(G7-F7)*H7,IF($B$4&gt;F7,($B$4-F7)*H7,0))</f>
        <v>0</v>
      </c>
      <c r="K7" s="223">
        <f t="shared" si="4"/>
        <v>0</v>
      </c>
      <c r="L7" s="229" t="s">
        <v>321</v>
      </c>
    </row>
    <row r="8" spans="1:13" x14ac:dyDescent="0.2">
      <c r="A8" s="205" t="s">
        <v>306</v>
      </c>
      <c r="B8" s="206">
        <f>IF(salmensu-rmi&lt;=0,salmensu,rmi)</f>
        <v>0</v>
      </c>
      <c r="D8" s="191">
        <f t="shared" si="0"/>
        <v>1200.83</v>
      </c>
      <c r="E8" s="192">
        <v>1497.5</v>
      </c>
      <c r="F8" s="191">
        <f t="shared" si="1"/>
        <v>1200.83</v>
      </c>
      <c r="G8" s="192">
        <f t="shared" si="2"/>
        <v>1497.5</v>
      </c>
      <c r="H8" s="193">
        <v>0.33333333333333331</v>
      </c>
      <c r="I8" s="194">
        <f t="shared" si="3"/>
        <v>0</v>
      </c>
      <c r="K8" s="223">
        <f t="shared" si="4"/>
        <v>0</v>
      </c>
      <c r="L8" s="229" t="s">
        <v>322</v>
      </c>
    </row>
    <row r="9" spans="1:13" x14ac:dyDescent="0.2">
      <c r="A9" s="207" t="s">
        <v>307</v>
      </c>
      <c r="B9" s="208">
        <f>qsp</f>
        <v>0</v>
      </c>
      <c r="D9" s="191">
        <f t="shared" si="0"/>
        <v>1497.5</v>
      </c>
      <c r="E9" s="192">
        <v>1799.17</v>
      </c>
      <c r="F9" s="191">
        <f t="shared" si="1"/>
        <v>1497.5</v>
      </c>
      <c r="G9" s="192">
        <f t="shared" si="2"/>
        <v>1799.17</v>
      </c>
      <c r="H9" s="193">
        <v>0.66666666666666663</v>
      </c>
      <c r="I9" s="194">
        <f t="shared" si="3"/>
        <v>0</v>
      </c>
      <c r="K9" s="223">
        <f t="shared" si="4"/>
        <v>0</v>
      </c>
      <c r="L9" s="229" t="s">
        <v>323</v>
      </c>
    </row>
    <row r="10" spans="1:13" x14ac:dyDescent="0.2">
      <c r="A10" s="209" t="s">
        <v>308</v>
      </c>
      <c r="B10" s="210">
        <f>IF(salmensu-rmi-qsp&lt;0,0,salmensu-rmi-qsp)</f>
        <v>0</v>
      </c>
      <c r="D10" s="196">
        <f t="shared" si="0"/>
        <v>1799.17</v>
      </c>
      <c r="E10" s="195">
        <v>99999999</v>
      </c>
      <c r="F10" s="196">
        <f t="shared" si="1"/>
        <v>1799.17</v>
      </c>
      <c r="G10" s="197">
        <f>E10</f>
        <v>99999999</v>
      </c>
      <c r="H10" s="198">
        <v>1</v>
      </c>
      <c r="I10" s="194">
        <f t="shared" si="3"/>
        <v>0</v>
      </c>
      <c r="K10" s="224">
        <f t="shared" si="4"/>
        <v>0</v>
      </c>
      <c r="L10" s="230" t="s">
        <v>324</v>
      </c>
    </row>
    <row r="11" spans="1:13" x14ac:dyDescent="0.2">
      <c r="D11" s="186"/>
      <c r="E11" s="186"/>
      <c r="F11" s="186"/>
      <c r="G11" s="650" t="s">
        <v>311</v>
      </c>
      <c r="H11" s="651"/>
      <c r="I11" s="199">
        <f>SUM(I4:I10)</f>
        <v>0</v>
      </c>
    </row>
    <row r="12" spans="1:13" x14ac:dyDescent="0.2">
      <c r="A12" s="211" t="s">
        <v>309</v>
      </c>
      <c r="B12" s="310">
        <v>118.33</v>
      </c>
      <c r="D12" s="186"/>
      <c r="E12" s="186"/>
      <c r="F12" s="186"/>
      <c r="G12" s="656" t="s">
        <v>312</v>
      </c>
      <c r="H12" s="656"/>
      <c r="I12" s="200" t="str">
        <f>IF(salmensu=0,"",IF(salmensu-qs&lt;rmi,"OUI","NON"))</f>
        <v/>
      </c>
    </row>
    <row r="13" spans="1:13" ht="15" x14ac:dyDescent="0.2">
      <c r="A13" s="212" t="s">
        <v>310</v>
      </c>
      <c r="B13" s="210">
        <v>535.16999999999996</v>
      </c>
      <c r="D13" s="201"/>
      <c r="E13" s="201"/>
      <c r="F13" s="201"/>
      <c r="G13" s="657" t="s">
        <v>313</v>
      </c>
      <c r="H13" s="657"/>
      <c r="I13" s="199">
        <f>IF(salmensu-qs&lt;rmi,IF(salmensu-rmi&lt;0,0,salmensu-rmi),qs)</f>
        <v>0</v>
      </c>
    </row>
    <row r="15" spans="1:13" ht="15.75" x14ac:dyDescent="0.25">
      <c r="G15" s="655" t="s">
        <v>314</v>
      </c>
      <c r="H15" s="655"/>
      <c r="I15" s="218">
        <f>IF(I12="OUI",qsp,I11)</f>
        <v>0</v>
      </c>
    </row>
    <row r="17" spans="1:1" ht="15" x14ac:dyDescent="0.25">
      <c r="A17" s="96" t="s">
        <v>253</v>
      </c>
    </row>
    <row r="19" spans="1:1" ht="15" x14ac:dyDescent="0.25">
      <c r="A19" s="96" t="s">
        <v>228</v>
      </c>
    </row>
    <row r="48" spans="1:4" x14ac:dyDescent="0.2">
      <c r="A48" s="97" t="s">
        <v>249</v>
      </c>
      <c r="C48" s="97" t="s">
        <v>249</v>
      </c>
      <c r="D48" s="97" t="s">
        <v>248</v>
      </c>
    </row>
  </sheetData>
  <mergeCells count="7">
    <mergeCell ref="D3:E3"/>
    <mergeCell ref="F3:G3"/>
    <mergeCell ref="G11:H11"/>
    <mergeCell ref="A1:I1"/>
    <mergeCell ref="G15:H15"/>
    <mergeCell ref="G12:H12"/>
    <mergeCell ref="G13:H13"/>
  </mergeCells>
  <conditionalFormatting sqref="I12">
    <cfRule type="cellIs" dxfId="0" priority="1" stopIfTrue="1" operator="equal">
      <formula>"OUI"</formula>
    </cfRule>
  </conditionalFormatting>
  <hyperlinks>
    <hyperlink ref="A19" location="BULLETIN" display="BULLETIN" xr:uid="{00000000-0004-0000-0900-000000000000}"/>
    <hyperlink ref="A17" r:id="rId1" xr:uid="{00000000-0004-0000-0900-000001000000}"/>
    <hyperlink ref="K1" location="BULLETIN" display="BULLETIN" xr:uid="{00000000-0004-0000-0900-000002000000}"/>
    <hyperlink ref="L1" location="INFO" display="INFO" xr:uid="{00000000-0004-0000-0900-000003000000}"/>
  </hyperlinks>
  <pageMargins left="0.78740157499999996" right="0.78740157499999996" top="0.984251969" bottom="0.984251969" header="0.4921259845" footer="0.4921259845"/>
  <pageSetup paperSize="9" orientation="portrait" r:id="rId2"/>
  <headerFooter alignWithMargins="0"/>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9">
    <tabColor rgb="FF7030A0"/>
  </sheetPr>
  <dimension ref="A1:AC15"/>
  <sheetViews>
    <sheetView workbookViewId="0">
      <selection activeCell="E19" sqref="E19"/>
    </sheetView>
  </sheetViews>
  <sheetFormatPr baseColWidth="10" defaultRowHeight="15" x14ac:dyDescent="0.25"/>
  <cols>
    <col min="1" max="2" width="17.7109375" style="93" customWidth="1"/>
    <col min="3" max="3" width="23.5703125" style="93" customWidth="1"/>
    <col min="4" max="4" width="17.7109375" style="93" customWidth="1"/>
    <col min="5" max="5" width="32" style="93" customWidth="1"/>
    <col min="6" max="6" width="34.28515625" style="93" customWidth="1"/>
    <col min="7" max="16384" width="11.42578125" style="93"/>
  </cols>
  <sheetData>
    <row r="1" spans="1:29" x14ac:dyDescent="0.25">
      <c r="C1" s="29" t="s">
        <v>246</v>
      </c>
    </row>
    <row r="2" spans="1:29" ht="18.75" x14ac:dyDescent="0.25">
      <c r="A2" s="93" t="s">
        <v>244</v>
      </c>
      <c r="B2" s="504">
        <v>42857</v>
      </c>
      <c r="C2" s="95" t="str">
        <f>DATEDIF(B2,B3,"Y")&amp;IF(DATEDIF(B2,B3,"Y")&gt;1," ans, "," an, ")&amp;DATEDIF(B2,B3,"YM")&amp;" mois et "&amp;DATEDIF(B2,B3,"MD")&amp;IF(DATEDIF(B2,B3,"MD")&gt;1," jours"," jour")</f>
        <v>0 an, 1 mois et 28 jours</v>
      </c>
      <c r="E2" s="57" t="s">
        <v>141</v>
      </c>
      <c r="F2" s="58">
        <f>YEAR('info bulletin'!C3)</f>
        <v>2017</v>
      </c>
      <c r="AB2" s="93" t="s">
        <v>447</v>
      </c>
      <c r="AC2" s="93">
        <v>2016</v>
      </c>
    </row>
    <row r="3" spans="1:29" x14ac:dyDescent="0.25">
      <c r="A3" s="93" t="s">
        <v>245</v>
      </c>
      <c r="B3" s="504">
        <v>42916</v>
      </c>
      <c r="C3" s="95" t="str">
        <f>DATEDIF(B2,B3,"m")&amp;" mois ,"&amp;B3-DATE(YEAR(B3),MONTH(B3),1)&amp;" jours"</f>
        <v>1 mois ,29 jours</v>
      </c>
      <c r="E3" s="60" t="s">
        <v>129</v>
      </c>
      <c r="F3" s="61">
        <f>DATE(F2,1,1)</f>
        <v>42736</v>
      </c>
      <c r="AB3" s="93" t="s">
        <v>448</v>
      </c>
      <c r="AC3" s="93">
        <v>2017</v>
      </c>
    </row>
    <row r="4" spans="1:29" x14ac:dyDescent="0.25">
      <c r="C4" s="95" t="str">
        <f>TRUNC((B3-B2)/7)&amp;" semaines"</f>
        <v>8 semaines</v>
      </c>
      <c r="E4" s="63" t="s">
        <v>139</v>
      </c>
      <c r="F4" s="64">
        <f>ROUND(DATE(F2,4,MOD(234-11*MOD(F2,19),30))/7,0)*7-6</f>
        <v>42841</v>
      </c>
      <c r="AB4" s="93" t="s">
        <v>449</v>
      </c>
      <c r="AC4" s="93">
        <v>2018</v>
      </c>
    </row>
    <row r="5" spans="1:29" x14ac:dyDescent="0.25">
      <c r="E5" s="63" t="s">
        <v>130</v>
      </c>
      <c r="F5" s="64">
        <f>J_PAQUES+1</f>
        <v>42842</v>
      </c>
      <c r="AB5" s="93" t="s">
        <v>450</v>
      </c>
      <c r="AC5" s="93">
        <v>2019</v>
      </c>
    </row>
    <row r="6" spans="1:29" x14ac:dyDescent="0.25">
      <c r="A6" s="658" t="s">
        <v>239</v>
      </c>
      <c r="B6" s="659"/>
      <c r="E6" s="63" t="s">
        <v>131</v>
      </c>
      <c r="F6" s="64">
        <f>DATE(F2,5,1)</f>
        <v>42856</v>
      </c>
      <c r="AB6" s="93" t="s">
        <v>451</v>
      </c>
      <c r="AC6" s="93">
        <v>2020</v>
      </c>
    </row>
    <row r="7" spans="1:29" x14ac:dyDescent="0.25">
      <c r="A7" s="100">
        <v>60</v>
      </c>
      <c r="B7" s="101">
        <v>100</v>
      </c>
      <c r="E7" s="63" t="s">
        <v>132</v>
      </c>
      <c r="F7" s="64">
        <f>DATE(F2,5,8)</f>
        <v>42863</v>
      </c>
      <c r="AB7" s="93" t="s">
        <v>452</v>
      </c>
      <c r="AC7" s="93">
        <v>2021</v>
      </c>
    </row>
    <row r="8" spans="1:29" x14ac:dyDescent="0.25">
      <c r="A8" s="505">
        <v>30</v>
      </c>
      <c r="B8" s="94">
        <f>A8*B7/A7</f>
        <v>50</v>
      </c>
      <c r="E8" s="63" t="s">
        <v>133</v>
      </c>
      <c r="F8" s="64">
        <f>J_PAQUES+39</f>
        <v>42880</v>
      </c>
      <c r="AB8" s="93" t="s">
        <v>453</v>
      </c>
      <c r="AC8" s="93">
        <v>2022</v>
      </c>
    </row>
    <row r="9" spans="1:29" x14ac:dyDescent="0.25">
      <c r="E9" s="63" t="s">
        <v>140</v>
      </c>
      <c r="F9" s="64">
        <f>J_PAQUES+49</f>
        <v>42890</v>
      </c>
      <c r="AB9" s="93" t="s">
        <v>454</v>
      </c>
      <c r="AC9" s="93">
        <v>2023</v>
      </c>
    </row>
    <row r="10" spans="1:29" x14ac:dyDescent="0.25">
      <c r="A10" s="658" t="s">
        <v>240</v>
      </c>
      <c r="B10" s="659"/>
      <c r="E10" s="92" t="s">
        <v>187</v>
      </c>
      <c r="F10" s="68">
        <f>IF(E10=0,"0",J_PAQUES+50)</f>
        <v>42891</v>
      </c>
      <c r="AB10" s="93" t="s">
        <v>455</v>
      </c>
      <c r="AC10" s="93">
        <v>2024</v>
      </c>
    </row>
    <row r="11" spans="1:29" x14ac:dyDescent="0.25">
      <c r="A11" s="100">
        <v>100</v>
      </c>
      <c r="B11" s="101">
        <v>60</v>
      </c>
      <c r="E11" s="63" t="s">
        <v>134</v>
      </c>
      <c r="F11" s="64">
        <f>DATE(F2,7,14)</f>
        <v>42930</v>
      </c>
      <c r="AB11" s="93" t="s">
        <v>456</v>
      </c>
      <c r="AC11" s="93">
        <v>2025</v>
      </c>
    </row>
    <row r="12" spans="1:29" x14ac:dyDescent="0.25">
      <c r="A12" s="505">
        <v>40</v>
      </c>
      <c r="B12" s="94">
        <f>A12*B11/A11</f>
        <v>24</v>
      </c>
      <c r="E12" s="63" t="s">
        <v>135</v>
      </c>
      <c r="F12" s="64">
        <f>DATE(F2,8,15)</f>
        <v>42962</v>
      </c>
      <c r="AB12" s="93" t="s">
        <v>457</v>
      </c>
      <c r="AC12" s="93">
        <v>2026</v>
      </c>
    </row>
    <row r="13" spans="1:29" x14ac:dyDescent="0.25">
      <c r="E13" s="63" t="s">
        <v>136</v>
      </c>
      <c r="F13" s="64">
        <f>DATE(F2,11,1)</f>
        <v>43040</v>
      </c>
      <c r="AB13" s="93" t="s">
        <v>458</v>
      </c>
      <c r="AC13" s="93">
        <v>2027</v>
      </c>
    </row>
    <row r="14" spans="1:29" x14ac:dyDescent="0.25">
      <c r="E14" s="63" t="s">
        <v>137</v>
      </c>
      <c r="F14" s="64">
        <f>DATE(F2,11,11)</f>
        <v>43050</v>
      </c>
    </row>
    <row r="15" spans="1:29" x14ac:dyDescent="0.25">
      <c r="E15" s="70" t="s">
        <v>138</v>
      </c>
      <c r="F15" s="71">
        <f>DATE(F2,12,25)</f>
        <v>43094</v>
      </c>
    </row>
  </sheetData>
  <mergeCells count="2">
    <mergeCell ref="A6:B6"/>
    <mergeCell ref="A10:B10"/>
  </mergeCells>
  <dataValidations count="1">
    <dataValidation type="list" allowBlank="1" showInputMessage="1" showErrorMessage="1" sqref="E10" xr:uid="{BFB6A4A2-45D2-4C12-BE0C-E0176A50EDA7}">
      <formula1>"Lundi de pentecôte,0"</formula1>
    </dataValidation>
  </dataValidation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105</vt:i4>
      </vt:variant>
    </vt:vector>
  </HeadingPairs>
  <TitlesOfParts>
    <vt:vector size="116" baseType="lpstr">
      <vt:lpstr>Feuil1</vt:lpstr>
      <vt:lpstr>info bulletin</vt:lpstr>
      <vt:lpstr>Modèle Non Cadre</vt:lpstr>
      <vt:lpstr>Modèle Simplifié</vt:lpstr>
      <vt:lpstr>H SUP</vt:lpstr>
      <vt:lpstr>Abs_NR</vt:lpstr>
      <vt:lpstr>Abs_CP</vt:lpstr>
      <vt:lpstr>CP</vt:lpstr>
      <vt:lpstr>AN</vt:lpstr>
      <vt:lpstr>SAISIE</vt:lpstr>
      <vt:lpstr>divers</vt:lpstr>
      <vt:lpstr>ABO_TR</vt:lpstr>
      <vt:lpstr>ABS</vt:lpstr>
      <vt:lpstr>ABS_CP</vt:lpstr>
      <vt:lpstr>ABS_NR</vt:lpstr>
      <vt:lpstr>ABSNR</vt:lpstr>
      <vt:lpstr>ACOMPTE</vt:lpstr>
      <vt:lpstr>AN_ABO</vt:lpstr>
      <vt:lpstr>AN_EF</vt:lpstr>
      <vt:lpstr>AN_LOG</vt:lpstr>
      <vt:lpstr>AN_REPAS</vt:lpstr>
      <vt:lpstr>AN_TECH</vt:lpstr>
      <vt:lpstr>AN_TECH_ABO</vt:lpstr>
      <vt:lpstr>AN_TR</vt:lpstr>
      <vt:lpstr>AN_VEH</vt:lpstr>
      <vt:lpstr>AN_VEH_HA</vt:lpstr>
      <vt:lpstr>AN_VEH_LOA</vt:lpstr>
      <vt:lpstr>ANLOGEMENT</vt:lpstr>
      <vt:lpstr>ANREPAS</vt:lpstr>
      <vt:lpstr>ANTR</vt:lpstr>
      <vt:lpstr>ANVEHICULE</vt:lpstr>
      <vt:lpstr>BAREMES</vt:lpstr>
      <vt:lpstr>BASE_HOR</vt:lpstr>
      <vt:lpstr>BASE_SMIC</vt:lpstr>
      <vt:lpstr>BULLETIN</vt:lpstr>
      <vt:lpstr>cODES</vt:lpstr>
      <vt:lpstr>COT_TR</vt:lpstr>
      <vt:lpstr>CP</vt:lpstr>
      <vt:lpstr>CP_JOUR</vt:lpstr>
      <vt:lpstr>CP_R_M</vt:lpstr>
      <vt:lpstr>CRDSND</vt:lpstr>
      <vt:lpstr>CSGD</vt:lpstr>
      <vt:lpstr>CSGND</vt:lpstr>
      <vt:lpstr>D_ABS_CP</vt:lpstr>
      <vt:lpstr>D_ABS_NR</vt:lpstr>
      <vt:lpstr>EF_SAL</vt:lpstr>
      <vt:lpstr>EVAL_FOR_REPAS</vt:lpstr>
      <vt:lpstr>F_ABS_CP</vt:lpstr>
      <vt:lpstr>F_ABS_NR</vt:lpstr>
      <vt:lpstr>FERIES</vt:lpstr>
      <vt:lpstr>H_10</vt:lpstr>
      <vt:lpstr>H_25</vt:lpstr>
      <vt:lpstr>H_50</vt:lpstr>
      <vt:lpstr>H_ABS_CP</vt:lpstr>
      <vt:lpstr>H_ABS_NR</vt:lpstr>
      <vt:lpstr>H_R_W_M</vt:lpstr>
      <vt:lpstr>HS</vt:lpstr>
      <vt:lpstr>ICCP</vt:lpstr>
      <vt:lpstr>ICCPFRACT</vt:lpstr>
      <vt:lpstr>INFO</vt:lpstr>
      <vt:lpstr>J_CP</vt:lpstr>
      <vt:lpstr>J_EF</vt:lpstr>
      <vt:lpstr>J_PAQUES</vt:lpstr>
      <vt:lpstr>J_TR</vt:lpstr>
      <vt:lpstr>MOIS_BULLETIN</vt:lpstr>
      <vt:lpstr>MUTUELLE</vt:lpstr>
      <vt:lpstr>NAP</vt:lpstr>
      <vt:lpstr>NBRE_H_MOIS</vt:lpstr>
      <vt:lpstr>NBRE_H_SEM</vt:lpstr>
      <vt:lpstr>NBRE_J_SEM</vt:lpstr>
      <vt:lpstr>NBRE_PERS_CHAR</vt:lpstr>
      <vt:lpstr>NBRE_PIECES</vt:lpstr>
      <vt:lpstr>NBRE_SALARIES</vt:lpstr>
      <vt:lpstr>NetImposable</vt:lpstr>
      <vt:lpstr>PPAT_PREV_DC</vt:lpstr>
      <vt:lpstr>PPAT_TR</vt:lpstr>
      <vt:lpstr>PPMUT</vt:lpstr>
      <vt:lpstr>PPPREVDC</vt:lpstr>
      <vt:lpstr>PS</vt:lpstr>
      <vt:lpstr>PSAL_EF_REPAS</vt:lpstr>
      <vt:lpstr>PSAL_MUT</vt:lpstr>
      <vt:lpstr>PSAL_PREV_DC</vt:lpstr>
      <vt:lpstr>PSAL_TR</vt:lpstr>
      <vt:lpstr>PSS</vt:lpstr>
      <vt:lpstr>qs</vt:lpstr>
      <vt:lpstr>qsp</vt:lpstr>
      <vt:lpstr>rmi</vt:lpstr>
      <vt:lpstr>RSA_Calcule</vt:lpstr>
      <vt:lpstr>rsa_Insaisissable</vt:lpstr>
      <vt:lpstr>S_RTT</vt:lpstr>
      <vt:lpstr>SAISIE</vt:lpstr>
      <vt:lpstr>SAISIE_SAL</vt:lpstr>
      <vt:lpstr>salmensu</vt:lpstr>
      <vt:lpstr>SBASE</vt:lpstr>
      <vt:lpstr>SBRUT</vt:lpstr>
      <vt:lpstr>SMIC_M</vt:lpstr>
      <vt:lpstr>SNAR</vt:lpstr>
      <vt:lpstr>SoldeICCPMaintien</vt:lpstr>
      <vt:lpstr>SoldeICCPN</vt:lpstr>
      <vt:lpstr>SoldeICCPN1</vt:lpstr>
      <vt:lpstr>SoldeICCPNR10</vt:lpstr>
      <vt:lpstr>TAT</vt:lpstr>
      <vt:lpstr>TATD</vt:lpstr>
      <vt:lpstr>TATM</vt:lpstr>
      <vt:lpstr>totcotpat</vt:lpstr>
      <vt:lpstr>totcotsal</vt:lpstr>
      <vt:lpstr>TotMajo</vt:lpstr>
      <vt:lpstr>TOTRET</vt:lpstr>
      <vt:lpstr>TR_SAL</vt:lpstr>
      <vt:lpstr>TX_10</vt:lpstr>
      <vt:lpstr>TX_25</vt:lpstr>
      <vt:lpstr>TX_50</vt:lpstr>
      <vt:lpstr>TX_CHOM</vt:lpstr>
      <vt:lpstr>TX_HOR</vt:lpstr>
      <vt:lpstr>V_F_TR</vt:lpstr>
      <vt:lpstr>vMax_PP_TR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CL505127</dc:creator>
  <cp:lastModifiedBy>Sandrine MORALES</cp:lastModifiedBy>
  <cp:lastPrinted>2017-10-25T11:35:02Z</cp:lastPrinted>
  <dcterms:created xsi:type="dcterms:W3CDTF">2017-09-26T07:31:05Z</dcterms:created>
  <dcterms:modified xsi:type="dcterms:W3CDTF">2017-10-27T21:53:47Z</dcterms:modified>
</cp:coreProperties>
</file>