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trlProps/ctrlProp5.xml" ContentType="application/vnd.ms-excel.controlpropertie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4.xml" ContentType="application/vnd.openxmlformats-officedocument.drawing+xml"/>
  <Override PartName="/xl/ctrlProps/ctrlProp6.xml" ContentType="application/vnd.ms-excel.controlproperties+xml"/>
  <Override PartName="/xl/comments7.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drawings/drawing6.xml" ContentType="application/vnd.openxmlformats-officedocument.drawing+xml"/>
  <Override PartName="/xl/ctrlProps/ctrlProp8.xml" ContentType="application/vnd.ms-excel.controlproperties+xml"/>
  <Override PartName="/xl/ctrlProps/ctrlProp9.xml" ContentType="application/vnd.ms-excel.controlproperties+xml"/>
  <Override PartName="/xl/comments8.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625" codeName="{EAAD5824-E589-9196-6FC8-2F1B51211585}"/>
  <workbookPr codeName="ThisWorkbook"/>
  <mc:AlternateContent xmlns:mc="http://schemas.openxmlformats.org/markup-compatibility/2006">
    <mc:Choice Requires="x15">
      <x15ac:absPath xmlns:x15ac="http://schemas.microsoft.com/office/spreadsheetml/2010/11/ac" url="C:\Users\psm\Documents\sandrine\irfa\bulletin de salaire modèle\"/>
    </mc:Choice>
  </mc:AlternateContent>
  <bookViews>
    <workbookView xWindow="0" yWindow="0" windowWidth="24000" windowHeight="9510" tabRatio="780" firstSheet="1" activeTab="13" xr2:uid="{00000000-000D-0000-FFFF-FFFF00000000}"/>
  </bookViews>
  <sheets>
    <sheet name="Liste déroulante" sheetId="15" r:id="rId1"/>
    <sheet name="info bulletin" sheetId="11" r:id="rId2"/>
    <sheet name="RECAP" sheetId="26" r:id="rId3"/>
    <sheet name="Modèle Cadre" sheetId="1" r:id="rId4"/>
    <sheet name="Modèle Simplifié" sheetId="2" r:id="rId5"/>
    <sheet name="COPIE" sheetId="25" r:id="rId6"/>
    <sheet name="H SUP" sheetId="5" r:id="rId7"/>
    <sheet name="Abs_NR" sheetId="12" r:id="rId8"/>
    <sheet name="Abs_CP" sheetId="4" r:id="rId9"/>
    <sheet name="CP" sheetId="3" r:id="rId10"/>
    <sheet name="AN" sheetId="6" r:id="rId11"/>
    <sheet name="SAISIE" sheetId="9" r:id="rId12"/>
    <sheet name="FILLON" sheetId="20" r:id="rId13"/>
    <sheet name="REGUL PLAFOND" sheetId="22" r:id="rId14"/>
    <sheet name="divers" sheetId="7" r:id="rId15"/>
    <sheet name="Calendrier" sheetId="19" r:id="rId16"/>
  </sheets>
  <definedNames>
    <definedName name="ABO_TR">AN!$B$58</definedName>
    <definedName name="ABS">Abs_CP!$A$1</definedName>
    <definedName name="ABS_CP">Abs_CP!$D$18</definedName>
    <definedName name="ABS_NR">Abs_NR!$A$1</definedName>
    <definedName name="ABSNR">Abs_NR!$D$19</definedName>
    <definedName name="ACOMPTE">'info bulletin'!$C$53</definedName>
    <definedName name="AN_ABO">'info bulletin'!$C$148</definedName>
    <definedName name="AN_EF">AN!$E$20</definedName>
    <definedName name="AN_LOG">AN!$E$27</definedName>
    <definedName name="AN_TECH">'info bulletin'!$C$147</definedName>
    <definedName name="AN_TR">AN!$E$11</definedName>
    <definedName name="AN_VEH_HA">AN!$B$50</definedName>
    <definedName name="AN_VEH_LOA">AN!$E$45</definedName>
    <definedName name="ANLOGEMENT">AN!$A$23</definedName>
    <definedName name="ANREPAS">AN!$A$13</definedName>
    <definedName name="ANTR">AN!$A$1</definedName>
    <definedName name="ANVEHICULE">AN!$A$34</definedName>
    <definedName name="BAREMES">SAISIE!$L$5:$L$15</definedName>
    <definedName name="BASE_SMIC">'info bulletin'!$F$20</definedName>
    <definedName name="BRUT_BULLETIN">'Modèle Cadre'!$A$16:$F$35</definedName>
    <definedName name="BULLETIN">'Modèle Cadre'!$A$1</definedName>
    <definedName name="cODES">SAISIE!$J$5:$J$15</definedName>
    <definedName name="COT_TR">'info bulletin'!$C$36</definedName>
    <definedName name="CP">CP!$A$1</definedName>
    <definedName name="CP_JOUR">'info bulletin'!$C$79</definedName>
    <definedName name="CP_R_M">'info bulletin'!$C$80</definedName>
    <definedName name="CPLSMIC">'info bulletin'!$C$18</definedName>
    <definedName name="CRDSND">'Modèle Cadre'!$F$73</definedName>
    <definedName name="CSGD">'Modèle Cadre'!$F$39</definedName>
    <definedName name="CSGND">'Modèle Cadre'!$F$72</definedName>
    <definedName name="D_ABS_CP">'info bulletin'!$C$73</definedName>
    <definedName name="D_ABS_NR">'info bulletin'!$C$66</definedName>
    <definedName name="EF_SAL">AN!$E$19</definedName>
    <definedName name="EVAL_FOR_REPAS">'info bulletin'!$C$113</definedName>
    <definedName name="F_ABS_CP">'info bulletin'!$C$74</definedName>
    <definedName name="F_ABS_NR">'info bulletin'!$C$67</definedName>
    <definedName name="FERIES">Calendrier!$P$4:$P$16</definedName>
    <definedName name="FILLON">FILLON!$A$1</definedName>
    <definedName name="GMP_FORFAIT">'info bulletin'!$E$47</definedName>
    <definedName name="GMP_MOIS">'info bulletin'!$C$48</definedName>
    <definedName name="H_10">'H SUP'!$D$3</definedName>
    <definedName name="H_25">'H SUP'!$D$4</definedName>
    <definedName name="H_50">'H SUP'!$D$5</definedName>
    <definedName name="H_ABS_NR">'info bulletin'!$C$68</definedName>
    <definedName name="H_SUP_TOTAL">'H SUP'!$D$6</definedName>
    <definedName name="HS">'H SUP'!$A$1</definedName>
    <definedName name="ICCP">CP!$E$11</definedName>
    <definedName name="ICCPFRACT">CP!$E$34</definedName>
    <definedName name="INFO">'info bulletin'!$A$3</definedName>
    <definedName name="J_CP">Abs_CP!$E$12</definedName>
    <definedName name="J_EF">'info bulletin'!$C$114</definedName>
    <definedName name="J_PAQUES">Calendrier!$P$5</definedName>
    <definedName name="J_TR">'info bulletin'!$C$104</definedName>
    <definedName name="LIMITE_FILLON">FILLON!$F$3</definedName>
    <definedName name="MOIS_BULLETIN">'info bulletin'!$C$3</definedName>
    <definedName name="MUTUELLE">'info bulletin'!$C$37</definedName>
    <definedName name="NAP">'Modèle Cadre'!$F$101</definedName>
    <definedName name="NBRE_H_MOIS">'info bulletin'!$F$16</definedName>
    <definedName name="NBRE_H_SEM">'info bulletin'!$C$15</definedName>
    <definedName name="NBRE_J_SEM">'info bulletin'!$C$16</definedName>
    <definedName name="NBRE_PERS_CHAR">'info bulletin'!$F$10</definedName>
    <definedName name="NBRE_PIECES">'info bulletin'!$C$119</definedName>
    <definedName name="NBRE_SALARIES">'info bulletin'!$C$31</definedName>
    <definedName name="NetImposable">'Modèle Cadre'!$I$113</definedName>
    <definedName name="PLF_GMP">'info bulletin'!$E$45</definedName>
    <definedName name="PPAT_PREV_DC">'info bulletin'!$C$40</definedName>
    <definedName name="PPAT_TR">'info bulletin'!$C$108</definedName>
    <definedName name="PPMUT">'Modèle Cadre'!$I$65</definedName>
    <definedName name="PPPREVDC">'Modèle Cadre'!$I$66</definedName>
    <definedName name="PS">'info bulletin'!$C$19</definedName>
    <definedName name="PS_MUT">'Modèle Cadre'!$F$65</definedName>
    <definedName name="PSAL_EF_REPAS">'info bulletin'!$C$112</definedName>
    <definedName name="PSAL_MUT">'info bulletin'!$C$38</definedName>
    <definedName name="PSAL_PREV_DC">'info bulletin'!$C$39</definedName>
    <definedName name="PSAL_TR">'info bulletin'!$C$107</definedName>
    <definedName name="PSS">'Modèle Cadre'!$B$13</definedName>
    <definedName name="qs">SAISIE!$B$8</definedName>
    <definedName name="qsp">SAISIE!$I$13</definedName>
    <definedName name="REDUC_FILLON">'Modèle Cadre'!#REF!</definedName>
    <definedName name="Rèf_Année">Calendrier!$C$1</definedName>
    <definedName name="rmi">'info bulletin'!$C$171</definedName>
    <definedName name="RSA_Calcule">SAISIE!$N$5:$N$15</definedName>
    <definedName name="rsa_Insaisissable">SAISIE!$C$5</definedName>
    <definedName name="S_GMP">'info bulletin'!$C$44</definedName>
    <definedName name="S_RTT">'info bulletin'!$C$50</definedName>
    <definedName name="SAISIE">SAISIE!$A$3</definedName>
    <definedName name="SAISIE_SAL">SAISIE!$I$15</definedName>
    <definedName name="salmensu">SAISIE!$B$4</definedName>
    <definedName name="SBASE">'info bulletin'!$C$17</definedName>
    <definedName name="SBRUT">'Modèle Cadre'!$F$36</definedName>
    <definedName name="SMIC_HORAIRE">'info bulletin'!$C$21</definedName>
    <definedName name="SMIC_M">'info bulletin'!$C$20</definedName>
    <definedName name="SNAR">'Modèle Cadre'!$F$83</definedName>
    <definedName name="SoldeICCPMaintien">CP!$C$28</definedName>
    <definedName name="SoldeICCPN1">CP!$B$20</definedName>
    <definedName name="SoldeICCPNR10">CP!$B$28</definedName>
    <definedName name="TAT">'info bulletin'!$C$34</definedName>
    <definedName name="TATD">'info bulletin'!$C$33</definedName>
    <definedName name="TATM">'info bulletin'!$C$32</definedName>
    <definedName name="totcotpat">'Modèle Cadre'!$I$82</definedName>
    <definedName name="totcotsal">'Modèle Cadre'!$F$82</definedName>
    <definedName name="TotMajo">SAISIE!$C$6</definedName>
    <definedName name="TOTRET">'Modèle Cadre'!$F$99</definedName>
    <definedName name="TR_A">'info bulletin'!$C$41</definedName>
    <definedName name="TR_B">'info bulletin'!$C$42</definedName>
    <definedName name="TR_C">'info bulletin'!$C$43</definedName>
    <definedName name="TR_SAL">AN!$E$10</definedName>
    <definedName name="TX_10">'info bulletin'!$C$27</definedName>
    <definedName name="TX_25">'info bulletin'!$C$28</definedName>
    <definedName name="TX_50">'info bulletin'!$C$29</definedName>
    <definedName name="TX_CHOM">'info bulletin'!$C$35</definedName>
    <definedName name="Tx_FILLON">FILLON!$E$21</definedName>
    <definedName name="Tx_FILLON_MAX">FILLON!$D$4</definedName>
    <definedName name="Tx_FILLON_MINI">FILLON!$D$3</definedName>
    <definedName name="TX_HOR">'info bulletin'!$C$23</definedName>
    <definedName name="V_F_TR">'info bulletin'!$C$105</definedName>
    <definedName name="vMax_PP_TR">'info bulletin'!$C$106</definedName>
    <definedName name="_xlnm.Print_Area" localSheetId="3">'Modèle Cadre'!$A$1:$I$113</definedName>
  </definedNames>
  <calcPr calcId="171027"/>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7" i="11" l="1"/>
  <c r="E45" i="11"/>
  <c r="C45" i="11"/>
  <c r="G19" i="11"/>
  <c r="B13" i="1" s="1"/>
  <c r="E5" i="22"/>
  <c r="P19" i="26" l="1"/>
  <c r="P20" i="26"/>
  <c r="P21" i="26"/>
  <c r="P22" i="26"/>
  <c r="P23" i="26"/>
  <c r="P24" i="26"/>
  <c r="P25" i="26"/>
  <c r="P26" i="26"/>
  <c r="P27" i="26"/>
  <c r="P28" i="26"/>
  <c r="P29" i="26"/>
  <c r="P30" i="26"/>
  <c r="P31" i="26"/>
  <c r="P32" i="26"/>
  <c r="P33" i="26"/>
  <c r="P34" i="26"/>
  <c r="P35" i="26"/>
  <c r="P36" i="26"/>
  <c r="P37" i="26"/>
  <c r="P38" i="26"/>
  <c r="P39" i="26"/>
  <c r="P40" i="26"/>
  <c r="P41" i="26"/>
  <c r="P42" i="26"/>
  <c r="P43" i="26"/>
  <c r="P44" i="26"/>
  <c r="P45" i="26"/>
  <c r="P46" i="26"/>
  <c r="P47" i="26"/>
  <c r="P48" i="26"/>
  <c r="P49" i="26"/>
  <c r="P50" i="26"/>
  <c r="G27" i="26"/>
  <c r="G28" i="26"/>
  <c r="G29" i="26"/>
  <c r="G30" i="26"/>
  <c r="G31" i="26"/>
  <c r="G32" i="26"/>
  <c r="G33" i="26"/>
  <c r="G34" i="26"/>
  <c r="G35" i="26"/>
  <c r="G36" i="26"/>
  <c r="G37" i="26"/>
  <c r="G38" i="26"/>
  <c r="G39" i="26"/>
  <c r="G40" i="26"/>
  <c r="G41" i="26"/>
  <c r="G42" i="26"/>
  <c r="G43" i="26"/>
  <c r="G44" i="26"/>
  <c r="G45" i="26"/>
  <c r="G46" i="26"/>
  <c r="G47" i="26"/>
  <c r="G48" i="26"/>
  <c r="G49" i="26"/>
  <c r="G50" i="26"/>
  <c r="B6" i="9"/>
  <c r="O18" i="26"/>
  <c r="P18" i="26" s="1"/>
  <c r="F86" i="1"/>
  <c r="F89" i="1"/>
  <c r="F90" i="1"/>
  <c r="F91" i="1"/>
  <c r="F92" i="1"/>
  <c r="F93" i="1"/>
  <c r="F94" i="1"/>
  <c r="F95" i="1"/>
  <c r="F96" i="1"/>
  <c r="F97" i="1"/>
  <c r="D86" i="1"/>
  <c r="D87" i="1"/>
  <c r="D88" i="1"/>
  <c r="D89" i="1"/>
  <c r="D90" i="1"/>
  <c r="D91" i="1"/>
  <c r="D92" i="1"/>
  <c r="D93" i="1"/>
  <c r="D94" i="1"/>
  <c r="D95" i="1"/>
  <c r="D96" i="1"/>
  <c r="D97" i="1"/>
  <c r="F85" i="1"/>
  <c r="D85" i="1"/>
  <c r="N8" i="26"/>
  <c r="N4" i="26"/>
  <c r="F19" i="11"/>
  <c r="C22" i="20" l="1"/>
  <c r="D25" i="26"/>
  <c r="D24" i="26"/>
  <c r="J11" i="26"/>
  <c r="J10" i="26"/>
  <c r="D13" i="26"/>
  <c r="D12" i="26"/>
  <c r="D11" i="26"/>
  <c r="D5" i="5"/>
  <c r="D4" i="5"/>
  <c r="D3" i="5"/>
  <c r="F8" i="26"/>
  <c r="G8" i="26" s="1"/>
  <c r="F9" i="26"/>
  <c r="G9" i="26" s="1"/>
  <c r="F10" i="26"/>
  <c r="G10" i="26" s="1"/>
  <c r="F7" i="26"/>
  <c r="G7" i="26" s="1"/>
  <c r="D6" i="26"/>
  <c r="B5" i="26"/>
  <c r="D5" i="26"/>
  <c r="F3" i="26"/>
  <c r="G3" i="26" s="1"/>
  <c r="F18" i="1" l="1"/>
  <c r="D20" i="1"/>
  <c r="C17" i="1"/>
  <c r="C33" i="1"/>
  <c r="C31" i="1"/>
  <c r="C29" i="1"/>
  <c r="C27" i="1"/>
  <c r="C25" i="1"/>
  <c r="C23" i="1"/>
  <c r="C21" i="1"/>
  <c r="C19" i="1"/>
  <c r="D17" i="1"/>
  <c r="D33" i="1"/>
  <c r="D31" i="1"/>
  <c r="D29" i="1"/>
  <c r="D27" i="1"/>
  <c r="D25" i="1"/>
  <c r="D23" i="1"/>
  <c r="D21" i="1"/>
  <c r="D19" i="1"/>
  <c r="E17" i="1"/>
  <c r="E33" i="1"/>
  <c r="E31" i="1"/>
  <c r="E29" i="1"/>
  <c r="E27" i="1"/>
  <c r="E25" i="1"/>
  <c r="E23" i="1"/>
  <c r="E21" i="1"/>
  <c r="E19" i="1"/>
  <c r="F17" i="1"/>
  <c r="F33" i="1"/>
  <c r="F31" i="1"/>
  <c r="F29" i="1"/>
  <c r="F27" i="1"/>
  <c r="F25" i="1"/>
  <c r="F23" i="1"/>
  <c r="F21" i="1"/>
  <c r="F19" i="1"/>
  <c r="C34" i="1"/>
  <c r="C32" i="1"/>
  <c r="C30" i="1"/>
  <c r="C28" i="1"/>
  <c r="C26" i="1"/>
  <c r="C24" i="1"/>
  <c r="C22" i="1"/>
  <c r="C20" i="1"/>
  <c r="C18" i="1"/>
  <c r="D34" i="1"/>
  <c r="D32" i="1"/>
  <c r="D30" i="1"/>
  <c r="D28" i="1"/>
  <c r="D26" i="1"/>
  <c r="D24" i="1"/>
  <c r="D22" i="1"/>
  <c r="D18" i="1"/>
  <c r="E34" i="1"/>
  <c r="E32" i="1"/>
  <c r="E30" i="1"/>
  <c r="E28" i="1"/>
  <c r="E26" i="1"/>
  <c r="E24" i="1"/>
  <c r="E22" i="1"/>
  <c r="E20" i="1"/>
  <c r="E18" i="1"/>
  <c r="F34" i="1"/>
  <c r="F32" i="1"/>
  <c r="F30" i="1"/>
  <c r="F28" i="1"/>
  <c r="F26" i="1"/>
  <c r="F24" i="1"/>
  <c r="F22" i="1"/>
  <c r="F20" i="1"/>
  <c r="R10" i="22"/>
  <c r="K10" i="20" l="1"/>
  <c r="B90" i="6"/>
  <c r="B85" i="6"/>
  <c r="B87" i="6" s="1"/>
  <c r="B84" i="6"/>
  <c r="B86" i="6" l="1"/>
  <c r="B89" i="6" s="1"/>
  <c r="B92" i="6" s="1"/>
  <c r="C165" i="11" s="1"/>
  <c r="O8" i="26" s="1"/>
  <c r="P8" i="26" s="1"/>
  <c r="L10" i="22"/>
  <c r="L11" i="22" s="1"/>
  <c r="L12" i="22" s="1"/>
  <c r="L13" i="22" s="1"/>
  <c r="L14" i="22" s="1"/>
  <c r="L15" i="22" s="1"/>
  <c r="L16" i="22" s="1"/>
  <c r="L17" i="22" s="1"/>
  <c r="L18" i="22" s="1"/>
  <c r="L19" i="22" s="1"/>
  <c r="L20" i="22" s="1"/>
  <c r="L21" i="22" s="1"/>
  <c r="I10" i="22"/>
  <c r="I11" i="22" s="1"/>
  <c r="R11" i="22"/>
  <c r="R12" i="22" s="1"/>
  <c r="R13" i="22" s="1"/>
  <c r="R14" i="22" s="1"/>
  <c r="R15" i="22" s="1"/>
  <c r="R16" i="22" s="1"/>
  <c r="R17" i="22" s="1"/>
  <c r="R18" i="22" s="1"/>
  <c r="R19" i="22" s="1"/>
  <c r="R20" i="22" s="1"/>
  <c r="R21" i="22" s="1"/>
  <c r="O10" i="22"/>
  <c r="O11" i="22" s="1"/>
  <c r="O12" i="22" s="1"/>
  <c r="O13" i="22" s="1"/>
  <c r="O14" i="22" s="1"/>
  <c r="O15" i="22" s="1"/>
  <c r="O16" i="22" s="1"/>
  <c r="O17" i="22" s="1"/>
  <c r="O18" i="22" s="1"/>
  <c r="O19" i="22" s="1"/>
  <c r="O20" i="22" s="1"/>
  <c r="O21" i="22" s="1"/>
  <c r="D25" i="20"/>
  <c r="B24" i="7"/>
  <c r="C21" i="7"/>
  <c r="B18" i="7"/>
  <c r="F10" i="22"/>
  <c r="D5" i="22"/>
  <c r="B4" i="22"/>
  <c r="B3" i="22"/>
  <c r="B5" i="22" s="1"/>
  <c r="J10" i="22" l="1"/>
  <c r="G10" i="22"/>
  <c r="H10" i="22" s="1"/>
  <c r="B93" i="6"/>
  <c r="C166" i="11" s="1"/>
  <c r="F19" i="26" s="1"/>
  <c r="G19" i="26" s="1"/>
  <c r="F11" i="22"/>
  <c r="M10" i="22"/>
  <c r="B6" i="22"/>
  <c r="B7" i="22"/>
  <c r="O9" i="26" l="1"/>
  <c r="P9" i="26" s="1"/>
  <c r="G11" i="22"/>
  <c r="H11" i="22" s="1"/>
  <c r="F12" i="22"/>
  <c r="I12" i="22"/>
  <c r="I13" i="22" s="1"/>
  <c r="P10" i="22"/>
  <c r="Q10" i="22" l="1"/>
  <c r="J11" i="22"/>
  <c r="M11" i="22"/>
  <c r="N10" i="22"/>
  <c r="F13" i="22"/>
  <c r="K10" i="22"/>
  <c r="I14" i="22"/>
  <c r="G22" i="20"/>
  <c r="A19" i="15"/>
  <c r="C35" i="11"/>
  <c r="N11" i="22" l="1"/>
  <c r="G12" i="22"/>
  <c r="H12" i="22" s="1"/>
  <c r="I5" i="22" s="1"/>
  <c r="M12" i="22"/>
  <c r="N12" i="22" s="1"/>
  <c r="G13" i="22"/>
  <c r="M13" i="22"/>
  <c r="I15" i="22"/>
  <c r="F14" i="22"/>
  <c r="D6" i="5"/>
  <c r="F30" i="11" s="1"/>
  <c r="D76" i="1" l="1"/>
  <c r="I76" i="1" s="1"/>
  <c r="H22" i="20"/>
  <c r="C43" i="11"/>
  <c r="C41" i="11"/>
  <c r="J3" i="26" s="1"/>
  <c r="K5" i="22"/>
  <c r="N13" i="22"/>
  <c r="K11" i="22"/>
  <c r="P11" i="22"/>
  <c r="Q11" i="22" s="1"/>
  <c r="H13" i="22"/>
  <c r="G14" i="22"/>
  <c r="H14" i="22" s="1"/>
  <c r="M14" i="22"/>
  <c r="N14" i="22" s="1"/>
  <c r="J12" i="22"/>
  <c r="I16" i="22"/>
  <c r="F15" i="22"/>
  <c r="D47" i="20"/>
  <c r="E47" i="20"/>
  <c r="F47" i="20"/>
  <c r="G47" i="20"/>
  <c r="H47" i="20"/>
  <c r="D45" i="20"/>
  <c r="E45" i="20"/>
  <c r="F45" i="20"/>
  <c r="G45" i="20"/>
  <c r="H45" i="20"/>
  <c r="D43" i="20"/>
  <c r="E43" i="20"/>
  <c r="F43" i="20"/>
  <c r="G43" i="20"/>
  <c r="H43" i="20"/>
  <c r="D41" i="20"/>
  <c r="E41" i="20"/>
  <c r="F41" i="20"/>
  <c r="G41" i="20"/>
  <c r="H41" i="20"/>
  <c r="D39" i="20"/>
  <c r="E39" i="20"/>
  <c r="F39" i="20"/>
  <c r="G39" i="20"/>
  <c r="H39" i="20"/>
  <c r="D37" i="20"/>
  <c r="E37" i="20"/>
  <c r="F37" i="20"/>
  <c r="G37" i="20"/>
  <c r="H37" i="20"/>
  <c r="D35" i="20"/>
  <c r="E35" i="20"/>
  <c r="F35" i="20"/>
  <c r="G35" i="20"/>
  <c r="H35" i="20"/>
  <c r="D33" i="20"/>
  <c r="E33" i="20"/>
  <c r="F33" i="20"/>
  <c r="G33" i="20"/>
  <c r="H33" i="20"/>
  <c r="D31" i="20"/>
  <c r="E31" i="20"/>
  <c r="F31" i="20"/>
  <c r="G31" i="20"/>
  <c r="H31" i="20"/>
  <c r="D29" i="20"/>
  <c r="E29" i="20"/>
  <c r="F29" i="20"/>
  <c r="G29" i="20"/>
  <c r="H29" i="20"/>
  <c r="D27" i="20"/>
  <c r="E27" i="20"/>
  <c r="F27" i="20"/>
  <c r="G27" i="20"/>
  <c r="H27" i="20"/>
  <c r="D26" i="20"/>
  <c r="E25" i="20"/>
  <c r="E26" i="20" s="1"/>
  <c r="F25" i="20"/>
  <c r="F26" i="20" s="1"/>
  <c r="G25" i="20"/>
  <c r="G26" i="20" s="1"/>
  <c r="H25" i="20"/>
  <c r="H26" i="20" s="1"/>
  <c r="C47" i="20"/>
  <c r="C45" i="20"/>
  <c r="C43" i="20"/>
  <c r="C41" i="20"/>
  <c r="C39" i="20"/>
  <c r="C37" i="20"/>
  <c r="C35" i="20"/>
  <c r="C33" i="20"/>
  <c r="C31" i="20"/>
  <c r="C29" i="20"/>
  <c r="C27" i="20"/>
  <c r="C25" i="20"/>
  <c r="D62" i="1" l="1"/>
  <c r="J5" i="26"/>
  <c r="D43" i="1"/>
  <c r="D57" i="1"/>
  <c r="D56" i="1"/>
  <c r="K12" i="22"/>
  <c r="J5" i="22" s="1"/>
  <c r="P12" i="22"/>
  <c r="Q12" i="22" s="1"/>
  <c r="L5" i="22" s="1"/>
  <c r="J6" i="26" s="1"/>
  <c r="D28" i="20"/>
  <c r="D30" i="20" s="1"/>
  <c r="D32" i="20" s="1"/>
  <c r="D34" i="20" s="1"/>
  <c r="D36" i="20" s="1"/>
  <c r="D38" i="20" s="1"/>
  <c r="D40" i="20" s="1"/>
  <c r="D42" i="20" s="1"/>
  <c r="D44" i="20" s="1"/>
  <c r="D46" i="20" s="1"/>
  <c r="D48" i="20" s="1"/>
  <c r="G15" i="22"/>
  <c r="H15" i="22" s="1"/>
  <c r="M15" i="22"/>
  <c r="N15" i="22" s="1"/>
  <c r="I17" i="22"/>
  <c r="J13" i="22"/>
  <c r="F16" i="22"/>
  <c r="H28" i="20"/>
  <c r="H30" i="20" s="1"/>
  <c r="H32" i="20" s="1"/>
  <c r="H34" i="20" s="1"/>
  <c r="H36" i="20" s="1"/>
  <c r="H38" i="20" s="1"/>
  <c r="H40" i="20" s="1"/>
  <c r="H42" i="20" s="1"/>
  <c r="H44" i="20" s="1"/>
  <c r="H46" i="20" s="1"/>
  <c r="H48" i="20" s="1"/>
  <c r="G28" i="20"/>
  <c r="G30" i="20" s="1"/>
  <c r="G32" i="20" s="1"/>
  <c r="G34" i="20" s="1"/>
  <c r="G36" i="20" s="1"/>
  <c r="G38" i="20" s="1"/>
  <c r="G40" i="20" s="1"/>
  <c r="G42" i="20" s="1"/>
  <c r="G44" i="20" s="1"/>
  <c r="G46" i="20" s="1"/>
  <c r="G48" i="20" s="1"/>
  <c r="F28" i="20"/>
  <c r="F30" i="20" s="1"/>
  <c r="F32" i="20" s="1"/>
  <c r="F34" i="20" s="1"/>
  <c r="F36" i="20" s="1"/>
  <c r="F38" i="20" s="1"/>
  <c r="F40" i="20" s="1"/>
  <c r="F42" i="20" s="1"/>
  <c r="F44" i="20" s="1"/>
  <c r="F46" i="20" s="1"/>
  <c r="F48" i="20" s="1"/>
  <c r="E28" i="20"/>
  <c r="E30" i="20" s="1"/>
  <c r="E32" i="20" s="1"/>
  <c r="E34" i="20" s="1"/>
  <c r="E36" i="20" s="1"/>
  <c r="E38" i="20" s="1"/>
  <c r="E40" i="20" s="1"/>
  <c r="E42" i="20" s="1"/>
  <c r="E44" i="20" s="1"/>
  <c r="E46" i="20" s="1"/>
  <c r="E48" i="20" s="1"/>
  <c r="I47" i="20"/>
  <c r="I45" i="20"/>
  <c r="I43" i="20"/>
  <c r="I41" i="20"/>
  <c r="I39" i="20"/>
  <c r="I37" i="20"/>
  <c r="I35" i="20"/>
  <c r="I33" i="20"/>
  <c r="I31" i="20"/>
  <c r="I29" i="20"/>
  <c r="I27" i="20"/>
  <c r="B70" i="20"/>
  <c r="B71" i="20"/>
  <c r="I25" i="20"/>
  <c r="C48" i="11" l="1"/>
  <c r="C42" i="11"/>
  <c r="K13" i="22"/>
  <c r="P13" i="22"/>
  <c r="Q13" i="22" s="1"/>
  <c r="G16" i="22"/>
  <c r="H16" i="22" s="1"/>
  <c r="M16" i="22"/>
  <c r="N16" i="22" s="1"/>
  <c r="J14" i="22"/>
  <c r="I18" i="22"/>
  <c r="F17" i="22"/>
  <c r="B65" i="6"/>
  <c r="B64" i="6"/>
  <c r="B63" i="6"/>
  <c r="D60" i="1" l="1"/>
  <c r="J4" i="26"/>
  <c r="D59" i="1"/>
  <c r="D58" i="1"/>
  <c r="K14" i="22"/>
  <c r="P14" i="22"/>
  <c r="Q14" i="22" s="1"/>
  <c r="G17" i="22"/>
  <c r="H17" i="22" s="1"/>
  <c r="M17" i="22"/>
  <c r="N17" i="22" s="1"/>
  <c r="I19" i="22"/>
  <c r="J15" i="22"/>
  <c r="F18" i="22"/>
  <c r="C80" i="11"/>
  <c r="C79" i="11"/>
  <c r="K15" i="22" l="1"/>
  <c r="P15" i="22"/>
  <c r="Q15" i="22" s="1"/>
  <c r="G18" i="22"/>
  <c r="H18" i="22" s="1"/>
  <c r="M18" i="22"/>
  <c r="N18" i="22" s="1"/>
  <c r="J16" i="22"/>
  <c r="I20" i="22"/>
  <c r="F19" i="22"/>
  <c r="B72" i="6"/>
  <c r="B73" i="6"/>
  <c r="B71" i="6"/>
  <c r="B70" i="6"/>
  <c r="C158" i="11" s="1"/>
  <c r="O10" i="26" s="1"/>
  <c r="P10" i="26" s="1"/>
  <c r="J11" i="11"/>
  <c r="K16" i="22" l="1"/>
  <c r="P16" i="22"/>
  <c r="Q16" i="22" s="1"/>
  <c r="G19" i="22"/>
  <c r="H19" i="22" s="1"/>
  <c r="M19" i="22"/>
  <c r="N19" i="22" s="1"/>
  <c r="I21" i="22"/>
  <c r="J17" i="22"/>
  <c r="F20" i="22"/>
  <c r="B74" i="6"/>
  <c r="E52" i="2"/>
  <c r="E51" i="2"/>
  <c r="C19" i="2"/>
  <c r="C20" i="2"/>
  <c r="C21" i="2"/>
  <c r="C22" i="2"/>
  <c r="C23" i="2"/>
  <c r="C24" i="2"/>
  <c r="C25" i="2"/>
  <c r="C26" i="2"/>
  <c r="C27" i="2"/>
  <c r="C16" i="2"/>
  <c r="F19" i="2"/>
  <c r="F20" i="2"/>
  <c r="F21" i="2"/>
  <c r="F22" i="2"/>
  <c r="F23" i="2"/>
  <c r="F24" i="2"/>
  <c r="F25" i="2"/>
  <c r="F26" i="2"/>
  <c r="F27" i="2"/>
  <c r="E19" i="2"/>
  <c r="E20" i="2"/>
  <c r="E21" i="2"/>
  <c r="E22" i="2"/>
  <c r="E23" i="2"/>
  <c r="E24" i="2"/>
  <c r="E25" i="2"/>
  <c r="E26" i="2"/>
  <c r="E27" i="2"/>
  <c r="D19" i="2"/>
  <c r="D20" i="2"/>
  <c r="D21" i="2"/>
  <c r="D22" i="2"/>
  <c r="D23" i="2"/>
  <c r="D24" i="2"/>
  <c r="D25" i="2"/>
  <c r="D26" i="2"/>
  <c r="D27" i="2"/>
  <c r="C159" i="11" l="1"/>
  <c r="F20" i="26" s="1"/>
  <c r="G20" i="26" s="1"/>
  <c r="K17" i="22"/>
  <c r="P17" i="22"/>
  <c r="Q17" i="22" s="1"/>
  <c r="G20" i="22"/>
  <c r="H20" i="22" s="1"/>
  <c r="M20" i="22"/>
  <c r="N20" i="22" s="1"/>
  <c r="J18" i="22"/>
  <c r="F21" i="22"/>
  <c r="O11" i="26" l="1"/>
  <c r="P11" i="26" s="1"/>
  <c r="K18" i="22"/>
  <c r="P18" i="22"/>
  <c r="Q18" i="22" s="1"/>
  <c r="G21" i="22"/>
  <c r="H21" i="22" s="1"/>
  <c r="M21" i="22"/>
  <c r="N21" i="22" s="1"/>
  <c r="J19" i="22"/>
  <c r="E16" i="3"/>
  <c r="C2" i="7"/>
  <c r="P3" i="19"/>
  <c r="P12" i="19" s="1"/>
  <c r="F29" i="11"/>
  <c r="F28" i="11"/>
  <c r="F27" i="11"/>
  <c r="E17" i="3"/>
  <c r="D24" i="7" l="1"/>
  <c r="C24" i="7" s="1"/>
  <c r="K19" i="22"/>
  <c r="P19" i="22"/>
  <c r="Q19" i="22" s="1"/>
  <c r="J21" i="22"/>
  <c r="P21" i="22" s="1"/>
  <c r="J20" i="22"/>
  <c r="P14" i="19"/>
  <c r="P4" i="19"/>
  <c r="P13" i="19"/>
  <c r="P16" i="19"/>
  <c r="P7" i="19"/>
  <c r="P8" i="19"/>
  <c r="P15" i="19"/>
  <c r="P5" i="19"/>
  <c r="B17" i="3"/>
  <c r="B16" i="3"/>
  <c r="B19" i="3" s="1"/>
  <c r="K20" i="22" l="1"/>
  <c r="P20" i="22"/>
  <c r="Q20" i="22" s="1"/>
  <c r="K21" i="22"/>
  <c r="P11" i="19"/>
  <c r="P10" i="19"/>
  <c r="P9" i="19"/>
  <c r="P6" i="19"/>
  <c r="B26" i="7" l="1"/>
  <c r="D26" i="7" s="1"/>
  <c r="Q21" i="22"/>
  <c r="G9" i="11"/>
  <c r="E3" i="11" l="1"/>
  <c r="F3" i="11" s="1"/>
  <c r="F67" i="11" s="1"/>
  <c r="F3" i="3"/>
  <c r="F4" i="3" s="1"/>
  <c r="B8" i="3" s="1"/>
  <c r="F66" i="11"/>
  <c r="D120" i="11"/>
  <c r="C121" i="11" s="1"/>
  <c r="F68" i="11" l="1"/>
  <c r="C27" i="6"/>
  <c r="C1" i="19"/>
  <c r="A4" i="19" s="1" a="1"/>
  <c r="B3" i="4"/>
  <c r="E12" i="4" s="1"/>
  <c r="C76" i="11" s="1"/>
  <c r="C83" i="11" s="1"/>
  <c r="C20" i="11"/>
  <c r="K7" i="20" s="1"/>
  <c r="K8" i="20" s="1"/>
  <c r="A27" i="6"/>
  <c r="D27" i="6" s="1"/>
  <c r="B33" i="3"/>
  <c r="B32" i="3"/>
  <c r="B34" i="3" s="1"/>
  <c r="B26" i="3"/>
  <c r="C24" i="3"/>
  <c r="B24" i="3"/>
  <c r="B25" i="3" s="1"/>
  <c r="C23" i="3"/>
  <c r="B7" i="3"/>
  <c r="B6" i="3"/>
  <c r="E27" i="6" l="1"/>
  <c r="B5" i="3"/>
  <c r="B4" i="20"/>
  <c r="C21" i="11"/>
  <c r="J26" i="20" s="1"/>
  <c r="L34" i="19"/>
  <c r="E4" i="19"/>
  <c r="I5" i="19"/>
  <c r="E8" i="19"/>
  <c r="E12" i="19"/>
  <c r="G24" i="19"/>
  <c r="B11" i="19"/>
  <c r="J21" i="19"/>
  <c r="I21" i="19"/>
  <c r="I31" i="19"/>
  <c r="C15" i="19"/>
  <c r="I26" i="19"/>
  <c r="A10" i="19"/>
  <c r="I20" i="19"/>
  <c r="K33" i="19"/>
  <c r="E14" i="19"/>
  <c r="I25" i="19"/>
  <c r="J7" i="19"/>
  <c r="F18" i="19"/>
  <c r="A31" i="19"/>
  <c r="K11" i="19"/>
  <c r="G22" i="19"/>
  <c r="H4" i="19"/>
  <c r="L9" i="19"/>
  <c r="D15" i="19"/>
  <c r="H20" i="19"/>
  <c r="L25" i="19"/>
  <c r="D31" i="19"/>
  <c r="I24" i="19"/>
  <c r="J6" i="19"/>
  <c r="F15" i="19"/>
  <c r="F31" i="19"/>
  <c r="G9" i="19"/>
  <c r="K14" i="19"/>
  <c r="C20" i="19"/>
  <c r="G25" i="19"/>
  <c r="K30" i="19"/>
  <c r="I28" i="19"/>
  <c r="A34" i="19"/>
  <c r="J18" i="19"/>
  <c r="B24" i="19"/>
  <c r="J32" i="19"/>
  <c r="D6" i="19"/>
  <c r="H11" i="19"/>
  <c r="L16" i="19"/>
  <c r="D22" i="19"/>
  <c r="H27" i="19"/>
  <c r="L32" i="19"/>
  <c r="J29" i="19"/>
  <c r="H17" i="19"/>
  <c r="A4" i="19"/>
  <c r="E17" i="19"/>
  <c r="E9" i="19"/>
  <c r="C31" i="19"/>
  <c r="C33" i="19"/>
  <c r="J13" i="19"/>
  <c r="A25" i="19"/>
  <c r="E20" i="19"/>
  <c r="C7" i="19"/>
  <c r="K17" i="19"/>
  <c r="E30" i="19"/>
  <c r="I12" i="19"/>
  <c r="I23" i="19"/>
  <c r="E6" i="19"/>
  <c r="A17" i="19"/>
  <c r="A29" i="19"/>
  <c r="F10" i="19"/>
  <c r="B21" i="19"/>
  <c r="F34" i="19"/>
  <c r="G14" i="19"/>
  <c r="K25" i="19"/>
  <c r="L5" i="19"/>
  <c r="D11" i="19"/>
  <c r="H16" i="19"/>
  <c r="L21" i="19"/>
  <c r="D27" i="19"/>
  <c r="H32" i="19"/>
  <c r="A26" i="19"/>
  <c r="B10" i="19"/>
  <c r="J16" i="19"/>
  <c r="K4" i="19"/>
  <c r="K10" i="19"/>
  <c r="C16" i="19"/>
  <c r="G21" i="19"/>
  <c r="K26" i="19"/>
  <c r="C32" i="19"/>
  <c r="A30" i="19"/>
  <c r="F7" i="19"/>
  <c r="B20" i="19"/>
  <c r="F25" i="19"/>
  <c r="J34" i="19"/>
  <c r="H7" i="19"/>
  <c r="L12" i="19"/>
  <c r="D18" i="19"/>
  <c r="H23" i="19"/>
  <c r="L28" i="19"/>
  <c r="D34" i="19"/>
  <c r="I22" i="19"/>
  <c r="J27" i="19"/>
  <c r="I14" i="19"/>
  <c r="A8" i="19"/>
  <c r="F4" i="19"/>
  <c r="B15" i="19"/>
  <c r="G26" i="19"/>
  <c r="K27" i="19"/>
  <c r="G8" i="19"/>
  <c r="C19" i="19"/>
  <c r="J33" i="19"/>
  <c r="A14" i="19"/>
  <c r="C25" i="19"/>
  <c r="I7" i="19"/>
  <c r="E18" i="19"/>
  <c r="G30" i="19"/>
  <c r="J11" i="19"/>
  <c r="F22" i="19"/>
  <c r="C5" i="19"/>
  <c r="K15" i="19"/>
  <c r="I27" i="19"/>
  <c r="H6" i="19"/>
  <c r="L11" i="19"/>
  <c r="D17" i="19"/>
  <c r="H22" i="19"/>
  <c r="L27" i="19"/>
  <c r="D33" i="19"/>
  <c r="E27" i="19"/>
  <c r="J10" i="19"/>
  <c r="F17" i="19"/>
  <c r="C6" i="19"/>
  <c r="G11" i="19"/>
  <c r="K16" i="19"/>
  <c r="C22" i="19"/>
  <c r="G27" i="19"/>
  <c r="K32" i="19"/>
  <c r="I30" i="19"/>
  <c r="B8" i="19"/>
  <c r="J20" i="19"/>
  <c r="J26" i="19"/>
  <c r="C4" i="19"/>
  <c r="D8" i="19"/>
  <c r="H13" i="19"/>
  <c r="L18" i="19"/>
  <c r="D24" i="19"/>
  <c r="H29" i="19"/>
  <c r="I18" i="19"/>
  <c r="F28" i="19"/>
  <c r="D5" i="19"/>
  <c r="L31" i="19"/>
  <c r="J8" i="19"/>
  <c r="B34" i="19"/>
  <c r="G15" i="19"/>
  <c r="E29" i="19"/>
  <c r="J24" i="19"/>
  <c r="L6" i="19"/>
  <c r="L22" i="19"/>
  <c r="H33" i="19"/>
  <c r="I9" i="19"/>
  <c r="I6" i="19"/>
  <c r="A15" i="19"/>
  <c r="E13" i="19"/>
  <c r="J5" i="19"/>
  <c r="F16" i="19"/>
  <c r="E28" i="19"/>
  <c r="K5" i="19"/>
  <c r="K9" i="19"/>
  <c r="G20" i="19"/>
  <c r="I4" i="19"/>
  <c r="E15" i="19"/>
  <c r="A27" i="19"/>
  <c r="A9" i="19"/>
  <c r="I19" i="19"/>
  <c r="F32" i="19"/>
  <c r="B13" i="19"/>
  <c r="K23" i="19"/>
  <c r="G6" i="19"/>
  <c r="C17" i="19"/>
  <c r="C29" i="19"/>
  <c r="D7" i="19"/>
  <c r="H12" i="19"/>
  <c r="L17" i="19"/>
  <c r="D23" i="19"/>
  <c r="H28" i="19"/>
  <c r="L33" i="19"/>
  <c r="I34" i="19"/>
  <c r="B12" i="19"/>
  <c r="B26" i="19"/>
  <c r="K6" i="19"/>
  <c r="C12" i="19"/>
  <c r="G17" i="19"/>
  <c r="K22" i="19"/>
  <c r="C28" i="19"/>
  <c r="G33" i="19"/>
  <c r="E31" i="19"/>
  <c r="F9" i="19"/>
  <c r="F21" i="19"/>
  <c r="B28" i="19"/>
  <c r="G5" i="19"/>
  <c r="L8" i="19"/>
  <c r="D14" i="19"/>
  <c r="H19" i="19"/>
  <c r="L24" i="19"/>
  <c r="D30" i="19"/>
  <c r="E21" i="19"/>
  <c r="E11" i="19"/>
  <c r="I15" i="19"/>
  <c r="J19" i="19"/>
  <c r="H26" i="19"/>
  <c r="B16" i="19"/>
  <c r="C10" i="19"/>
  <c r="C26" i="19"/>
  <c r="G31" i="19"/>
  <c r="J4" i="19"/>
  <c r="F19" i="19"/>
  <c r="F24" i="19"/>
  <c r="A12" i="19"/>
  <c r="E5" i="19"/>
  <c r="A20" i="19"/>
  <c r="B7" i="19"/>
  <c r="J17" i="19"/>
  <c r="K29" i="19"/>
  <c r="K31" i="19"/>
  <c r="C11" i="19"/>
  <c r="K21" i="19"/>
  <c r="A6" i="19"/>
  <c r="I16" i="19"/>
  <c r="G28" i="19"/>
  <c r="E10" i="19"/>
  <c r="A21" i="19"/>
  <c r="E34" i="19"/>
  <c r="F14" i="19"/>
  <c r="J25" i="19"/>
  <c r="K7" i="19"/>
  <c r="G18" i="19"/>
  <c r="B31" i="19"/>
  <c r="L7" i="19"/>
  <c r="D13" i="19"/>
  <c r="H18" i="19"/>
  <c r="L23" i="19"/>
  <c r="D29" i="19"/>
  <c r="H34" i="19"/>
  <c r="B4" i="19"/>
  <c r="J12" i="19"/>
  <c r="F27" i="19"/>
  <c r="G7" i="19"/>
  <c r="K12" i="19"/>
  <c r="C18" i="19"/>
  <c r="G23" i="19"/>
  <c r="K28" i="19"/>
  <c r="C34" i="19"/>
  <c r="A32" i="19"/>
  <c r="F11" i="19"/>
  <c r="B22" i="19"/>
  <c r="F29" i="19"/>
  <c r="D4" i="19"/>
  <c r="H9" i="19"/>
  <c r="L14" i="19"/>
  <c r="D20" i="19"/>
  <c r="H25" i="19"/>
  <c r="L30" i="19"/>
  <c r="F12" i="19"/>
  <c r="F33" i="19"/>
  <c r="A16" i="19"/>
  <c r="I17" i="19"/>
  <c r="I10" i="19"/>
  <c r="B33" i="19"/>
  <c r="F8" i="19"/>
  <c r="B19" i="19"/>
  <c r="J31" i="19"/>
  <c r="A23" i="19"/>
  <c r="G12" i="19"/>
  <c r="C23" i="19"/>
  <c r="E7" i="19"/>
  <c r="A18" i="19"/>
  <c r="F30" i="19"/>
  <c r="I11" i="19"/>
  <c r="E22" i="19"/>
  <c r="B5" i="19"/>
  <c r="J15" i="19"/>
  <c r="C27" i="19"/>
  <c r="C9" i="19"/>
  <c r="K19" i="19"/>
  <c r="A33" i="19"/>
  <c r="H8" i="19"/>
  <c r="L13" i="19"/>
  <c r="D19" i="19"/>
  <c r="H24" i="19"/>
  <c r="L29" i="19"/>
  <c r="E23" i="19"/>
  <c r="F5" i="19"/>
  <c r="B14" i="19"/>
  <c r="J28" i="19"/>
  <c r="C8" i="19"/>
  <c r="G13" i="19"/>
  <c r="K18" i="19"/>
  <c r="C24" i="19"/>
  <c r="G29" i="19"/>
  <c r="K34" i="19"/>
  <c r="I32" i="19"/>
  <c r="F13" i="19"/>
  <c r="J22" i="19"/>
  <c r="J30" i="19"/>
  <c r="L4" i="19"/>
  <c r="D10" i="19"/>
  <c r="H15" i="19"/>
  <c r="L20" i="19"/>
  <c r="D26" i="19"/>
  <c r="H31" i="19"/>
  <c r="A11" i="19"/>
  <c r="K20" i="19"/>
  <c r="D12" i="19"/>
  <c r="E26" i="19"/>
  <c r="I29" i="19"/>
  <c r="A7" i="19"/>
  <c r="A19" i="19"/>
  <c r="J9" i="19"/>
  <c r="F20" i="19"/>
  <c r="I33" i="19"/>
  <c r="F26" i="19"/>
  <c r="K13" i="19"/>
  <c r="B25" i="19"/>
  <c r="I8" i="19"/>
  <c r="E19" i="19"/>
  <c r="E32" i="19"/>
  <c r="A13" i="19"/>
  <c r="J23" i="19"/>
  <c r="F6" i="19"/>
  <c r="B17" i="19"/>
  <c r="B29" i="19"/>
  <c r="G10" i="19"/>
  <c r="C21" i="19"/>
  <c r="G34" i="19"/>
  <c r="D9" i="19"/>
  <c r="H14" i="19"/>
  <c r="L19" i="19"/>
  <c r="D25" i="19"/>
  <c r="H30" i="19"/>
  <c r="A24" i="19"/>
  <c r="B6" i="19"/>
  <c r="J14" i="19"/>
  <c r="B30" i="19"/>
  <c r="K8" i="19"/>
  <c r="C14" i="19"/>
  <c r="G19" i="19"/>
  <c r="K24" i="19"/>
  <c r="C30" i="19"/>
  <c r="A28" i="19"/>
  <c r="E33" i="19"/>
  <c r="B18" i="19"/>
  <c r="F23" i="19"/>
  <c r="B32" i="19"/>
  <c r="H5" i="19"/>
  <c r="L10" i="19"/>
  <c r="D16" i="19"/>
  <c r="H21" i="19"/>
  <c r="L26" i="19"/>
  <c r="D32" i="19"/>
  <c r="I13" i="19"/>
  <c r="B23" i="19"/>
  <c r="E16" i="19"/>
  <c r="G4" i="19"/>
  <c r="G16" i="19"/>
  <c r="A22" i="19"/>
  <c r="A5" i="19"/>
  <c r="B27" i="19"/>
  <c r="B9" i="19"/>
  <c r="G32" i="19"/>
  <c r="C13" i="19"/>
  <c r="E24" i="19"/>
  <c r="H10" i="19"/>
  <c r="L15" i="19"/>
  <c r="D21" i="19"/>
  <c r="E25" i="19"/>
  <c r="D28" i="19"/>
  <c r="B27" i="6"/>
  <c r="F16" i="26" l="1"/>
  <c r="G16" i="26" s="1"/>
  <c r="O14" i="26"/>
  <c r="P14" i="26" s="1"/>
  <c r="K26" i="20"/>
  <c r="L26" i="20" s="1"/>
  <c r="M26" i="20" s="1"/>
  <c r="N25" i="20" s="1"/>
  <c r="J28" i="20"/>
  <c r="K28" i="20" s="1"/>
  <c r="L28" i="20" s="1"/>
  <c r="M28" i="20" s="1"/>
  <c r="J32" i="20"/>
  <c r="K32" i="20" s="1"/>
  <c r="L32" i="20" s="1"/>
  <c r="M32" i="20" s="1"/>
  <c r="J30" i="20"/>
  <c r="K30" i="20" s="1"/>
  <c r="L30" i="20" s="1"/>
  <c r="M30" i="20" s="1"/>
  <c r="J34" i="20"/>
  <c r="K34" i="20" s="1"/>
  <c r="L34" i="20" s="1"/>
  <c r="M34" i="20" s="1"/>
  <c r="J36" i="20"/>
  <c r="K36" i="20" s="1"/>
  <c r="L36" i="20" s="1"/>
  <c r="M36" i="20" s="1"/>
  <c r="J38" i="20"/>
  <c r="K38" i="20" s="1"/>
  <c r="L38" i="20" s="1"/>
  <c r="M38" i="20" s="1"/>
  <c r="J40" i="20"/>
  <c r="K40" i="20" s="1"/>
  <c r="L40" i="20" s="1"/>
  <c r="M40" i="20" s="1"/>
  <c r="J42" i="20"/>
  <c r="K42" i="20" s="1"/>
  <c r="L42" i="20" s="1"/>
  <c r="M42" i="20" s="1"/>
  <c r="J44" i="20"/>
  <c r="K44" i="20" s="1"/>
  <c r="L44" i="20" s="1"/>
  <c r="M44" i="20" s="1"/>
  <c r="J46" i="20"/>
  <c r="K46" i="20" s="1"/>
  <c r="L46" i="20" s="1"/>
  <c r="M46" i="20" s="1"/>
  <c r="J48" i="20"/>
  <c r="K48" i="20" s="1"/>
  <c r="L48" i="20" s="1"/>
  <c r="M48" i="20" s="1"/>
  <c r="B3" i="20"/>
  <c r="F16" i="11"/>
  <c r="F20" i="11" l="1"/>
  <c r="D3" i="26"/>
  <c r="C47" i="11"/>
  <c r="H5" i="22" s="1"/>
  <c r="N47" i="20"/>
  <c r="N39" i="20"/>
  <c r="N43" i="20"/>
  <c r="N31" i="20"/>
  <c r="N35" i="20"/>
  <c r="N41" i="20"/>
  <c r="N33" i="20"/>
  <c r="N29" i="20"/>
  <c r="N45" i="20"/>
  <c r="N37" i="20"/>
  <c r="N27" i="20"/>
  <c r="D7" i="12"/>
  <c r="D7" i="4"/>
  <c r="B4" i="6" l="1"/>
  <c r="C108" i="11" l="1"/>
  <c r="C34" i="11"/>
  <c r="C3" i="7"/>
  <c r="H51" i="1"/>
  <c r="C18" i="2" l="1"/>
  <c r="C17" i="2"/>
  <c r="C26" i="7"/>
  <c r="B57" i="5"/>
  <c r="B58" i="5"/>
  <c r="C60" i="5"/>
  <c r="C61" i="5" s="1"/>
  <c r="H66" i="1" l="1"/>
  <c r="E66" i="1"/>
  <c r="D18" i="12" l="1"/>
  <c r="B12" i="12"/>
  <c r="B11" i="12"/>
  <c r="B8" i="12"/>
  <c r="B7" i="12"/>
  <c r="B3" i="12"/>
  <c r="F4" i="12"/>
  <c r="F3" i="12"/>
  <c r="B13" i="12" s="1"/>
  <c r="B16" i="12" l="1"/>
  <c r="D19" i="12" s="1"/>
  <c r="C11" i="12"/>
  <c r="C13" i="12"/>
  <c r="D13" i="12"/>
  <c r="E13" i="12"/>
  <c r="E11" i="12"/>
  <c r="D11" i="12"/>
  <c r="B17" i="12"/>
  <c r="D43" i="6"/>
  <c r="A43" i="6"/>
  <c r="B43" i="6" s="1"/>
  <c r="F5" i="26" l="1"/>
  <c r="G5" i="26" s="1"/>
  <c r="F22" i="20"/>
  <c r="D8" i="12"/>
  <c r="C12" i="12" s="1"/>
  <c r="B23" i="12"/>
  <c r="B21" i="12"/>
  <c r="I12" i="1"/>
  <c r="H12" i="2" s="1"/>
  <c r="F11" i="1"/>
  <c r="F11" i="2" s="1"/>
  <c r="F12" i="1"/>
  <c r="F12" i="2" s="1"/>
  <c r="H10" i="1"/>
  <c r="G10" i="2" s="1"/>
  <c r="F10" i="1"/>
  <c r="F10" i="2" s="1"/>
  <c r="H6" i="1"/>
  <c r="F6" i="2" s="1"/>
  <c r="H5" i="1"/>
  <c r="H5" i="2" s="1"/>
  <c r="F5" i="1"/>
  <c r="F5" i="2" s="1"/>
  <c r="F3" i="1"/>
  <c r="F3" i="2" s="1"/>
  <c r="F4" i="1"/>
  <c r="F4" i="2" s="1"/>
  <c r="F2" i="1"/>
  <c r="F2" i="2" s="1"/>
  <c r="B4" i="1"/>
  <c r="B4" i="2" s="1"/>
  <c r="B12" i="1"/>
  <c r="B11" i="2" s="1"/>
  <c r="B11" i="1"/>
  <c r="B10" i="2" s="1"/>
  <c r="B10" i="1"/>
  <c r="B9" i="2" s="1"/>
  <c r="B9" i="1"/>
  <c r="B8" i="2" s="1"/>
  <c r="B8" i="1"/>
  <c r="B7" i="2" s="1"/>
  <c r="B7" i="1"/>
  <c r="B6" i="2" s="1"/>
  <c r="B56" i="6"/>
  <c r="B55" i="6"/>
  <c r="C58" i="6" s="1"/>
  <c r="D18" i="2"/>
  <c r="D17" i="2"/>
  <c r="C148" i="11"/>
  <c r="C147" i="11"/>
  <c r="F18" i="26" s="1"/>
  <c r="G18" i="26" s="1"/>
  <c r="B48" i="6"/>
  <c r="B47" i="6"/>
  <c r="E37" i="6"/>
  <c r="E38" i="6"/>
  <c r="E39" i="6"/>
  <c r="E36" i="6"/>
  <c r="B37" i="6"/>
  <c r="B38" i="6"/>
  <c r="B39" i="6"/>
  <c r="B36" i="6"/>
  <c r="C122" i="11"/>
  <c r="H74" i="1"/>
  <c r="H65" i="1"/>
  <c r="E65" i="1"/>
  <c r="D65" i="1"/>
  <c r="B17" i="6"/>
  <c r="B16" i="6"/>
  <c r="B15" i="6"/>
  <c r="B7" i="6"/>
  <c r="B6" i="6"/>
  <c r="E7" i="6"/>
  <c r="B5" i="6"/>
  <c r="E4" i="3"/>
  <c r="E3" i="3"/>
  <c r="B4" i="3"/>
  <c r="B3" i="3"/>
  <c r="F4" i="4"/>
  <c r="F3" i="4"/>
  <c r="B8" i="4"/>
  <c r="B7" i="4"/>
  <c r="D17" i="4"/>
  <c r="H46" i="1"/>
  <c r="O16" i="26" l="1"/>
  <c r="P16" i="26" s="1"/>
  <c r="B11" i="4"/>
  <c r="C13" i="4"/>
  <c r="B13" i="4"/>
  <c r="C11" i="4"/>
  <c r="D16" i="2"/>
  <c r="D29" i="2" s="1"/>
  <c r="E10" i="6"/>
  <c r="O4" i="26" s="1"/>
  <c r="P4" i="26" s="1"/>
  <c r="E12" i="12"/>
  <c r="B22" i="12" s="1"/>
  <c r="D12" i="12"/>
  <c r="B20" i="12" s="1"/>
  <c r="B11" i="3"/>
  <c r="B27" i="3"/>
  <c r="B28" i="3" s="1"/>
  <c r="B58" i="6"/>
  <c r="O12" i="26" s="1"/>
  <c r="P12" i="26" s="1"/>
  <c r="F65" i="1"/>
  <c r="H80" i="1"/>
  <c r="D78" i="1"/>
  <c r="I78" i="1" s="1"/>
  <c r="H69" i="1"/>
  <c r="C18" i="11" l="1"/>
  <c r="C109" i="11"/>
  <c r="E10" i="3"/>
  <c r="I65" i="1"/>
  <c r="F4" i="26" l="1"/>
  <c r="G4" i="26" s="1"/>
  <c r="C23" i="11"/>
  <c r="G6" i="9"/>
  <c r="G7" i="9"/>
  <c r="G8" i="9"/>
  <c r="G9" i="9"/>
  <c r="G5" i="9"/>
  <c r="G4" i="9"/>
  <c r="G10" i="9"/>
  <c r="D10" i="9"/>
  <c r="D9" i="9"/>
  <c r="D8" i="9"/>
  <c r="D7" i="9"/>
  <c r="D6" i="9"/>
  <c r="D5" i="9"/>
  <c r="F4" i="9"/>
  <c r="E6" i="26" l="1"/>
  <c r="F6" i="26" s="1"/>
  <c r="G6" i="26" s="1"/>
  <c r="E3" i="26"/>
  <c r="F6" i="9"/>
  <c r="F10" i="9"/>
  <c r="F8" i="9"/>
  <c r="F9" i="9"/>
  <c r="F5" i="9"/>
  <c r="F7" i="9"/>
  <c r="K13" i="5" l="1"/>
  <c r="M16" i="5" l="1"/>
  <c r="M17" i="5"/>
  <c r="M18" i="5"/>
  <c r="M19" i="5"/>
  <c r="M20" i="5"/>
  <c r="M21" i="5"/>
  <c r="M22" i="5"/>
  <c r="M23" i="5"/>
  <c r="M24" i="5"/>
  <c r="M25" i="5"/>
  <c r="M26" i="5"/>
  <c r="M27" i="5"/>
  <c r="L16" i="5"/>
  <c r="L17" i="5"/>
  <c r="L18" i="5"/>
  <c r="L19" i="5"/>
  <c r="L20" i="5"/>
  <c r="L21" i="5"/>
  <c r="L22" i="5"/>
  <c r="L23" i="5"/>
  <c r="L24" i="5"/>
  <c r="L25" i="5"/>
  <c r="L26" i="5"/>
  <c r="L27" i="5"/>
  <c r="K12" i="5"/>
  <c r="K14" i="5"/>
  <c r="K15" i="5"/>
  <c r="K16" i="5"/>
  <c r="K17" i="5"/>
  <c r="K18" i="5"/>
  <c r="K19" i="5"/>
  <c r="K20" i="5"/>
  <c r="K21" i="5"/>
  <c r="K22" i="5"/>
  <c r="K23" i="5"/>
  <c r="K24" i="5"/>
  <c r="K25" i="5"/>
  <c r="K26" i="5"/>
  <c r="K27" i="5"/>
  <c r="K11" i="5"/>
  <c r="L11" i="5" l="1"/>
  <c r="L13" i="5" s="1"/>
  <c r="L15" i="5" s="1"/>
  <c r="M15" i="5" s="1"/>
  <c r="L12" i="5"/>
  <c r="L14" i="5" s="1"/>
  <c r="M14" i="5" s="1"/>
  <c r="M11" i="5" l="1"/>
  <c r="M13" i="5"/>
  <c r="M12" i="5"/>
  <c r="B19" i="4"/>
  <c r="E34" i="3" l="1"/>
  <c r="F26" i="26" s="1"/>
  <c r="G26" i="26" s="1"/>
  <c r="C100" i="11" l="1"/>
  <c r="E20" i="6"/>
  <c r="E19" i="6"/>
  <c r="O6" i="26" s="1"/>
  <c r="P6" i="26" s="1"/>
  <c r="B45" i="6"/>
  <c r="B50" i="6" s="1"/>
  <c r="E8" i="6"/>
  <c r="E11" i="6" s="1"/>
  <c r="E43" i="6"/>
  <c r="E45" i="6" s="1"/>
  <c r="C142" i="11" s="1"/>
  <c r="B8" i="7"/>
  <c r="B12" i="7"/>
  <c r="A33" i="5"/>
  <c r="G31" i="5"/>
  <c r="H31" i="5" s="1"/>
  <c r="F31" i="5"/>
  <c r="G30" i="5"/>
  <c r="F30" i="5"/>
  <c r="G29" i="5"/>
  <c r="F29" i="5"/>
  <c r="G28" i="5"/>
  <c r="F28" i="5"/>
  <c r="G27" i="5"/>
  <c r="F27" i="5"/>
  <c r="G26" i="5"/>
  <c r="F26" i="5"/>
  <c r="G25" i="5"/>
  <c r="F25" i="5"/>
  <c r="G24" i="5"/>
  <c r="F24" i="5"/>
  <c r="G23" i="5"/>
  <c r="F23" i="5"/>
  <c r="G22" i="5"/>
  <c r="F22" i="5"/>
  <c r="G21" i="5"/>
  <c r="F21" i="5"/>
  <c r="G20" i="5"/>
  <c r="F20" i="5"/>
  <c r="G19" i="5"/>
  <c r="F19" i="5"/>
  <c r="G18" i="5"/>
  <c r="F18" i="5"/>
  <c r="G17" i="5"/>
  <c r="F17" i="5"/>
  <c r="G16" i="5"/>
  <c r="F16" i="5"/>
  <c r="G15" i="5"/>
  <c r="F15" i="5"/>
  <c r="G14" i="5"/>
  <c r="F14" i="5"/>
  <c r="G13" i="5"/>
  <c r="F13" i="5"/>
  <c r="G12" i="5"/>
  <c r="F12" i="5"/>
  <c r="G11" i="5"/>
  <c r="F11" i="5"/>
  <c r="G10" i="5"/>
  <c r="F10" i="5"/>
  <c r="G9" i="5"/>
  <c r="F9" i="5"/>
  <c r="C132" i="11" l="1"/>
  <c r="F17" i="26"/>
  <c r="C116" i="11"/>
  <c r="O7" i="26"/>
  <c r="P7" i="26" s="1"/>
  <c r="F15" i="26"/>
  <c r="G15" i="26" s="1"/>
  <c r="O5" i="26"/>
  <c r="P5" i="26" s="1"/>
  <c r="F14" i="26"/>
  <c r="G14" i="26" s="1"/>
  <c r="C115" i="11"/>
  <c r="H10" i="5"/>
  <c r="H12" i="5"/>
  <c r="H14" i="5"/>
  <c r="H16" i="5"/>
  <c r="H18" i="5"/>
  <c r="H20" i="5"/>
  <c r="H26" i="5"/>
  <c r="H28" i="5"/>
  <c r="H27" i="5"/>
  <c r="H30" i="5"/>
  <c r="C110" i="11"/>
  <c r="H13" i="5"/>
  <c r="H29" i="5"/>
  <c r="B59" i="6"/>
  <c r="F21" i="26" s="1"/>
  <c r="G21" i="26" s="1"/>
  <c r="H9" i="5"/>
  <c r="H11" i="5"/>
  <c r="H15" i="5"/>
  <c r="H17" i="5"/>
  <c r="H21" i="5"/>
  <c r="H24" i="5"/>
  <c r="H19" i="5"/>
  <c r="H23" i="5"/>
  <c r="H25" i="5"/>
  <c r="F33" i="5"/>
  <c r="H22" i="5"/>
  <c r="D8" i="4"/>
  <c r="H4" i="4" s="1"/>
  <c r="L28" i="5"/>
  <c r="L30" i="5" s="1"/>
  <c r="G33" i="5"/>
  <c r="G17" i="26" l="1"/>
  <c r="O15" i="26"/>
  <c r="P15" i="26" s="1"/>
  <c r="O13" i="26"/>
  <c r="P13" i="26" s="1"/>
  <c r="C12" i="4"/>
  <c r="B18" i="4" s="1"/>
  <c r="B12" i="4"/>
  <c r="B9" i="3"/>
  <c r="B10" i="3" s="1"/>
  <c r="H33" i="5"/>
  <c r="H35" i="5" s="1"/>
  <c r="M28" i="5"/>
  <c r="M30" i="5" s="1"/>
  <c r="B18" i="3" l="1"/>
  <c r="B20" i="3" s="1"/>
  <c r="F24" i="26" s="1"/>
  <c r="G24" i="26" s="1"/>
  <c r="C25" i="3"/>
  <c r="C28" i="3" s="1"/>
  <c r="C96" i="11" s="1"/>
  <c r="E9" i="3"/>
  <c r="B18" i="12"/>
  <c r="F25" i="26" l="1"/>
  <c r="G25" i="26" s="1"/>
  <c r="C90" i="11"/>
  <c r="B19" i="12"/>
  <c r="B16" i="4"/>
  <c r="B17" i="4"/>
  <c r="D18" i="4" s="1"/>
  <c r="D36" i="1"/>
  <c r="C77" i="11" l="1"/>
  <c r="F22" i="26"/>
  <c r="G22" i="26" s="1"/>
  <c r="E22" i="20"/>
  <c r="E11" i="3"/>
  <c r="F23" i="26" s="1"/>
  <c r="G23" i="26" s="1"/>
  <c r="C84" i="11" l="1"/>
  <c r="F16" i="2" l="1"/>
  <c r="F17" i="2"/>
  <c r="F18" i="2"/>
  <c r="E18" i="2"/>
  <c r="E17" i="2"/>
  <c r="E16" i="2"/>
  <c r="D7" i="20"/>
  <c r="F7" i="20" s="1"/>
  <c r="C28" i="11"/>
  <c r="E12" i="26" l="1"/>
  <c r="F12" i="26" s="1"/>
  <c r="G12" i="26" s="1"/>
  <c r="J7" i="26"/>
  <c r="F29" i="2"/>
  <c r="C27" i="11"/>
  <c r="C29" i="11"/>
  <c r="E11" i="26" l="1"/>
  <c r="F11" i="26" s="1"/>
  <c r="G11" i="26" s="1"/>
  <c r="E13" i="26"/>
  <c r="F13" i="26" s="1"/>
  <c r="G13" i="26" s="1"/>
  <c r="B12" i="2"/>
  <c r="G5" i="22"/>
  <c r="F36" i="1"/>
  <c r="J14" i="26" s="1"/>
  <c r="F1" i="26" l="1"/>
  <c r="F5" i="22"/>
  <c r="D22" i="20"/>
  <c r="D66" i="1"/>
  <c r="F66" i="1" s="1"/>
  <c r="D74" i="1"/>
  <c r="I74" i="1" s="1"/>
  <c r="D77" i="1"/>
  <c r="I77" i="1" s="1"/>
  <c r="I60" i="1"/>
  <c r="I58" i="1"/>
  <c r="D64" i="1"/>
  <c r="I64" i="1" s="1"/>
  <c r="D61" i="1"/>
  <c r="I61" i="1" s="1"/>
  <c r="D63" i="1"/>
  <c r="I63" i="1" s="1"/>
  <c r="D51" i="1"/>
  <c r="F51" i="1" s="1"/>
  <c r="D53" i="1"/>
  <c r="I53" i="1" s="1"/>
  <c r="D45" i="1"/>
  <c r="D69" i="1"/>
  <c r="I69" i="1" s="1"/>
  <c r="D80" i="1"/>
  <c r="I80" i="1" s="1"/>
  <c r="D44" i="1"/>
  <c r="I44" i="1" s="1"/>
  <c r="I57" i="1"/>
  <c r="D70" i="1"/>
  <c r="I70" i="1" s="1"/>
  <c r="K2" i="1"/>
  <c r="F56" i="1"/>
  <c r="D46" i="1"/>
  <c r="I46" i="1" s="1"/>
  <c r="D48" i="1"/>
  <c r="I48" i="1" s="1"/>
  <c r="H45" i="1"/>
  <c r="D71" i="1"/>
  <c r="I71" i="1" s="1"/>
  <c r="F43" i="1"/>
  <c r="D79" i="1"/>
  <c r="I79" i="1" s="1"/>
  <c r="F62" i="1"/>
  <c r="D42" i="1"/>
  <c r="F42" i="1" s="1"/>
  <c r="I43" i="1" l="1"/>
  <c r="F57" i="1"/>
  <c r="F60" i="1"/>
  <c r="I51" i="1"/>
  <c r="F61" i="1"/>
  <c r="F63" i="1"/>
  <c r="F44" i="1"/>
  <c r="I42" i="1"/>
  <c r="I62" i="1"/>
  <c r="I45" i="1"/>
  <c r="F58" i="1"/>
  <c r="I66" i="1"/>
  <c r="I56" i="1"/>
  <c r="D39" i="1" l="1"/>
  <c r="F39" i="1" s="1"/>
  <c r="D47" i="1"/>
  <c r="I47" i="1" s="1"/>
  <c r="D72" i="1"/>
  <c r="D52" i="2" s="1"/>
  <c r="D73" i="1"/>
  <c r="F73" i="1" s="1"/>
  <c r="D51" i="2" l="1"/>
  <c r="F72" i="1"/>
  <c r="F52" i="2" s="1"/>
  <c r="F51" i="2"/>
  <c r="I59" i="1" l="1"/>
  <c r="I82" i="1" l="1"/>
  <c r="I99" i="1" s="1"/>
  <c r="F59" i="1"/>
  <c r="F82" i="1" s="1"/>
  <c r="J15" i="26" s="1"/>
  <c r="K4" i="1" l="1"/>
  <c r="J16" i="26"/>
  <c r="K3" i="1"/>
  <c r="F83" i="1"/>
  <c r="O17" i="26" l="1"/>
  <c r="B4" i="9"/>
  <c r="K5" i="1"/>
  <c r="I5" i="9" l="1"/>
  <c r="K10" i="9"/>
  <c r="I10" i="9"/>
  <c r="I6" i="9"/>
  <c r="K6" i="9"/>
  <c r="I7" i="9"/>
  <c r="K7" i="9"/>
  <c r="K9" i="9"/>
  <c r="I9" i="9"/>
  <c r="B8" i="9"/>
  <c r="I13" i="9" s="1"/>
  <c r="K8" i="9"/>
  <c r="I4" i="9"/>
  <c r="K5" i="9"/>
  <c r="I8" i="9"/>
  <c r="P17" i="26"/>
  <c r="F87" i="1"/>
  <c r="K4" i="9" l="1"/>
  <c r="I11" i="9"/>
  <c r="B10" i="9"/>
  <c r="B9" i="9"/>
  <c r="I12" i="9"/>
  <c r="I15" i="9" l="1"/>
  <c r="O3" i="26" s="1"/>
  <c r="C172" i="11" l="1"/>
  <c r="P3" i="26"/>
  <c r="O1" i="26" s="1"/>
  <c r="F88" i="1"/>
  <c r="F99" i="1" s="1"/>
  <c r="K6" i="1" l="1"/>
  <c r="F101" i="1"/>
  <c r="I113" i="1" l="1"/>
  <c r="J17" i="26"/>
  <c r="K7" i="1"/>
  <c r="H105" i="1"/>
  <c r="H113" i="1"/>
  <c r="K8" i="1" l="1"/>
  <c r="J18" i="2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Sandrine MORALES</author>
    <author>cl104188</author>
  </authors>
  <commentList>
    <comment ref="B19" authorId="0" shapeId="0" xr:uid="{00000000-0006-0000-0000-000001000000}">
      <text>
        <r>
          <rPr>
            <b/>
            <sz val="9"/>
            <color indexed="81"/>
            <rFont val="Tahoma"/>
            <family val="2"/>
          </rPr>
          <t>Sandrine MORALES:</t>
        </r>
        <r>
          <rPr>
            <sz val="9"/>
            <color indexed="81"/>
            <rFont val="Tahoma"/>
            <family val="2"/>
          </rPr>
          <t xml:space="preserve">
Méthode qui a fait JURISPRUDENCE3
(h ABS * SB ) / h réèlles</t>
        </r>
      </text>
    </comment>
    <comment ref="B20" authorId="1" shapeId="0" xr:uid="{00000000-0006-0000-0000-000002000000}">
      <text>
        <r>
          <rPr>
            <b/>
            <sz val="9"/>
            <color indexed="81"/>
            <rFont val="Tahoma"/>
            <family val="2"/>
          </rPr>
          <t>cl104188:</t>
        </r>
        <r>
          <rPr>
            <sz val="9"/>
            <color indexed="81"/>
            <rFont val="Tahoma"/>
            <family val="2"/>
          </rPr>
          <t xml:space="preserve">
(h abs * SB ) / h mensuel moyen -&gt; 35h =151,67)</t>
        </r>
      </text>
    </comment>
    <comment ref="B21" authorId="1" shapeId="0" xr:uid="{00000000-0006-0000-0000-000003000000}">
      <text>
        <r>
          <rPr>
            <b/>
            <sz val="9"/>
            <color indexed="81"/>
            <rFont val="Tahoma"/>
            <family val="2"/>
          </rPr>
          <t>cl104188:</t>
        </r>
        <r>
          <rPr>
            <sz val="9"/>
            <color indexed="81"/>
            <rFont val="Tahoma"/>
            <family val="2"/>
          </rPr>
          <t xml:space="preserve">
(j abs * SB ) / nbre jours réèls</t>
        </r>
      </text>
    </comment>
    <comment ref="B22" authorId="1" shapeId="0" xr:uid="{00000000-0006-0000-0000-000004000000}">
      <text>
        <r>
          <rPr>
            <b/>
            <sz val="9"/>
            <color indexed="81"/>
            <rFont val="Tahoma"/>
            <family val="2"/>
          </rPr>
          <t>cl104188:</t>
        </r>
        <r>
          <rPr>
            <sz val="9"/>
            <color indexed="81"/>
            <rFont val="Tahoma"/>
            <family val="2"/>
          </rPr>
          <t xml:space="preserve">
(j abs * SB) / nbre jours moyen (35h-&gt;21,67)
</t>
        </r>
      </text>
    </comment>
    <comment ref="B23" authorId="1" shapeId="0" xr:uid="{00000000-0006-0000-0000-000005000000}">
      <text>
        <r>
          <rPr>
            <b/>
            <sz val="9"/>
            <color indexed="81"/>
            <rFont val="Tahoma"/>
            <family val="2"/>
          </rPr>
          <t>cl104188:</t>
        </r>
        <r>
          <rPr>
            <sz val="9"/>
            <color indexed="81"/>
            <rFont val="Tahoma"/>
            <family val="2"/>
          </rPr>
          <t xml:space="preserve">
( J abs * SB ) / j ouvrables réèls</t>
        </r>
      </text>
    </comment>
    <comment ref="B24" authorId="1" shapeId="0" xr:uid="{00000000-0006-0000-0000-000006000000}">
      <text>
        <r>
          <rPr>
            <b/>
            <sz val="9"/>
            <color indexed="81"/>
            <rFont val="Tahoma"/>
            <family val="2"/>
          </rPr>
          <t xml:space="preserve">cl104188:
</t>
        </r>
        <r>
          <rPr>
            <sz val="9"/>
            <color indexed="81"/>
            <rFont val="Tahoma"/>
            <family val="2"/>
          </rPr>
          <t>( J abs / sb ) / Nbre J ouvrables ( 35h-&gt; 26</t>
        </r>
        <r>
          <rPr>
            <b/>
            <sz val="9"/>
            <color indexed="81"/>
            <rFont val="Tahoma"/>
            <family val="2"/>
          </rPr>
          <t xml:space="preserve">)
</t>
        </r>
      </text>
    </comment>
    <comment ref="B46" authorId="0" shapeId="0" xr:uid="{00000000-0006-0000-0000-000007000000}">
      <text>
        <r>
          <rPr>
            <b/>
            <sz val="9"/>
            <color indexed="81"/>
            <rFont val="Tahoma"/>
            <family val="2"/>
          </rPr>
          <t>Sandrine MORALES:</t>
        </r>
        <r>
          <rPr>
            <sz val="9"/>
            <color indexed="81"/>
            <rFont val="Tahoma"/>
            <family val="2"/>
          </rPr>
          <t xml:space="preserve">
Pour le forfait on ne prends que le prix d'achat du véhicule</t>
        </r>
      </text>
    </comment>
    <comment ref="B51" authorId="0" shapeId="0" xr:uid="{00000000-0006-0000-0000-000008000000}">
      <text>
        <r>
          <rPr>
            <b/>
            <sz val="9"/>
            <color indexed="81"/>
            <rFont val="Tahoma"/>
            <family val="2"/>
          </rPr>
          <t>Sandrine MORALES:</t>
        </r>
        <r>
          <rPr>
            <sz val="9"/>
            <color indexed="81"/>
            <rFont val="Tahoma"/>
            <family val="2"/>
          </rPr>
          <t xml:space="preserve">
On prends la totalite du cout global (loc + assurance + frais ) que l'on ramène au mois</t>
        </r>
      </text>
    </comment>
    <comment ref="B52" authorId="0" shapeId="0" xr:uid="{00000000-0006-0000-0000-000009000000}">
      <text>
        <r>
          <rPr>
            <b/>
            <sz val="9"/>
            <color indexed="81"/>
            <rFont val="Tahoma"/>
            <family val="2"/>
          </rPr>
          <t>Sandrine MORALES:</t>
        </r>
        <r>
          <rPr>
            <sz val="9"/>
            <color indexed="81"/>
            <rFont val="Tahoma"/>
            <family val="2"/>
          </rPr>
          <t xml:space="preserve">
On prends un % du cout global ( loc + assuance + frais ) que l'on ramène au mois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xml:space="preserve">CL505127 </author>
    <author>cl104188</author>
    <author>Sandrine MORALES</author>
  </authors>
  <commentList>
    <comment ref="F19" authorId="0" shapeId="0" xr:uid="{00000000-0006-0000-0100-000001000000}">
      <text>
        <r>
          <rPr>
            <b/>
            <sz val="9"/>
            <color indexed="81"/>
            <rFont val="Tahoma"/>
            <family val="2"/>
          </rPr>
          <t xml:space="preserve">CL505127 :
</t>
        </r>
        <r>
          <rPr>
            <sz val="9"/>
            <color indexed="81"/>
            <rFont val="Tahoma"/>
            <family val="2"/>
          </rPr>
          <t xml:space="preserve">Proratisation des heures temps plein / Temps complet </t>
        </r>
      </text>
    </comment>
    <comment ref="G19" authorId="0" shapeId="0" xr:uid="{00000000-0006-0000-0100-000002000000}">
      <text>
        <r>
          <rPr>
            <b/>
            <sz val="9"/>
            <color indexed="81"/>
            <rFont val="Tahoma"/>
            <family val="2"/>
          </rPr>
          <t>CL505127 :</t>
        </r>
        <r>
          <rPr>
            <sz val="9"/>
            <color indexed="81"/>
            <rFont val="Tahoma"/>
            <family val="2"/>
          </rPr>
          <t xml:space="preserve">
Proratisation du PSS en fonction de l'entrée sortie</t>
        </r>
      </text>
    </comment>
    <comment ref="B35" authorId="1" shapeId="0" xr:uid="{00000000-0006-0000-0100-000003000000}">
      <text>
        <r>
          <rPr>
            <b/>
            <sz val="9"/>
            <color indexed="81"/>
            <rFont val="Tahoma"/>
            <family val="2"/>
          </rPr>
          <t>cl104188:</t>
        </r>
        <r>
          <rPr>
            <sz val="9"/>
            <color indexed="81"/>
            <rFont val="Tahoma"/>
            <family val="2"/>
          </rPr>
          <t xml:space="preserve">
Régularisation du taux chômage quand on bascule d'un CDD à un CDI / Attention Si le salarié est agé de - 26 ans , il y a exonération des cotisations patronales chômage durant 12 mois </t>
        </r>
      </text>
    </comment>
    <comment ref="C57" authorId="0" shapeId="0" xr:uid="{00000000-0006-0000-0100-000004000000}">
      <text>
        <r>
          <rPr>
            <b/>
            <sz val="9"/>
            <color indexed="81"/>
            <rFont val="Tahoma"/>
            <family val="2"/>
          </rPr>
          <t>CL505127 :</t>
        </r>
        <r>
          <rPr>
            <sz val="9"/>
            <color indexed="81"/>
            <rFont val="Tahoma"/>
            <family val="2"/>
          </rPr>
          <t xml:space="preserve">
Dans l'odre Salaire de base - sortie + Avantage en nature + Salaire précédent ,NE PAS PRENDRE LES ICCP </t>
        </r>
      </text>
    </comment>
    <comment ref="C69" authorId="1" shapeId="0" xr:uid="{00000000-0006-0000-0100-000005000000}">
      <text>
        <r>
          <rPr>
            <b/>
            <sz val="9"/>
            <color indexed="81"/>
            <rFont val="Tahoma"/>
            <family val="2"/>
          </rPr>
          <t>cl104188:</t>
        </r>
        <r>
          <rPr>
            <sz val="9"/>
            <color indexed="81"/>
            <rFont val="Tahoma"/>
            <family val="2"/>
          </rPr>
          <t xml:space="preserve">
Ne pas compter les jours fériés </t>
        </r>
      </text>
    </comment>
    <comment ref="A79" authorId="0" shapeId="0" xr:uid="{00000000-0006-0000-0100-000006000000}">
      <text>
        <r>
          <rPr>
            <b/>
            <sz val="9"/>
            <color indexed="81"/>
            <rFont val="Tahoma"/>
            <family val="2"/>
          </rPr>
          <t>CL505127 :</t>
        </r>
        <r>
          <rPr>
            <sz val="9"/>
            <color indexed="81"/>
            <rFont val="Tahoma"/>
            <family val="2"/>
          </rPr>
          <t xml:space="preserve">
Obligation de prendre  12 jous dans la période légale et 6 jours hors période . </t>
        </r>
      </text>
    </comment>
    <comment ref="B88" authorId="2" shapeId="0" xr:uid="{00000000-0006-0000-0100-000007000000}">
      <text>
        <r>
          <rPr>
            <b/>
            <sz val="9"/>
            <color indexed="81"/>
            <rFont val="Tahoma"/>
            <family val="2"/>
          </rPr>
          <t>Sandrine MORALES:</t>
        </r>
        <r>
          <rPr>
            <sz val="9"/>
            <color indexed="81"/>
            <rFont val="Tahoma"/>
            <family val="2"/>
          </rPr>
          <t xml:space="preserve">
Prendre le mois en cours avec le solde des CP de N-1, on prends la prime de précarité dans le calcul du solde des CP
</t>
        </r>
      </text>
    </comment>
    <comment ref="B94" authorId="2" shapeId="0" xr:uid="{00000000-0006-0000-0100-000008000000}">
      <text>
        <r>
          <rPr>
            <b/>
            <sz val="9"/>
            <color indexed="81"/>
            <rFont val="Tahoma"/>
            <family val="2"/>
          </rPr>
          <t>Sandrine MORALES:</t>
        </r>
        <r>
          <rPr>
            <sz val="9"/>
            <color indexed="81"/>
            <rFont val="Tahoma"/>
            <family val="2"/>
          </rPr>
          <t xml:space="preserve">
Prendre le mois en cours avec le solde des CP de N-1, on prends la prime de précarité dans le calcul du solde des CP
</t>
        </r>
      </text>
    </comment>
    <comment ref="B95" authorId="2" shapeId="0" xr:uid="{00000000-0006-0000-0100-000009000000}">
      <text>
        <r>
          <rPr>
            <b/>
            <sz val="9"/>
            <color indexed="81"/>
            <rFont val="Tahoma"/>
            <family val="2"/>
          </rPr>
          <t>Sandrine MORALES:</t>
        </r>
        <r>
          <rPr>
            <sz val="9"/>
            <color indexed="81"/>
            <rFont val="Tahoma"/>
            <family val="2"/>
          </rPr>
          <t xml:space="preserve">
L'Ets peut parfois offrir 1 ou 2 jours de plus aux salariés, il faut donc recalculer l'ICCP </t>
        </r>
      </text>
    </comment>
    <comment ref="B98" authorId="2" shapeId="0" xr:uid="{00000000-0006-0000-0100-00000A000000}">
      <text>
        <r>
          <rPr>
            <b/>
            <sz val="9"/>
            <color indexed="81"/>
            <rFont val="Tahoma"/>
            <family val="2"/>
          </rPr>
          <t>Sandrine MORALES:</t>
        </r>
        <r>
          <rPr>
            <sz val="9"/>
            <color indexed="81"/>
            <rFont val="Tahoma"/>
            <family val="2"/>
          </rPr>
          <t xml:space="preserve">
1ou 2 jours de fractionnement
</t>
        </r>
      </text>
    </comment>
    <comment ref="B109" authorId="1" shapeId="0" xr:uid="{00000000-0006-0000-0100-00000B000000}">
      <text>
        <r>
          <rPr>
            <b/>
            <sz val="9"/>
            <color indexed="81"/>
            <rFont val="Tahoma"/>
            <family val="2"/>
          </rPr>
          <t>cl104188:</t>
        </r>
        <r>
          <rPr>
            <sz val="9"/>
            <color indexed="81"/>
            <rFont val="Tahoma"/>
            <family val="2"/>
          </rPr>
          <t xml:space="preserve">
Nbre de jours * Valeur faciale * Part salariale en %
</t>
        </r>
      </text>
    </comment>
    <comment ref="B115" authorId="1" shapeId="0" xr:uid="{00000000-0006-0000-0100-00000C000000}">
      <text>
        <r>
          <rPr>
            <b/>
            <sz val="9"/>
            <color indexed="81"/>
            <rFont val="Tahoma"/>
            <family val="2"/>
          </rPr>
          <t>cl104188:</t>
        </r>
        <r>
          <rPr>
            <sz val="9"/>
            <color indexed="81"/>
            <rFont val="Tahoma"/>
            <family val="2"/>
          </rPr>
          <t xml:space="preserve">
nbre de jours * part salariale
</t>
        </r>
      </text>
    </comment>
    <comment ref="B116" authorId="2" shapeId="0" xr:uid="{00000000-0006-0000-0100-00000D000000}">
      <text>
        <r>
          <rPr>
            <b/>
            <sz val="9"/>
            <color indexed="81"/>
            <rFont val="Tahoma"/>
            <family val="2"/>
          </rPr>
          <t>Sandrine MORALES:</t>
        </r>
        <r>
          <rPr>
            <sz val="9"/>
            <color indexed="81"/>
            <rFont val="Tahoma"/>
            <family val="2"/>
          </rPr>
          <t xml:space="preserve">
Si part salariale &gt; 50% de l'évaluation forfaitaire alors je dois faire remonter : 
( Evaluation forfaitaire - Part salariale) * nbre de jours</t>
        </r>
      </text>
    </comment>
    <comment ref="B130" authorId="1" shapeId="0" xr:uid="{00000000-0006-0000-0100-00000E000000}">
      <text>
        <r>
          <rPr>
            <b/>
            <sz val="9"/>
            <color indexed="81"/>
            <rFont val="Tahoma"/>
            <family val="2"/>
          </rPr>
          <t>cl104188:</t>
        </r>
        <r>
          <rPr>
            <sz val="9"/>
            <color indexed="81"/>
            <rFont val="Tahoma"/>
            <family val="2"/>
          </rPr>
          <t xml:space="preserve">
UNIQUEMENT SUR LA METHODE AU REEL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cl104188</author>
    <author>Sandrine MORALES</author>
  </authors>
  <commentList>
    <comment ref="A43" authorId="0" shapeId="0" xr:uid="{00000000-0006-0000-0300-000001000000}">
      <text>
        <r>
          <rPr>
            <b/>
            <sz val="9"/>
            <color indexed="81"/>
            <rFont val="Tahoma"/>
            <family val="2"/>
          </rPr>
          <t>cl104188:</t>
        </r>
        <r>
          <rPr>
            <sz val="9"/>
            <color indexed="81"/>
            <rFont val="Tahoma"/>
            <family val="2"/>
          </rPr>
          <t xml:space="preserve">
Limité à la tranche A</t>
        </r>
      </text>
    </comment>
    <comment ref="H46" authorId="0" shapeId="0" xr:uid="{00000000-0006-0000-0300-000002000000}">
      <text>
        <r>
          <rPr>
            <b/>
            <sz val="9"/>
            <color indexed="81"/>
            <rFont val="Tahoma"/>
            <family val="2"/>
          </rPr>
          <t>cl104188:</t>
        </r>
        <r>
          <rPr>
            <sz val="9"/>
            <color indexed="81"/>
            <rFont val="Tahoma"/>
            <family val="2"/>
          </rPr>
          <t xml:space="preserve">
Taux propre à l'Entreprise</t>
        </r>
      </text>
    </comment>
    <comment ref="A47" authorId="0" shapeId="0" xr:uid="{00000000-0006-0000-0300-000003000000}">
      <text>
        <r>
          <rPr>
            <b/>
            <sz val="9"/>
            <color indexed="81"/>
            <rFont val="Tahoma"/>
            <family val="2"/>
          </rPr>
          <t>cl104188:</t>
        </r>
        <r>
          <rPr>
            <sz val="9"/>
            <color indexed="81"/>
            <rFont val="Tahoma"/>
            <family val="2"/>
          </rPr>
          <t xml:space="preserve">
Cotisation patronale de la complémentaire santé + Cotisation patronale de la complémentaire décés 
</t>
        </r>
      </text>
    </comment>
    <comment ref="A51" authorId="0" shapeId="0" xr:uid="{00000000-0006-0000-0300-000004000000}">
      <text>
        <r>
          <rPr>
            <b/>
            <sz val="9"/>
            <color indexed="81"/>
            <rFont val="Tahoma"/>
            <family val="2"/>
          </rPr>
          <t>cl104188:</t>
        </r>
        <r>
          <rPr>
            <sz val="9"/>
            <color indexed="81"/>
            <rFont val="Tahoma"/>
            <family val="2"/>
          </rPr>
          <t xml:space="preserve">
Limité à 4 PPS ou sup à 100% du SBRUT
</t>
        </r>
      </text>
    </comment>
    <comment ref="H51" authorId="1" shapeId="0" xr:uid="{00000000-0006-0000-0300-000005000000}">
      <text>
        <r>
          <rPr>
            <b/>
            <sz val="9"/>
            <color indexed="81"/>
            <rFont val="Tahoma"/>
            <family val="2"/>
          </rPr>
          <t>Sandrine MORALES:</t>
        </r>
        <r>
          <rPr>
            <sz val="9"/>
            <color indexed="81"/>
            <rFont val="Tahoma"/>
            <family val="2"/>
          </rPr>
          <t xml:space="preserve">
En fonction du type de contrat</t>
        </r>
      </text>
    </comment>
    <comment ref="A56" authorId="0" shapeId="0" xr:uid="{00000000-0006-0000-0300-000006000000}">
      <text>
        <r>
          <rPr>
            <b/>
            <sz val="9"/>
            <color indexed="81"/>
            <rFont val="Tahoma"/>
            <family val="2"/>
          </rPr>
          <t>cl104188:</t>
        </r>
        <r>
          <rPr>
            <sz val="9"/>
            <color indexed="81"/>
            <rFont val="Tahoma"/>
            <family val="2"/>
          </rPr>
          <t xml:space="preserve">
Limité à 1*PSS</t>
        </r>
      </text>
    </comment>
    <comment ref="A69" authorId="0" shapeId="0" xr:uid="{00000000-0006-0000-0300-000007000000}">
      <text>
        <r>
          <rPr>
            <b/>
            <sz val="9"/>
            <color indexed="81"/>
            <rFont val="Tahoma"/>
            <family val="2"/>
          </rPr>
          <t>cl104188:</t>
        </r>
        <r>
          <rPr>
            <sz val="9"/>
            <color indexed="81"/>
            <rFont val="Tahoma"/>
            <family val="2"/>
          </rPr>
          <t xml:space="preserve">
2 taux en fonction du nbre de salariés</t>
        </r>
      </text>
    </comment>
    <comment ref="H69" authorId="1" shapeId="0" xr:uid="{00000000-0006-0000-0300-000008000000}">
      <text>
        <r>
          <rPr>
            <b/>
            <sz val="9"/>
            <color indexed="81"/>
            <rFont val="Tahoma"/>
            <family val="2"/>
          </rPr>
          <t>Sandrine MORALES:</t>
        </r>
        <r>
          <rPr>
            <sz val="9"/>
            <color indexed="81"/>
            <rFont val="Tahoma"/>
            <family val="2"/>
          </rPr>
          <t xml:space="preserve">
S i Ets &gt; 20 salariés alors tx =0,5% , sinon 0,10%</t>
        </r>
      </text>
    </comment>
    <comment ref="H74" authorId="0" shapeId="0" xr:uid="{00000000-0006-0000-0300-000009000000}">
      <text>
        <r>
          <rPr>
            <b/>
            <sz val="9"/>
            <color indexed="81"/>
            <rFont val="Tahoma"/>
            <family val="2"/>
          </rPr>
          <t>cl104188:</t>
        </r>
        <r>
          <rPr>
            <sz val="9"/>
            <color indexed="81"/>
            <rFont val="Tahoma"/>
            <family val="2"/>
          </rPr>
          <t xml:space="preserve">
Taux propre à la localité</t>
        </r>
      </text>
    </comment>
    <comment ref="A78" authorId="0" shapeId="0" xr:uid="{00000000-0006-0000-0300-00000A000000}">
      <text>
        <r>
          <rPr>
            <b/>
            <sz val="9"/>
            <color indexed="81"/>
            <rFont val="Tahoma"/>
            <family val="2"/>
          </rPr>
          <t>cl104188:</t>
        </r>
        <r>
          <rPr>
            <sz val="9"/>
            <color indexed="81"/>
            <rFont val="Tahoma"/>
            <family val="2"/>
          </rPr>
          <t xml:space="preserve">
Ets non assujetis à la TVA</t>
        </r>
      </text>
    </comment>
    <comment ref="A79" authorId="0" shapeId="0" xr:uid="{00000000-0006-0000-0300-00000B000000}">
      <text>
        <r>
          <rPr>
            <b/>
            <sz val="9"/>
            <color indexed="81"/>
            <rFont val="Tahoma"/>
            <family val="2"/>
          </rPr>
          <t>cl104188:</t>
        </r>
        <r>
          <rPr>
            <sz val="9"/>
            <color indexed="81"/>
            <rFont val="Tahoma"/>
            <family val="2"/>
          </rPr>
          <t xml:space="preserve">
Peut etre versé tous les trimestres ou annuelles
</t>
        </r>
      </text>
    </comment>
    <comment ref="A80" authorId="0" shapeId="0" xr:uid="{00000000-0006-0000-0300-00000C000000}">
      <text>
        <r>
          <rPr>
            <b/>
            <sz val="9"/>
            <color indexed="81"/>
            <rFont val="Tahoma"/>
            <family val="2"/>
          </rPr>
          <t>cl104188:</t>
        </r>
        <r>
          <rPr>
            <sz val="9"/>
            <color indexed="81"/>
            <rFont val="Tahoma"/>
            <family val="2"/>
          </rPr>
          <t xml:space="preserve">
Peut etre versé au trimestre ou annuelle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cl104188</author>
    <author>Sandrine MORALES</author>
  </authors>
  <commentList>
    <comment ref="C10" authorId="0" shapeId="0" xr:uid="{00000000-0006-0000-0700-000001000000}">
      <text>
        <r>
          <rPr>
            <b/>
            <sz val="9"/>
            <color indexed="81"/>
            <rFont val="Tahoma"/>
            <family val="2"/>
          </rPr>
          <t>cl104188:</t>
        </r>
        <r>
          <rPr>
            <sz val="9"/>
            <color indexed="81"/>
            <rFont val="Tahoma"/>
            <family val="2"/>
          </rPr>
          <t xml:space="preserve">
Si jour férié dans la période on le compte</t>
        </r>
      </text>
    </comment>
    <comment ref="B12" authorId="1" shapeId="0" xr:uid="{00000000-0006-0000-0700-000002000000}">
      <text>
        <r>
          <rPr>
            <b/>
            <sz val="9"/>
            <color indexed="81"/>
            <rFont val="Tahoma"/>
            <family val="2"/>
          </rPr>
          <t>Sandrine MORALES:</t>
        </r>
        <r>
          <rPr>
            <sz val="9"/>
            <color indexed="81"/>
            <rFont val="Tahoma"/>
            <family val="2"/>
          </rPr>
          <t xml:space="preserve">
Nbre de jours ouvrés * Nbre d'heures de travail effectif
On compte aussi les jours fériés</t>
        </r>
      </text>
    </comment>
    <comment ref="A16" authorId="1" shapeId="0" xr:uid="{00000000-0006-0000-0700-000003000000}">
      <text>
        <r>
          <rPr>
            <b/>
            <sz val="9"/>
            <color indexed="81"/>
            <rFont val="Tahoma"/>
            <family val="2"/>
          </rPr>
          <t>Sandrine MORALES:</t>
        </r>
        <r>
          <rPr>
            <sz val="9"/>
            <color indexed="81"/>
            <rFont val="Tahoma"/>
            <family val="2"/>
          </rPr>
          <t xml:space="preserve">
Méthode qui a fait JURISPRUDENCE3
(h ABS * SB ) / h réèlles</t>
        </r>
      </text>
    </comment>
    <comment ref="D16" authorId="1" shapeId="0" xr:uid="{00000000-0006-0000-0700-000004000000}">
      <text>
        <r>
          <rPr>
            <b/>
            <sz val="9"/>
            <color indexed="81"/>
            <rFont val="Tahoma"/>
            <family val="2"/>
          </rPr>
          <t>Sandrine MORALES:</t>
        </r>
        <r>
          <rPr>
            <sz val="9"/>
            <color indexed="81"/>
            <rFont val="Tahoma"/>
            <family val="2"/>
          </rPr>
          <t xml:space="preserve">
( J ABS/ J Mois ( ouvrés ou ouvrables - réèls ou moyen ) ) * salaire Brut </t>
        </r>
      </text>
    </comment>
    <comment ref="A17" authorId="0" shapeId="0" xr:uid="{00000000-0006-0000-0700-000005000000}">
      <text>
        <r>
          <rPr>
            <b/>
            <sz val="9"/>
            <color indexed="81"/>
            <rFont val="Tahoma"/>
            <family val="2"/>
          </rPr>
          <t>cl104188:</t>
        </r>
        <r>
          <rPr>
            <sz val="9"/>
            <color indexed="81"/>
            <rFont val="Tahoma"/>
            <family val="2"/>
          </rPr>
          <t xml:space="preserve">
(h abs * SB ) / h mensuel moyen -&gt; 35h =151,67)</t>
        </r>
      </text>
    </comment>
    <comment ref="A18" authorId="0" shapeId="0" xr:uid="{00000000-0006-0000-0700-000006000000}">
      <text>
        <r>
          <rPr>
            <b/>
            <sz val="9"/>
            <color indexed="81"/>
            <rFont val="Tahoma"/>
            <family val="2"/>
          </rPr>
          <t>cl104188:</t>
        </r>
        <r>
          <rPr>
            <sz val="9"/>
            <color indexed="81"/>
            <rFont val="Tahoma"/>
            <family val="2"/>
          </rPr>
          <t xml:space="preserve">
(j abs * SB ) / nbre jours réèls</t>
        </r>
      </text>
    </comment>
    <comment ref="A19" authorId="0" shapeId="0" xr:uid="{00000000-0006-0000-0700-000007000000}">
      <text>
        <r>
          <rPr>
            <b/>
            <sz val="9"/>
            <color indexed="81"/>
            <rFont val="Tahoma"/>
            <family val="2"/>
          </rPr>
          <t>cl104188:</t>
        </r>
        <r>
          <rPr>
            <sz val="9"/>
            <color indexed="81"/>
            <rFont val="Tahoma"/>
            <family val="2"/>
          </rPr>
          <t xml:space="preserve">
(j abs * SB) / nbre jours moyen (35h-&gt;21,67)
</t>
        </r>
      </text>
    </comment>
    <comment ref="A20" authorId="0" shapeId="0" xr:uid="{00000000-0006-0000-0700-000008000000}">
      <text>
        <r>
          <rPr>
            <b/>
            <sz val="9"/>
            <color indexed="81"/>
            <rFont val="Tahoma"/>
            <family val="2"/>
          </rPr>
          <t>cl104188:</t>
        </r>
        <r>
          <rPr>
            <sz val="9"/>
            <color indexed="81"/>
            <rFont val="Tahoma"/>
            <family val="2"/>
          </rPr>
          <t xml:space="preserve">
( J abs * SB ) / j ouvrables réèls</t>
        </r>
      </text>
    </comment>
    <comment ref="A21" authorId="0" shapeId="0" xr:uid="{00000000-0006-0000-0700-000009000000}">
      <text>
        <r>
          <rPr>
            <b/>
            <sz val="9"/>
            <color indexed="81"/>
            <rFont val="Tahoma"/>
            <family val="2"/>
          </rPr>
          <t xml:space="preserve">cl104188:
</t>
        </r>
        <r>
          <rPr>
            <sz val="9"/>
            <color indexed="81"/>
            <rFont val="Tahoma"/>
            <family val="2"/>
          </rPr>
          <t>( J abs / sb ) / Nbre J ouvrables ( 35h-&gt; 26</t>
        </r>
        <r>
          <rPr>
            <b/>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cl104188</author>
    <author>Sandrine MORALES</author>
  </authors>
  <commentList>
    <comment ref="B10" authorId="0" shapeId="0" xr:uid="{00000000-0006-0000-0800-000001000000}">
      <text>
        <r>
          <rPr>
            <b/>
            <sz val="9"/>
            <color indexed="81"/>
            <rFont val="Tahoma"/>
            <family val="2"/>
          </rPr>
          <t>cl104188:</t>
        </r>
        <r>
          <rPr>
            <sz val="9"/>
            <color indexed="81"/>
            <rFont val="Tahoma"/>
            <family val="2"/>
          </rPr>
          <t xml:space="preserve">
Si jour férié dans la période on le compte</t>
        </r>
      </text>
    </comment>
    <comment ref="D15" authorId="1" shapeId="0" xr:uid="{00000000-0006-0000-0800-000002000000}">
      <text>
        <r>
          <rPr>
            <b/>
            <sz val="9"/>
            <color indexed="81"/>
            <rFont val="Tahoma"/>
            <family val="2"/>
          </rPr>
          <t>Sandrine MORALES:</t>
        </r>
        <r>
          <rPr>
            <sz val="9"/>
            <color indexed="81"/>
            <rFont val="Tahoma"/>
            <family val="2"/>
          </rPr>
          <t xml:space="preserve">
( J ABS/ J Mois ( ouvrés ou ouvrables - réèls ou moyen ) ) * salaire Brut </t>
        </r>
      </text>
    </comment>
    <comment ref="A16" authorId="0" shapeId="0" xr:uid="{00000000-0006-0000-0800-000003000000}">
      <text>
        <r>
          <rPr>
            <b/>
            <sz val="9"/>
            <color indexed="81"/>
            <rFont val="Tahoma"/>
            <family val="2"/>
          </rPr>
          <t>cl104188:</t>
        </r>
        <r>
          <rPr>
            <sz val="9"/>
            <color indexed="81"/>
            <rFont val="Tahoma"/>
            <family val="2"/>
          </rPr>
          <t xml:space="preserve">
(j abs * SB ) / nbre jours réèls</t>
        </r>
      </text>
    </comment>
    <comment ref="A17" authorId="0" shapeId="0" xr:uid="{00000000-0006-0000-0800-000004000000}">
      <text>
        <r>
          <rPr>
            <b/>
            <sz val="9"/>
            <color indexed="81"/>
            <rFont val="Tahoma"/>
            <family val="2"/>
          </rPr>
          <t>cl104188:</t>
        </r>
        <r>
          <rPr>
            <sz val="9"/>
            <color indexed="81"/>
            <rFont val="Tahoma"/>
            <family val="2"/>
          </rPr>
          <t xml:space="preserve">
(j abs * SB) / nbre jours moyen (35h-&gt;21,67)
</t>
        </r>
      </text>
    </comment>
    <comment ref="A18" authorId="0" shapeId="0" xr:uid="{00000000-0006-0000-0800-000005000000}">
      <text>
        <r>
          <rPr>
            <b/>
            <sz val="9"/>
            <color indexed="81"/>
            <rFont val="Tahoma"/>
            <family val="2"/>
          </rPr>
          <t>cl104188:</t>
        </r>
        <r>
          <rPr>
            <sz val="9"/>
            <color indexed="81"/>
            <rFont val="Tahoma"/>
            <family val="2"/>
          </rPr>
          <t xml:space="preserve">
( J abs * SB ) / j ouvrables réèls</t>
        </r>
      </text>
    </comment>
    <comment ref="A19" authorId="0" shapeId="0" xr:uid="{00000000-0006-0000-0800-000006000000}">
      <text>
        <r>
          <rPr>
            <b/>
            <sz val="9"/>
            <color indexed="81"/>
            <rFont val="Tahoma"/>
            <family val="2"/>
          </rPr>
          <t xml:space="preserve">cl104188:
</t>
        </r>
        <r>
          <rPr>
            <sz val="9"/>
            <color indexed="81"/>
            <rFont val="Tahoma"/>
            <family val="2"/>
          </rPr>
          <t>( J abs / sb ) / Nbre J ouvrables ( 35h-&gt; 26</t>
        </r>
        <r>
          <rPr>
            <b/>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Sandrine MORALES</author>
    <author>cl104188</author>
  </authors>
  <commentList>
    <comment ref="A1" authorId="0" shapeId="0" xr:uid="{00000000-0006-0000-0900-000001000000}">
      <text>
        <r>
          <rPr>
            <b/>
            <sz val="9"/>
            <color indexed="81"/>
            <rFont val="Tahoma"/>
            <family val="2"/>
          </rPr>
          <t>Sandrine MORALES:</t>
        </r>
        <r>
          <rPr>
            <sz val="9"/>
            <color indexed="81"/>
            <rFont val="Tahoma"/>
            <family val="2"/>
          </rPr>
          <t xml:space="preserve">
Période acquisition : 01/06 -&gt; 31/05
Règle générale de calcul : Ouvrables moyen</t>
        </r>
      </text>
    </comment>
    <comment ref="B7" authorId="0" shapeId="0" xr:uid="{00000000-0006-0000-0900-000002000000}">
      <text>
        <r>
          <rPr>
            <b/>
            <sz val="9"/>
            <color indexed="81"/>
            <rFont val="Tahoma"/>
            <family val="2"/>
          </rPr>
          <t>Sandrine MORALES:</t>
        </r>
        <r>
          <rPr>
            <sz val="9"/>
            <color indexed="81"/>
            <rFont val="Tahoma"/>
            <family val="2"/>
          </rPr>
          <t xml:space="preserve">
prime 13eme mois à déduire
La prime d'anciènneté ne doit être prise qu'une seule fois dans le salaire de Ref </t>
        </r>
      </text>
    </comment>
    <comment ref="D9" authorId="0" shapeId="0" xr:uid="{00000000-0006-0000-0900-000003000000}">
      <text>
        <r>
          <rPr>
            <b/>
            <sz val="9"/>
            <color indexed="81"/>
            <rFont val="Tahoma"/>
            <family val="2"/>
          </rPr>
          <t>Sandrine MORALES:</t>
        </r>
        <r>
          <rPr>
            <sz val="9"/>
            <color indexed="81"/>
            <rFont val="Tahoma"/>
            <family val="2"/>
          </rPr>
          <t xml:space="preserve">
( J ABS CP / J Mois ( ouvrés ou ouvrables - réèls ou moyen ) ) * salaire Brut </t>
        </r>
      </text>
    </comment>
    <comment ref="B16" authorId="1" shapeId="0" xr:uid="{00000000-0006-0000-0900-000004000000}">
      <text>
        <r>
          <rPr>
            <b/>
            <sz val="9"/>
            <color indexed="81"/>
            <rFont val="Tahoma"/>
            <family val="2"/>
          </rPr>
          <t>cl104188:</t>
        </r>
        <r>
          <rPr>
            <sz val="9"/>
            <color indexed="81"/>
            <rFont val="Tahoma"/>
            <family val="2"/>
          </rPr>
          <t xml:space="preserve">
ICCP déjà percus</t>
        </r>
      </text>
    </comment>
    <comment ref="B17" authorId="1" shapeId="0" xr:uid="{00000000-0006-0000-0900-000005000000}">
      <text>
        <r>
          <rPr>
            <b/>
            <sz val="9"/>
            <color indexed="81"/>
            <rFont val="Tahoma"/>
            <family val="2"/>
          </rPr>
          <t>cl104188:</t>
        </r>
        <r>
          <rPr>
            <sz val="9"/>
            <color indexed="81"/>
            <rFont val="Tahoma"/>
            <family val="2"/>
          </rPr>
          <t xml:space="preserve">
Nbre de jours de CP restant</t>
        </r>
      </text>
    </comment>
    <comment ref="A24" authorId="0" shapeId="0" xr:uid="{00000000-0006-0000-0900-000006000000}">
      <text>
        <r>
          <rPr>
            <b/>
            <sz val="9"/>
            <color indexed="81"/>
            <rFont val="Tahoma"/>
            <family val="2"/>
          </rPr>
          <t>Sandrine MORALES:</t>
        </r>
        <r>
          <rPr>
            <sz val="9"/>
            <color indexed="81"/>
            <rFont val="Tahoma"/>
            <family val="2"/>
          </rPr>
          <t xml:space="preserve">
Prendre le mois en cours avec le solde des CP de N-1, on prends la prime de précarité dans le calcul du solde des CP
</t>
        </r>
      </text>
    </comment>
    <comment ref="C24" authorId="1" shapeId="0" xr:uid="{00000000-0006-0000-0900-000007000000}">
      <text>
        <r>
          <rPr>
            <b/>
            <sz val="9"/>
            <color indexed="81"/>
            <rFont val="Tahoma"/>
            <family val="2"/>
          </rPr>
          <t>cl104188:</t>
        </r>
        <r>
          <rPr>
            <sz val="9"/>
            <color indexed="81"/>
            <rFont val="Tahoma"/>
            <family val="2"/>
          </rPr>
          <t xml:space="preserve">
Prendre le salaire brut de M-1 </t>
        </r>
      </text>
    </comment>
    <comment ref="B27" authorId="1" shapeId="0" xr:uid="{00000000-0006-0000-0900-000008000000}">
      <text>
        <r>
          <rPr>
            <b/>
            <sz val="9"/>
            <color indexed="81"/>
            <rFont val="Tahoma"/>
            <family val="2"/>
          </rPr>
          <t>cl104188:</t>
        </r>
        <r>
          <rPr>
            <sz val="9"/>
            <color indexed="81"/>
            <rFont val="Tahoma"/>
            <family val="2"/>
          </rPr>
          <t xml:space="preserve">
Si ouvrés alors 25 ; si ouvrables alors 30
</t>
        </r>
      </text>
    </comment>
    <comment ref="A30" authorId="0" shapeId="0" xr:uid="{00000000-0006-0000-0900-000009000000}">
      <text>
        <r>
          <rPr>
            <b/>
            <sz val="9"/>
            <color indexed="81"/>
            <rFont val="Tahoma"/>
            <family val="2"/>
          </rPr>
          <t>Sandrine MORALES:</t>
        </r>
        <r>
          <rPr>
            <sz val="9"/>
            <color indexed="81"/>
            <rFont val="Tahoma"/>
            <family val="2"/>
          </rPr>
          <t xml:space="preserve">
Droit au jours de fractionnement : 
- 12 jours consécutifs pendant la période du 01/05/N au 31/10/N
- prise de cp pendant période du 01/11/N au 30/04/N+1 : si 6 jours consécutifs alors + 2 jours : si 3 à 5 jours consécutifs alors + 1 jour</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cl104188</author>
    <author>Sandrine MORALES</author>
  </authors>
  <commentList>
    <comment ref="B5" authorId="0" shapeId="0" xr:uid="{00000000-0006-0000-0A00-000001000000}">
      <text>
        <r>
          <rPr>
            <b/>
            <sz val="9"/>
            <color indexed="81"/>
            <rFont val="Tahoma"/>
            <family val="2"/>
          </rPr>
          <t>cl104188:</t>
        </r>
        <r>
          <rPr>
            <sz val="9"/>
            <color indexed="81"/>
            <rFont val="Tahoma"/>
            <family val="2"/>
          </rPr>
          <t xml:space="preserve">
Valeur en € du ticket resto donné par l'employeur</t>
        </r>
      </text>
    </comment>
    <comment ref="B6" authorId="0" shapeId="0" xr:uid="{00000000-0006-0000-0A00-000002000000}">
      <text>
        <r>
          <rPr>
            <b/>
            <sz val="9"/>
            <color indexed="81"/>
            <rFont val="Tahoma"/>
            <family val="2"/>
          </rPr>
          <t>cl104188:</t>
        </r>
        <r>
          <rPr>
            <sz val="9"/>
            <color indexed="81"/>
            <rFont val="Tahoma"/>
            <family val="2"/>
          </rPr>
          <t xml:space="preserve">
Valeur transmis par les Impôts</t>
        </r>
      </text>
    </comment>
    <comment ref="B7" authorId="0" shapeId="0" xr:uid="{00000000-0006-0000-0A00-000003000000}">
      <text>
        <r>
          <rPr>
            <b/>
            <sz val="9"/>
            <color indexed="81"/>
            <rFont val="Tahoma"/>
            <family val="2"/>
          </rPr>
          <t>cl104188:</t>
        </r>
        <r>
          <rPr>
            <sz val="9"/>
            <color indexed="81"/>
            <rFont val="Tahoma"/>
            <family val="2"/>
          </rPr>
          <t xml:space="preserve">
En règle générale 40% pour la part salariale et 60% pour la part patronale</t>
        </r>
      </text>
    </comment>
    <comment ref="E8" authorId="1" shapeId="0" xr:uid="{00000000-0006-0000-0A00-000004000000}">
      <text>
        <r>
          <rPr>
            <b/>
            <sz val="9"/>
            <color indexed="81"/>
            <rFont val="Tahoma"/>
            <family val="2"/>
          </rPr>
          <t>Sandrine MORALES:</t>
        </r>
        <r>
          <rPr>
            <sz val="9"/>
            <color indexed="81"/>
            <rFont val="Tahoma"/>
            <family val="2"/>
          </rPr>
          <t xml:space="preserve">
si % de PP &gt; Valeur maxi de la PP du TR ALORS  on doit remonter en haut du bulletin la différence entre : 60 % VALEUR FACIALE - VALEUR MAXI DE LA PP DU TR</t>
        </r>
      </text>
    </comment>
    <comment ref="A10" authorId="0" shapeId="0" xr:uid="{00000000-0006-0000-0A00-000005000000}">
      <text>
        <r>
          <rPr>
            <b/>
            <sz val="9"/>
            <color indexed="81"/>
            <rFont val="Tahoma"/>
            <family val="2"/>
          </rPr>
          <t>cl104188:</t>
        </r>
        <r>
          <rPr>
            <sz val="9"/>
            <color indexed="81"/>
            <rFont val="Tahoma"/>
            <family val="2"/>
          </rPr>
          <t xml:space="preserve">
Nbre de jours * Valeur faciale * Part salariale en %
</t>
        </r>
      </text>
    </comment>
    <comment ref="B16" authorId="0" shapeId="0" xr:uid="{00000000-0006-0000-0A00-000006000000}">
      <text>
        <r>
          <rPr>
            <b/>
            <sz val="9"/>
            <color indexed="81"/>
            <rFont val="Tahoma"/>
            <family val="2"/>
          </rPr>
          <t>cl104188:</t>
        </r>
        <r>
          <rPr>
            <sz val="9"/>
            <color indexed="81"/>
            <rFont val="Tahoma"/>
            <family val="2"/>
          </rPr>
          <t xml:space="preserve">
Valeur transmise par les impôts</t>
        </r>
      </text>
    </comment>
    <comment ref="A19" authorId="0" shapeId="0" xr:uid="{00000000-0006-0000-0A00-000007000000}">
      <text>
        <r>
          <rPr>
            <b/>
            <sz val="9"/>
            <color indexed="81"/>
            <rFont val="Tahoma"/>
            <family val="2"/>
          </rPr>
          <t>cl104188:</t>
        </r>
        <r>
          <rPr>
            <sz val="9"/>
            <color indexed="81"/>
            <rFont val="Tahoma"/>
            <family val="2"/>
          </rPr>
          <t xml:space="preserve">
nbre de jours * part salariale
</t>
        </r>
      </text>
    </comment>
    <comment ref="A20" authorId="1" shapeId="0" xr:uid="{00000000-0006-0000-0A00-000008000000}">
      <text>
        <r>
          <rPr>
            <b/>
            <sz val="9"/>
            <color indexed="81"/>
            <rFont val="Tahoma"/>
            <family val="2"/>
          </rPr>
          <t>Sandrine MORALES:</t>
        </r>
        <r>
          <rPr>
            <sz val="9"/>
            <color indexed="81"/>
            <rFont val="Tahoma"/>
            <family val="2"/>
          </rPr>
          <t xml:space="preserve">
Si part salariale &gt; 50% de l'évaluation forfaitaire alors je dois faire remonter : 
( Evaluation forfaitaire - Part salariale) * nbre de jours</t>
        </r>
      </text>
    </comment>
    <comment ref="A26" authorId="0" shapeId="0" xr:uid="{00000000-0006-0000-0A00-000009000000}">
      <text>
        <r>
          <rPr>
            <b/>
            <sz val="9"/>
            <color indexed="81"/>
            <rFont val="Tahoma"/>
            <family val="2"/>
          </rPr>
          <t>cl104188:</t>
        </r>
        <r>
          <rPr>
            <sz val="9"/>
            <color indexed="81"/>
            <rFont val="Tahoma"/>
            <family val="2"/>
          </rPr>
          <t xml:space="preserve">
Déduire les absences , rajouter les ICCP, primes …  soit le salaire brut total avant avantage en nature logement et autres avantages en nature ( repas )
</t>
        </r>
      </text>
    </comment>
    <comment ref="H36" authorId="1" shapeId="0" xr:uid="{00000000-0006-0000-0A00-00000A000000}">
      <text>
        <r>
          <rPr>
            <b/>
            <sz val="9"/>
            <color indexed="81"/>
            <rFont val="Tahoma"/>
            <family val="2"/>
          </rPr>
          <t>Sandrine MORALES:</t>
        </r>
        <r>
          <rPr>
            <sz val="9"/>
            <color indexed="81"/>
            <rFont val="Tahoma"/>
            <family val="2"/>
          </rPr>
          <t xml:space="preserve">
REEL on prends en compte l'assurance et les frais divers
</t>
        </r>
      </text>
    </comment>
    <comment ref="H38" authorId="1" shapeId="0" xr:uid="{00000000-0006-0000-0A00-00000B000000}">
      <text>
        <r>
          <rPr>
            <b/>
            <sz val="9"/>
            <color indexed="81"/>
            <rFont val="Tahoma"/>
            <family val="2"/>
          </rPr>
          <t>Sandrine MORALES:</t>
        </r>
        <r>
          <rPr>
            <sz val="9"/>
            <color indexed="81"/>
            <rFont val="Tahoma"/>
            <family val="2"/>
          </rPr>
          <t xml:space="preserve">
Pour le forfait on ne prends que le prix d'achat du véhicule</t>
        </r>
      </text>
    </comment>
    <comment ref="A43" authorId="1" shapeId="0" xr:uid="{00000000-0006-0000-0A00-00000C000000}">
      <text>
        <r>
          <rPr>
            <b/>
            <sz val="9"/>
            <color indexed="81"/>
            <rFont val="Tahoma"/>
            <family val="2"/>
          </rPr>
          <t>Sandrine MORALES:</t>
        </r>
        <r>
          <rPr>
            <sz val="9"/>
            <color indexed="81"/>
            <rFont val="Tahoma"/>
            <family val="2"/>
          </rPr>
          <t xml:space="preserve">
Choisir sur liste déroulante</t>
        </r>
      </text>
    </comment>
    <comment ref="D43" authorId="1" shapeId="0" xr:uid="{00000000-0006-0000-0A00-00000D000000}">
      <text>
        <r>
          <rPr>
            <b/>
            <sz val="9"/>
            <color indexed="81"/>
            <rFont val="Tahoma"/>
            <family val="2"/>
          </rPr>
          <t>Sandrine MORALES:</t>
        </r>
        <r>
          <rPr>
            <sz val="9"/>
            <color indexed="81"/>
            <rFont val="Tahoma"/>
            <family val="2"/>
          </rPr>
          <t xml:space="preserve">
Choisir sur liste déroulante</t>
        </r>
      </text>
    </comment>
    <comment ref="H43" authorId="1" shapeId="0" xr:uid="{00000000-0006-0000-0A00-00000E000000}">
      <text>
        <r>
          <rPr>
            <b/>
            <sz val="9"/>
            <color indexed="81"/>
            <rFont val="Tahoma"/>
            <family val="2"/>
          </rPr>
          <t>Sandrine MORALES:</t>
        </r>
        <r>
          <rPr>
            <sz val="9"/>
            <color indexed="81"/>
            <rFont val="Tahoma"/>
            <family val="2"/>
          </rPr>
          <t xml:space="preserve">
On prends la totalite du cout global (loc + assurance + frais ) que l'on ramène au mois</t>
        </r>
      </text>
    </comment>
    <comment ref="H44" authorId="1" shapeId="0" xr:uid="{00000000-0006-0000-0A00-00000F000000}">
      <text>
        <r>
          <rPr>
            <b/>
            <sz val="9"/>
            <color indexed="81"/>
            <rFont val="Tahoma"/>
            <family val="2"/>
          </rPr>
          <t>Sandrine MORALES:</t>
        </r>
        <r>
          <rPr>
            <sz val="9"/>
            <color indexed="81"/>
            <rFont val="Tahoma"/>
            <family val="2"/>
          </rPr>
          <t xml:space="preserve">
On prends un % du cout global ( loc + assuance + frais ) que l'on ramène au mois
</t>
        </r>
      </text>
    </comment>
    <comment ref="A47" authorId="0" shapeId="0" xr:uid="{00000000-0006-0000-0A00-000010000000}">
      <text>
        <r>
          <rPr>
            <b/>
            <sz val="9"/>
            <color indexed="81"/>
            <rFont val="Tahoma"/>
            <family val="2"/>
          </rPr>
          <t>cl104188:</t>
        </r>
        <r>
          <rPr>
            <sz val="9"/>
            <color indexed="81"/>
            <rFont val="Tahoma"/>
            <family val="2"/>
          </rPr>
          <t xml:space="preserve">
UNIQUEMENT SUR LA METHODE AU REEL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Sandrine MORALES</author>
  </authors>
  <commentList>
    <comment ref="O11" authorId="0" shapeId="0" xr:uid="{00000000-0006-0000-0F00-000001000000}">
      <text>
        <r>
          <rPr>
            <b/>
            <sz val="9"/>
            <color indexed="81"/>
            <rFont val="Tahoma"/>
            <family val="2"/>
          </rPr>
          <t>Sandrine MORALES:</t>
        </r>
        <r>
          <rPr>
            <sz val="9"/>
            <color indexed="81"/>
            <rFont val="Tahoma"/>
            <family val="2"/>
          </rPr>
          <t xml:space="preserve">
Attention si Lundi de Pentecôte travaillé , il ne faut pas le compter en férié</t>
        </r>
      </text>
    </comment>
  </commentList>
</comments>
</file>

<file path=xl/sharedStrings.xml><?xml version="1.0" encoding="utf-8"?>
<sst xmlns="http://schemas.openxmlformats.org/spreadsheetml/2006/main" count="1012" uniqueCount="671">
  <si>
    <t xml:space="preserve">BULLETIN DE PAIE </t>
  </si>
  <si>
    <t>Matricule</t>
  </si>
  <si>
    <t>N° Sécurité sociale</t>
  </si>
  <si>
    <t xml:space="preserve">Emploi : </t>
  </si>
  <si>
    <t xml:space="preserve">Qualification </t>
  </si>
  <si>
    <t>Date d'entrée</t>
  </si>
  <si>
    <t>Coeffcient</t>
  </si>
  <si>
    <t>RUBRIQUES</t>
  </si>
  <si>
    <t>Salaire de Base</t>
  </si>
  <si>
    <t>TOTAL BRUT</t>
  </si>
  <si>
    <t>COTISATIONS</t>
  </si>
  <si>
    <t>CSG Déductible</t>
  </si>
  <si>
    <t>SECURITE SOCIALE</t>
  </si>
  <si>
    <t>Maladie, Maternité, Invalidité, Décés</t>
  </si>
  <si>
    <t>Vieillesse déplafonnée</t>
  </si>
  <si>
    <t>Allocations familiales</t>
  </si>
  <si>
    <t>Accident du travail</t>
  </si>
  <si>
    <t>POLE EMPLOI</t>
  </si>
  <si>
    <t>Assurance chômage Tr A + Tr B</t>
  </si>
  <si>
    <t xml:space="preserve">AGS( FNGC) </t>
  </si>
  <si>
    <t>RETRAITE ET PREVOYANCE COMPLEMENTAIRE</t>
  </si>
  <si>
    <t>AUTRES CONTRIBUTIONS</t>
  </si>
  <si>
    <t>FNAL</t>
  </si>
  <si>
    <t>Contribution de Solidarité pour l'Autonomie</t>
  </si>
  <si>
    <t>BASE</t>
  </si>
  <si>
    <t>Taux salarial</t>
  </si>
  <si>
    <t>Cotisations salariales</t>
  </si>
  <si>
    <t>Taux Patronal</t>
  </si>
  <si>
    <t>Cotisations patronales</t>
  </si>
  <si>
    <t>Réduction FILLON</t>
  </si>
  <si>
    <t>SALAIRE NET</t>
  </si>
  <si>
    <t>DEDUCTIONS ET RETENUES</t>
  </si>
  <si>
    <t>INDEMNITES NON SOUMISES A COTISATIONS</t>
  </si>
  <si>
    <t xml:space="preserve">Payé le : </t>
  </si>
  <si>
    <t xml:space="preserve">Mode de Règlement : </t>
  </si>
  <si>
    <t>NET IMPOSABLE</t>
  </si>
  <si>
    <t>NET A PAYER</t>
  </si>
  <si>
    <t>ENTREPRISE</t>
  </si>
  <si>
    <t>Nom</t>
  </si>
  <si>
    <t>Adresse</t>
  </si>
  <si>
    <t>URSAAF (N° et Lieu)</t>
  </si>
  <si>
    <t>NAF</t>
  </si>
  <si>
    <t>SIRET</t>
  </si>
  <si>
    <t xml:space="preserve">Convention Collective (nom complet + IDCC) </t>
  </si>
  <si>
    <t>SALARIE</t>
  </si>
  <si>
    <t>Nom Prénom</t>
  </si>
  <si>
    <t>Code postal</t>
  </si>
  <si>
    <t>Paye du :</t>
  </si>
  <si>
    <t>LIBELLE DES RUBRIQUES</t>
  </si>
  <si>
    <t xml:space="preserve">Taux </t>
  </si>
  <si>
    <t>Montant</t>
  </si>
  <si>
    <t>Commentaires</t>
  </si>
  <si>
    <t>Total brut</t>
  </si>
  <si>
    <t>Cotisations</t>
  </si>
  <si>
    <t>Sécurité Sociale</t>
  </si>
  <si>
    <t>Complémentaire Santé</t>
  </si>
  <si>
    <t>Incapacité, Invalidité, Capital décés</t>
  </si>
  <si>
    <t>ASSURANCE ACCIDENT DU TRAVAIL, MALADIE PROF</t>
  </si>
  <si>
    <t>ASSURANCE RETRAITE</t>
  </si>
  <si>
    <t>Complémentaire</t>
  </si>
  <si>
    <t>Supplémentaire</t>
  </si>
  <si>
    <t>ALLOCATIONS FAMILIALES</t>
  </si>
  <si>
    <t>ASSURANCE CHÔMAGE</t>
  </si>
  <si>
    <t>APEC</t>
  </si>
  <si>
    <t>Autres contributions dues par l'employeur</t>
  </si>
  <si>
    <t>Cotisations Statutaires ou prévues par la Conv. Coll.</t>
  </si>
  <si>
    <t>ASSURANCE SANTE</t>
  </si>
  <si>
    <t>CSG Non Imposables</t>
  </si>
  <si>
    <t>CSG &amp; CRDS Imposables</t>
  </si>
  <si>
    <t>Allègement de Cotisations</t>
  </si>
  <si>
    <t>TOTAL DES COTISATIONS ET CONTRIBUTIONS</t>
  </si>
  <si>
    <t>Part Salariale</t>
  </si>
  <si>
    <t>Part Patronale</t>
  </si>
  <si>
    <t>NET A PAYER EN EUROS</t>
  </si>
  <si>
    <t>Total versé par l'employeur</t>
  </si>
  <si>
    <t>Allègement de cotisations</t>
  </si>
  <si>
    <t>Plafond</t>
  </si>
  <si>
    <t>Complément SMIC</t>
  </si>
  <si>
    <t>Taux horaire</t>
  </si>
  <si>
    <t>Heures supplémentaires à 25%</t>
  </si>
  <si>
    <t>Heures supplémentaires à 50%</t>
  </si>
  <si>
    <t>Absence</t>
  </si>
  <si>
    <t>ICCP</t>
  </si>
  <si>
    <t xml:space="preserve">CALCUL DES CP </t>
  </si>
  <si>
    <t>ouvrés</t>
  </si>
  <si>
    <t>ouvrables</t>
  </si>
  <si>
    <t>réèls</t>
  </si>
  <si>
    <t>moyen</t>
  </si>
  <si>
    <t>Calcul du maintien</t>
  </si>
  <si>
    <t xml:space="preserve">Nbre de jours CP </t>
  </si>
  <si>
    <t>Salaire BRUT M-1</t>
  </si>
  <si>
    <t>Salaire de ref</t>
  </si>
  <si>
    <t>quotien R10</t>
  </si>
  <si>
    <t>CHOIX / JOURS</t>
  </si>
  <si>
    <t>Réèls ou Moyen</t>
  </si>
  <si>
    <t>SOLDE DES CP</t>
  </si>
  <si>
    <t xml:space="preserve">Cumul des ICP </t>
  </si>
  <si>
    <t>Règle du 10eme</t>
  </si>
  <si>
    <t>FRACTIONNEMENT</t>
  </si>
  <si>
    <t>Nbre de jours de fractionnement</t>
  </si>
  <si>
    <t>Cumul des ICP</t>
  </si>
  <si>
    <t>ICCP Annuel</t>
  </si>
  <si>
    <t>Régul ICCP</t>
  </si>
  <si>
    <t>Ouvrés réèls</t>
  </si>
  <si>
    <t>Ouvrables réèls</t>
  </si>
  <si>
    <t>Calendaires</t>
  </si>
  <si>
    <t>SALAIRE BRUT</t>
  </si>
  <si>
    <t>Calcul de l'absence</t>
  </si>
  <si>
    <t>Horaire réèl</t>
  </si>
  <si>
    <t>Mensuel Moyen</t>
  </si>
  <si>
    <t>J ouvrés réèls</t>
  </si>
  <si>
    <t>J ouvrés moyen</t>
  </si>
  <si>
    <t>J ouvrables réèls</t>
  </si>
  <si>
    <t>J ouvrables moyen</t>
  </si>
  <si>
    <t>Calendaires réèls</t>
  </si>
  <si>
    <t>Du 30eme</t>
  </si>
  <si>
    <t>HEURES SUPPLEMENTAIRES</t>
  </si>
  <si>
    <t>36eme à 43eme</t>
  </si>
  <si>
    <t>Soit les 8 premières heures</t>
  </si>
  <si>
    <t xml:space="preserve"> + de la 44eme </t>
  </si>
  <si>
    <t>Si heures structurelles</t>
  </si>
  <si>
    <t>Au-delà des H structurelles à la 43eme</t>
  </si>
  <si>
    <t>Liste déroulante</t>
  </si>
  <si>
    <t>Début de l'absence</t>
  </si>
  <si>
    <t>Fin de l'absence</t>
  </si>
  <si>
    <t>Mois de</t>
  </si>
  <si>
    <t>Jour de l'an</t>
  </si>
  <si>
    <t>Lundi de Pâques</t>
  </si>
  <si>
    <t>Fête du travail</t>
  </si>
  <si>
    <t>Victoire 1945</t>
  </si>
  <si>
    <t>Ascension</t>
  </si>
  <si>
    <t>Fete nationale</t>
  </si>
  <si>
    <t>Assomption</t>
  </si>
  <si>
    <t>Toussaint</t>
  </si>
  <si>
    <t>Armistice</t>
  </si>
  <si>
    <t>Noêl</t>
  </si>
  <si>
    <t>Pâques</t>
  </si>
  <si>
    <t>Pentecôte</t>
  </si>
  <si>
    <t>Date de début CP</t>
  </si>
  <si>
    <t>Date de fin CP</t>
  </si>
  <si>
    <t>Jours ouvrables réèl du mois</t>
  </si>
  <si>
    <t>Nbre heures de travail par semaine</t>
  </si>
  <si>
    <t>Nbre jours de travail par semaine</t>
  </si>
  <si>
    <t>Attention aux semaines à cheval sur 2 mois, les heures sup du mois précédent basculent sur le mois M</t>
  </si>
  <si>
    <t>Prime d'anciènneté</t>
  </si>
  <si>
    <t>h</t>
  </si>
  <si>
    <t>J</t>
  </si>
  <si>
    <t>AVANTAGE EN NATURE</t>
  </si>
  <si>
    <t>Valeur faciale TR</t>
  </si>
  <si>
    <t>Tickets Resto Part salariale</t>
  </si>
  <si>
    <t>Part salariale</t>
  </si>
  <si>
    <t>Valeur maxi de la PP du TR</t>
  </si>
  <si>
    <t>TICKETS RESTO</t>
  </si>
  <si>
    <t>AVANTAGE EN NATURE - TR</t>
  </si>
  <si>
    <t>AVANTAGE EN NATURE - Evaluation Forfaitaire nourriture</t>
  </si>
  <si>
    <t xml:space="preserve">Part salariale </t>
  </si>
  <si>
    <t>Evaluation forfaitaire</t>
  </si>
  <si>
    <t>Participation salarié repas</t>
  </si>
  <si>
    <t>Nbre de jours</t>
  </si>
  <si>
    <t>Participation Salarié repas</t>
  </si>
  <si>
    <t>AVANTAGE EN NATURE - Logement forfaitaire</t>
  </si>
  <si>
    <t>Rémunération brute</t>
  </si>
  <si>
    <t>1 Pièce</t>
  </si>
  <si>
    <t>Nbre de pièces</t>
  </si>
  <si>
    <t>Plusieurs pièces</t>
  </si>
  <si>
    <t>TOTAL AN</t>
  </si>
  <si>
    <t>De 1634,50 à 1961,39</t>
  </si>
  <si>
    <t>De 1961,40 à 2288,29</t>
  </si>
  <si>
    <t>De 2288,30 à 2942,09</t>
  </si>
  <si>
    <t>De 2942,10 à 3595,89</t>
  </si>
  <si>
    <t>De 3595,90 à 4249,69</t>
  </si>
  <si>
    <t>De 4249,70 à 4903,49</t>
  </si>
  <si>
    <t>Au-delà de 4903,50</t>
  </si>
  <si>
    <t>Infèrieur à 1634,50</t>
  </si>
  <si>
    <t>Avantage en nature logement</t>
  </si>
  <si>
    <t>LISTE DEROULANTE</t>
  </si>
  <si>
    <t>AVANTAGE EN NATURE - Véhicule</t>
  </si>
  <si>
    <t>Frais assurance</t>
  </si>
  <si>
    <t>Autres frais</t>
  </si>
  <si>
    <t>Frais entretien</t>
  </si>
  <si>
    <t>Location annuelle</t>
  </si>
  <si>
    <t>Choix de l'AN</t>
  </si>
  <si>
    <t>Lundi de pentecôte</t>
  </si>
  <si>
    <t>Acompte</t>
  </si>
  <si>
    <t>Solde de CP N-1</t>
  </si>
  <si>
    <t>Solde de CP N</t>
  </si>
  <si>
    <t>Salaire de ref N</t>
  </si>
  <si>
    <t xml:space="preserve">Si pas d'ICCP sur les CP N-1 pris il faut réguler l'ICCP au solde </t>
  </si>
  <si>
    <t>ICCP N-1</t>
  </si>
  <si>
    <t>Solde CP N-1 / ICCP</t>
  </si>
  <si>
    <t>Solde CP N / ICCP</t>
  </si>
  <si>
    <t>règle du 10eme</t>
  </si>
  <si>
    <t>maintien</t>
  </si>
  <si>
    <t>Avantage en nature véhicule</t>
  </si>
  <si>
    <t xml:space="preserve">ACHAT </t>
  </si>
  <si>
    <t>LOCATION OPTION ACHAT</t>
  </si>
  <si>
    <t>TTC</t>
  </si>
  <si>
    <t xml:space="preserve"> / An</t>
  </si>
  <si>
    <t>Choix du calcul de l'AN sur du LOA</t>
  </si>
  <si>
    <t xml:space="preserve">On assimile à du travail effectif les repos compensateur et congés pour évènements familiaux. </t>
  </si>
  <si>
    <t xml:space="preserve">Est exclus les CP, les congés maladies, et les jours fériés ( sf 1er mai) </t>
  </si>
  <si>
    <t>Calcul d'heures</t>
  </si>
  <si>
    <t>matin</t>
  </si>
  <si>
    <t>debut</t>
  </si>
  <si>
    <t>fin</t>
  </si>
  <si>
    <t>depart</t>
  </si>
  <si>
    <t>am</t>
  </si>
  <si>
    <t>total</t>
  </si>
  <si>
    <t>1-Réèl - 5 ans</t>
  </si>
  <si>
    <t>2-Réèl + 5 ans</t>
  </si>
  <si>
    <t>3-Forfait - 5 ans</t>
  </si>
  <si>
    <t>4-Forfait + 5 ans</t>
  </si>
  <si>
    <t>5-Forfait / employeur paye le carburant / - 5 ANS</t>
  </si>
  <si>
    <t>6-Forfait / employeur paye le carburant / + 5ANS</t>
  </si>
  <si>
    <t>1-Loa réèl</t>
  </si>
  <si>
    <t>2-Forfait LOA / Salarié paye son carburant</t>
  </si>
  <si>
    <t>3-Forfait LOA / Employeur paye le carburant / PRIVE + PERSO</t>
  </si>
  <si>
    <t>4-Forfait LOA / Employeur paye le carburant / PRIVE</t>
  </si>
  <si>
    <t>Choix du calcul de l'AN sur l'achat</t>
  </si>
  <si>
    <t>CP</t>
  </si>
  <si>
    <t>BULLETIN</t>
  </si>
  <si>
    <t xml:space="preserve">quotient maintien </t>
  </si>
  <si>
    <t>Jours ouvrés réèls du mois</t>
  </si>
  <si>
    <t>Prime de précarité</t>
  </si>
  <si>
    <t>Heures complémentaires à 10%</t>
  </si>
  <si>
    <t>CONVERSION MINUTES EN CENTIEMES</t>
  </si>
  <si>
    <t>CONVERSION CENTIEMES EN MINUTES</t>
  </si>
  <si>
    <t>Prime exceptionnelle</t>
  </si>
  <si>
    <t>Salaire de base</t>
  </si>
  <si>
    <t>Avantage en nature NVELLE TECHNOLOGIE</t>
  </si>
  <si>
    <t>Embauche</t>
  </si>
  <si>
    <t>Date du jour</t>
  </si>
  <si>
    <t>DIFFERENCE</t>
  </si>
  <si>
    <t>BAREME DE SAISIE DES REMUNERATIONS</t>
  </si>
  <si>
    <t xml:space="preserve"> </t>
  </si>
  <si>
    <t xml:space="preserve">  </t>
  </si>
  <si>
    <t>Saisie sur salaire</t>
  </si>
  <si>
    <t>SAISIE</t>
  </si>
  <si>
    <t>Avance sur salaire 10% du net après retenue</t>
  </si>
  <si>
    <t>http://rfpaye.grouperf.com/calcul/?fichier=saisie_sur_salaires</t>
  </si>
  <si>
    <t>Salaire net après retenue</t>
  </si>
  <si>
    <t>Salaire net à payer</t>
  </si>
  <si>
    <t>Px HA véhicule ou amortissement</t>
  </si>
  <si>
    <t>Km perso</t>
  </si>
  <si>
    <t>Total km</t>
  </si>
  <si>
    <t>Avantage en nature mensuel</t>
  </si>
  <si>
    <t>W Réalisé</t>
  </si>
  <si>
    <t>H SUP</t>
  </si>
  <si>
    <t>H SUP 25%</t>
  </si>
  <si>
    <t>H SUP 50%</t>
  </si>
  <si>
    <t>Prise en charge abonnement Transport</t>
  </si>
  <si>
    <t>Montant du titre</t>
  </si>
  <si>
    <t>Prise en charge transport</t>
  </si>
  <si>
    <t>Prise en charge PART PATRONALE</t>
  </si>
  <si>
    <t>A remonter dans le brut</t>
  </si>
  <si>
    <t>Pour le cacul du taux horaire des heures supplémentaires</t>
  </si>
  <si>
    <t>Prime de rendement</t>
  </si>
  <si>
    <t xml:space="preserve">il faut prendre tout ce qui est lier au travail ( AN + PRIME ) </t>
  </si>
  <si>
    <t>TEMPS PARTIEL</t>
  </si>
  <si>
    <t>Les heures complémentaires réalisés à hauteur de 1/10 du contrat de travail sont majorés à 10%</t>
  </si>
  <si>
    <t>les heures complémentaires réalisés entre le 1/10 et le 1/3 du contrat de travail sont majorés à 25 %</t>
  </si>
  <si>
    <t xml:space="preserve">Choix de l'Absence </t>
  </si>
  <si>
    <t>Jour Mois REELS</t>
  </si>
  <si>
    <t xml:space="preserve"> Jours Mois MOYEN</t>
  </si>
  <si>
    <t>lien direct</t>
  </si>
  <si>
    <t>Contrat</t>
  </si>
  <si>
    <t>1/10 HC</t>
  </si>
  <si>
    <t>1/3 MAX HC</t>
  </si>
  <si>
    <t>Contrat semaine</t>
  </si>
  <si>
    <t xml:space="preserve">TOTAL </t>
  </si>
  <si>
    <t>Centièmes</t>
  </si>
  <si>
    <t>Heures</t>
  </si>
  <si>
    <t xml:space="preserve">Choix de l'absence </t>
  </si>
  <si>
    <t>Le code du travail ne précise pas les éléments à prendre en compte dans la base de calcul des heures supplémentaires. Selon la jurisprudence, entrent dans cette assiette, le salaire horaire effectif et les primes et indemnités ayant le caractère d’un salaire.</t>
  </si>
  <si>
    <t>Sont ainsi visées les sommes qui constituent la contrepartie directe du travail effectué ou inhérentes à la nature du travail :</t>
  </si>
  <si>
    <t>– les primes pour travail du dimanche et des jours fériés</t>
  </si>
  <si>
    <t>– les primes de danger, de froid, d’insalubrité, de pénibilité</t>
  </si>
  <si>
    <t>– les primes de rendement directement liées au travail individuel ou collectif du salarié</t>
  </si>
  <si>
    <t>– les primes d’assiduité</t>
  </si>
  <si>
    <r>
      <t>– les gratifications annuelles (13</t>
    </r>
    <r>
      <rPr>
        <vertAlign val="superscript"/>
        <sz val="11"/>
        <color theme="1"/>
        <rFont val="Calibri"/>
        <family val="2"/>
        <scheme val="minor"/>
      </rPr>
      <t>e</t>
    </r>
    <r>
      <rPr>
        <sz val="11"/>
        <color theme="1"/>
        <rFont val="Calibri"/>
        <family val="2"/>
        <scheme val="minor"/>
      </rPr>
      <t xml:space="preserve"> mois, prime de vacances) si leur versement est lié au fait que le contrat soit en cours d’exécution.</t>
    </r>
  </si>
  <si>
    <t>Sont en revanche exclues :</t>
  </si>
  <si>
    <t>– les primes représentatives de frais professionnels (panier, outillage, déplacement…)</t>
  </si>
  <si>
    <t>– les primes d’ancienneté, liées à la durée de présence et non au travail fourni</t>
  </si>
  <si>
    <t>– les primes de rendement liées à la productivité générale de l’entreprise.</t>
  </si>
  <si>
    <t>Quelles primes inclure dans la base de calcul de la majoration pour heure supplémentaire ?</t>
  </si>
  <si>
    <t>Tranche</t>
  </si>
  <si>
    <t>Tranche personne à charge</t>
  </si>
  <si>
    <t>Quotité saisissable</t>
  </si>
  <si>
    <t>Quotité saisissable par tranche</t>
  </si>
  <si>
    <t>Nbre de personnes à charge</t>
  </si>
  <si>
    <t>Quotité Insaisissable</t>
  </si>
  <si>
    <t>Quotité Totalement Saisissable</t>
  </si>
  <si>
    <t>Quotité Relativement Saisissable
( Pensions Alimentaires )  (1)</t>
  </si>
  <si>
    <t>Personne à charge Montant</t>
  </si>
  <si>
    <t>RMI / RSA</t>
  </si>
  <si>
    <t>TOTAL SAISISSABLE</t>
  </si>
  <si>
    <t>Plaft.
RMI
(O/N)</t>
  </si>
  <si>
    <t>Quotité saisissable plafonnée</t>
  </si>
  <si>
    <t>SAISIE A EFFECTUER</t>
  </si>
  <si>
    <t xml:space="preserve">salaire brut : on ne prends QUE le salaire deBASE , SANS LES PRIMES.On exclut les diverses primes , rendement, assiduité !!! Attention quand même au Convention Collective)                                                              Selon la jurisprudence : POUR LA PRIME D'ANCIENNETE il faut la comptabiliser une seule et unique fois lors de la première prise de congé </t>
  </si>
  <si>
    <t>Différence</t>
  </si>
  <si>
    <t>Qtt S</t>
  </si>
  <si>
    <t xml:space="preserve"> 1/20</t>
  </si>
  <si>
    <t xml:space="preserve"> 1/10</t>
  </si>
  <si>
    <t xml:space="preserve"> 1/5</t>
  </si>
  <si>
    <t xml:space="preserve"> 1/4</t>
  </si>
  <si>
    <t xml:space="preserve"> 1/3</t>
  </si>
  <si>
    <t xml:space="preserve"> 2/3 </t>
  </si>
  <si>
    <t>100</t>
  </si>
  <si>
    <t>Frais de déplacement</t>
  </si>
  <si>
    <t xml:space="preserve">Plafond Sécu </t>
  </si>
  <si>
    <t>Plafond secu</t>
  </si>
  <si>
    <t>Vieillesse plafonnée TR A</t>
  </si>
  <si>
    <t>smic mensuel 151,67</t>
  </si>
  <si>
    <t>BASE SMIC</t>
  </si>
  <si>
    <t>Taux AT Moyen</t>
  </si>
  <si>
    <t>Nbre salariés</t>
  </si>
  <si>
    <t>Prévoyance Complémentaire Décés</t>
  </si>
  <si>
    <t xml:space="preserve">Prévoyance Complémentaire Santé ( mutuelle) </t>
  </si>
  <si>
    <t>Forfait Social</t>
  </si>
  <si>
    <t>Cotisation pénibilité de base</t>
  </si>
  <si>
    <t>Financement des organisations syndicales</t>
  </si>
  <si>
    <t>Versement Transport</t>
  </si>
  <si>
    <t>Total Cot SAL</t>
  </si>
  <si>
    <t>Tot Cot PAT</t>
  </si>
  <si>
    <t>Participation Construction</t>
  </si>
  <si>
    <t>Taxe sur les salaires</t>
  </si>
  <si>
    <t>TVA</t>
  </si>
  <si>
    <t xml:space="preserve">Uniquement pour les associations , masquer la ligne si besoin </t>
  </si>
  <si>
    <t>Taxe d'apprentissage</t>
  </si>
  <si>
    <t>Taxe sur la Formation Continue</t>
  </si>
  <si>
    <t>Total</t>
  </si>
  <si>
    <t>CSG Non déductibles</t>
  </si>
  <si>
    <t>CRDS Non déductibles</t>
  </si>
  <si>
    <t>SALAIRE NET A PAYER</t>
  </si>
  <si>
    <t xml:space="preserve">Nbre heures / mois </t>
  </si>
  <si>
    <t>Taux AT Donné</t>
  </si>
  <si>
    <t>Taux AT applicable</t>
  </si>
  <si>
    <t>Calcul de l'absence cp</t>
  </si>
  <si>
    <t>Nbre heures absence réèlles</t>
  </si>
  <si>
    <t>INFORMATION GENERALE</t>
  </si>
  <si>
    <t>PRIMES</t>
  </si>
  <si>
    <t xml:space="preserve"> * Liste déroulante</t>
  </si>
  <si>
    <t xml:space="preserve">Abs CP </t>
  </si>
  <si>
    <t>Calcul des ABSENCES CP</t>
  </si>
  <si>
    <t>Ville</t>
  </si>
  <si>
    <t>INFO</t>
  </si>
  <si>
    <t>Valeur faciale</t>
  </si>
  <si>
    <t>Prévoyance Mutuelle</t>
  </si>
  <si>
    <t>Part SALARIAL Mutuelle</t>
  </si>
  <si>
    <t>Versement transport</t>
  </si>
  <si>
    <t>Choix du calcul HA</t>
  </si>
  <si>
    <t>Choix du calcul LOA</t>
  </si>
  <si>
    <t>Avantage en nature HA</t>
  </si>
  <si>
    <t>Avantage en nature LOA</t>
  </si>
  <si>
    <t>A remplir 1 fois par an ou si modif / données nationales</t>
  </si>
  <si>
    <t>calcul automatique</t>
  </si>
  <si>
    <t xml:space="preserve">HA sur l'année </t>
  </si>
  <si>
    <t>Abonnement mensuel</t>
  </si>
  <si>
    <t>HEURES COMPLEMNTAIRES 10%</t>
  </si>
  <si>
    <t>HEURES SUPPLEMENTAIRES 25%</t>
  </si>
  <si>
    <t>HEURES SUPPLEMENTAIRES 50%</t>
  </si>
  <si>
    <t>en centièmes</t>
  </si>
  <si>
    <t>Avance sur salaire</t>
  </si>
  <si>
    <t>OUI</t>
  </si>
  <si>
    <t>NON</t>
  </si>
  <si>
    <t>SASIE SUR SALAIRE</t>
  </si>
  <si>
    <t>Tx H complémentaires à 10%</t>
  </si>
  <si>
    <t>Tx H supplémentaires à 25%</t>
  </si>
  <si>
    <t>Tx H supplémentaires à 50%</t>
  </si>
  <si>
    <t xml:space="preserve"> * liste déroulante</t>
  </si>
  <si>
    <t>RMI/RSA</t>
  </si>
  <si>
    <t>Saisie salaire</t>
  </si>
  <si>
    <t>Aller sur l'onglet CP</t>
  </si>
  <si>
    <t>Si HSUP aller sur l'onglet H SUP</t>
  </si>
  <si>
    <t>Salaire brut pour calcul</t>
  </si>
  <si>
    <t>Calcul des ABSENCES Non Rémunérées</t>
  </si>
  <si>
    <t>Calcul de l'absence non rémunérée</t>
  </si>
  <si>
    <t xml:space="preserve">Nbre de pièces </t>
  </si>
  <si>
    <t>Type contrat</t>
  </si>
  <si>
    <t>Durée contrat</t>
  </si>
  <si>
    <t>CDI</t>
  </si>
  <si>
    <t>Temps Complet</t>
  </si>
  <si>
    <t>Temps Partiel</t>
  </si>
  <si>
    <t>Prévoyance DC Part salariale</t>
  </si>
  <si>
    <t>Prévoyance DC Part Patronale</t>
  </si>
  <si>
    <t>Nbre total d'heures</t>
  </si>
  <si>
    <t>Nbre d'heures à 10%</t>
  </si>
  <si>
    <t>Nbre d'heures à 25%</t>
  </si>
  <si>
    <t>Nbre de jours donnant droit au TR</t>
  </si>
  <si>
    <t>Taux Applicable chômage</t>
  </si>
  <si>
    <t>HA véhicule / amortissement</t>
  </si>
  <si>
    <t>Transport Montant</t>
  </si>
  <si>
    <t xml:space="preserve">Montant de la PP </t>
  </si>
  <si>
    <t xml:space="preserve"> *  Si dirigeant on fait tout au réèl.                                                                                                                                                  * Conditions des TR: Valeur faciale supèrieure à  5,38 € ( valeur transmise ) et Part patronale comprise entre 50% et 60%, au delà de  60% on prends la totalité de la part patronale par le nbre de jour , soumis à cotisations</t>
  </si>
  <si>
    <t>Solde de RTT</t>
  </si>
  <si>
    <t>Solde de RTT à payer</t>
  </si>
  <si>
    <t>Nbre de jours cp acquis sur l'année</t>
  </si>
  <si>
    <t>Nbre de jours cp sur l'année normale</t>
  </si>
  <si>
    <t>ICCP DE SOLDE CP N</t>
  </si>
  <si>
    <t xml:space="preserve">REPAS / TR </t>
  </si>
  <si>
    <t>LOGEMENT</t>
  </si>
  <si>
    <t>VEHICULE</t>
  </si>
  <si>
    <t>NOUVELLE TECHNOLOGIE</t>
  </si>
  <si>
    <t>TITRE DE TRANSPORT</t>
  </si>
  <si>
    <t>Janvier</t>
  </si>
  <si>
    <t>Février</t>
  </si>
  <si>
    <t>Mars</t>
  </si>
  <si>
    <t>Avril</t>
  </si>
  <si>
    <t>Mai</t>
  </si>
  <si>
    <t>Juin</t>
  </si>
  <si>
    <t>Juillet</t>
  </si>
  <si>
    <t>Août</t>
  </si>
  <si>
    <t>Septembre</t>
  </si>
  <si>
    <t>Octobre</t>
  </si>
  <si>
    <t>Novembre</t>
  </si>
  <si>
    <t>Décembre</t>
  </si>
  <si>
    <t>Ouvrables réels en comptant les jours fériés</t>
  </si>
  <si>
    <t>Nbre heures/ semaine</t>
  </si>
  <si>
    <t>Nbre Jours / semaine</t>
  </si>
  <si>
    <t>Salaire brut M-1 pour calcul</t>
  </si>
  <si>
    <t>Salaire de référence pour calcul</t>
  </si>
  <si>
    <t>Cumul des ICCP percus * montant</t>
  </si>
  <si>
    <t>Solde de CP N-1 à payer * jours</t>
  </si>
  <si>
    <t>Solde de CP N à payer * jours</t>
  </si>
  <si>
    <t>Salaire M-1 pour maintien</t>
  </si>
  <si>
    <t>Salaire de ref N pour règle du 10eme</t>
  </si>
  <si>
    <t>Nbre de jours CP donné par l'Ets sur 12 mois</t>
  </si>
  <si>
    <t>Cumul ICCP percus</t>
  </si>
  <si>
    <t>Salaire net après cotisations</t>
  </si>
  <si>
    <t>Total déduction et indemnités</t>
  </si>
  <si>
    <t>Net imposable</t>
  </si>
  <si>
    <t>Montant du salaire pour AN logement</t>
  </si>
  <si>
    <t>Fourchette</t>
  </si>
  <si>
    <t>Montant de la retenue CP</t>
  </si>
  <si>
    <t>Montant ICCP</t>
  </si>
  <si>
    <t>Montant solde ICCP N</t>
  </si>
  <si>
    <t>Montant solde ICCP N-1</t>
  </si>
  <si>
    <t>Régul ICCP fractionnement</t>
  </si>
  <si>
    <t>Régul ICCP (Fractionnement)</t>
  </si>
  <si>
    <t>AN EVALUATION FORFAITAIRE</t>
  </si>
  <si>
    <t>AN TR</t>
  </si>
  <si>
    <t>AN LOGEMENT</t>
  </si>
  <si>
    <t>AN VEHICULE HA</t>
  </si>
  <si>
    <t>AN VEHICULE LOA</t>
  </si>
  <si>
    <t>AN TECHNO</t>
  </si>
  <si>
    <t>AN ABONNEMENT</t>
  </si>
  <si>
    <t>NOM Prénom</t>
  </si>
  <si>
    <t>NOM</t>
  </si>
  <si>
    <t xml:space="preserve">Montant salaire pour calcul </t>
  </si>
  <si>
    <t>Matricule :</t>
  </si>
  <si>
    <t>N° Sécurité sociale :</t>
  </si>
  <si>
    <t>Qualification :</t>
  </si>
  <si>
    <t>Coeffcient :</t>
  </si>
  <si>
    <t>Date d'entrée :</t>
  </si>
  <si>
    <t>Plafond Sécu:</t>
  </si>
  <si>
    <r>
      <t xml:space="preserve">salaire brut : on ne prends QUE le salaire deBASE , SANS LES PRIMES.On exclut les diverses primes , rendement, assiduité !!! Attention quand même au Convention Collective)                                                              Selon la jurisprudence : POUR LA PRIME D'ANCIENNETE il faut la comptabiliser une seule et unique fois lors de la première prise de congé   </t>
    </r>
    <r>
      <rPr>
        <sz val="11"/>
        <color rgb="FFFF0000"/>
        <rFont val="Calibri"/>
        <family val="2"/>
        <scheme val="minor"/>
      </rPr>
      <t>* Cour de cassation :</t>
    </r>
    <r>
      <rPr>
        <sz val="11"/>
        <color theme="1"/>
        <rFont val="Calibri"/>
        <family val="2"/>
        <scheme val="minor"/>
      </rPr>
      <t xml:space="preserve"> On ne prends pas les jours fériés dans le décompte de l'absence réèlle ni dans le décompte des heures réèlles du mois . Si on prends les jours fériés dans le décompte de l'absence ( ou le salarié est présent dans l'entreprise ) on prends aussi dans le décompte des heures réèlles du mois . </t>
    </r>
  </si>
  <si>
    <t xml:space="preserve">Nbre de jours Absence </t>
  </si>
  <si>
    <t>Nbre de jours de présence</t>
  </si>
  <si>
    <t>Nbre de jours du mois</t>
  </si>
  <si>
    <t>Pas d'entrée sortie</t>
  </si>
  <si>
    <t>Absence Non rémunérée</t>
  </si>
  <si>
    <t>Salaire Net Après Cotisations</t>
  </si>
  <si>
    <t>Nbre heures 10%</t>
  </si>
  <si>
    <t>Nbre heures 25%</t>
  </si>
  <si>
    <t>Nbre heures 50%</t>
  </si>
  <si>
    <t>Date de naissance</t>
  </si>
  <si>
    <t>AVANCE SUR SALAIRE</t>
  </si>
  <si>
    <t>CALCUL DE L'ABSENCE</t>
  </si>
  <si>
    <t>AN VEHICULE</t>
  </si>
  <si>
    <t>SAISIE SUR SALAIRE</t>
  </si>
  <si>
    <t>TYPE CONTRAT</t>
  </si>
  <si>
    <t>Durée temps de travail</t>
  </si>
  <si>
    <t xml:space="preserve">Passage d'un CDD à un CDI , - 26 ans sur 12 mois </t>
  </si>
  <si>
    <t>Reprise chômage pour embauche CDI</t>
  </si>
  <si>
    <t>RETENUE ENTREE SORTIE</t>
  </si>
  <si>
    <t>CALCUL ICCP</t>
  </si>
  <si>
    <t>jours cp</t>
  </si>
  <si>
    <t>mois pleins</t>
  </si>
  <si>
    <t>Jours</t>
  </si>
  <si>
    <t>ouvrables moyen</t>
  </si>
  <si>
    <t>ouvrés moyen</t>
  </si>
  <si>
    <t>Calcul des jours de CP</t>
  </si>
  <si>
    <t>Début</t>
  </si>
  <si>
    <t>Fin</t>
  </si>
  <si>
    <t>Nbres de jours ouvrés</t>
  </si>
  <si>
    <t>Nbre de jours ouvrables</t>
  </si>
  <si>
    <t>Maintien</t>
  </si>
  <si>
    <t>Date de sortie</t>
  </si>
  <si>
    <t>Durée</t>
  </si>
  <si>
    <t>Liste des jours fériés de l'année</t>
  </si>
  <si>
    <t>ANNEE</t>
  </si>
  <si>
    <t>Absence pour entrée sortie</t>
  </si>
  <si>
    <t>Mois</t>
  </si>
  <si>
    <t>Loi FILLON CUMULE</t>
  </si>
  <si>
    <t>Loi FILLON du mois</t>
  </si>
  <si>
    <t>TX MINI</t>
  </si>
  <si>
    <t>TX MAXI</t>
  </si>
  <si>
    <t>Smic Horaire</t>
  </si>
  <si>
    <t>Smic horaire</t>
  </si>
  <si>
    <t>Smic mensuel</t>
  </si>
  <si>
    <t>REDUCTION FILLON</t>
  </si>
  <si>
    <t>Revalorisation SMIC</t>
  </si>
  <si>
    <t>(SMIC/sal cum)-1</t>
  </si>
  <si>
    <t>achat</t>
  </si>
  <si>
    <t>loa</t>
  </si>
  <si>
    <t>Nbre de jours selon méthode</t>
  </si>
  <si>
    <t xml:space="preserve">Frais de repas / chantier ou hors des locaux </t>
  </si>
  <si>
    <t xml:space="preserve">Nbre de panier </t>
  </si>
  <si>
    <t xml:space="preserve">Sur chantier </t>
  </si>
  <si>
    <t>Hors locaux</t>
  </si>
  <si>
    <t>Repas Restaurant</t>
  </si>
  <si>
    <t>Frais de repas</t>
  </si>
  <si>
    <t xml:space="preserve">Nbre de repas pris </t>
  </si>
  <si>
    <t>Type de repas</t>
  </si>
  <si>
    <t>Chantier</t>
  </si>
  <si>
    <t>Restaurant</t>
  </si>
  <si>
    <t>Montant net</t>
  </si>
  <si>
    <t xml:space="preserve">Montant à remonter dans le BRUT </t>
  </si>
  <si>
    <t>CHOIX</t>
  </si>
  <si>
    <t>FRAIS DE REPAS</t>
  </si>
  <si>
    <t>A REMONTER DANS LE BRUT Chantier</t>
  </si>
  <si>
    <t>A REMONTER DANS LE BRUT Hors locaux</t>
  </si>
  <si>
    <t>A REMONTER DANS LE BRUT Restaurant</t>
  </si>
  <si>
    <t xml:space="preserve">A REMONTER </t>
  </si>
  <si>
    <t>Nbre heures réèlles du mois</t>
  </si>
  <si>
    <t xml:space="preserve">Nbre de jours de CP </t>
  </si>
  <si>
    <t xml:space="preserve">Nbre jours CP </t>
  </si>
  <si>
    <t>OUVRES</t>
  </si>
  <si>
    <t>REELS</t>
  </si>
  <si>
    <t>MOYEN</t>
  </si>
  <si>
    <t>OUVRABLES</t>
  </si>
  <si>
    <t>Limite</t>
  </si>
  <si>
    <t>effectif</t>
  </si>
  <si>
    <t xml:space="preserve">Tx </t>
  </si>
  <si>
    <t>HEURES</t>
  </si>
  <si>
    <t>Montant de l'absence</t>
  </si>
  <si>
    <t>Coef</t>
  </si>
  <si>
    <t>CUMUL</t>
  </si>
  <si>
    <r>
      <t>CDD d'usage &lt;= 3 Mois</t>
    </r>
    <r>
      <rPr>
        <b/>
        <sz val="9"/>
        <color rgb="FFFF0000"/>
        <rFont val="Calibri"/>
        <family val="2"/>
        <scheme val="minor"/>
      </rPr>
      <t xml:space="preserve"> jusqu'au 01/04/2019</t>
    </r>
  </si>
  <si>
    <r>
      <t xml:space="preserve">CDD &lt; =1 mois </t>
    </r>
    <r>
      <rPr>
        <b/>
        <sz val="9"/>
        <color rgb="FFFF0000"/>
        <rFont val="Calibri"/>
        <family val="2"/>
        <scheme val="minor"/>
      </rPr>
      <t>* accroissement avant 01/10/2017</t>
    </r>
  </si>
  <si>
    <r>
      <t xml:space="preserve">CDD Compris entre 1 mois et 3 mois </t>
    </r>
    <r>
      <rPr>
        <b/>
        <sz val="9"/>
        <color rgb="FFFF0000"/>
        <rFont val="Calibri"/>
        <family val="2"/>
        <scheme val="minor"/>
      </rPr>
      <t>* accroissement avant 01/10/2017</t>
    </r>
  </si>
  <si>
    <r>
      <t xml:space="preserve">CDD &gt; 3 mois </t>
    </r>
    <r>
      <rPr>
        <b/>
        <sz val="9"/>
        <color rgb="FFFF0000"/>
        <rFont val="Calibri"/>
        <family val="2"/>
        <scheme val="minor"/>
      </rPr>
      <t>* accroissement avant 01/10/2017</t>
    </r>
  </si>
  <si>
    <r>
      <t xml:space="preserve">CDD </t>
    </r>
    <r>
      <rPr>
        <b/>
        <sz val="9"/>
        <color rgb="FFFF0000"/>
        <rFont val="Calibri"/>
        <family val="2"/>
        <scheme val="minor"/>
      </rPr>
      <t xml:space="preserve">remplacement , saisonnier ; intérim </t>
    </r>
  </si>
  <si>
    <t>UNIQUEMENT SUR LES SALAIRES &lt; A 1,6 * SMIC</t>
  </si>
  <si>
    <t>SALAIRE DE BASE</t>
  </si>
  <si>
    <t>soit</t>
  </si>
  <si>
    <t>Réduction TEPA</t>
  </si>
  <si>
    <t>total heures supplémentaires</t>
  </si>
  <si>
    <t>ARRCO Tr A</t>
  </si>
  <si>
    <t>AGFF Tr A</t>
  </si>
  <si>
    <t>AGIRC Tr B</t>
  </si>
  <si>
    <t>GMP</t>
  </si>
  <si>
    <t>AGFF Tr B</t>
  </si>
  <si>
    <t>AGIRC Tr C</t>
  </si>
  <si>
    <t>CET</t>
  </si>
  <si>
    <t>Prévoyance Décés Obligatoire Tr A</t>
  </si>
  <si>
    <r>
      <t>CDI de - 26 ans Ets de - 20 salariés</t>
    </r>
    <r>
      <rPr>
        <b/>
        <sz val="9"/>
        <color rgb="FFFF0000"/>
        <rFont val="Calibri"/>
        <family val="2"/>
        <scheme val="minor"/>
      </rPr>
      <t xml:space="preserve"> embauche après le 01/10/2017 -&gt; EXO P Pat CHOMAGE pendant 3 mois </t>
    </r>
  </si>
  <si>
    <r>
      <t xml:space="preserve">CDI de - 26 ans Ets de + 20 salariés </t>
    </r>
    <r>
      <rPr>
        <b/>
        <sz val="9"/>
        <color rgb="FFFF0000"/>
        <rFont val="Calibri"/>
        <family val="2"/>
        <scheme val="minor"/>
      </rPr>
      <t xml:space="preserve">embauche après le 01/10/217 -&gt; EXO P Pat CHOMAGE pendant 4 mois </t>
    </r>
  </si>
  <si>
    <r>
      <t xml:space="preserve">CDD </t>
    </r>
    <r>
      <rPr>
        <b/>
        <sz val="9"/>
        <color rgb="FFFF0000"/>
        <rFont val="Calibri"/>
        <family val="2"/>
        <scheme val="minor"/>
      </rPr>
      <t>embauche après le 01/10/217</t>
    </r>
  </si>
  <si>
    <t>Retenue Entrée le</t>
  </si>
  <si>
    <t>Retenue Sortie le</t>
  </si>
  <si>
    <t xml:space="preserve">Absence non rémunérée du </t>
  </si>
  <si>
    <t xml:space="preserve">Avec retenue entrée sortie </t>
  </si>
  <si>
    <t>FILLON</t>
  </si>
  <si>
    <t>GMP Forfait</t>
  </si>
  <si>
    <t xml:space="preserve">Plafond CHARNIERE GMP </t>
  </si>
  <si>
    <t>Plafond proratisé TEMPS PARTIEL</t>
  </si>
  <si>
    <t>GMP Proratisé</t>
  </si>
  <si>
    <t>Numéro Bulletin</t>
  </si>
  <si>
    <t>REGULARISATION PLAFOND</t>
  </si>
  <si>
    <t>Salaire BRUT</t>
  </si>
  <si>
    <t>Plafond du mois</t>
  </si>
  <si>
    <t>BRUT CUMULE</t>
  </si>
  <si>
    <t>Tr A CUMULE</t>
  </si>
  <si>
    <t>Tr A Mois</t>
  </si>
  <si>
    <t>PLAFOND Tr A CUMULE</t>
  </si>
  <si>
    <t>Tr B CUMULE</t>
  </si>
  <si>
    <t>Tr B Mois</t>
  </si>
  <si>
    <t>PLAFOND Tr B CUMULE</t>
  </si>
  <si>
    <t>Tr C CUMULE</t>
  </si>
  <si>
    <t>Tr C Mois</t>
  </si>
  <si>
    <t>PLAFOND Tr C CUMULE</t>
  </si>
  <si>
    <t>Tranche A</t>
  </si>
  <si>
    <t>1*PSS</t>
  </si>
  <si>
    <t>Tranche B</t>
  </si>
  <si>
    <t>4*PSS</t>
  </si>
  <si>
    <t>Tranche C</t>
  </si>
  <si>
    <t>8*PSS</t>
  </si>
  <si>
    <t>TRANCHE A</t>
  </si>
  <si>
    <t>TRANCHE B</t>
  </si>
  <si>
    <t>TRANCHE C</t>
  </si>
  <si>
    <t>GMP CUMULE</t>
  </si>
  <si>
    <t>GMP MOIS</t>
  </si>
  <si>
    <t>PLAFOND GMP CUMULE</t>
  </si>
  <si>
    <t>Plafond GMP</t>
  </si>
  <si>
    <t>GMP DU MOIS</t>
  </si>
  <si>
    <t>NUMERO</t>
  </si>
  <si>
    <t>PSS plein</t>
  </si>
  <si>
    <t>TRA</t>
  </si>
  <si>
    <t>TRB</t>
  </si>
  <si>
    <t>TRC</t>
  </si>
  <si>
    <t xml:space="preserve">On calcule les CP au cumul de mois </t>
  </si>
  <si>
    <t>CALCULER LES CP PAR MOIS SANS ARONDIR</t>
  </si>
  <si>
    <t>Cumuler les jours ET ARRONDIR AU SUP A LA FIN</t>
  </si>
  <si>
    <t>repas</t>
  </si>
  <si>
    <t>Logement / petit dejeuner</t>
  </si>
  <si>
    <t xml:space="preserve">PARIS  et 92 / 93 / 94 </t>
  </si>
  <si>
    <t>Autres départements</t>
  </si>
  <si>
    <t>Pour les 3 premiers mois</t>
  </si>
  <si>
    <t>Du 3eme mois au 24eme mois</t>
  </si>
  <si>
    <t>Au-delà du 24eme mois jusqu'au 72eme</t>
  </si>
  <si>
    <t>Nombre de déplacement</t>
  </si>
  <si>
    <t>Choix</t>
  </si>
  <si>
    <t>Montant déplacement</t>
  </si>
  <si>
    <t>Montant repas</t>
  </si>
  <si>
    <t>MONTANT JOURNALIER</t>
  </si>
  <si>
    <t>Forfait journalier employeur</t>
  </si>
  <si>
    <t>TOTAL INDEMNITE DEPLACEMENT</t>
  </si>
  <si>
    <t>A remonter dans le BRUT</t>
  </si>
  <si>
    <t xml:space="preserve">Période et dep </t>
  </si>
  <si>
    <t>Durant les 3 premiers mois / Paris et hts de Seine</t>
  </si>
  <si>
    <t>Forfait employeur</t>
  </si>
  <si>
    <t>Frais de dépalcement</t>
  </si>
  <si>
    <t>dep</t>
  </si>
  <si>
    <t>Durant les 3 premiers mois / autres départements</t>
  </si>
  <si>
    <t>Du 3eme au 24eme / Paris et hts de Seine</t>
  </si>
  <si>
    <t>Du 3eme au 24eme / autres départements</t>
  </si>
  <si>
    <t>Du 24eme au 72eme / Paris et hts de Seine</t>
  </si>
  <si>
    <t>Du 24eme au 72eme / autres départements</t>
  </si>
  <si>
    <t>smic m</t>
  </si>
  <si>
    <t>1,6* smic_m</t>
  </si>
  <si>
    <t>RUBRIQUES DU BRUT</t>
  </si>
  <si>
    <t>TRANCHES</t>
  </si>
  <si>
    <t>RUBRIQUES DU NET</t>
  </si>
  <si>
    <t>SALAIRE</t>
  </si>
  <si>
    <t>AN</t>
  </si>
  <si>
    <t>ABS NR</t>
  </si>
  <si>
    <t>Avantage en nature TICKET RESTO</t>
  </si>
  <si>
    <t>RTT</t>
  </si>
  <si>
    <t>PSS</t>
  </si>
  <si>
    <t>PRIME</t>
  </si>
  <si>
    <t>Avantage en nature Participation repas</t>
  </si>
  <si>
    <t>Remboursement Frais de déplacement</t>
  </si>
  <si>
    <t>RESULTAT</t>
  </si>
  <si>
    <t>Avantage en nature Frais de déplacement</t>
  </si>
  <si>
    <t>Bulletin n°</t>
  </si>
  <si>
    <t>Avantage en nature Frais de repas</t>
  </si>
  <si>
    <t>Remboursement Transport</t>
  </si>
  <si>
    <t>Avantage en nature Frais de Transport</t>
  </si>
  <si>
    <t>BRUT</t>
  </si>
  <si>
    <t>Cot Sal</t>
  </si>
  <si>
    <t>Cot Pat</t>
  </si>
  <si>
    <t xml:space="preserve">NAP </t>
  </si>
  <si>
    <t>AVANCE</t>
  </si>
  <si>
    <t>Net I</t>
  </si>
  <si>
    <t>ACOMPTE</t>
  </si>
  <si>
    <t>Avantage en nature frais de déplacement</t>
  </si>
  <si>
    <t>Retenue CP du 00/01/1900 au 00/01/1900</t>
  </si>
  <si>
    <t>Valeur du mois</t>
  </si>
  <si>
    <t>Nbre de lignes</t>
  </si>
  <si>
    <t>TR A DU MOIS</t>
  </si>
  <si>
    <t>TR C DU MOIS</t>
  </si>
  <si>
    <t>TR B DU MOIS</t>
  </si>
  <si>
    <t xml:space="preserve">Mois de </t>
  </si>
  <si>
    <t xml:space="preserve">Explication </t>
  </si>
  <si>
    <r>
      <t xml:space="preserve">Lorsque les valeurs changent et QUAND je cliquerai sur le bouton </t>
    </r>
    <r>
      <rPr>
        <b/>
        <sz val="11"/>
        <color rgb="FFFF0000"/>
        <rFont val="Calibri"/>
        <family val="2"/>
        <scheme val="minor"/>
      </rPr>
      <t>GENERER VALEURS</t>
    </r>
  </si>
  <si>
    <t>celles-ci devront se copier sur la ligne en dessous</t>
  </si>
  <si>
    <t xml:space="preserve">ect ect ……. </t>
  </si>
  <si>
    <t>Les Valeurs D5:H5 doivent être copiés en A10:E10</t>
  </si>
  <si>
    <t>les valeurs D5:H5 seront copiés en A11:E11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</si>
</sst>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 _€_-;\-* #,##0.00\ _€_-;_-* &quot;-&quot;??\ _€_-;_-@_-"/>
    <numFmt numFmtId="164" formatCode="_-* #,##0.00\ [$€-40C]_-;\-* #,##0.00\ [$€-40C]_-;_-* &quot;-&quot;??\ [$€-40C]_-;_-@_-"/>
    <numFmt numFmtId="165" formatCode="[h]:mm;@"/>
    <numFmt numFmtId="166" formatCode="[h]:mm"/>
    <numFmt numFmtId="167" formatCode="0.000%"/>
    <numFmt numFmtId="168" formatCode="[$-40C]mmm\-yyyy;@"/>
    <numFmt numFmtId="169" formatCode="dd\ ddd"/>
    <numFmt numFmtId="170" formatCode="0.0000"/>
    <numFmt numFmtId="171" formatCode="[$-40C]mmm\-yy;@"/>
    <numFmt numFmtId="172" formatCode="0.000"/>
  </numFmts>
  <fonts count="63" x14ac:knownFonts="1">
    <font>
      <sz val="11"/>
      <color theme="1"/>
      <name val="Calibri"/>
      <family val="2"/>
      <scheme val="minor"/>
    </font>
    <font>
      <b/>
      <sz val="11"/>
      <color theme="1"/>
      <name val="Calibri"/>
      <family val="2"/>
      <scheme val="minor"/>
    </font>
    <font>
      <b/>
      <sz val="11"/>
      <name val="Calibri"/>
      <family val="2"/>
      <scheme val="minor"/>
    </font>
    <font>
      <sz val="11"/>
      <color theme="1"/>
      <name val="Calibri"/>
      <family val="2"/>
      <scheme val="minor"/>
    </font>
    <font>
      <b/>
      <sz val="11"/>
      <color rgb="FFFF0000"/>
      <name val="Calibri"/>
      <family val="2"/>
      <scheme val="minor"/>
    </font>
    <font>
      <sz val="10"/>
      <color theme="1"/>
      <name val="Calibri"/>
      <family val="2"/>
      <scheme val="minor"/>
    </font>
    <font>
      <sz val="9"/>
      <color theme="1"/>
      <name val="Calibri"/>
      <family val="2"/>
      <scheme val="minor"/>
    </font>
    <font>
      <b/>
      <u/>
      <sz val="16"/>
      <color rgb="FFFF0000"/>
      <name val="Calibri"/>
      <family val="2"/>
      <scheme val="minor"/>
    </font>
    <font>
      <sz val="11"/>
      <color rgb="FF141414"/>
      <name val="Calibri"/>
      <family val="2"/>
      <scheme val="minor"/>
    </font>
    <font>
      <b/>
      <u/>
      <sz val="11"/>
      <color rgb="FFFF0000"/>
      <name val="Calibri"/>
      <family val="2"/>
      <scheme val="minor"/>
    </font>
    <font>
      <sz val="9"/>
      <color indexed="81"/>
      <name val="Tahoma"/>
      <family val="2"/>
    </font>
    <font>
      <b/>
      <u/>
      <sz val="16"/>
      <name val="Calibri"/>
      <family val="2"/>
      <scheme val="minor"/>
    </font>
    <font>
      <b/>
      <sz val="9"/>
      <color indexed="81"/>
      <name val="Tahoma"/>
      <family val="2"/>
    </font>
    <font>
      <sz val="11"/>
      <color theme="1"/>
      <name val="Calibri"/>
      <family val="2"/>
      <scheme val="minor"/>
    </font>
    <font>
      <b/>
      <sz val="11"/>
      <color rgb="FFFF0000"/>
      <name val="Calibri"/>
      <family val="2"/>
      <scheme val="minor"/>
    </font>
    <font>
      <b/>
      <sz val="16"/>
      <color rgb="FFFF0000"/>
      <name val="Calibri"/>
      <family val="2"/>
      <scheme val="minor"/>
    </font>
    <font>
      <b/>
      <u/>
      <sz val="16"/>
      <color rgb="FFFF0000"/>
      <name val="Calibri"/>
      <family val="2"/>
      <scheme val="minor"/>
    </font>
    <font>
      <sz val="11"/>
      <color theme="1"/>
      <name val="Calibri"/>
      <family val="2"/>
      <scheme val="minor"/>
    </font>
    <font>
      <b/>
      <sz val="14"/>
      <color theme="1"/>
      <name val="Calibri"/>
      <family val="2"/>
      <scheme val="minor"/>
    </font>
    <font>
      <b/>
      <sz val="11"/>
      <color rgb="FFFF0000"/>
      <name val="Calibri"/>
      <family val="2"/>
      <scheme val="minor"/>
    </font>
    <font>
      <b/>
      <u/>
      <sz val="11"/>
      <color theme="1"/>
      <name val="Calibri"/>
      <family val="2"/>
      <scheme val="minor"/>
    </font>
    <font>
      <u/>
      <sz val="11"/>
      <color theme="10"/>
      <name val="Calibri"/>
      <family val="2"/>
      <scheme val="minor"/>
    </font>
    <font>
      <sz val="10"/>
      <name val="Calibri"/>
      <family val="2"/>
    </font>
    <font>
      <sz val="11"/>
      <name val="Calibri"/>
      <family val="2"/>
      <scheme val="minor"/>
    </font>
    <font>
      <sz val="11"/>
      <color rgb="FFFF0000"/>
      <name val="Calibri"/>
      <family val="2"/>
      <scheme val="minor"/>
    </font>
    <font>
      <b/>
      <sz val="18"/>
      <color theme="1"/>
      <name val="Calibri"/>
      <family val="2"/>
      <scheme val="minor"/>
    </font>
    <font>
      <sz val="11"/>
      <color theme="1"/>
      <name val="Calibri"/>
      <family val="2"/>
      <scheme val="minor"/>
    </font>
    <font>
      <b/>
      <sz val="9"/>
      <color theme="1"/>
      <name val="Calibri"/>
      <family val="2"/>
      <scheme val="minor"/>
    </font>
    <font>
      <sz val="9"/>
      <color theme="1"/>
      <name val="Calibri"/>
      <family val="2"/>
      <scheme val="minor"/>
    </font>
    <font>
      <b/>
      <sz val="11"/>
      <color theme="1"/>
      <name val="Calibri"/>
      <family val="2"/>
      <scheme val="minor"/>
    </font>
    <font>
      <u/>
      <sz val="11"/>
      <color theme="10"/>
      <name val="Calibri"/>
      <family val="2"/>
      <scheme val="minor"/>
    </font>
    <font>
      <b/>
      <i/>
      <sz val="11"/>
      <color theme="1"/>
      <name val="Calibri"/>
      <family val="2"/>
      <scheme val="minor"/>
    </font>
    <font>
      <i/>
      <sz val="11"/>
      <color theme="1"/>
      <name val="Calibri"/>
      <family val="2"/>
      <scheme val="minor"/>
    </font>
    <font>
      <vertAlign val="superscript"/>
      <sz val="11"/>
      <color theme="1"/>
      <name val="Calibri"/>
      <family val="2"/>
      <scheme val="minor"/>
    </font>
    <font>
      <sz val="12"/>
      <color theme="1"/>
      <name val="Calibri"/>
      <family val="2"/>
      <scheme val="minor"/>
    </font>
    <font>
      <sz val="10"/>
      <color theme="1"/>
      <name val="Calibri"/>
      <family val="2"/>
    </font>
    <font>
      <b/>
      <sz val="10"/>
      <name val="Calibri"/>
      <family val="2"/>
    </font>
    <font>
      <sz val="10"/>
      <color indexed="17"/>
      <name val="Calibri"/>
      <family val="2"/>
    </font>
    <font>
      <sz val="10"/>
      <name val="Calibri"/>
      <family val="2"/>
      <scheme val="minor"/>
    </font>
    <font>
      <b/>
      <sz val="10"/>
      <color rgb="FFFF0000"/>
      <name val="Calibri"/>
      <family val="2"/>
    </font>
    <font>
      <b/>
      <sz val="16"/>
      <name val="Calibri"/>
      <family val="2"/>
    </font>
    <font>
      <b/>
      <sz val="12"/>
      <color rgb="FFFF0000"/>
      <name val="Calibri"/>
      <family val="2"/>
    </font>
    <font>
      <i/>
      <sz val="10"/>
      <name val="Calibri"/>
      <family val="2"/>
    </font>
    <font>
      <i/>
      <sz val="10"/>
      <color theme="1"/>
      <name val="Calibri"/>
      <family val="2"/>
    </font>
    <font>
      <sz val="8"/>
      <color theme="1"/>
      <name val="Calibri"/>
      <family val="2"/>
      <scheme val="minor"/>
    </font>
    <font>
      <sz val="9"/>
      <name val="Calibri"/>
      <family val="2"/>
      <scheme val="minor"/>
    </font>
    <font>
      <b/>
      <sz val="18"/>
      <name val="Calibri"/>
      <family val="2"/>
      <scheme val="minor"/>
    </font>
    <font>
      <b/>
      <sz val="9"/>
      <name val="Calibri"/>
      <family val="2"/>
      <scheme val="minor"/>
    </font>
    <font>
      <b/>
      <u/>
      <sz val="14"/>
      <color theme="10"/>
      <name val="Calibri"/>
      <family val="2"/>
      <scheme val="minor"/>
    </font>
    <font>
      <b/>
      <sz val="14"/>
      <name val="Calibri"/>
      <family val="2"/>
      <scheme val="minor"/>
    </font>
    <font>
      <sz val="11"/>
      <color rgb="FF000000"/>
      <name val="Calibri"/>
      <family val="2"/>
    </font>
    <font>
      <b/>
      <u/>
      <sz val="11"/>
      <color theme="10"/>
      <name val="Calibri"/>
      <family val="2"/>
      <scheme val="minor"/>
    </font>
    <font>
      <b/>
      <sz val="12"/>
      <color theme="1"/>
      <name val="Calibri"/>
      <family val="2"/>
      <scheme val="minor"/>
    </font>
    <font>
      <sz val="11"/>
      <color theme="0"/>
      <name val="Calibri"/>
      <family val="2"/>
      <scheme val="minor"/>
    </font>
    <font>
      <b/>
      <sz val="14"/>
      <color rgb="FFFF0000"/>
      <name val="Calibri"/>
      <family val="2"/>
      <scheme val="minor"/>
    </font>
    <font>
      <i/>
      <sz val="11"/>
      <color theme="0" tint="-0.499984740745262"/>
      <name val="Calibri"/>
      <family val="2"/>
      <scheme val="minor"/>
    </font>
    <font>
      <sz val="11"/>
      <color theme="0" tint="-0.499984740745262"/>
      <name val="Calibri"/>
      <family val="2"/>
      <scheme val="minor"/>
    </font>
    <font>
      <b/>
      <sz val="9"/>
      <color rgb="FFFF0000"/>
      <name val="Calibri"/>
      <family val="2"/>
      <scheme val="minor"/>
    </font>
    <font>
      <b/>
      <sz val="16"/>
      <color theme="0"/>
      <name val="Calibri"/>
      <family val="2"/>
      <scheme val="minor"/>
    </font>
    <font>
      <i/>
      <sz val="10"/>
      <color theme="1"/>
      <name val="Calibri"/>
      <family val="2"/>
      <scheme val="minor"/>
    </font>
    <font>
      <b/>
      <sz val="20"/>
      <color rgb="FFFF0000"/>
      <name val="Calibri"/>
      <family val="2"/>
      <scheme val="minor"/>
    </font>
    <font>
      <b/>
      <sz val="10"/>
      <color theme="1"/>
      <name val="Calibri"/>
      <family val="2"/>
      <scheme val="minor"/>
    </font>
    <font>
      <b/>
      <sz val="11"/>
      <color rgb="FFFF0000"/>
      <name val="Calibri"/>
      <family val="2"/>
    </font>
  </fonts>
  <fills count="32">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rgb="FFFFFF00"/>
        <bgColor indexed="64"/>
      </patternFill>
    </fill>
    <fill>
      <patternFill patternType="solid">
        <fgColor rgb="FFFFC00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rgb="FF00B0F0"/>
        <bgColor indexed="64"/>
      </patternFill>
    </fill>
    <fill>
      <patternFill patternType="solid">
        <fgColor rgb="FF92D050"/>
        <bgColor indexed="64"/>
      </patternFill>
    </fill>
    <fill>
      <patternFill patternType="solid">
        <fgColor rgb="FFFF0000"/>
        <bgColor indexed="64"/>
      </patternFill>
    </fill>
    <fill>
      <patternFill patternType="solid">
        <fgColor theme="2"/>
        <bgColor indexed="64"/>
      </patternFill>
    </fill>
    <fill>
      <patternFill patternType="solid">
        <fgColor rgb="FFFF99FF"/>
        <bgColor indexed="64"/>
      </patternFill>
    </fill>
    <fill>
      <patternFill patternType="solid">
        <fgColor indexed="27"/>
        <bgColor indexed="41"/>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7" tint="0.79998168889431442"/>
        <bgColor theme="7" tint="0.79998168889431442"/>
      </patternFill>
    </fill>
    <fill>
      <patternFill patternType="solid">
        <fgColor theme="5" tint="0.79998168889431442"/>
        <bgColor indexed="64"/>
      </patternFill>
    </fill>
    <fill>
      <patternFill patternType="solid">
        <fgColor theme="9" tint="-0.249977111117893"/>
        <bgColor indexed="64"/>
      </patternFill>
    </fill>
    <fill>
      <patternFill patternType="solid">
        <fgColor rgb="FFE4D2F2"/>
        <bgColor indexed="64"/>
      </patternFill>
    </fill>
    <fill>
      <patternFill patternType="solid">
        <fgColor theme="5" tint="0.59999389629810485"/>
        <bgColor theme="7" tint="0.79998168889431442"/>
      </patternFill>
    </fill>
    <fill>
      <patternFill patternType="solid">
        <fgColor theme="9" tint="0.59999389629810485"/>
        <bgColor theme="7" tint="0.79998168889431442"/>
      </patternFill>
    </fill>
    <fill>
      <patternFill patternType="solid">
        <fgColor rgb="FFE4D2F2"/>
        <bgColor theme="7" tint="0.79998168889431442"/>
      </patternFill>
    </fill>
    <fill>
      <patternFill patternType="solid">
        <fgColor theme="4" tint="0.79998168889431442"/>
        <bgColor theme="7" tint="0.79998168889431442"/>
      </patternFill>
    </fill>
    <fill>
      <patternFill patternType="solid">
        <fgColor rgb="FFFFCC66"/>
        <bgColor indexed="64"/>
      </patternFill>
    </fill>
    <fill>
      <patternFill patternType="solid">
        <fgColor theme="4" tint="0.59999389629810485"/>
        <bgColor theme="7" tint="0.79998168889431442"/>
      </patternFill>
    </fill>
    <fill>
      <gradientFill>
        <stop position="0">
          <color rgb="FFFFFF00"/>
        </stop>
        <stop position="1">
          <color rgb="FFFFC000"/>
        </stop>
      </gradientFill>
    </fill>
    <fill>
      <gradientFill>
        <stop position="0">
          <color rgb="FF00B0F0"/>
        </stop>
        <stop position="1">
          <color theme="9" tint="-0.25098422193060094"/>
        </stop>
      </gradientFill>
    </fill>
  </fills>
  <borders count="20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DashDot">
        <color indexed="64"/>
      </left>
      <right style="thin">
        <color indexed="64"/>
      </right>
      <top style="mediumDashDot">
        <color indexed="64"/>
      </top>
      <bottom style="mediumDashDot">
        <color indexed="64"/>
      </bottom>
      <diagonal/>
    </border>
    <border>
      <left style="thin">
        <color indexed="64"/>
      </left>
      <right style="thin">
        <color indexed="64"/>
      </right>
      <top style="mediumDashDot">
        <color indexed="64"/>
      </top>
      <bottom style="mediumDashDot">
        <color indexed="64"/>
      </bottom>
      <diagonal/>
    </border>
    <border>
      <left style="thin">
        <color indexed="64"/>
      </left>
      <right style="mediumDashDot">
        <color indexed="64"/>
      </right>
      <top style="mediumDashDot">
        <color indexed="64"/>
      </top>
      <bottom style="mediumDashDot">
        <color indexed="64"/>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indexed="64"/>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dashDotDot">
        <color indexed="64"/>
      </left>
      <right/>
      <top style="dashDotDot">
        <color indexed="64"/>
      </top>
      <bottom/>
      <diagonal/>
    </border>
    <border>
      <left/>
      <right/>
      <top style="dashDotDot">
        <color indexed="64"/>
      </top>
      <bottom/>
      <diagonal/>
    </border>
    <border>
      <left/>
      <right style="dashDotDot">
        <color indexed="64"/>
      </right>
      <top style="dashDotDot">
        <color indexed="64"/>
      </top>
      <bottom/>
      <diagonal/>
    </border>
    <border>
      <left style="dashDotDot">
        <color auto="1"/>
      </left>
      <right style="hair">
        <color auto="1"/>
      </right>
      <top style="dashDotDot">
        <color auto="1"/>
      </top>
      <bottom style="hair">
        <color auto="1"/>
      </bottom>
      <diagonal/>
    </border>
    <border>
      <left style="hair">
        <color auto="1"/>
      </left>
      <right style="dashDotDot">
        <color auto="1"/>
      </right>
      <top style="dashDotDot">
        <color auto="1"/>
      </top>
      <bottom style="hair">
        <color auto="1"/>
      </bottom>
      <diagonal/>
    </border>
    <border>
      <left style="dashDotDot">
        <color auto="1"/>
      </left>
      <right style="hair">
        <color auto="1"/>
      </right>
      <top style="hair">
        <color auto="1"/>
      </top>
      <bottom style="dashDotDot">
        <color auto="1"/>
      </bottom>
      <diagonal/>
    </border>
    <border>
      <left style="hair">
        <color auto="1"/>
      </left>
      <right style="dashDotDot">
        <color auto="1"/>
      </right>
      <top style="hair">
        <color auto="1"/>
      </top>
      <bottom style="dashDotDot">
        <color auto="1"/>
      </bottom>
      <diagonal/>
    </border>
    <border>
      <left style="mediumDashDot">
        <color auto="1"/>
      </left>
      <right/>
      <top style="mediumDashDot">
        <color auto="1"/>
      </top>
      <bottom style="mediumDashDot">
        <color auto="1"/>
      </bottom>
      <diagonal/>
    </border>
    <border>
      <left/>
      <right/>
      <top style="mediumDashDot">
        <color auto="1"/>
      </top>
      <bottom style="mediumDashDot">
        <color auto="1"/>
      </bottom>
      <diagonal/>
    </border>
    <border>
      <left/>
      <right style="mediumDashDot">
        <color auto="1"/>
      </right>
      <top style="mediumDashDot">
        <color auto="1"/>
      </top>
      <bottom style="mediumDashDot">
        <color auto="1"/>
      </bottom>
      <diagonal/>
    </border>
    <border>
      <left style="dashDotDot">
        <color auto="1"/>
      </left>
      <right/>
      <top/>
      <bottom/>
      <diagonal/>
    </border>
    <border>
      <left/>
      <right style="dashDotDot">
        <color auto="1"/>
      </right>
      <top/>
      <bottom/>
      <diagonal/>
    </border>
    <border>
      <left style="dashDotDot">
        <color auto="1"/>
      </left>
      <right/>
      <top/>
      <bottom style="dashDotDot">
        <color auto="1"/>
      </bottom>
      <diagonal/>
    </border>
    <border>
      <left/>
      <right style="dashDotDot">
        <color auto="1"/>
      </right>
      <top/>
      <bottom style="dashDotDot">
        <color auto="1"/>
      </bottom>
      <diagonal/>
    </border>
    <border>
      <left/>
      <right/>
      <top/>
      <bottom style="dashDotDot">
        <color auto="1"/>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top style="dotted">
        <color indexed="64"/>
      </top>
      <bottom/>
      <diagonal/>
    </border>
    <border>
      <left style="thin">
        <color indexed="64"/>
      </left>
      <right style="thin">
        <color indexed="64"/>
      </right>
      <top/>
      <bottom style="thin">
        <color indexed="64"/>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medium">
        <color indexed="64"/>
      </left>
      <right style="medium">
        <color indexed="64"/>
      </right>
      <top/>
      <bottom style="medium">
        <color indexed="64"/>
      </bottom>
      <diagonal/>
    </border>
    <border>
      <left/>
      <right style="medium">
        <color indexed="64"/>
      </right>
      <top/>
      <bottom style="dotted">
        <color indexed="64"/>
      </bottom>
      <diagonal/>
    </border>
    <border>
      <left style="medium">
        <color indexed="64"/>
      </left>
      <right style="medium">
        <color indexed="64"/>
      </right>
      <top style="medium">
        <color indexed="64"/>
      </top>
      <bottom/>
      <diagonal/>
    </border>
    <border>
      <left/>
      <right/>
      <top/>
      <bottom style="dotted">
        <color indexed="64"/>
      </bottom>
      <diagonal/>
    </border>
    <border>
      <left style="dashDotDot">
        <color auto="1"/>
      </left>
      <right style="hair">
        <color auto="1"/>
      </right>
      <top/>
      <bottom style="hair">
        <color auto="1"/>
      </bottom>
      <diagonal/>
    </border>
    <border>
      <left style="hair">
        <color auto="1"/>
      </left>
      <right style="dashDotDot">
        <color auto="1"/>
      </right>
      <top/>
      <bottom style="hair">
        <color auto="1"/>
      </bottom>
      <diagonal/>
    </border>
    <border>
      <left style="dashDotDot">
        <color auto="1"/>
      </left>
      <right style="hair">
        <color auto="1"/>
      </right>
      <top style="dashDotDot">
        <color auto="1"/>
      </top>
      <bottom style="dashDotDot">
        <color auto="1"/>
      </bottom>
      <diagonal/>
    </border>
    <border>
      <left style="hair">
        <color auto="1"/>
      </left>
      <right style="dashDotDot">
        <color auto="1"/>
      </right>
      <top style="dashDotDot">
        <color auto="1"/>
      </top>
      <bottom style="dashDotDot">
        <color auto="1"/>
      </bottom>
      <diagonal/>
    </border>
    <border>
      <left style="dashDotDot">
        <color indexed="64"/>
      </left>
      <right style="hair">
        <color indexed="64"/>
      </right>
      <top style="hair">
        <color indexed="64"/>
      </top>
      <bottom style="hair">
        <color indexed="64"/>
      </bottom>
      <diagonal/>
    </border>
    <border>
      <left style="hair">
        <color indexed="64"/>
      </left>
      <right style="dashDotDot">
        <color indexed="64"/>
      </right>
      <top style="hair">
        <color indexed="64"/>
      </top>
      <bottom style="hair">
        <color indexed="64"/>
      </bottom>
      <diagonal/>
    </border>
    <border>
      <left style="dashDotDot">
        <color auto="1"/>
      </left>
      <right/>
      <top style="hair">
        <color auto="1"/>
      </top>
      <bottom style="hair">
        <color auto="1"/>
      </bottom>
      <diagonal/>
    </border>
    <border>
      <left/>
      <right style="dashDotDot">
        <color auto="1"/>
      </right>
      <top style="hair">
        <color auto="1"/>
      </top>
      <bottom style="hair">
        <color auto="1"/>
      </bottom>
      <diagonal/>
    </border>
    <border>
      <left style="dashDotDot">
        <color auto="1"/>
      </left>
      <right/>
      <top style="hair">
        <color auto="1"/>
      </top>
      <bottom style="dashDotDot">
        <color auto="1"/>
      </bottom>
      <diagonal/>
    </border>
    <border>
      <left/>
      <right style="dashDotDot">
        <color auto="1"/>
      </right>
      <top style="hair">
        <color auto="1"/>
      </top>
      <bottom style="dashDotDot">
        <color auto="1"/>
      </bottom>
      <diagonal/>
    </border>
    <border>
      <left style="dashDotDot">
        <color auto="1"/>
      </left>
      <right/>
      <top style="dashDotDot">
        <color auto="1"/>
      </top>
      <bottom style="dashDotDot">
        <color auto="1"/>
      </bottom>
      <diagonal/>
    </border>
    <border>
      <left/>
      <right style="dashDotDot">
        <color auto="1"/>
      </right>
      <top style="dashDotDot">
        <color auto="1"/>
      </top>
      <bottom style="dashDotDot">
        <color auto="1"/>
      </bottom>
      <diagonal/>
    </border>
    <border>
      <left style="hair">
        <color indexed="64"/>
      </left>
      <right style="hair">
        <color indexed="64"/>
      </right>
      <top/>
      <bottom style="hair">
        <color indexed="64"/>
      </bottom>
      <diagonal/>
    </border>
    <border>
      <left style="hair">
        <color auto="1"/>
      </left>
      <right style="hair">
        <color auto="1"/>
      </right>
      <top style="dashDotDot">
        <color auto="1"/>
      </top>
      <bottom style="dashDotDot">
        <color auto="1"/>
      </bottom>
      <diagonal/>
    </border>
    <border>
      <left style="hair">
        <color auto="1"/>
      </left>
      <right style="hair">
        <color auto="1"/>
      </right>
      <top/>
      <bottom style="dashDotDot">
        <color auto="1"/>
      </bottom>
      <diagonal/>
    </border>
    <border>
      <left style="hair">
        <color auto="1"/>
      </left>
      <right style="dashDotDot">
        <color auto="1"/>
      </right>
      <top/>
      <bottom style="dashDotDot">
        <color auto="1"/>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8"/>
      </right>
      <top/>
      <bottom style="hair">
        <color indexed="8"/>
      </bottom>
      <diagonal/>
    </border>
    <border>
      <left style="thin">
        <color indexed="8"/>
      </left>
      <right style="thin">
        <color indexed="8"/>
      </right>
      <top/>
      <bottom style="hair">
        <color indexed="8"/>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64"/>
      </left>
      <right style="thin">
        <color indexed="64"/>
      </right>
      <top style="hair">
        <color indexed="64"/>
      </top>
      <bottom/>
      <diagonal/>
    </border>
    <border>
      <left/>
      <right style="thin">
        <color indexed="8"/>
      </right>
      <top style="hair">
        <color indexed="8"/>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dashDotDot">
        <color indexed="64"/>
      </left>
      <right style="hair">
        <color indexed="64"/>
      </right>
      <top style="hair">
        <color indexed="64"/>
      </top>
      <bottom style="hair">
        <color indexed="64"/>
      </bottom>
      <diagonal/>
    </border>
    <border>
      <left style="hair">
        <color indexed="64"/>
      </left>
      <right style="dashDotDot">
        <color indexed="64"/>
      </right>
      <top style="hair">
        <color indexed="64"/>
      </top>
      <bottom style="hair">
        <color indexed="64"/>
      </bottom>
      <diagonal/>
    </border>
    <border>
      <left style="dashDotDot">
        <color indexed="64"/>
      </left>
      <right style="hair">
        <color indexed="64"/>
      </right>
      <top style="hair">
        <color indexed="64"/>
      </top>
      <bottom style="dashDotDot">
        <color indexed="64"/>
      </bottom>
      <diagonal/>
    </border>
    <border>
      <left style="hair">
        <color indexed="64"/>
      </left>
      <right style="dashDotDot">
        <color indexed="64"/>
      </right>
      <top style="hair">
        <color indexed="64"/>
      </top>
      <bottom style="dashDotDot">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mediumDashDot">
        <color auto="1"/>
      </top>
      <bottom/>
      <diagonal/>
    </border>
    <border>
      <left style="thin">
        <color auto="1"/>
      </left>
      <right style="thin">
        <color auto="1"/>
      </right>
      <top style="thin">
        <color auto="1"/>
      </top>
      <bottom style="thin">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dotted">
        <color indexed="64"/>
      </top>
      <bottom/>
      <diagonal/>
    </border>
    <border>
      <left style="medium">
        <color indexed="64"/>
      </left>
      <right/>
      <top/>
      <bottom style="dotted">
        <color indexed="64"/>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ashDotDot">
        <color auto="1"/>
      </left>
      <right style="dashDotDot">
        <color auto="1"/>
      </right>
      <top style="dashDotDot">
        <color auto="1"/>
      </top>
      <bottom style="hair">
        <color auto="1"/>
      </bottom>
      <diagonal/>
    </border>
    <border>
      <left style="dashDotDot">
        <color auto="1"/>
      </left>
      <right style="dashDotDot">
        <color auto="1"/>
      </right>
      <top style="hair">
        <color auto="1"/>
      </top>
      <bottom style="dashDotDot">
        <color auto="1"/>
      </bottom>
      <diagonal/>
    </border>
    <border>
      <left style="medium">
        <color indexed="64"/>
      </left>
      <right style="medium">
        <color indexed="64"/>
      </right>
      <top style="thin">
        <color indexed="64"/>
      </top>
      <bottom/>
      <diagonal/>
    </border>
    <border>
      <left style="hair">
        <color auto="1"/>
      </left>
      <right style="hair">
        <color auto="1"/>
      </right>
      <top style="dashDotDot">
        <color auto="1"/>
      </top>
      <bottom style="hair">
        <color auto="1"/>
      </bottom>
      <diagonal/>
    </border>
    <border>
      <left style="hair">
        <color auto="1"/>
      </left>
      <right style="hair">
        <color auto="1"/>
      </right>
      <top style="hair">
        <color auto="1"/>
      </top>
      <bottom style="dashDotDot">
        <color auto="1"/>
      </bottom>
      <diagonal/>
    </border>
    <border>
      <left style="medium">
        <color auto="1"/>
      </left>
      <right style="dotted">
        <color auto="1"/>
      </right>
      <top style="medium">
        <color auto="1"/>
      </top>
      <bottom style="dotted">
        <color auto="1"/>
      </bottom>
      <diagonal/>
    </border>
    <border>
      <left style="dotted">
        <color auto="1"/>
      </left>
      <right style="dotted">
        <color auto="1"/>
      </right>
      <top style="medium">
        <color auto="1"/>
      </top>
      <bottom style="dotted">
        <color auto="1"/>
      </bottom>
      <diagonal/>
    </border>
    <border>
      <left style="dotted">
        <color auto="1"/>
      </left>
      <right style="medium">
        <color auto="1"/>
      </right>
      <top style="medium">
        <color auto="1"/>
      </top>
      <bottom style="dotted">
        <color auto="1"/>
      </bottom>
      <diagonal/>
    </border>
    <border>
      <left style="medium">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dotted">
        <color auto="1"/>
      </left>
      <right style="medium">
        <color auto="1"/>
      </right>
      <top style="dotted">
        <color auto="1"/>
      </top>
      <bottom style="dotted">
        <color auto="1"/>
      </bottom>
      <diagonal/>
    </border>
    <border>
      <left style="medium">
        <color auto="1"/>
      </left>
      <right style="dotted">
        <color auto="1"/>
      </right>
      <top style="dotted">
        <color auto="1"/>
      </top>
      <bottom style="medium">
        <color auto="1"/>
      </bottom>
      <diagonal/>
    </border>
    <border>
      <left style="dotted">
        <color auto="1"/>
      </left>
      <right style="dotted">
        <color auto="1"/>
      </right>
      <top style="dotted">
        <color auto="1"/>
      </top>
      <bottom style="medium">
        <color auto="1"/>
      </bottom>
      <diagonal/>
    </border>
    <border>
      <left style="dotted">
        <color auto="1"/>
      </left>
      <right style="medium">
        <color auto="1"/>
      </right>
      <top style="dotted">
        <color auto="1"/>
      </top>
      <bottom style="medium">
        <color auto="1"/>
      </bottom>
      <diagonal/>
    </border>
    <border diagonalUp="1">
      <left style="thin">
        <color indexed="64"/>
      </left>
      <right style="thin">
        <color indexed="64"/>
      </right>
      <top style="thin">
        <color indexed="64"/>
      </top>
      <bottom style="thin">
        <color indexed="64"/>
      </bottom>
      <diagonal style="thin">
        <color indexed="64"/>
      </diagonal>
    </border>
    <border>
      <left style="hair">
        <color auto="1"/>
      </left>
      <right style="hair">
        <color auto="1"/>
      </right>
      <top style="hair">
        <color auto="1"/>
      </top>
      <bottom style="dashDotDot">
        <color auto="1"/>
      </bottom>
      <diagonal/>
    </border>
    <border>
      <left style="hair">
        <color auto="1"/>
      </left>
      <right/>
      <top style="dashDotDot">
        <color auto="1"/>
      </top>
      <bottom/>
      <diagonal/>
    </border>
    <border>
      <left style="hair">
        <color auto="1"/>
      </left>
      <right style="dashDotDot">
        <color auto="1"/>
      </right>
      <top style="dashDotDot">
        <color auto="1"/>
      </top>
      <bottom/>
      <diagonal/>
    </border>
    <border>
      <left style="dashDotDot">
        <color auto="1"/>
      </left>
      <right/>
      <top style="hair">
        <color auto="1"/>
      </top>
      <bottom/>
      <diagonal/>
    </border>
    <border>
      <left style="hair">
        <color auto="1"/>
      </left>
      <right/>
      <top style="hair">
        <color auto="1"/>
      </top>
      <bottom/>
      <diagonal/>
    </border>
    <border>
      <left style="dashDotDot">
        <color auto="1"/>
      </left>
      <right style="dashDotDot">
        <color auto="1"/>
      </right>
      <top style="hair">
        <color auto="1"/>
      </top>
      <bottom style="hair">
        <color auto="1"/>
      </bottom>
      <diagonal/>
    </border>
    <border>
      <left style="hair">
        <color auto="1"/>
      </left>
      <right style="hair">
        <color auto="1"/>
      </right>
      <top style="dashDotDot">
        <color auto="1"/>
      </top>
      <bottom/>
      <diagonal/>
    </border>
    <border>
      <left style="hair">
        <color auto="1"/>
      </left>
      <right style="hair">
        <color auto="1"/>
      </right>
      <top style="hair">
        <color auto="1"/>
      </top>
      <bottom/>
      <diagonal/>
    </border>
    <border>
      <left style="hair">
        <color auto="1"/>
      </left>
      <right style="dashDotDot">
        <color indexed="64"/>
      </right>
      <top style="hair">
        <color auto="1"/>
      </top>
      <bottom/>
      <diagonal/>
    </border>
    <border>
      <left style="dashDotDot">
        <color indexed="64"/>
      </left>
      <right style="dashDotDot">
        <color indexed="64"/>
      </right>
      <top style="dashDotDot">
        <color indexed="64"/>
      </top>
      <bottom/>
      <diagonal/>
    </border>
    <border>
      <left style="dashDotDot">
        <color indexed="64"/>
      </left>
      <right style="dashDotDot">
        <color auto="1"/>
      </right>
      <top/>
      <bottom style="hair">
        <color auto="1"/>
      </bottom>
      <diagonal/>
    </border>
    <border>
      <left style="dashDotDot">
        <color auto="1"/>
      </left>
      <right style="dashDotDot">
        <color auto="1"/>
      </right>
      <top style="hair">
        <color auto="1"/>
      </top>
      <bottom/>
      <diagonal/>
    </border>
    <border>
      <left style="dashDotDot">
        <color auto="1"/>
      </left>
      <right/>
      <top style="hair">
        <color auto="1"/>
      </top>
      <bottom style="dashDotDot">
        <color auto="1"/>
      </bottom>
      <diagonal/>
    </border>
    <border>
      <left style="dashDotDot">
        <color auto="1"/>
      </left>
      <right style="hair">
        <color auto="1"/>
      </right>
      <top style="hair">
        <color auto="1"/>
      </top>
      <bottom style="dashDotDot">
        <color auto="1"/>
      </bottom>
      <diagonal/>
    </border>
    <border>
      <left style="hair">
        <color auto="1"/>
      </left>
      <right style="hair">
        <color auto="1"/>
      </right>
      <top style="hair">
        <color auto="1"/>
      </top>
      <bottom style="dashDotDot">
        <color auto="1"/>
      </bottom>
      <diagonal/>
    </border>
    <border>
      <left style="hair">
        <color auto="1"/>
      </left>
      <right style="dashDotDot">
        <color auto="1"/>
      </right>
      <top style="hair">
        <color auto="1"/>
      </top>
      <bottom style="dashDotDot">
        <color auto="1"/>
      </bottom>
      <diagonal/>
    </border>
    <border>
      <left/>
      <right style="hair">
        <color auto="1"/>
      </right>
      <top style="dashDotDot">
        <color auto="1"/>
      </top>
      <bottom style="hair">
        <color auto="1"/>
      </bottom>
      <diagonal/>
    </border>
    <border>
      <left/>
      <right style="hair">
        <color auto="1"/>
      </right>
      <top style="hair">
        <color auto="1"/>
      </top>
      <bottom style="dashDotDot">
        <color auto="1"/>
      </bottom>
      <diagonal/>
    </border>
    <border>
      <left style="dashDotDot">
        <color auto="1"/>
      </left>
      <right style="hair">
        <color auto="1"/>
      </right>
      <top style="dashDotDot">
        <color auto="1"/>
      </top>
      <bottom/>
      <diagonal/>
    </border>
    <border>
      <left/>
      <right style="hair">
        <color auto="1"/>
      </right>
      <top style="dashDotDot">
        <color auto="1"/>
      </top>
      <bottom/>
      <diagonal/>
    </border>
    <border>
      <left style="dashDotDot">
        <color auto="1"/>
      </left>
      <right style="hair">
        <color auto="1"/>
      </right>
      <top style="hair">
        <color auto="1"/>
      </top>
      <bottom/>
      <diagonal/>
    </border>
    <border>
      <left style="hair">
        <color auto="1"/>
      </left>
      <right/>
      <top style="hair">
        <color auto="1"/>
      </top>
      <bottom style="dashDotDot">
        <color auto="1"/>
      </bottom>
      <diagonal/>
    </border>
    <border>
      <left style="hair">
        <color indexed="64"/>
      </left>
      <right/>
      <top/>
      <bottom style="hair">
        <color indexed="64"/>
      </bottom>
      <diagonal/>
    </border>
    <border>
      <left style="hair">
        <color auto="1"/>
      </left>
      <right/>
      <top style="dashDotDot">
        <color auto="1"/>
      </top>
      <bottom style="hair">
        <color auto="1"/>
      </bottom>
      <diagonal/>
    </border>
    <border>
      <left style="dashDotDot">
        <color auto="1"/>
      </left>
      <right style="dashDotDot">
        <color auto="1"/>
      </right>
      <top style="hair">
        <color auto="1"/>
      </top>
      <bottom style="dashDotDot">
        <color auto="1"/>
      </bottom>
      <diagonal/>
    </border>
    <border>
      <left style="dashDotDot">
        <color auto="1"/>
      </left>
      <right/>
      <top style="dashDotDot">
        <color auto="1"/>
      </top>
      <bottom style="hair">
        <color auto="1"/>
      </bottom>
      <diagonal/>
    </border>
    <border>
      <left style="dashDotDot">
        <color auto="1"/>
      </left>
      <right/>
      <top/>
      <bottom style="hair">
        <color auto="1"/>
      </bottom>
      <diagonal/>
    </border>
    <border>
      <left style="dashDotDot">
        <color auto="1"/>
      </left>
      <right style="dashDotDot">
        <color auto="1"/>
      </right>
      <top/>
      <bottom/>
      <diagonal/>
    </border>
    <border>
      <left style="thin">
        <color auto="1"/>
      </left>
      <right/>
      <top style="thin">
        <color auto="1"/>
      </top>
      <bottom style="thin">
        <color auto="1"/>
      </bottom>
      <diagonal/>
    </border>
    <border>
      <left style="dashDotDot">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dashDotDot">
        <color indexed="64"/>
      </right>
      <top style="hair">
        <color indexed="64"/>
      </top>
      <bottom style="hair">
        <color indexed="64"/>
      </bottom>
      <diagonal/>
    </border>
    <border>
      <left style="dashDotDot">
        <color indexed="64"/>
      </left>
      <right/>
      <top style="hair">
        <color indexed="64"/>
      </top>
      <bottom style="hair">
        <color indexed="64"/>
      </bottom>
      <diagonal/>
    </border>
    <border>
      <left style="dashDotDot">
        <color auto="1"/>
      </left>
      <right style="dashDotDot">
        <color auto="1"/>
      </right>
      <top style="dashDotDot">
        <color auto="1"/>
      </top>
      <bottom style="dashDotDot">
        <color auto="1"/>
      </bottom>
      <diagonal/>
    </border>
    <border>
      <left style="dashDotDot">
        <color auto="1"/>
      </left>
      <right style="hair">
        <color auto="1"/>
      </right>
      <top/>
      <bottom style="dashDotDot">
        <color auto="1"/>
      </bottom>
      <diagonal/>
    </border>
    <border>
      <left style="hair">
        <color auto="1"/>
      </left>
      <right/>
      <top style="dashDotDot">
        <color auto="1"/>
      </top>
      <bottom style="dashDotDot">
        <color auto="1"/>
      </bottom>
      <diagonal/>
    </border>
    <border>
      <left style="dashDotDot">
        <color indexed="64"/>
      </left>
      <right style="dashDotDot">
        <color indexed="64"/>
      </right>
      <top/>
      <bottom style="dashDotDot">
        <color indexed="64"/>
      </bottom>
      <diagonal/>
    </border>
    <border>
      <left style="hair">
        <color auto="1"/>
      </left>
      <right style="hair">
        <color auto="1"/>
      </right>
      <top style="thin">
        <color auto="1"/>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right/>
      <top style="mediumDashDot">
        <color auto="1"/>
      </top>
      <bottom style="dashDotDot">
        <color auto="1"/>
      </bottom>
      <diagonal/>
    </border>
  </borders>
  <cellStyleXfs count="5">
    <xf numFmtId="0" fontId="0" fillId="0" borderId="0"/>
    <xf numFmtId="9" fontId="3" fillId="0" borderId="0" applyFont="0" applyFill="0" applyBorder="0" applyAlignment="0" applyProtection="0"/>
    <xf numFmtId="0" fontId="21" fillId="0" borderId="0" applyNumberFormat="0" applyFill="0" applyBorder="0" applyAlignment="0" applyProtection="0"/>
    <xf numFmtId="0" fontId="22" fillId="0" borderId="0"/>
    <xf numFmtId="43" fontId="3" fillId="0" borderId="0" applyFont="0" applyFill="0" applyBorder="0" applyAlignment="0" applyProtection="0"/>
  </cellStyleXfs>
  <cellXfs count="1019">
    <xf numFmtId="0" fontId="0" fillId="0" borderId="0" xfId="0"/>
    <xf numFmtId="0" fontId="1" fillId="0" borderId="0" xfId="0" applyFont="1"/>
    <xf numFmtId="0" fontId="0" fillId="0" borderId="19" xfId="0" applyBorder="1"/>
    <xf numFmtId="0" fontId="0" fillId="0" borderId="20" xfId="0" applyBorder="1"/>
    <xf numFmtId="0" fontId="0" fillId="0" borderId="21" xfId="0" applyBorder="1"/>
    <xf numFmtId="0" fontId="0" fillId="0" borderId="13" xfId="0" applyBorder="1"/>
    <xf numFmtId="0" fontId="0" fillId="0" borderId="0" xfId="0" applyBorder="1"/>
    <xf numFmtId="0" fontId="0" fillId="0" borderId="14" xfId="0" applyBorder="1"/>
    <xf numFmtId="0" fontId="2" fillId="3" borderId="19" xfId="0" applyFont="1" applyFill="1" applyBorder="1"/>
    <xf numFmtId="0" fontId="2" fillId="3" borderId="21" xfId="0" applyFont="1" applyFill="1" applyBorder="1"/>
    <xf numFmtId="0" fontId="2" fillId="3" borderId="10" xfId="0" applyFont="1" applyFill="1" applyBorder="1"/>
    <xf numFmtId="0" fontId="1" fillId="3" borderId="19" xfId="0" applyFont="1" applyFill="1" applyBorder="1"/>
    <xf numFmtId="0" fontId="1" fillId="3" borderId="20" xfId="0" applyFont="1" applyFill="1" applyBorder="1"/>
    <xf numFmtId="0" fontId="1" fillId="3" borderId="10" xfId="0" applyFont="1" applyFill="1" applyBorder="1"/>
    <xf numFmtId="0" fontId="1" fillId="3" borderId="21" xfId="0" applyFont="1" applyFill="1" applyBorder="1"/>
    <xf numFmtId="0" fontId="4" fillId="0" borderId="10" xfId="0" applyFont="1" applyBorder="1" applyAlignment="1">
      <alignment horizontal="center" vertical="center"/>
    </xf>
    <xf numFmtId="2" fontId="4" fillId="0" borderId="10" xfId="0" applyNumberFormat="1" applyFont="1" applyBorder="1" applyAlignment="1">
      <alignment horizontal="center" vertical="center"/>
    </xf>
    <xf numFmtId="0" fontId="6" fillId="0" borderId="0" xfId="0" applyFont="1" applyAlignment="1">
      <alignment vertical="center"/>
    </xf>
    <xf numFmtId="0" fontId="6" fillId="0" borderId="0" xfId="0" applyFont="1" applyBorder="1" applyAlignment="1">
      <alignment vertical="center"/>
    </xf>
    <xf numFmtId="0" fontId="0" fillId="0" borderId="0" xfId="0" applyFont="1" applyAlignment="1">
      <alignment horizontal="center" vertical="center"/>
    </xf>
    <xf numFmtId="0" fontId="7" fillId="0" borderId="0" xfId="0" applyFont="1" applyFill="1" applyBorder="1" applyAlignment="1">
      <alignment horizontal="center" vertical="center"/>
    </xf>
    <xf numFmtId="0" fontId="0" fillId="0" borderId="10" xfId="0" applyFont="1" applyFill="1" applyBorder="1" applyAlignment="1">
      <alignment horizontal="center" vertical="center"/>
    </xf>
    <xf numFmtId="14" fontId="0" fillId="0" borderId="0" xfId="0" applyNumberFormat="1" applyFont="1" applyAlignment="1">
      <alignment horizontal="center" vertical="center"/>
    </xf>
    <xf numFmtId="2" fontId="0" fillId="0" borderId="10" xfId="0" applyNumberFormat="1" applyFont="1" applyFill="1" applyBorder="1" applyAlignment="1">
      <alignment horizontal="center" vertical="center"/>
    </xf>
    <xf numFmtId="0" fontId="0" fillId="0" borderId="10" xfId="0" applyFont="1" applyBorder="1" applyAlignment="1">
      <alignment horizontal="center" vertical="center"/>
    </xf>
    <xf numFmtId="1" fontId="0" fillId="0" borderId="10" xfId="0" applyNumberFormat="1" applyFont="1" applyFill="1" applyBorder="1" applyAlignment="1">
      <alignment horizontal="center" vertical="center"/>
    </xf>
    <xf numFmtId="0" fontId="9"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right" vertical="center"/>
    </xf>
    <xf numFmtId="0" fontId="1" fillId="0" borderId="51" xfId="0" applyFont="1" applyBorder="1" applyAlignment="1">
      <alignment horizontal="left" vertical="center"/>
    </xf>
    <xf numFmtId="0" fontId="1" fillId="0" borderId="53" xfId="0" applyFont="1" applyBorder="1" applyAlignment="1">
      <alignment horizontal="left" vertical="center"/>
    </xf>
    <xf numFmtId="14" fontId="0" fillId="0" borderId="0" xfId="0" applyNumberFormat="1" applyFont="1" applyFill="1" applyAlignment="1">
      <alignment horizontal="center" vertical="center"/>
    </xf>
    <xf numFmtId="0" fontId="13" fillId="0" borderId="0" xfId="0" applyFont="1" applyAlignment="1">
      <alignment vertical="center"/>
    </xf>
    <xf numFmtId="2" fontId="13" fillId="0" borderId="0" xfId="0" applyNumberFormat="1" applyFont="1" applyAlignment="1">
      <alignment vertical="center"/>
    </xf>
    <xf numFmtId="2" fontId="14" fillId="0" borderId="10" xfId="0" applyNumberFormat="1" applyFont="1" applyBorder="1" applyAlignment="1">
      <alignment vertical="center"/>
    </xf>
    <xf numFmtId="0" fontId="13" fillId="8" borderId="10" xfId="0" applyFont="1" applyFill="1" applyBorder="1" applyAlignment="1">
      <alignment vertical="center"/>
    </xf>
    <xf numFmtId="0" fontId="13" fillId="0" borderId="10" xfId="0" applyFont="1" applyBorder="1" applyAlignment="1">
      <alignment vertical="center"/>
    </xf>
    <xf numFmtId="2" fontId="13" fillId="0" borderId="10" xfId="0" applyNumberFormat="1" applyFont="1" applyBorder="1" applyAlignment="1">
      <alignment vertical="center"/>
    </xf>
    <xf numFmtId="0" fontId="13" fillId="0" borderId="63" xfId="0" applyFont="1" applyBorder="1" applyAlignment="1">
      <alignment vertical="center"/>
    </xf>
    <xf numFmtId="2" fontId="13" fillId="0" borderId="64" xfId="0" applyNumberFormat="1" applyFont="1" applyBorder="1" applyAlignment="1">
      <alignment vertical="center"/>
    </xf>
    <xf numFmtId="2" fontId="13" fillId="0" borderId="65" xfId="0" applyNumberFormat="1" applyFont="1" applyBorder="1" applyAlignment="1">
      <alignment vertical="center"/>
    </xf>
    <xf numFmtId="0" fontId="13" fillId="0" borderId="40" xfId="0" applyFont="1" applyBorder="1" applyAlignment="1">
      <alignment vertical="center"/>
    </xf>
    <xf numFmtId="2" fontId="13" fillId="0" borderId="66" xfId="0" applyNumberFormat="1" applyFont="1" applyBorder="1" applyAlignment="1">
      <alignment vertical="center"/>
    </xf>
    <xf numFmtId="2" fontId="13" fillId="0" borderId="41" xfId="0" applyNumberFormat="1" applyFont="1" applyBorder="1" applyAlignment="1">
      <alignment vertical="center"/>
    </xf>
    <xf numFmtId="0" fontId="13" fillId="0" borderId="42" xfId="0" applyFont="1" applyBorder="1" applyAlignment="1">
      <alignment vertical="center"/>
    </xf>
    <xf numFmtId="2" fontId="13" fillId="0" borderId="67" xfId="0" applyNumberFormat="1" applyFont="1" applyBorder="1" applyAlignment="1">
      <alignment vertical="center"/>
    </xf>
    <xf numFmtId="2" fontId="13" fillId="0" borderId="43" xfId="0" applyNumberFormat="1" applyFont="1" applyBorder="1" applyAlignment="1">
      <alignment vertical="center"/>
    </xf>
    <xf numFmtId="0" fontId="13" fillId="10" borderId="10" xfId="0" applyFont="1" applyFill="1" applyBorder="1" applyAlignment="1">
      <alignment vertical="center"/>
    </xf>
    <xf numFmtId="0" fontId="14" fillId="8" borderId="10" xfId="0" applyFont="1" applyFill="1" applyBorder="1" applyAlignment="1">
      <alignment horizontal="center" vertical="center"/>
    </xf>
    <xf numFmtId="9" fontId="13" fillId="0" borderId="41" xfId="0" applyNumberFormat="1" applyFont="1" applyBorder="1" applyAlignment="1">
      <alignment vertical="center"/>
    </xf>
    <xf numFmtId="9" fontId="13" fillId="0" borderId="43" xfId="0" applyNumberFormat="1" applyFont="1" applyBorder="1" applyAlignment="1">
      <alignment vertical="center"/>
    </xf>
    <xf numFmtId="9" fontId="13" fillId="0" borderId="45" xfId="0" applyNumberFormat="1" applyFont="1" applyBorder="1" applyAlignment="1">
      <alignment vertical="center"/>
    </xf>
    <xf numFmtId="2" fontId="13" fillId="0" borderId="18" xfId="0" applyNumberFormat="1" applyFont="1" applyBorder="1" applyAlignment="1">
      <alignment vertical="center"/>
    </xf>
    <xf numFmtId="2" fontId="13" fillId="0" borderId="0" xfId="0" applyNumberFormat="1" applyFont="1" applyBorder="1" applyAlignment="1">
      <alignment vertical="center"/>
    </xf>
    <xf numFmtId="0" fontId="17" fillId="0" borderId="0" xfId="0" applyFont="1" applyAlignment="1">
      <alignment horizontal="center" vertical="center"/>
    </xf>
    <xf numFmtId="0" fontId="18" fillId="9" borderId="47" xfId="0" applyFont="1" applyFill="1" applyBorder="1" applyAlignment="1">
      <alignment horizontal="center" vertical="center"/>
    </xf>
    <xf numFmtId="14" fontId="17" fillId="0" borderId="0" xfId="0" applyNumberFormat="1" applyFont="1" applyFill="1" applyAlignment="1">
      <alignment horizontal="center" vertical="center"/>
    </xf>
    <xf numFmtId="0" fontId="17" fillId="0" borderId="44" xfId="0" applyFont="1" applyBorder="1" applyAlignment="1">
      <alignment horizontal="right" vertical="center"/>
    </xf>
    <xf numFmtId="14" fontId="17" fillId="0" borderId="45" xfId="0" applyNumberFormat="1" applyFont="1" applyBorder="1" applyAlignment="1">
      <alignment horizontal="center" vertical="center"/>
    </xf>
    <xf numFmtId="14" fontId="17" fillId="0" borderId="0" xfId="0" applyNumberFormat="1" applyFont="1" applyAlignment="1">
      <alignment horizontal="center" vertical="center"/>
    </xf>
    <xf numFmtId="0" fontId="17" fillId="0" borderId="40" xfId="0" applyFont="1" applyBorder="1" applyAlignment="1">
      <alignment horizontal="right" vertical="center"/>
    </xf>
    <xf numFmtId="14" fontId="17" fillId="0" borderId="41" xfId="0" applyNumberFormat="1" applyFont="1" applyBorder="1" applyAlignment="1">
      <alignment horizontal="center" vertical="center"/>
    </xf>
    <xf numFmtId="0" fontId="17" fillId="0" borderId="10" xfId="0" applyFont="1" applyBorder="1" applyAlignment="1">
      <alignment horizontal="center" vertical="center"/>
    </xf>
    <xf numFmtId="0" fontId="19" fillId="0" borderId="10" xfId="0" applyFont="1" applyBorder="1" applyAlignment="1">
      <alignment horizontal="center" vertical="center"/>
    </xf>
    <xf numFmtId="2" fontId="19" fillId="0" borderId="10" xfId="0" applyNumberFormat="1" applyFont="1" applyBorder="1" applyAlignment="1">
      <alignment horizontal="center" vertical="center"/>
    </xf>
    <xf numFmtId="14" fontId="17" fillId="8" borderId="41" xfId="0" applyNumberFormat="1" applyFont="1" applyFill="1" applyBorder="1" applyAlignment="1">
      <alignment horizontal="center" vertical="center"/>
    </xf>
    <xf numFmtId="0" fontId="20" fillId="0" borderId="0" xfId="0" applyFont="1" applyAlignment="1">
      <alignment horizontal="center" vertical="center"/>
    </xf>
    <xf numFmtId="0" fontId="17" fillId="0" borderId="42" xfId="0" applyFont="1" applyBorder="1" applyAlignment="1">
      <alignment horizontal="right" vertical="center"/>
    </xf>
    <xf numFmtId="14" fontId="17" fillId="0" borderId="43" xfId="0" applyNumberFormat="1" applyFont="1" applyBorder="1" applyAlignment="1">
      <alignment horizontal="center" vertical="center"/>
    </xf>
    <xf numFmtId="0" fontId="0" fillId="0" borderId="0" xfId="0" applyFont="1" applyAlignment="1">
      <alignment vertical="center"/>
    </xf>
    <xf numFmtId="9" fontId="13" fillId="0" borderId="71" xfId="0" applyNumberFormat="1" applyFont="1" applyBorder="1" applyAlignment="1">
      <alignment vertical="center"/>
    </xf>
    <xf numFmtId="0" fontId="13" fillId="0" borderId="47" xfId="0" applyFont="1" applyBorder="1" applyAlignment="1">
      <alignment vertical="center"/>
    </xf>
    <xf numFmtId="9" fontId="13" fillId="0" borderId="0" xfId="1" applyFont="1" applyAlignment="1">
      <alignment vertical="center"/>
    </xf>
    <xf numFmtId="2" fontId="4" fillId="0" borderId="0" xfId="0" applyNumberFormat="1" applyFont="1" applyAlignment="1">
      <alignment vertical="center"/>
    </xf>
    <xf numFmtId="0" fontId="4" fillId="0" borderId="0" xfId="0" applyFont="1" applyAlignment="1">
      <alignment vertical="center"/>
    </xf>
    <xf numFmtId="0" fontId="13" fillId="0" borderId="0" xfId="0" applyFont="1" applyAlignment="1">
      <alignment horizontal="center" vertical="center"/>
    </xf>
    <xf numFmtId="0" fontId="0" fillId="6" borderId="44" xfId="0" applyFont="1" applyFill="1" applyBorder="1" applyAlignment="1">
      <alignment vertical="center"/>
    </xf>
    <xf numFmtId="0" fontId="1" fillId="0" borderId="46" xfId="0" applyFont="1" applyBorder="1" applyAlignment="1">
      <alignment horizontal="center" vertical="center"/>
    </xf>
    <xf numFmtId="9" fontId="13" fillId="0" borderId="45" xfId="1" applyFont="1" applyBorder="1" applyAlignment="1">
      <alignment vertical="center"/>
    </xf>
    <xf numFmtId="0" fontId="0" fillId="6" borderId="40" xfId="0" applyFont="1" applyFill="1" applyBorder="1" applyAlignment="1">
      <alignment vertical="center"/>
    </xf>
    <xf numFmtId="0" fontId="0" fillId="7" borderId="40" xfId="0" applyFont="1" applyFill="1" applyBorder="1" applyAlignment="1">
      <alignment vertical="center"/>
    </xf>
    <xf numFmtId="0" fontId="0" fillId="7" borderId="70" xfId="0" applyFont="1" applyFill="1" applyBorder="1" applyAlignment="1">
      <alignment vertical="center"/>
    </xf>
    <xf numFmtId="0" fontId="0" fillId="7" borderId="42" xfId="0" applyFont="1" applyFill="1" applyBorder="1" applyAlignment="1">
      <alignment vertical="center"/>
    </xf>
    <xf numFmtId="0" fontId="21" fillId="0" borderId="0" xfId="2" applyFill="1" applyBorder="1" applyAlignment="1">
      <alignment horizontal="center" vertical="center"/>
    </xf>
    <xf numFmtId="0" fontId="21" fillId="0" borderId="0" xfId="2" applyAlignment="1">
      <alignment horizontal="center" vertical="center"/>
    </xf>
    <xf numFmtId="0" fontId="13" fillId="0" borderId="18" xfId="0" applyFont="1" applyBorder="1" applyAlignment="1">
      <alignment vertical="center"/>
    </xf>
    <xf numFmtId="0" fontId="13" fillId="0" borderId="0" xfId="0" applyFont="1" applyBorder="1" applyAlignment="1">
      <alignment horizontal="center" vertical="center"/>
    </xf>
    <xf numFmtId="0" fontId="0" fillId="0" borderId="10" xfId="0" applyFont="1" applyBorder="1" applyAlignment="1">
      <alignment horizontal="left" vertical="center"/>
    </xf>
    <xf numFmtId="0" fontId="0" fillId="0" borderId="10" xfId="0" applyFont="1" applyBorder="1" applyAlignment="1">
      <alignment horizontal="left" vertical="center" wrapText="1"/>
    </xf>
    <xf numFmtId="0" fontId="0" fillId="8" borderId="40" xfId="0" applyFont="1" applyFill="1" applyBorder="1" applyAlignment="1">
      <alignment horizontal="right" vertical="center"/>
    </xf>
    <xf numFmtId="0" fontId="0" fillId="0" borderId="0" xfId="0" applyAlignment="1">
      <alignment horizontal="center" vertical="center"/>
    </xf>
    <xf numFmtId="0" fontId="4" fillId="0" borderId="54" xfId="0" applyFont="1" applyBorder="1" applyAlignment="1">
      <alignment horizontal="center" vertical="center"/>
    </xf>
    <xf numFmtId="0" fontId="4" fillId="0" borderId="0" xfId="0" applyFont="1" applyAlignment="1">
      <alignment horizontal="right" vertical="center"/>
    </xf>
    <xf numFmtId="0" fontId="21" fillId="0" borderId="0" xfId="2"/>
    <xf numFmtId="0" fontId="22" fillId="0" borderId="0" xfId="3"/>
    <xf numFmtId="0" fontId="22" fillId="0" borderId="0" xfId="3" applyBorder="1" applyAlignment="1">
      <alignment horizontal="center"/>
    </xf>
    <xf numFmtId="0" fontId="22" fillId="0" borderId="0" xfId="3" applyBorder="1"/>
    <xf numFmtId="0" fontId="0" fillId="0" borderId="76" xfId="0" applyBorder="1" applyAlignment="1">
      <alignment horizontal="center" vertical="center"/>
    </xf>
    <xf numFmtId="0" fontId="0" fillId="0" borderId="77" xfId="0" applyBorder="1" applyAlignment="1">
      <alignment horizontal="center" vertical="center"/>
    </xf>
    <xf numFmtId="0" fontId="22" fillId="0" borderId="58" xfId="3" applyBorder="1" applyAlignment="1">
      <alignment horizontal="center"/>
    </xf>
    <xf numFmtId="0" fontId="0" fillId="0" borderId="10" xfId="0" applyFont="1" applyBorder="1" applyAlignment="1">
      <alignment vertical="center"/>
    </xf>
    <xf numFmtId="2" fontId="23" fillId="0" borderId="0" xfId="0" applyNumberFormat="1" applyFont="1" applyAlignment="1">
      <alignment vertical="center"/>
    </xf>
    <xf numFmtId="9" fontId="13" fillId="0" borderId="0" xfId="0" applyNumberFormat="1" applyFont="1" applyAlignment="1">
      <alignment vertical="center"/>
    </xf>
    <xf numFmtId="0" fontId="0" fillId="0" borderId="0" xfId="0" applyFont="1" applyBorder="1" applyAlignment="1">
      <alignment vertical="center"/>
    </xf>
    <xf numFmtId="0" fontId="1" fillId="0" borderId="10" xfId="0" applyFont="1" applyBorder="1" applyAlignment="1">
      <alignment horizontal="left" vertical="center"/>
    </xf>
    <xf numFmtId="2" fontId="4" fillId="0" borderId="0" xfId="0" applyNumberFormat="1" applyFont="1" applyAlignment="1">
      <alignment horizontal="center" vertical="center"/>
    </xf>
    <xf numFmtId="0" fontId="26" fillId="2" borderId="0" xfId="0" applyFont="1" applyFill="1" applyAlignment="1">
      <alignment vertical="center"/>
    </xf>
    <xf numFmtId="0" fontId="27" fillId="12" borderId="11" xfId="0" applyFont="1" applyFill="1" applyBorder="1" applyAlignment="1">
      <alignment vertical="center"/>
    </xf>
    <xf numFmtId="0" fontId="28" fillId="12" borderId="17" xfId="0" applyFont="1" applyFill="1" applyBorder="1" applyAlignment="1">
      <alignment vertical="center"/>
    </xf>
    <xf numFmtId="0" fontId="28" fillId="12" borderId="12" xfId="0" applyFont="1" applyFill="1" applyBorder="1" applyAlignment="1">
      <alignment vertical="center"/>
    </xf>
    <xf numFmtId="0" fontId="26" fillId="0" borderId="0" xfId="0" applyFont="1" applyAlignment="1">
      <alignment vertical="center"/>
    </xf>
    <xf numFmtId="0" fontId="28" fillId="12" borderId="13" xfId="0" applyFont="1" applyFill="1" applyBorder="1" applyAlignment="1">
      <alignment vertical="center"/>
    </xf>
    <xf numFmtId="0" fontId="27" fillId="12" borderId="0" xfId="0" applyFont="1" applyFill="1" applyBorder="1" applyAlignment="1">
      <alignment vertical="center"/>
    </xf>
    <xf numFmtId="0" fontId="28" fillId="12" borderId="0" xfId="0" applyFont="1" applyFill="1" applyBorder="1" applyAlignment="1">
      <alignment vertical="center"/>
    </xf>
    <xf numFmtId="0" fontId="28" fillId="12" borderId="14" xfId="0" applyFont="1" applyFill="1" applyBorder="1" applyAlignment="1">
      <alignment vertical="center"/>
    </xf>
    <xf numFmtId="0" fontId="28" fillId="2" borderId="0" xfId="0" applyFont="1" applyFill="1" applyAlignment="1">
      <alignment vertical="center"/>
    </xf>
    <xf numFmtId="0" fontId="28" fillId="0" borderId="0" xfId="0" applyFont="1" applyAlignment="1">
      <alignment vertical="center"/>
    </xf>
    <xf numFmtId="0" fontId="28" fillId="12" borderId="0" xfId="0" applyFont="1" applyFill="1" applyAlignment="1">
      <alignment vertical="center"/>
    </xf>
    <xf numFmtId="0" fontId="28" fillId="12" borderId="15" xfId="0" applyFont="1" applyFill="1" applyBorder="1" applyAlignment="1">
      <alignment vertical="center"/>
    </xf>
    <xf numFmtId="0" fontId="28" fillId="12" borderId="18" xfId="0" applyFont="1" applyFill="1" applyBorder="1" applyAlignment="1">
      <alignment vertical="center"/>
    </xf>
    <xf numFmtId="0" fontId="28" fillId="12" borderId="16" xfId="0" applyFont="1" applyFill="1" applyBorder="1" applyAlignment="1">
      <alignment vertical="center"/>
    </xf>
    <xf numFmtId="0" fontId="28" fillId="2" borderId="0" xfId="0" applyFont="1" applyFill="1" applyBorder="1" applyAlignment="1">
      <alignment vertical="center"/>
    </xf>
    <xf numFmtId="0" fontId="29" fillId="0" borderId="0" xfId="0" applyFont="1" applyAlignment="1">
      <alignment vertical="center"/>
    </xf>
    <xf numFmtId="0" fontId="26" fillId="0" borderId="31" xfId="0" applyFont="1" applyBorder="1" applyAlignment="1">
      <alignment vertical="center"/>
    </xf>
    <xf numFmtId="0" fontId="26" fillId="0" borderId="32" xfId="0" applyFont="1" applyBorder="1" applyAlignment="1">
      <alignment vertical="center"/>
    </xf>
    <xf numFmtId="0" fontId="26" fillId="0" borderId="0" xfId="0" applyFont="1" applyFill="1" applyAlignment="1">
      <alignment vertical="center"/>
    </xf>
    <xf numFmtId="0" fontId="26" fillId="0" borderId="29" xfId="0" applyFont="1" applyBorder="1" applyAlignment="1">
      <alignment horizontal="center" vertical="center"/>
    </xf>
    <xf numFmtId="4" fontId="26" fillId="0" borderId="29" xfId="0" applyNumberFormat="1" applyFont="1" applyFill="1" applyBorder="1" applyAlignment="1">
      <alignment vertical="center"/>
    </xf>
    <xf numFmtId="4" fontId="26" fillId="0" borderId="29" xfId="0" applyNumberFormat="1" applyFont="1" applyBorder="1" applyAlignment="1">
      <alignment vertical="center"/>
    </xf>
    <xf numFmtId="0" fontId="26" fillId="0" borderId="29" xfId="0" applyFont="1" applyBorder="1" applyAlignment="1">
      <alignment vertical="center"/>
    </xf>
    <xf numFmtId="0" fontId="26" fillId="0" borderId="33" xfId="0" applyFont="1" applyBorder="1" applyAlignment="1">
      <alignment vertical="center"/>
    </xf>
    <xf numFmtId="0" fontId="29" fillId="0" borderId="0" xfId="0" applyFont="1" applyFill="1" applyAlignment="1">
      <alignment vertical="center"/>
    </xf>
    <xf numFmtId="0" fontId="26" fillId="0" borderId="0" xfId="0" applyFont="1" applyBorder="1" applyAlignment="1">
      <alignment horizontal="center" vertical="center"/>
    </xf>
    <xf numFmtId="0" fontId="26" fillId="0" borderId="0" xfId="0" applyFont="1" applyBorder="1" applyAlignment="1">
      <alignment vertical="center"/>
    </xf>
    <xf numFmtId="2" fontId="26" fillId="0" borderId="0" xfId="0" applyNumberFormat="1" applyFont="1" applyFill="1" applyAlignment="1">
      <alignment vertical="center"/>
    </xf>
    <xf numFmtId="0" fontId="30" fillId="0" borderId="0" xfId="2" applyFont="1" applyAlignment="1">
      <alignment horizontal="center" vertical="center"/>
    </xf>
    <xf numFmtId="0" fontId="26" fillId="0" borderId="0" xfId="0" applyFont="1" applyAlignment="1">
      <alignment horizontal="center" vertical="center"/>
    </xf>
    <xf numFmtId="0" fontId="30" fillId="0" borderId="0" xfId="2" applyFont="1" applyBorder="1" applyAlignment="1">
      <alignment horizontal="center" vertical="center"/>
    </xf>
    <xf numFmtId="0" fontId="26" fillId="0" borderId="35" xfId="0" applyFont="1" applyBorder="1" applyAlignment="1">
      <alignment horizontal="center" vertical="center"/>
    </xf>
    <xf numFmtId="0" fontId="26" fillId="0" borderId="35" xfId="0" applyFont="1" applyBorder="1" applyAlignment="1">
      <alignment vertical="center"/>
    </xf>
    <xf numFmtId="0" fontId="26" fillId="0" borderId="36" xfId="0" applyFont="1" applyBorder="1" applyAlignment="1">
      <alignment vertical="center"/>
    </xf>
    <xf numFmtId="0" fontId="31" fillId="3" borderId="3" xfId="0" applyFont="1" applyFill="1" applyBorder="1" applyAlignment="1">
      <alignment horizontal="center" vertical="center"/>
    </xf>
    <xf numFmtId="0" fontId="32" fillId="0" borderId="0" xfId="0" applyFont="1" applyAlignment="1">
      <alignment vertical="center"/>
    </xf>
    <xf numFmtId="0" fontId="26" fillId="0" borderId="31" xfId="0" applyFont="1" applyBorder="1" applyAlignment="1">
      <alignment horizontal="center" vertical="center"/>
    </xf>
    <xf numFmtId="4" fontId="26" fillId="0" borderId="31" xfId="0" applyNumberFormat="1" applyFont="1" applyBorder="1" applyAlignment="1">
      <alignment vertical="center"/>
    </xf>
    <xf numFmtId="4" fontId="26" fillId="0" borderId="33" xfId="0" applyNumberFormat="1" applyFont="1" applyBorder="1" applyAlignment="1">
      <alignment vertical="center"/>
    </xf>
    <xf numFmtId="4" fontId="26" fillId="0" borderId="35" xfId="0" applyNumberFormat="1" applyFont="1" applyBorder="1" applyAlignment="1">
      <alignment vertical="center"/>
    </xf>
    <xf numFmtId="4" fontId="26" fillId="0" borderId="36" xfId="0" applyNumberFormat="1" applyFont="1" applyBorder="1" applyAlignment="1">
      <alignment vertical="center"/>
    </xf>
    <xf numFmtId="4" fontId="26" fillId="0" borderId="0" xfId="0" applyNumberFormat="1" applyFont="1" applyBorder="1" applyAlignment="1">
      <alignment vertical="center"/>
    </xf>
    <xf numFmtId="4" fontId="26" fillId="0" borderId="8" xfId="0" applyNumberFormat="1" applyFont="1" applyBorder="1" applyAlignment="1">
      <alignment vertical="center"/>
    </xf>
    <xf numFmtId="0" fontId="26" fillId="0" borderId="7" xfId="0" applyFont="1" applyBorder="1" applyAlignment="1">
      <alignment vertical="center"/>
    </xf>
    <xf numFmtId="4" fontId="26" fillId="0" borderId="73" xfId="0" applyNumberFormat="1" applyFont="1" applyBorder="1" applyAlignment="1">
      <alignment vertical="center"/>
    </xf>
    <xf numFmtId="4" fontId="29" fillId="3" borderId="1" xfId="0" applyNumberFormat="1" applyFont="1" applyFill="1" applyBorder="1" applyAlignment="1">
      <alignment vertical="center"/>
    </xf>
    <xf numFmtId="4" fontId="29" fillId="3" borderId="4" xfId="0" applyNumberFormat="1" applyFont="1" applyFill="1" applyBorder="1" applyAlignment="1">
      <alignment vertical="center"/>
    </xf>
    <xf numFmtId="4" fontId="26" fillId="0" borderId="75" xfId="0" applyNumberFormat="1" applyFont="1" applyFill="1" applyBorder="1" applyAlignment="1">
      <alignment vertical="center"/>
    </xf>
    <xf numFmtId="4" fontId="26" fillId="0" borderId="75" xfId="0" applyNumberFormat="1" applyFont="1" applyBorder="1" applyAlignment="1">
      <alignment vertical="center"/>
    </xf>
    <xf numFmtId="0" fontId="26" fillId="0" borderId="29" xfId="0" applyFont="1" applyFill="1" applyBorder="1" applyAlignment="1">
      <alignment horizontal="center" vertical="center"/>
    </xf>
    <xf numFmtId="0" fontId="26" fillId="0" borderId="68" xfId="0" applyFont="1" applyFill="1" applyBorder="1" applyAlignment="1">
      <alignment horizontal="center" vertical="center"/>
    </xf>
    <xf numFmtId="0" fontId="26" fillId="0" borderId="68" xfId="0" applyFont="1" applyBorder="1" applyAlignment="1">
      <alignment vertical="center"/>
    </xf>
    <xf numFmtId="0" fontId="26" fillId="0" borderId="5" xfId="0" applyFont="1" applyBorder="1" applyAlignment="1">
      <alignment vertical="center"/>
    </xf>
    <xf numFmtId="0" fontId="26" fillId="0" borderId="9" xfId="0" applyFont="1" applyBorder="1" applyAlignment="1">
      <alignment vertical="center"/>
    </xf>
    <xf numFmtId="4" fontId="26" fillId="0" borderId="9" xfId="0" applyNumberFormat="1" applyFont="1" applyBorder="1" applyAlignment="1">
      <alignment vertical="center"/>
    </xf>
    <xf numFmtId="0" fontId="26" fillId="3" borderId="3" xfId="0" applyFont="1" applyFill="1" applyBorder="1" applyAlignment="1">
      <alignment vertical="center"/>
    </xf>
    <xf numFmtId="0" fontId="26" fillId="3" borderId="4" xfId="0" applyFont="1" applyFill="1" applyBorder="1" applyAlignment="1">
      <alignment vertical="center"/>
    </xf>
    <xf numFmtId="0" fontId="26" fillId="0" borderId="8" xfId="0" applyFont="1" applyBorder="1" applyAlignment="1">
      <alignment vertical="center"/>
    </xf>
    <xf numFmtId="0" fontId="26" fillId="0" borderId="6" xfId="0" applyFont="1" applyBorder="1" applyAlignment="1">
      <alignment vertical="center"/>
    </xf>
    <xf numFmtId="0" fontId="5" fillId="6" borderId="51" xfId="0" applyFont="1" applyFill="1" applyBorder="1" applyAlignment="1">
      <alignment horizontal="center" vertical="center"/>
    </xf>
    <xf numFmtId="2" fontId="0" fillId="6" borderId="52" xfId="0" applyNumberFormat="1" applyFont="1" applyFill="1" applyBorder="1" applyAlignment="1">
      <alignment horizontal="center" vertical="center"/>
    </xf>
    <xf numFmtId="0" fontId="5" fillId="7" borderId="80" xfId="0" applyFont="1" applyFill="1" applyBorder="1" applyAlignment="1">
      <alignment horizontal="center" vertical="center"/>
    </xf>
    <xf numFmtId="2" fontId="0" fillId="0" borderId="81" xfId="0" applyNumberFormat="1" applyFont="1" applyFill="1" applyBorder="1" applyAlignment="1">
      <alignment horizontal="center" vertical="center"/>
    </xf>
    <xf numFmtId="0" fontId="5" fillId="7" borderId="53" xfId="0" applyFont="1" applyFill="1" applyBorder="1" applyAlignment="1">
      <alignment horizontal="center" vertical="center"/>
    </xf>
    <xf numFmtId="2" fontId="0" fillId="0" borderId="54" xfId="0" applyNumberFormat="1" applyFont="1" applyFill="1" applyBorder="1" applyAlignment="1">
      <alignment horizontal="center" vertical="center"/>
    </xf>
    <xf numFmtId="0" fontId="8" fillId="0" borderId="10" xfId="0" applyFont="1" applyBorder="1" applyAlignment="1">
      <alignment horizontal="center" vertical="center"/>
    </xf>
    <xf numFmtId="0" fontId="1" fillId="0" borderId="10" xfId="0"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center" vertical="center"/>
    </xf>
    <xf numFmtId="0" fontId="3" fillId="0" borderId="10" xfId="0" applyFont="1" applyFill="1" applyBorder="1" applyAlignment="1">
      <alignment horizontal="center" vertical="center"/>
    </xf>
    <xf numFmtId="4" fontId="35" fillId="0" borderId="0" xfId="0" applyNumberFormat="1" applyFont="1" applyAlignment="1">
      <alignment vertical="center"/>
    </xf>
    <xf numFmtId="4" fontId="35" fillId="0" borderId="44" xfId="0" applyNumberFormat="1" applyFont="1" applyBorder="1" applyAlignment="1">
      <alignment vertical="center"/>
    </xf>
    <xf numFmtId="4" fontId="35" fillId="0" borderId="45" xfId="0" applyNumberFormat="1" applyFont="1" applyBorder="1" applyAlignment="1">
      <alignment vertical="center"/>
    </xf>
    <xf numFmtId="4" fontId="37" fillId="0" borderId="105" xfId="0" applyNumberFormat="1" applyFont="1" applyBorder="1" applyAlignment="1" applyProtection="1">
      <alignment horizontal="center" vertical="center"/>
    </xf>
    <xf numFmtId="4" fontId="35" fillId="0" borderId="106" xfId="0" applyNumberFormat="1" applyFont="1" applyBorder="1" applyAlignment="1">
      <alignment vertical="center"/>
    </xf>
    <xf numFmtId="4" fontId="35" fillId="0" borderId="107" xfId="0" applyNumberFormat="1" applyFont="1" applyBorder="1" applyAlignment="1">
      <alignment vertical="center"/>
    </xf>
    <xf numFmtId="4" fontId="35" fillId="0" borderId="108" xfId="0" applyNumberFormat="1" applyFont="1" applyBorder="1" applyAlignment="1">
      <alignment vertical="center"/>
    </xf>
    <xf numFmtId="4" fontId="37" fillId="0" borderId="109" xfId="0" applyNumberFormat="1" applyFont="1" applyBorder="1" applyAlignment="1" applyProtection="1">
      <alignment horizontal="center" vertical="center"/>
    </xf>
    <xf numFmtId="4" fontId="35" fillId="0" borderId="110" xfId="0" applyNumberFormat="1" applyFont="1" applyBorder="1" applyAlignment="1">
      <alignment vertical="center"/>
    </xf>
    <xf numFmtId="4" fontId="35" fillId="0" borderId="104" xfId="0" applyNumberFormat="1" applyFont="1" applyBorder="1" applyAlignment="1">
      <alignment vertical="center"/>
    </xf>
    <xf numFmtId="4" fontId="35" fillId="0" borderId="103" xfId="0" applyNumberFormat="1" applyFont="1" applyBorder="1" applyAlignment="1">
      <alignment vertical="center"/>
    </xf>
    <xf numFmtId="4" fontId="35" fillId="0" borderId="111" xfId="0" applyNumberFormat="1" applyFont="1" applyBorder="1" applyAlignment="1">
      <alignment vertical="center"/>
    </xf>
    <xf numFmtId="4" fontId="37" fillId="0" borderId="112" xfId="0" applyNumberFormat="1" applyFont="1" applyBorder="1" applyAlignment="1" applyProtection="1">
      <alignment horizontal="center" vertical="center"/>
    </xf>
    <xf numFmtId="4" fontId="35" fillId="0" borderId="10" xfId="0" applyNumberFormat="1" applyFont="1" applyBorder="1" applyAlignment="1">
      <alignment vertical="center"/>
    </xf>
    <xf numFmtId="4" fontId="36" fillId="0" borderId="114" xfId="0" applyNumberFormat="1" applyFont="1" applyBorder="1" applyAlignment="1" applyProtection="1">
      <alignment horizontal="center" vertical="center"/>
    </xf>
    <xf numFmtId="4" fontId="0" fillId="0" borderId="0" xfId="0" applyNumberFormat="1" applyFont="1" applyAlignment="1">
      <alignment vertical="center"/>
    </xf>
    <xf numFmtId="0" fontId="35" fillId="0" borderId="78" xfId="0" applyFont="1" applyBorder="1" applyAlignment="1">
      <alignment horizontal="right" vertical="center"/>
    </xf>
    <xf numFmtId="0" fontId="22" fillId="0" borderId="0" xfId="3" applyBorder="1" applyAlignment="1">
      <alignment horizontal="left" vertical="center" wrapText="1"/>
    </xf>
    <xf numFmtId="0" fontId="22" fillId="0" borderId="49" xfId="3" applyBorder="1" applyAlignment="1">
      <alignment horizontal="left" vertical="center" wrapText="1"/>
    </xf>
    <xf numFmtId="0" fontId="35" fillId="0" borderId="51" xfId="0" applyFont="1" applyBorder="1" applyAlignment="1">
      <alignment horizontal="right" vertical="center"/>
    </xf>
    <xf numFmtId="4" fontId="35" fillId="0" borderId="52" xfId="0" applyNumberFormat="1" applyFont="1" applyBorder="1" applyAlignment="1">
      <alignment vertical="center"/>
    </xf>
    <xf numFmtId="0" fontId="38" fillId="0" borderId="115" xfId="0" applyFont="1" applyFill="1" applyBorder="1" applyAlignment="1" applyProtection="1">
      <alignment horizontal="right" vertical="center"/>
    </xf>
    <xf numFmtId="4" fontId="35" fillId="0" borderId="116" xfId="0" applyNumberFormat="1" applyFont="1" applyBorder="1" applyAlignment="1">
      <alignment vertical="center"/>
    </xf>
    <xf numFmtId="0" fontId="38" fillId="0" borderId="117" xfId="0" applyFont="1" applyFill="1" applyBorder="1" applyAlignment="1" applyProtection="1">
      <alignment horizontal="right" vertical="center"/>
    </xf>
    <xf numFmtId="4" fontId="35" fillId="0" borderId="118" xfId="0" applyNumberFormat="1" applyFont="1" applyBorder="1" applyAlignment="1">
      <alignment vertical="center"/>
    </xf>
    <xf numFmtId="4" fontId="35" fillId="0" borderId="51" xfId="0" applyNumberFormat="1" applyFont="1" applyBorder="1" applyAlignment="1">
      <alignment horizontal="right" vertical="center"/>
    </xf>
    <xf numFmtId="4" fontId="35" fillId="0" borderId="117" xfId="0" applyNumberFormat="1" applyFont="1" applyBorder="1" applyAlignment="1">
      <alignment horizontal="right" vertical="center"/>
    </xf>
    <xf numFmtId="4" fontId="36" fillId="14" borderId="10" xfId="0" applyNumberFormat="1" applyFont="1" applyFill="1" applyBorder="1" applyAlignment="1" applyProtection="1">
      <alignment horizontal="center" vertical="center" wrapText="1"/>
    </xf>
    <xf numFmtId="4" fontId="35" fillId="10" borderId="10" xfId="0" applyNumberFormat="1" applyFont="1" applyFill="1" applyBorder="1" applyAlignment="1">
      <alignment horizontal="center" vertical="center" wrapText="1"/>
    </xf>
    <xf numFmtId="0" fontId="22" fillId="0" borderId="121" xfId="3" applyBorder="1"/>
    <xf numFmtId="4" fontId="35" fillId="0" borderId="121" xfId="0" applyNumberFormat="1" applyFont="1" applyBorder="1" applyAlignment="1">
      <alignment horizontal="center" vertical="center" textRotation="90"/>
    </xf>
    <xf numFmtId="4" fontId="35" fillId="0" borderId="121" xfId="0" applyNumberFormat="1" applyFont="1" applyBorder="1" applyAlignment="1">
      <alignment horizontal="center" vertical="center" textRotation="90" wrapText="1"/>
    </xf>
    <xf numFmtId="2" fontId="41" fillId="0" borderId="122" xfId="3" applyNumberFormat="1" applyFont="1" applyBorder="1" applyAlignment="1"/>
    <xf numFmtId="0" fontId="29" fillId="3" borderId="2" xfId="0" applyFont="1" applyFill="1" applyBorder="1" applyAlignment="1">
      <alignment horizontal="center" vertical="center"/>
    </xf>
    <xf numFmtId="0" fontId="22" fillId="0" borderId="0" xfId="3" applyAlignment="1">
      <alignment horizontal="center"/>
    </xf>
    <xf numFmtId="4" fontId="43" fillId="0" borderId="123" xfId="0" applyNumberFormat="1" applyFont="1" applyBorder="1" applyAlignment="1">
      <alignment horizontal="center" vertical="center"/>
    </xf>
    <xf numFmtId="4" fontId="43" fillId="0" borderId="125" xfId="0" applyNumberFormat="1" applyFont="1" applyBorder="1" applyAlignment="1">
      <alignment horizontal="center" vertical="center"/>
    </xf>
    <xf numFmtId="4" fontId="43" fillId="0" borderId="44" xfId="0" applyNumberFormat="1" applyFont="1" applyBorder="1" applyAlignment="1">
      <alignment horizontal="center" vertical="center"/>
    </xf>
    <xf numFmtId="0" fontId="42" fillId="0" borderId="46" xfId="3" applyFont="1" applyBorder="1" applyAlignment="1">
      <alignment horizontal="center" vertical="center"/>
    </xf>
    <xf numFmtId="0" fontId="42" fillId="0" borderId="47" xfId="3" applyFont="1" applyBorder="1" applyAlignment="1">
      <alignment horizontal="center" vertical="center"/>
    </xf>
    <xf numFmtId="49" fontId="42" fillId="0" borderId="45" xfId="3" applyNumberFormat="1" applyFont="1" applyBorder="1" applyAlignment="1">
      <alignment horizontal="center" vertical="center"/>
    </xf>
    <xf numFmtId="0" fontId="42" fillId="0" borderId="124" xfId="3" applyFont="1" applyBorder="1" applyAlignment="1">
      <alignment horizontal="center" vertical="center"/>
    </xf>
    <xf numFmtId="49" fontId="43" fillId="0" borderId="126" xfId="0" applyNumberFormat="1" applyFont="1" applyBorder="1" applyAlignment="1">
      <alignment horizontal="center" vertical="center"/>
    </xf>
    <xf numFmtId="0" fontId="6" fillId="12" borderId="15" xfId="0" applyFont="1" applyFill="1" applyBorder="1" applyAlignment="1">
      <alignment vertical="center"/>
    </xf>
    <xf numFmtId="2" fontId="28" fillId="12" borderId="16" xfId="0" applyNumberFormat="1" applyFont="1" applyFill="1" applyBorder="1" applyAlignment="1">
      <alignment horizontal="center" vertical="center"/>
    </xf>
    <xf numFmtId="10" fontId="26" fillId="0" borderId="31" xfId="1" applyNumberFormat="1" applyFont="1" applyBorder="1" applyAlignment="1">
      <alignment vertical="center"/>
    </xf>
    <xf numFmtId="10" fontId="26" fillId="0" borderId="29" xfId="1" applyNumberFormat="1" applyFont="1" applyBorder="1" applyAlignment="1">
      <alignment vertical="center"/>
    </xf>
    <xf numFmtId="10" fontId="26" fillId="0" borderId="0" xfId="1" applyNumberFormat="1" applyFont="1" applyBorder="1" applyAlignment="1">
      <alignment vertical="center"/>
    </xf>
    <xf numFmtId="4" fontId="6" fillId="0" borderId="0" xfId="0" applyNumberFormat="1" applyFont="1" applyAlignment="1">
      <alignment vertical="center"/>
    </xf>
    <xf numFmtId="10" fontId="26" fillId="15" borderId="31" xfId="1" applyNumberFormat="1" applyFont="1" applyFill="1" applyBorder="1" applyAlignment="1">
      <alignment vertical="center"/>
    </xf>
    <xf numFmtId="4" fontId="26" fillId="15" borderId="32" xfId="0" applyNumberFormat="1" applyFont="1" applyFill="1" applyBorder="1" applyAlignment="1">
      <alignment vertical="center"/>
    </xf>
    <xf numFmtId="10" fontId="26" fillId="0" borderId="29" xfId="1" applyNumberFormat="1" applyFont="1" applyFill="1" applyBorder="1" applyAlignment="1">
      <alignment vertical="center"/>
    </xf>
    <xf numFmtId="0" fontId="26" fillId="0" borderId="128" xfId="0" applyFont="1" applyBorder="1" applyAlignment="1">
      <alignment horizontal="center" vertical="center"/>
    </xf>
    <xf numFmtId="4" fontId="26" fillId="0" borderId="128" xfId="0" applyNumberFormat="1" applyFont="1" applyBorder="1" applyAlignment="1">
      <alignment vertical="center"/>
    </xf>
    <xf numFmtId="10" fontId="26" fillId="0" borderId="128" xfId="1" applyNumberFormat="1" applyFont="1" applyBorder="1" applyAlignment="1">
      <alignment vertical="center"/>
    </xf>
    <xf numFmtId="4" fontId="26" fillId="0" borderId="129" xfId="0" applyNumberFormat="1" applyFont="1" applyBorder="1" applyAlignment="1">
      <alignment vertical="center"/>
    </xf>
    <xf numFmtId="0" fontId="26" fillId="0" borderId="75" xfId="0" applyFont="1" applyBorder="1" applyAlignment="1">
      <alignment horizontal="center" vertical="center"/>
    </xf>
    <xf numFmtId="167" fontId="26" fillId="0" borderId="75" xfId="1" applyNumberFormat="1" applyFont="1" applyBorder="1" applyAlignment="1">
      <alignment vertical="center"/>
    </xf>
    <xf numFmtId="4" fontId="26" fillId="0" borderId="4" xfId="0" applyNumberFormat="1" applyFont="1" applyBorder="1" applyAlignment="1">
      <alignment vertical="center"/>
    </xf>
    <xf numFmtId="4" fontId="0" fillId="0" borderId="1" xfId="0" applyNumberFormat="1" applyFont="1" applyBorder="1" applyAlignment="1">
      <alignment vertical="center"/>
    </xf>
    <xf numFmtId="0" fontId="0" fillId="0" borderId="29" xfId="0" applyFont="1" applyBorder="1" applyAlignment="1">
      <alignment horizontal="center" vertical="center"/>
    </xf>
    <xf numFmtId="0" fontId="44" fillId="0" borderId="0" xfId="0" applyFont="1" applyAlignment="1">
      <alignment vertical="center"/>
    </xf>
    <xf numFmtId="0" fontId="26" fillId="0" borderId="9" xfId="0" applyFont="1" applyBorder="1" applyAlignment="1">
      <alignment horizontal="center" vertical="center"/>
    </xf>
    <xf numFmtId="4" fontId="29" fillId="3" borderId="3" xfId="0" applyNumberFormat="1" applyFont="1" applyFill="1" applyBorder="1" applyAlignment="1">
      <alignment vertical="center"/>
    </xf>
    <xf numFmtId="0" fontId="29" fillId="16" borderId="2" xfId="0" applyFont="1" applyFill="1" applyBorder="1" applyAlignment="1">
      <alignment horizontal="center" vertical="center"/>
    </xf>
    <xf numFmtId="0" fontId="29" fillId="16" borderId="4" xfId="0" applyFont="1" applyFill="1" applyBorder="1" applyAlignment="1">
      <alignment horizontal="center" vertical="center"/>
    </xf>
    <xf numFmtId="0" fontId="29" fillId="16" borderId="1" xfId="0" applyFont="1" applyFill="1" applyBorder="1" applyAlignment="1">
      <alignment horizontal="center" vertical="center"/>
    </xf>
    <xf numFmtId="0" fontId="29" fillId="16" borderId="3" xfId="0" applyFont="1" applyFill="1" applyBorder="1" applyAlignment="1">
      <alignment vertical="center"/>
    </xf>
    <xf numFmtId="0" fontId="29" fillId="16" borderId="4" xfId="0" applyFont="1" applyFill="1" applyBorder="1" applyAlignment="1">
      <alignment vertical="center"/>
    </xf>
    <xf numFmtId="0" fontId="31" fillId="16" borderId="3" xfId="0" applyFont="1" applyFill="1" applyBorder="1" applyAlignment="1">
      <alignment horizontal="center" vertical="center"/>
    </xf>
    <xf numFmtId="0" fontId="31" fillId="16" borderId="3" xfId="0" applyFont="1" applyFill="1" applyBorder="1" applyAlignment="1">
      <alignment vertical="center"/>
    </xf>
    <xf numFmtId="0" fontId="31" fillId="16" borderId="4" xfId="0" applyFont="1" applyFill="1" applyBorder="1" applyAlignment="1">
      <alignment vertical="center"/>
    </xf>
    <xf numFmtId="4" fontId="31" fillId="16" borderId="3" xfId="0" applyNumberFormat="1" applyFont="1" applyFill="1" applyBorder="1" applyAlignment="1">
      <alignment horizontal="center" vertical="center"/>
    </xf>
    <xf numFmtId="4" fontId="31" fillId="16" borderId="3" xfId="0" applyNumberFormat="1" applyFont="1" applyFill="1" applyBorder="1" applyAlignment="1">
      <alignment vertical="center"/>
    </xf>
    <xf numFmtId="4" fontId="31" fillId="16" borderId="4" xfId="0" applyNumberFormat="1" applyFont="1" applyFill="1" applyBorder="1" applyAlignment="1">
      <alignment vertical="center"/>
    </xf>
    <xf numFmtId="0" fontId="26" fillId="0" borderId="7" xfId="0" applyFont="1" applyFill="1" applyBorder="1" applyAlignment="1">
      <alignment horizontal="left" vertical="center"/>
    </xf>
    <xf numFmtId="0" fontId="26" fillId="0" borderId="0" xfId="0" applyFont="1" applyFill="1" applyBorder="1" applyAlignment="1">
      <alignment horizontal="left" vertical="center"/>
    </xf>
    <xf numFmtId="0" fontId="0" fillId="0" borderId="1" xfId="0" applyFont="1" applyBorder="1" applyAlignment="1">
      <alignment vertical="center"/>
    </xf>
    <xf numFmtId="10" fontId="26" fillId="0" borderId="75" xfId="1" applyNumberFormat="1" applyFont="1" applyFill="1" applyBorder="1" applyAlignment="1">
      <alignment vertical="center"/>
    </xf>
    <xf numFmtId="4" fontId="0" fillId="0" borderId="74" xfId="0" applyNumberFormat="1" applyFont="1" applyBorder="1" applyAlignment="1">
      <alignment vertical="center"/>
    </xf>
    <xf numFmtId="4" fontId="29" fillId="0" borderId="0" xfId="0" applyNumberFormat="1" applyFont="1" applyFill="1" applyBorder="1" applyAlignment="1">
      <alignment vertical="center"/>
    </xf>
    <xf numFmtId="4" fontId="1" fillId="0" borderId="0" xfId="0" applyNumberFormat="1" applyFont="1" applyFill="1" applyBorder="1" applyAlignment="1">
      <alignment vertical="center"/>
    </xf>
    <xf numFmtId="4" fontId="1" fillId="0" borderId="8" xfId="0" applyNumberFormat="1" applyFont="1" applyFill="1" applyBorder="1" applyAlignment="1">
      <alignment vertical="center"/>
    </xf>
    <xf numFmtId="2" fontId="4" fillId="3" borderId="26" xfId="0" applyNumberFormat="1" applyFont="1" applyFill="1" applyBorder="1" applyAlignment="1">
      <alignment vertical="center"/>
    </xf>
    <xf numFmtId="2" fontId="4" fillId="3" borderId="27" xfId="0" applyNumberFormat="1" applyFont="1" applyFill="1" applyBorder="1" applyAlignment="1">
      <alignment vertical="center"/>
    </xf>
    <xf numFmtId="0" fontId="4" fillId="3" borderId="24" xfId="0" applyFont="1" applyFill="1" applyBorder="1" applyAlignment="1">
      <alignment horizontal="center" vertical="center"/>
    </xf>
    <xf numFmtId="0" fontId="24" fillId="3" borderId="25" xfId="0" applyFont="1" applyFill="1" applyBorder="1" applyAlignment="1">
      <alignment vertical="center"/>
    </xf>
    <xf numFmtId="0" fontId="6" fillId="12" borderId="0" xfId="0" applyFont="1" applyFill="1" applyBorder="1" applyAlignment="1">
      <alignment vertical="center"/>
    </xf>
    <xf numFmtId="0" fontId="6" fillId="12" borderId="0" xfId="0" applyFont="1" applyFill="1" applyAlignment="1">
      <alignment vertical="center"/>
    </xf>
    <xf numFmtId="2" fontId="26" fillId="0" borderId="29" xfId="0" applyNumberFormat="1" applyFont="1" applyBorder="1" applyAlignment="1">
      <alignment horizontal="right" vertical="center"/>
    </xf>
    <xf numFmtId="0" fontId="0" fillId="0" borderId="0" xfId="0" applyFont="1" applyFill="1" applyAlignment="1">
      <alignment horizontal="center" vertical="center"/>
    </xf>
    <xf numFmtId="14" fontId="0" fillId="0" borderId="52" xfId="0" applyNumberFormat="1" applyFont="1" applyFill="1" applyBorder="1" applyAlignment="1">
      <alignment horizontal="center" vertical="center"/>
    </xf>
    <xf numFmtId="14" fontId="0" fillId="0" borderId="54" xfId="0" applyNumberFormat="1" applyFont="1" applyFill="1" applyBorder="1" applyAlignment="1">
      <alignment horizontal="center" vertical="center"/>
    </xf>
    <xf numFmtId="0" fontId="6" fillId="0" borderId="0" xfId="0" applyFont="1" applyAlignment="1">
      <alignment horizontal="center" vertical="center"/>
    </xf>
    <xf numFmtId="0" fontId="17" fillId="0" borderId="10" xfId="0" applyFont="1" applyFill="1" applyBorder="1" applyAlignment="1">
      <alignment horizontal="center" vertical="center"/>
    </xf>
    <xf numFmtId="168" fontId="28" fillId="12" borderId="0" xfId="0" applyNumberFormat="1" applyFont="1" applyFill="1" applyAlignment="1">
      <alignment vertical="center"/>
    </xf>
    <xf numFmtId="1" fontId="28" fillId="12" borderId="0" xfId="0" applyNumberFormat="1" applyFont="1" applyFill="1" applyBorder="1" applyAlignment="1">
      <alignment vertical="center"/>
    </xf>
    <xf numFmtId="14" fontId="28" fillId="12" borderId="14" xfId="0" applyNumberFormat="1" applyFont="1" applyFill="1" applyBorder="1" applyAlignment="1">
      <alignment horizontal="center" vertical="center"/>
    </xf>
    <xf numFmtId="0" fontId="28" fillId="12" borderId="12" xfId="0" applyFont="1" applyFill="1" applyBorder="1" applyAlignment="1">
      <alignment horizontal="left" vertical="center"/>
    </xf>
    <xf numFmtId="0" fontId="28" fillId="12" borderId="14" xfId="0" applyFont="1" applyFill="1" applyBorder="1" applyAlignment="1">
      <alignment horizontal="left" vertical="center"/>
    </xf>
    <xf numFmtId="0" fontId="22" fillId="0" borderId="0" xfId="3" applyAlignment="1">
      <alignment horizontal="center" vertical="center"/>
    </xf>
    <xf numFmtId="0" fontId="13" fillId="0" borderId="10" xfId="0" applyFont="1" applyFill="1" applyBorder="1" applyAlignment="1">
      <alignment vertical="center"/>
    </xf>
    <xf numFmtId="9" fontId="13" fillId="0" borderId="10" xfId="0" applyNumberFormat="1" applyFont="1" applyFill="1" applyBorder="1" applyAlignment="1">
      <alignment vertical="center"/>
    </xf>
    <xf numFmtId="9" fontId="0" fillId="0" borderId="10" xfId="0" applyNumberFormat="1" applyFont="1" applyBorder="1" applyAlignment="1">
      <alignment vertical="center"/>
    </xf>
    <xf numFmtId="0" fontId="13" fillId="0" borderId="10" xfId="0" applyFont="1" applyFill="1" applyBorder="1" applyAlignment="1">
      <alignment horizontal="center" vertical="center"/>
    </xf>
    <xf numFmtId="0" fontId="6" fillId="6" borderId="44" xfId="0" applyFont="1" applyFill="1" applyBorder="1" applyAlignment="1">
      <alignment vertical="center"/>
    </xf>
    <xf numFmtId="0" fontId="6" fillId="6" borderId="40" xfId="0" applyFont="1" applyFill="1" applyBorder="1" applyAlignment="1">
      <alignment vertical="center"/>
    </xf>
    <xf numFmtId="0" fontId="6" fillId="7" borderId="40" xfId="0" applyFont="1" applyFill="1" applyBorder="1" applyAlignment="1">
      <alignment vertical="center"/>
    </xf>
    <xf numFmtId="0" fontId="6" fillId="7" borderId="70" xfId="0" applyFont="1" applyFill="1" applyBorder="1" applyAlignment="1">
      <alignment vertical="center"/>
    </xf>
    <xf numFmtId="0" fontId="6" fillId="0" borderId="0" xfId="0" applyFont="1" applyFill="1" applyAlignment="1">
      <alignment vertical="center"/>
    </xf>
    <xf numFmtId="0" fontId="6" fillId="7" borderId="42" xfId="0" applyFont="1" applyFill="1" applyBorder="1" applyAlignment="1">
      <alignment vertical="center"/>
    </xf>
    <xf numFmtId="0" fontId="13" fillId="0" borderId="0" xfId="0" applyFont="1" applyFill="1" applyAlignment="1">
      <alignment vertical="center"/>
    </xf>
    <xf numFmtId="2" fontId="13" fillId="0" borderId="10" xfId="0" applyNumberFormat="1" applyFont="1" applyFill="1" applyBorder="1" applyAlignment="1">
      <alignment vertical="center"/>
    </xf>
    <xf numFmtId="4" fontId="35" fillId="0" borderId="79" xfId="0" applyNumberFormat="1" applyFont="1" applyFill="1" applyBorder="1" applyAlignment="1">
      <alignment vertical="center"/>
    </xf>
    <xf numFmtId="4" fontId="35" fillId="0" borderId="52" xfId="0" applyNumberFormat="1" applyFont="1" applyFill="1" applyBorder="1" applyAlignment="1">
      <alignment vertical="center"/>
    </xf>
    <xf numFmtId="2" fontId="13" fillId="0" borderId="0" xfId="0" applyNumberFormat="1" applyFont="1" applyFill="1" applyAlignment="1">
      <alignment vertical="center"/>
    </xf>
    <xf numFmtId="9" fontId="13" fillId="0" borderId="0" xfId="0" applyNumberFormat="1" applyFont="1" applyFill="1" applyAlignment="1">
      <alignment vertical="center"/>
    </xf>
    <xf numFmtId="0" fontId="1" fillId="16" borderId="3" xfId="0" applyFont="1" applyFill="1" applyBorder="1" applyAlignment="1">
      <alignment horizontal="center" vertical="center"/>
    </xf>
    <xf numFmtId="0" fontId="1" fillId="16" borderId="19" xfId="0" applyFont="1" applyFill="1" applyBorder="1"/>
    <xf numFmtId="0" fontId="1" fillId="16" borderId="20" xfId="0" applyFont="1" applyFill="1" applyBorder="1"/>
    <xf numFmtId="0" fontId="23" fillId="2" borderId="0" xfId="0" applyFont="1" applyFill="1" applyAlignment="1">
      <alignment vertical="center"/>
    </xf>
    <xf numFmtId="0" fontId="45" fillId="2" borderId="0" xfId="0" applyFont="1" applyFill="1" applyBorder="1" applyAlignment="1">
      <alignment vertical="center"/>
    </xf>
    <xf numFmtId="0" fontId="45" fillId="2" borderId="0" xfId="0" applyFont="1" applyFill="1" applyAlignment="1">
      <alignment vertical="center"/>
    </xf>
    <xf numFmtId="0" fontId="23" fillId="2" borderId="0" xfId="0" applyFont="1" applyFill="1"/>
    <xf numFmtId="0" fontId="45" fillId="15" borderId="0" xfId="0" applyFont="1" applyFill="1" applyAlignment="1">
      <alignment vertical="center"/>
    </xf>
    <xf numFmtId="0" fontId="45" fillId="15" borderId="11" xfId="0" applyFont="1" applyFill="1" applyBorder="1" applyAlignment="1">
      <alignment vertical="center"/>
    </xf>
    <xf numFmtId="0" fontId="45" fillId="15" borderId="12" xfId="0" applyFont="1" applyFill="1" applyBorder="1" applyAlignment="1">
      <alignment vertical="center"/>
    </xf>
    <xf numFmtId="0" fontId="45" fillId="15" borderId="13" xfId="0" applyFont="1" applyFill="1" applyBorder="1" applyAlignment="1">
      <alignment vertical="center"/>
    </xf>
    <xf numFmtId="0" fontId="45" fillId="15" borderId="14" xfId="0" applyFont="1" applyFill="1" applyBorder="1" applyAlignment="1">
      <alignment vertical="center"/>
    </xf>
    <xf numFmtId="0" fontId="45" fillId="15" borderId="15" xfId="0" applyFont="1" applyFill="1" applyBorder="1" applyAlignment="1">
      <alignment vertical="center"/>
    </xf>
    <xf numFmtId="0" fontId="45" fillId="15" borderId="16" xfId="0" applyFont="1" applyFill="1" applyBorder="1" applyAlignment="1">
      <alignment vertical="center"/>
    </xf>
    <xf numFmtId="0" fontId="47" fillId="15" borderId="11" xfId="0" applyFont="1" applyFill="1" applyBorder="1" applyAlignment="1">
      <alignment vertical="center"/>
    </xf>
    <xf numFmtId="0" fontId="45" fillId="15" borderId="17" xfId="0" applyFont="1" applyFill="1" applyBorder="1" applyAlignment="1">
      <alignment vertical="center"/>
    </xf>
    <xf numFmtId="0" fontId="45" fillId="15" borderId="0" xfId="0" applyFont="1" applyFill="1" applyBorder="1" applyAlignment="1">
      <alignment vertical="center"/>
    </xf>
    <xf numFmtId="0" fontId="45" fillId="15" borderId="18" xfId="0" applyFont="1" applyFill="1" applyBorder="1" applyAlignment="1">
      <alignment vertical="center"/>
    </xf>
    <xf numFmtId="14" fontId="45" fillId="15" borderId="14" xfId="0" applyNumberFormat="1" applyFont="1" applyFill="1" applyBorder="1" applyAlignment="1">
      <alignment vertical="center"/>
    </xf>
    <xf numFmtId="1" fontId="45" fillId="15" borderId="0" xfId="0" applyNumberFormat="1" applyFont="1" applyFill="1" applyBorder="1" applyAlignment="1">
      <alignment vertical="center"/>
    </xf>
    <xf numFmtId="2" fontId="45" fillId="15" borderId="16" xfId="0" applyNumberFormat="1" applyFont="1" applyFill="1" applyBorder="1" applyAlignment="1">
      <alignment horizontal="center" vertical="center"/>
    </xf>
    <xf numFmtId="0" fontId="45" fillId="15" borderId="18" xfId="0" applyFont="1" applyFill="1" applyBorder="1" applyAlignment="1">
      <alignment horizontal="right" vertical="center"/>
    </xf>
    <xf numFmtId="0" fontId="5" fillId="0" borderId="0" xfId="0" applyFont="1" applyFill="1" applyAlignment="1">
      <alignment vertical="center"/>
    </xf>
    <xf numFmtId="164" fontId="0" fillId="0" borderId="10" xfId="0" applyNumberFormat="1" applyFont="1" applyFill="1" applyBorder="1" applyAlignment="1">
      <alignment horizontal="center" vertical="center"/>
    </xf>
    <xf numFmtId="0" fontId="6" fillId="0" borderId="51" xfId="0" applyFont="1" applyBorder="1" applyAlignment="1">
      <alignment vertical="center"/>
    </xf>
    <xf numFmtId="10" fontId="6" fillId="0" borderId="52" xfId="0" applyNumberFormat="1" applyFont="1" applyBorder="1" applyAlignment="1">
      <alignment vertical="center"/>
    </xf>
    <xf numFmtId="0" fontId="6" fillId="0" borderId="115" xfId="0" applyFont="1" applyBorder="1" applyAlignment="1">
      <alignment vertical="center"/>
    </xf>
    <xf numFmtId="10" fontId="6" fillId="0" borderId="116" xfId="0" applyNumberFormat="1" applyFont="1" applyBorder="1" applyAlignment="1">
      <alignment vertical="center"/>
    </xf>
    <xf numFmtId="0" fontId="6" fillId="0" borderId="117" xfId="0" applyFont="1" applyBorder="1" applyAlignment="1">
      <alignment vertical="center"/>
    </xf>
    <xf numFmtId="10" fontId="6" fillId="0" borderId="118" xfId="0" applyNumberFormat="1" applyFont="1" applyBorder="1" applyAlignment="1">
      <alignment vertical="center"/>
    </xf>
    <xf numFmtId="0" fontId="6" fillId="0" borderId="139" xfId="0" applyFont="1" applyBorder="1" applyAlignment="1">
      <alignment vertical="center"/>
    </xf>
    <xf numFmtId="0" fontId="6" fillId="0" borderId="140" xfId="0" applyFont="1" applyBorder="1" applyAlignment="1">
      <alignment vertical="center"/>
    </xf>
    <xf numFmtId="2" fontId="17" fillId="0" borderId="0" xfId="0" applyNumberFormat="1" applyFont="1" applyAlignment="1">
      <alignment horizontal="center" vertical="center"/>
    </xf>
    <xf numFmtId="0" fontId="4" fillId="0" borderId="0" xfId="0" applyFont="1" applyBorder="1" applyAlignment="1">
      <alignment horizontal="center" vertical="center"/>
    </xf>
    <xf numFmtId="2" fontId="4" fillId="0" borderId="0" xfId="0" applyNumberFormat="1" applyFont="1" applyBorder="1" applyAlignment="1">
      <alignment horizontal="center" vertical="center"/>
    </xf>
    <xf numFmtId="0" fontId="23" fillId="0" borderId="10" xfId="0" applyFont="1" applyBorder="1" applyAlignment="1">
      <alignment horizontal="center" vertical="center"/>
    </xf>
    <xf numFmtId="2" fontId="23" fillId="0" borderId="10" xfId="0" applyNumberFormat="1" applyFont="1" applyBorder="1" applyAlignment="1">
      <alignment horizontal="center" vertical="center"/>
    </xf>
    <xf numFmtId="0" fontId="4" fillId="0" borderId="122" xfId="0" applyFont="1" applyBorder="1" applyAlignment="1">
      <alignment horizontal="center" vertical="center"/>
    </xf>
    <xf numFmtId="2" fontId="4" fillId="0" borderId="122" xfId="0" applyNumberFormat="1" applyFont="1" applyBorder="1" applyAlignment="1">
      <alignment horizontal="center" vertical="center"/>
    </xf>
    <xf numFmtId="0" fontId="23" fillId="0" borderId="122" xfId="0" applyFont="1" applyBorder="1" applyAlignment="1">
      <alignment horizontal="center" vertical="center"/>
    </xf>
    <xf numFmtId="2" fontId="23" fillId="0" borderId="122" xfId="0" applyNumberFormat="1" applyFont="1" applyFill="1" applyBorder="1" applyAlignment="1">
      <alignment horizontal="center" vertical="center"/>
    </xf>
    <xf numFmtId="0" fontId="18" fillId="0" borderId="0" xfId="0" applyFont="1" applyAlignment="1">
      <alignment vertical="center"/>
    </xf>
    <xf numFmtId="0" fontId="48" fillId="0" borderId="0" xfId="2" applyFont="1" applyFill="1" applyBorder="1" applyAlignment="1">
      <alignment horizontal="center" vertical="center" textRotation="90"/>
    </xf>
    <xf numFmtId="0" fontId="18" fillId="12" borderId="0" xfId="0" applyFont="1" applyFill="1" applyAlignment="1">
      <alignment vertical="center"/>
    </xf>
    <xf numFmtId="0" fontId="48" fillId="12" borderId="0" xfId="2" applyFont="1" applyFill="1" applyBorder="1" applyAlignment="1">
      <alignment horizontal="center" vertical="center" textRotation="90"/>
    </xf>
    <xf numFmtId="0" fontId="49" fillId="12" borderId="0" xfId="0" applyFont="1" applyFill="1" applyAlignment="1">
      <alignment vertical="center"/>
    </xf>
    <xf numFmtId="0" fontId="1" fillId="12" borderId="132" xfId="0" applyFont="1" applyFill="1" applyBorder="1" applyAlignment="1">
      <alignment vertical="center"/>
    </xf>
    <xf numFmtId="0" fontId="0" fillId="12" borderId="132" xfId="0" applyFont="1" applyFill="1" applyBorder="1" applyAlignment="1">
      <alignment vertical="center"/>
    </xf>
    <xf numFmtId="0" fontId="0" fillId="12" borderId="136" xfId="0" applyFont="1" applyFill="1" applyBorder="1" applyAlignment="1">
      <alignment vertical="center"/>
    </xf>
    <xf numFmtId="0" fontId="0" fillId="12" borderId="138" xfId="0" applyFont="1" applyFill="1" applyBorder="1" applyAlignment="1">
      <alignment vertical="center"/>
    </xf>
    <xf numFmtId="0" fontId="1" fillId="12" borderId="0" xfId="0" applyFont="1" applyFill="1" applyBorder="1" applyAlignment="1">
      <alignment vertical="center"/>
    </xf>
    <xf numFmtId="0" fontId="0" fillId="12" borderId="0" xfId="0" applyFont="1" applyFill="1" applyBorder="1" applyAlignment="1">
      <alignment vertical="center"/>
    </xf>
    <xf numFmtId="0" fontId="0" fillId="12" borderId="137" xfId="0" applyFont="1" applyFill="1" applyBorder="1" applyAlignment="1">
      <alignment vertical="center"/>
    </xf>
    <xf numFmtId="0" fontId="0" fillId="12" borderId="14" xfId="0" applyFont="1" applyFill="1" applyBorder="1" applyAlignment="1">
      <alignment vertical="center"/>
    </xf>
    <xf numFmtId="0" fontId="0" fillId="12" borderId="18" xfId="0" applyFont="1" applyFill="1" applyBorder="1" applyAlignment="1">
      <alignment vertical="center"/>
    </xf>
    <xf numFmtId="0" fontId="0" fillId="12" borderId="16" xfId="0" applyFont="1" applyFill="1" applyBorder="1" applyAlignment="1">
      <alignment vertical="center"/>
    </xf>
    <xf numFmtId="0" fontId="0" fillId="12" borderId="69" xfId="0" applyFont="1" applyFill="1" applyBorder="1" applyAlignment="1">
      <alignment vertical="center"/>
    </xf>
    <xf numFmtId="0" fontId="0" fillId="0" borderId="0" xfId="0" applyFont="1" applyFill="1" applyAlignment="1">
      <alignment vertical="center"/>
    </xf>
    <xf numFmtId="4" fontId="0" fillId="17" borderId="10" xfId="0" applyNumberFormat="1" applyFont="1" applyFill="1" applyBorder="1" applyAlignment="1">
      <alignment horizontal="center" vertical="center"/>
    </xf>
    <xf numFmtId="0" fontId="0" fillId="0" borderId="0" xfId="0" applyFont="1" applyFill="1" applyBorder="1" applyAlignment="1">
      <alignment vertical="center"/>
    </xf>
    <xf numFmtId="2" fontId="0" fillId="17" borderId="10" xfId="0" applyNumberFormat="1" applyFont="1" applyFill="1" applyBorder="1" applyAlignment="1">
      <alignment horizontal="center" vertical="center"/>
    </xf>
    <xf numFmtId="4" fontId="0" fillId="17" borderId="10" xfId="0" applyNumberFormat="1" applyFont="1" applyFill="1" applyBorder="1" applyAlignment="1">
      <alignment vertical="center"/>
    </xf>
    <xf numFmtId="0" fontId="0" fillId="11" borderId="0" xfId="0" applyFont="1" applyFill="1" applyBorder="1" applyAlignment="1">
      <alignment vertical="center"/>
    </xf>
    <xf numFmtId="0" fontId="21" fillId="0" borderId="0" xfId="2" applyFont="1" applyAlignment="1">
      <alignment vertical="center"/>
    </xf>
    <xf numFmtId="10" fontId="0" fillId="0" borderId="122" xfId="0" applyNumberFormat="1" applyFont="1" applyBorder="1" applyAlignment="1">
      <alignment vertical="center"/>
    </xf>
    <xf numFmtId="10" fontId="0" fillId="17" borderId="10" xfId="1" applyNumberFormat="1" applyFont="1" applyFill="1" applyBorder="1" applyAlignment="1">
      <alignment vertical="center"/>
    </xf>
    <xf numFmtId="10" fontId="0" fillId="17" borderId="122" xfId="1" applyNumberFormat="1" applyFont="1" applyFill="1" applyBorder="1" applyAlignment="1">
      <alignment vertical="center"/>
    </xf>
    <xf numFmtId="10" fontId="0" fillId="0" borderId="0" xfId="1" applyNumberFormat="1" applyFont="1" applyFill="1" applyBorder="1" applyAlignment="1">
      <alignment vertical="center"/>
    </xf>
    <xf numFmtId="0" fontId="0" fillId="12" borderId="0" xfId="0" applyFont="1" applyFill="1" applyAlignment="1">
      <alignment vertical="center"/>
    </xf>
    <xf numFmtId="2" fontId="0" fillId="0" borderId="0" xfId="1" applyNumberFormat="1" applyFont="1" applyFill="1" applyBorder="1" applyAlignment="1">
      <alignment vertical="center"/>
    </xf>
    <xf numFmtId="4" fontId="0" fillId="0" borderId="0" xfId="0" applyNumberFormat="1" applyFont="1" applyFill="1" applyBorder="1" applyAlignment="1">
      <alignment horizontal="center" vertical="center"/>
    </xf>
    <xf numFmtId="4" fontId="0" fillId="12" borderId="0" xfId="0" applyNumberFormat="1" applyFont="1" applyFill="1" applyBorder="1" applyAlignment="1">
      <alignment horizontal="center" vertical="center"/>
    </xf>
    <xf numFmtId="0" fontId="0" fillId="0" borderId="0" xfId="0" applyFont="1" applyBorder="1" applyAlignment="1">
      <alignment horizontal="left" vertical="center"/>
    </xf>
    <xf numFmtId="0" fontId="23" fillId="12" borderId="0" xfId="0" applyFont="1" applyFill="1" applyBorder="1" applyAlignment="1">
      <alignment vertical="center"/>
    </xf>
    <xf numFmtId="0" fontId="23" fillId="12" borderId="0" xfId="0" applyFont="1" applyFill="1" applyAlignment="1">
      <alignment vertical="center"/>
    </xf>
    <xf numFmtId="0" fontId="0" fillId="0" borderId="0" xfId="0" applyFont="1" applyBorder="1" applyAlignment="1">
      <alignment horizontal="left" vertical="center" wrapText="1"/>
    </xf>
    <xf numFmtId="2" fontId="0" fillId="17" borderId="10" xfId="0" applyNumberFormat="1" applyFont="1" applyFill="1" applyBorder="1" applyAlignment="1">
      <alignment vertical="center"/>
    </xf>
    <xf numFmtId="0" fontId="23" fillId="0" borderId="0" xfId="0" applyFont="1" applyBorder="1" applyAlignment="1">
      <alignment vertical="center"/>
    </xf>
    <xf numFmtId="10" fontId="0" fillId="17" borderId="10" xfId="0" applyNumberFormat="1" applyFont="1" applyFill="1" applyBorder="1" applyAlignment="1">
      <alignment horizontal="center" vertical="center"/>
    </xf>
    <xf numFmtId="2" fontId="23" fillId="17" borderId="10" xfId="0" applyNumberFormat="1" applyFont="1" applyFill="1" applyBorder="1" applyAlignment="1">
      <alignment vertical="center"/>
    </xf>
    <xf numFmtId="0" fontId="2" fillId="0" borderId="0" xfId="2" applyFont="1" applyBorder="1" applyAlignment="1">
      <alignment vertical="center"/>
    </xf>
    <xf numFmtId="9" fontId="0" fillId="0" borderId="0" xfId="0" applyNumberFormat="1" applyFont="1" applyFill="1" applyBorder="1" applyAlignment="1">
      <alignment horizontal="center" vertical="center"/>
    </xf>
    <xf numFmtId="2" fontId="0" fillId="17" borderId="122" xfId="0" applyNumberFormat="1" applyFont="1" applyFill="1" applyBorder="1" applyAlignment="1">
      <alignment vertical="center"/>
    </xf>
    <xf numFmtId="0" fontId="3" fillId="0" borderId="69" xfId="0" applyFont="1" applyFill="1" applyBorder="1" applyAlignment="1">
      <alignment horizontal="center" vertical="center"/>
    </xf>
    <xf numFmtId="4" fontId="28" fillId="0" borderId="0" xfId="0" applyNumberFormat="1" applyFont="1" applyAlignment="1">
      <alignment vertical="center"/>
    </xf>
    <xf numFmtId="0" fontId="13" fillId="17" borderId="0" xfId="0" applyFont="1" applyFill="1" applyAlignment="1">
      <alignment vertical="center"/>
    </xf>
    <xf numFmtId="0" fontId="23" fillId="17" borderId="122" xfId="0" applyFont="1" applyFill="1" applyBorder="1" applyAlignment="1">
      <alignment vertical="center"/>
    </xf>
    <xf numFmtId="2" fontId="23" fillId="17" borderId="122" xfId="0" applyNumberFormat="1" applyFont="1" applyFill="1" applyBorder="1" applyAlignment="1">
      <alignment vertical="center"/>
    </xf>
    <xf numFmtId="0" fontId="1" fillId="0" borderId="0" xfId="0" applyFont="1" applyAlignment="1">
      <alignment vertical="center"/>
    </xf>
    <xf numFmtId="0" fontId="1" fillId="0" borderId="0" xfId="0" applyFont="1" applyBorder="1" applyAlignment="1">
      <alignment vertical="center"/>
    </xf>
    <xf numFmtId="2" fontId="0" fillId="17" borderId="122" xfId="0" applyNumberFormat="1" applyFont="1" applyFill="1" applyBorder="1" applyAlignment="1">
      <alignment horizontal="right" vertical="center"/>
    </xf>
    <xf numFmtId="0" fontId="2" fillId="0" borderId="0" xfId="0" applyFont="1" applyBorder="1" applyAlignment="1">
      <alignment vertical="center"/>
    </xf>
    <xf numFmtId="17" fontId="0" fillId="4" borderId="122" xfId="0" applyNumberFormat="1" applyFont="1" applyFill="1" applyBorder="1" applyAlignment="1" applyProtection="1">
      <alignment horizontal="center" vertical="center"/>
      <protection locked="0"/>
    </xf>
    <xf numFmtId="0" fontId="0" fillId="4" borderId="122" xfId="0" applyFont="1" applyFill="1" applyBorder="1" applyAlignment="1" applyProtection="1">
      <alignment vertical="center"/>
      <protection locked="0"/>
    </xf>
    <xf numFmtId="0" fontId="0" fillId="4" borderId="122" xfId="0" applyFont="1" applyFill="1" applyBorder="1" applyAlignment="1" applyProtection="1">
      <alignment horizontal="center" vertical="center"/>
      <protection locked="0"/>
    </xf>
    <xf numFmtId="10" fontId="0" fillId="4" borderId="10" xfId="1" applyNumberFormat="1" applyFont="1" applyFill="1" applyBorder="1" applyAlignment="1" applyProtection="1">
      <alignment horizontal="center" vertical="center"/>
      <protection locked="0"/>
    </xf>
    <xf numFmtId="0" fontId="0" fillId="6" borderId="10" xfId="0" applyFont="1" applyFill="1" applyBorder="1" applyAlignment="1" applyProtection="1">
      <alignment horizontal="center" vertical="center"/>
      <protection locked="0"/>
    </xf>
    <xf numFmtId="2" fontId="0" fillId="4" borderId="10" xfId="0" applyNumberFormat="1" applyFont="1" applyFill="1" applyBorder="1" applyAlignment="1" applyProtection="1">
      <alignment horizontal="center" vertical="center"/>
      <protection locked="0"/>
    </xf>
    <xf numFmtId="4" fontId="0" fillId="6" borderId="122" xfId="0" applyNumberFormat="1" applyFont="1" applyFill="1" applyBorder="1" applyAlignment="1" applyProtection="1">
      <alignment horizontal="center" vertical="center"/>
      <protection locked="0"/>
    </xf>
    <xf numFmtId="14" fontId="0" fillId="4" borderId="10" xfId="0" applyNumberFormat="1" applyFont="1" applyFill="1" applyBorder="1" applyAlignment="1" applyProtection="1">
      <alignment horizontal="center" vertical="center"/>
      <protection locked="0"/>
    </xf>
    <xf numFmtId="0" fontId="0" fillId="4" borderId="10" xfId="0" applyFont="1" applyFill="1" applyBorder="1" applyAlignment="1" applyProtection="1">
      <alignment horizontal="center" vertical="center"/>
      <protection locked="0"/>
    </xf>
    <xf numFmtId="0" fontId="0" fillId="4" borderId="69" xfId="0" applyFont="1" applyFill="1" applyBorder="1" applyAlignment="1" applyProtection="1">
      <alignment horizontal="center" vertical="center"/>
      <protection locked="0"/>
    </xf>
    <xf numFmtId="0" fontId="0" fillId="10" borderId="10" xfId="0" applyFont="1" applyFill="1" applyBorder="1" applyAlignment="1" applyProtection="1">
      <alignment horizontal="center" vertical="center"/>
      <protection locked="0"/>
    </xf>
    <xf numFmtId="2" fontId="13" fillId="4" borderId="122" xfId="0" applyNumberFormat="1" applyFont="1" applyFill="1" applyBorder="1" applyAlignment="1" applyProtection="1">
      <alignment horizontal="center" vertical="center"/>
      <protection locked="0"/>
    </xf>
    <xf numFmtId="4" fontId="0" fillId="4" borderId="69" xfId="0" applyNumberFormat="1" applyFont="1" applyFill="1" applyBorder="1" applyAlignment="1" applyProtection="1">
      <alignment horizontal="center" vertical="center"/>
      <protection locked="0"/>
    </xf>
    <xf numFmtId="4" fontId="0" fillId="4" borderId="122" xfId="0" applyNumberFormat="1" applyFont="1" applyFill="1" applyBorder="1" applyAlignment="1" applyProtection="1">
      <alignment horizontal="center" vertical="center"/>
      <protection locked="0"/>
    </xf>
    <xf numFmtId="3" fontId="0" fillId="4" borderId="10" xfId="0" applyNumberFormat="1" applyFont="1" applyFill="1" applyBorder="1" applyAlignment="1" applyProtection="1">
      <alignment horizontal="center" vertical="center"/>
      <protection locked="0"/>
    </xf>
    <xf numFmtId="0" fontId="0" fillId="6" borderId="10" xfId="0" applyFont="1" applyFill="1" applyBorder="1" applyAlignment="1" applyProtection="1">
      <alignment vertical="center"/>
      <protection locked="0"/>
    </xf>
    <xf numFmtId="0" fontId="0" fillId="4" borderId="10" xfId="0" applyFont="1" applyFill="1" applyBorder="1" applyAlignment="1" applyProtection="1">
      <alignment vertical="center"/>
      <protection locked="0"/>
    </xf>
    <xf numFmtId="9" fontId="0" fillId="4" borderId="10" xfId="0" applyNumberFormat="1" applyFont="1" applyFill="1" applyBorder="1" applyAlignment="1" applyProtection="1">
      <alignment horizontal="center" vertical="center"/>
      <protection locked="0"/>
    </xf>
    <xf numFmtId="0" fontId="0" fillId="10" borderId="10" xfId="0" applyFont="1" applyFill="1" applyBorder="1" applyAlignment="1" applyProtection="1">
      <alignment vertical="center"/>
      <protection locked="0"/>
    </xf>
    <xf numFmtId="0" fontId="21" fillId="0" borderId="0" xfId="2" applyFill="1" applyBorder="1" applyAlignment="1" applyProtection="1">
      <alignment horizontal="center" vertical="center"/>
      <protection locked="0"/>
    </xf>
    <xf numFmtId="0" fontId="11" fillId="0" borderId="0" xfId="0" applyFont="1" applyFill="1" applyBorder="1" applyAlignment="1" applyProtection="1">
      <alignment vertical="center"/>
      <protection locked="0"/>
    </xf>
    <xf numFmtId="0" fontId="0" fillId="0" borderId="0" xfId="0" applyAlignment="1" applyProtection="1">
      <alignment vertical="center"/>
      <protection locked="0"/>
    </xf>
    <xf numFmtId="0" fontId="11" fillId="0" borderId="0" xfId="0"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23" fillId="0" borderId="0" xfId="0" applyFont="1" applyFill="1" applyBorder="1" applyAlignment="1" applyProtection="1">
      <alignment horizontal="left" vertical="center"/>
      <protection locked="0"/>
    </xf>
    <xf numFmtId="0" fontId="1" fillId="0" borderId="0" xfId="0" applyFont="1" applyProtection="1">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20" fontId="0" fillId="0" borderId="92" xfId="0" applyNumberFormat="1" applyFill="1" applyBorder="1" applyProtection="1">
      <protection locked="0"/>
    </xf>
    <xf numFmtId="20" fontId="0" fillId="0" borderId="93" xfId="0" applyNumberFormat="1" applyFill="1" applyBorder="1" applyProtection="1">
      <protection locked="0"/>
    </xf>
    <xf numFmtId="20" fontId="0" fillId="0" borderId="94" xfId="0" applyNumberFormat="1" applyFill="1" applyBorder="1" applyProtection="1">
      <protection locked="0"/>
    </xf>
    <xf numFmtId="20" fontId="0" fillId="0" borderId="92" xfId="0" applyNumberFormat="1" applyBorder="1" applyProtection="1">
      <protection locked="0"/>
    </xf>
    <xf numFmtId="20" fontId="0" fillId="0" borderId="94" xfId="0" applyNumberFormat="1" applyBorder="1" applyProtection="1">
      <protection locked="0"/>
    </xf>
    <xf numFmtId="20" fontId="0" fillId="0" borderId="100" xfId="0" applyNumberFormat="1" applyBorder="1" applyProtection="1">
      <protection locked="0"/>
    </xf>
    <xf numFmtId="166" fontId="0" fillId="4" borderId="0" xfId="0" applyNumberFormat="1" applyFill="1" applyAlignment="1" applyProtection="1">
      <alignment vertical="center"/>
      <protection locked="0"/>
    </xf>
    <xf numFmtId="20" fontId="0" fillId="0" borderId="0" xfId="0" applyNumberFormat="1" applyAlignment="1" applyProtection="1">
      <alignment vertical="center"/>
      <protection locked="0"/>
    </xf>
    <xf numFmtId="20" fontId="0" fillId="0" borderId="95" xfId="0" applyNumberFormat="1" applyFill="1" applyBorder="1" applyProtection="1">
      <protection locked="0"/>
    </xf>
    <xf numFmtId="20" fontId="0" fillId="0" borderId="66" xfId="0" applyNumberFormat="1" applyFill="1" applyBorder="1" applyProtection="1">
      <protection locked="0"/>
    </xf>
    <xf numFmtId="20" fontId="0" fillId="0" borderId="96" xfId="0" applyNumberFormat="1" applyFill="1" applyBorder="1" applyProtection="1">
      <protection locked="0"/>
    </xf>
    <xf numFmtId="20" fontId="0" fillId="0" borderId="95" xfId="0" applyNumberFormat="1" applyBorder="1" applyProtection="1">
      <protection locked="0"/>
    </xf>
    <xf numFmtId="20" fontId="0" fillId="0" borderId="96" xfId="0" applyNumberFormat="1" applyBorder="1" applyProtection="1">
      <protection locked="0"/>
    </xf>
    <xf numFmtId="20" fontId="0" fillId="0" borderId="101" xfId="0" applyNumberFormat="1" applyBorder="1" applyProtection="1">
      <protection locked="0"/>
    </xf>
    <xf numFmtId="0" fontId="4" fillId="0" borderId="78" xfId="0" applyFont="1" applyBorder="1" applyAlignment="1" applyProtection="1">
      <alignment horizontal="center" vertical="center"/>
      <protection locked="0"/>
    </xf>
    <xf numFmtId="0" fontId="4" fillId="0" borderId="89" xfId="0" applyFont="1" applyBorder="1" applyAlignment="1" applyProtection="1">
      <alignment horizontal="center" vertical="center"/>
      <protection locked="0"/>
    </xf>
    <xf numFmtId="0" fontId="4" fillId="0" borderId="79" xfId="0" applyFont="1" applyBorder="1" applyAlignment="1" applyProtection="1">
      <alignment horizontal="center" vertical="center"/>
      <protection locked="0"/>
    </xf>
    <xf numFmtId="166" fontId="0" fillId="0" borderId="76" xfId="0" applyNumberFormat="1" applyBorder="1" applyAlignment="1" applyProtection="1">
      <alignment vertical="center"/>
      <protection locked="0"/>
    </xf>
    <xf numFmtId="20" fontId="0" fillId="0" borderId="88" xfId="0" applyNumberFormat="1" applyBorder="1" applyAlignment="1" applyProtection="1">
      <alignment vertical="center"/>
      <protection locked="0"/>
    </xf>
    <xf numFmtId="20" fontId="0" fillId="0" borderId="77" xfId="0" applyNumberFormat="1" applyBorder="1" applyAlignment="1" applyProtection="1">
      <alignment vertical="center"/>
      <protection locked="0"/>
    </xf>
    <xf numFmtId="166" fontId="0" fillId="0" borderId="80" xfId="0" applyNumberFormat="1" applyBorder="1" applyAlignment="1" applyProtection="1">
      <alignment vertical="center"/>
      <protection locked="0"/>
    </xf>
    <xf numFmtId="0" fontId="1" fillId="0" borderId="0" xfId="0" applyFont="1" applyFill="1" applyProtection="1">
      <protection locked="0"/>
    </xf>
    <xf numFmtId="20" fontId="0" fillId="0" borderId="101" xfId="0" applyNumberFormat="1" applyFill="1" applyBorder="1" applyProtection="1">
      <protection locked="0"/>
    </xf>
    <xf numFmtId="166" fontId="0" fillId="0" borderId="53" xfId="0" applyNumberFormat="1" applyBorder="1" applyAlignment="1" applyProtection="1">
      <alignment vertical="center"/>
      <protection locked="0"/>
    </xf>
    <xf numFmtId="20" fontId="0" fillId="0" borderId="90" xfId="0" applyNumberFormat="1" applyBorder="1" applyAlignment="1" applyProtection="1">
      <alignment vertical="center"/>
      <protection locked="0"/>
    </xf>
    <xf numFmtId="20" fontId="0" fillId="0" borderId="91" xfId="0" applyNumberFormat="1" applyBorder="1" applyAlignment="1" applyProtection="1">
      <alignment vertical="center"/>
      <protection locked="0"/>
    </xf>
    <xf numFmtId="0" fontId="4" fillId="0" borderId="78" xfId="0" applyFont="1" applyBorder="1" applyAlignment="1" applyProtection="1">
      <alignment vertical="center"/>
      <protection locked="0"/>
    </xf>
    <xf numFmtId="166" fontId="4" fillId="0" borderId="89" xfId="0" applyNumberFormat="1" applyFont="1" applyBorder="1" applyAlignment="1" applyProtection="1">
      <alignment vertical="center"/>
      <protection locked="0"/>
    </xf>
    <xf numFmtId="166" fontId="4" fillId="0" borderId="79" xfId="0" applyNumberFormat="1" applyFont="1" applyBorder="1" applyAlignment="1" applyProtection="1">
      <alignment vertical="center"/>
      <protection locked="0"/>
    </xf>
    <xf numFmtId="4" fontId="0" fillId="0" borderId="0" xfId="0" applyNumberFormat="1" applyAlignment="1" applyProtection="1">
      <alignment vertical="center"/>
      <protection locked="0"/>
    </xf>
    <xf numFmtId="20" fontId="0" fillId="0" borderId="97" xfId="0" applyNumberFormat="1" applyFill="1" applyBorder="1" applyProtection="1">
      <protection locked="0"/>
    </xf>
    <xf numFmtId="20" fontId="0" fillId="0" borderId="98" xfId="0" applyNumberFormat="1" applyFill="1" applyBorder="1" applyProtection="1">
      <protection locked="0"/>
    </xf>
    <xf numFmtId="20" fontId="0" fillId="0" borderId="99" xfId="0" applyNumberFormat="1" applyFill="1" applyBorder="1" applyProtection="1">
      <protection locked="0"/>
    </xf>
    <xf numFmtId="20" fontId="0" fillId="0" borderId="102" xfId="0" applyNumberFormat="1" applyFill="1" applyBorder="1" applyProtection="1">
      <protection locked="0"/>
    </xf>
    <xf numFmtId="0" fontId="0" fillId="0" borderId="0" xfId="0" applyProtection="1">
      <protection locked="0"/>
    </xf>
    <xf numFmtId="165" fontId="0" fillId="0" borderId="0" xfId="0" applyNumberFormat="1" applyProtection="1">
      <protection locked="0"/>
    </xf>
    <xf numFmtId="0" fontId="0" fillId="0" borderId="10" xfId="0" applyBorder="1" applyAlignment="1" applyProtection="1">
      <alignment vertical="center"/>
      <protection locked="0"/>
    </xf>
    <xf numFmtId="9" fontId="0" fillId="0" borderId="10" xfId="0" applyNumberFormat="1" applyBorder="1" applyAlignment="1" applyProtection="1">
      <alignment vertical="center"/>
      <protection locked="0"/>
    </xf>
    <xf numFmtId="0" fontId="0" fillId="0" borderId="0" xfId="0" applyFont="1" applyBorder="1" applyAlignment="1" applyProtection="1">
      <alignment vertical="center"/>
      <protection locked="0"/>
    </xf>
    <xf numFmtId="0" fontId="0" fillId="0" borderId="0" xfId="0" applyFont="1" applyAlignment="1" applyProtection="1">
      <alignment vertical="center"/>
      <protection locked="0"/>
    </xf>
    <xf numFmtId="0" fontId="34" fillId="0" borderId="0" xfId="0" applyFont="1" applyAlignment="1" applyProtection="1">
      <alignment vertical="center"/>
      <protection locked="0"/>
    </xf>
    <xf numFmtId="0" fontId="4" fillId="0" borderId="0" xfId="0" applyFont="1" applyAlignment="1" applyProtection="1">
      <alignment vertical="center"/>
      <protection locked="0"/>
    </xf>
    <xf numFmtId="0" fontId="0" fillId="4" borderId="0" xfId="0" applyFill="1" applyAlignment="1" applyProtection="1">
      <alignment vertical="center"/>
      <protection locked="0"/>
    </xf>
    <xf numFmtId="0" fontId="26" fillId="0" borderId="29" xfId="0" applyFont="1" applyFill="1" applyBorder="1" applyAlignment="1" applyProtection="1">
      <alignment horizontal="center" vertical="center"/>
      <protection locked="0"/>
    </xf>
    <xf numFmtId="14" fontId="0" fillId="4" borderId="0" xfId="0" applyNumberFormat="1" applyFill="1" applyAlignment="1" applyProtection="1">
      <alignment horizontal="center" vertical="center"/>
      <protection locked="0"/>
    </xf>
    <xf numFmtId="0" fontId="0" fillId="4" borderId="53" xfId="0" applyFill="1" applyBorder="1" applyAlignment="1" applyProtection="1">
      <alignment horizontal="center" vertical="center"/>
      <protection locked="0"/>
    </xf>
    <xf numFmtId="0" fontId="6" fillId="12" borderId="11" xfId="0" applyFont="1" applyFill="1" applyBorder="1" applyAlignment="1">
      <alignment vertical="center"/>
    </xf>
    <xf numFmtId="0" fontId="6" fillId="12" borderId="13" xfId="0" applyFont="1" applyFill="1" applyBorder="1" applyAlignment="1">
      <alignment vertical="center"/>
    </xf>
    <xf numFmtId="0" fontId="0" fillId="5" borderId="122" xfId="0" applyFont="1" applyFill="1" applyBorder="1" applyAlignment="1" applyProtection="1">
      <alignment vertical="center"/>
      <protection locked="0"/>
    </xf>
    <xf numFmtId="1" fontId="0" fillId="5" borderId="122" xfId="0" applyNumberFormat="1" applyFont="1" applyFill="1" applyBorder="1" applyAlignment="1" applyProtection="1">
      <alignment vertical="center"/>
      <protection locked="0"/>
    </xf>
    <xf numFmtId="0" fontId="0" fillId="5" borderId="122" xfId="0" applyFont="1" applyFill="1" applyBorder="1" applyAlignment="1" applyProtection="1">
      <alignment horizontal="center" vertical="center"/>
      <protection locked="0"/>
    </xf>
    <xf numFmtId="0" fontId="0" fillId="5" borderId="135" xfId="0" applyFont="1" applyFill="1" applyBorder="1" applyAlignment="1" applyProtection="1">
      <alignment vertical="center"/>
      <protection locked="0"/>
    </xf>
    <xf numFmtId="14" fontId="0" fillId="5" borderId="135" xfId="0" applyNumberFormat="1" applyFont="1" applyFill="1" applyBorder="1" applyAlignment="1" applyProtection="1">
      <alignment vertical="center"/>
      <protection locked="0"/>
    </xf>
    <xf numFmtId="4" fontId="0" fillId="5" borderId="10" xfId="0" applyNumberFormat="1" applyFont="1" applyFill="1" applyBorder="1" applyAlignment="1" applyProtection="1">
      <alignment horizontal="center" vertical="center"/>
      <protection locked="0"/>
    </xf>
    <xf numFmtId="10" fontId="0" fillId="5" borderId="10" xfId="1" applyNumberFormat="1" applyFont="1" applyFill="1" applyBorder="1" applyAlignment="1" applyProtection="1">
      <alignment horizontal="center" vertical="center"/>
      <protection locked="0"/>
    </xf>
    <xf numFmtId="9" fontId="23" fillId="5" borderId="10" xfId="1" applyFont="1" applyFill="1" applyBorder="1" applyAlignment="1" applyProtection="1">
      <alignment horizontal="center" vertical="center"/>
      <protection locked="0"/>
    </xf>
    <xf numFmtId="9" fontId="0" fillId="5" borderId="10" xfId="1" applyFont="1" applyFill="1" applyBorder="1" applyAlignment="1" applyProtection="1">
      <alignment horizontal="center" vertical="center"/>
      <protection locked="0"/>
    </xf>
    <xf numFmtId="0" fontId="0" fillId="17" borderId="122" xfId="0" applyFont="1" applyFill="1" applyBorder="1" applyAlignment="1">
      <alignment vertical="center"/>
    </xf>
    <xf numFmtId="14" fontId="0" fillId="17" borderId="122" xfId="0" applyNumberFormat="1" applyFont="1" applyFill="1" applyBorder="1" applyAlignment="1">
      <alignment vertical="center"/>
    </xf>
    <xf numFmtId="0" fontId="6" fillId="17" borderId="122" xfId="0" applyFont="1" applyFill="1" applyBorder="1" applyAlignment="1">
      <alignment vertical="center"/>
    </xf>
    <xf numFmtId="0" fontId="0" fillId="6" borderId="122" xfId="0" applyFont="1" applyFill="1" applyBorder="1" applyAlignment="1">
      <alignment horizontal="center" vertical="center"/>
    </xf>
    <xf numFmtId="0" fontId="24" fillId="0" borderId="0" xfId="0" applyFont="1" applyAlignment="1">
      <alignment vertical="center"/>
    </xf>
    <xf numFmtId="0" fontId="52" fillId="0" borderId="0" xfId="0" applyFont="1" applyAlignment="1">
      <alignment horizontal="left" vertical="center"/>
    </xf>
    <xf numFmtId="0" fontId="0" fillId="0" borderId="122" xfId="0" applyBorder="1" applyAlignment="1">
      <alignment horizontal="center" vertical="center"/>
    </xf>
    <xf numFmtId="0" fontId="0" fillId="4" borderId="0" xfId="0" applyFill="1" applyAlignment="1">
      <alignment horizontal="center" vertical="center"/>
    </xf>
    <xf numFmtId="0" fontId="6" fillId="0" borderId="139" xfId="0" applyFont="1" applyFill="1" applyBorder="1" applyAlignment="1">
      <alignment horizontal="left" vertical="center"/>
    </xf>
    <xf numFmtId="0" fontId="6" fillId="0" borderId="140" xfId="0" applyFont="1" applyBorder="1" applyAlignment="1">
      <alignment horizontal="left" vertical="center"/>
    </xf>
    <xf numFmtId="0" fontId="6" fillId="0" borderId="51" xfId="0" applyFont="1" applyBorder="1" applyAlignment="1">
      <alignment horizontal="center" vertical="center"/>
    </xf>
    <xf numFmtId="0" fontId="6" fillId="0" borderId="52" xfId="0" applyFont="1" applyBorder="1" applyAlignment="1">
      <alignment horizontal="center" vertical="center"/>
    </xf>
    <xf numFmtId="0" fontId="6" fillId="0" borderId="117" xfId="0" applyFont="1" applyBorder="1" applyAlignment="1">
      <alignment horizontal="center" vertical="center"/>
    </xf>
    <xf numFmtId="0" fontId="6" fillId="0" borderId="118" xfId="0" applyFont="1" applyBorder="1" applyAlignment="1">
      <alignment horizontal="center" vertical="center"/>
    </xf>
    <xf numFmtId="0" fontId="13" fillId="0" borderId="51" xfId="0" applyFont="1" applyBorder="1" applyAlignment="1">
      <alignment vertical="center"/>
    </xf>
    <xf numFmtId="0" fontId="13" fillId="0" borderId="142" xfId="0" applyFont="1" applyBorder="1" applyAlignment="1">
      <alignment vertical="center"/>
    </xf>
    <xf numFmtId="0" fontId="13" fillId="0" borderId="52" xfId="0" applyFont="1" applyBorder="1" applyAlignment="1">
      <alignment vertical="center"/>
    </xf>
    <xf numFmtId="0" fontId="13" fillId="0" borderId="115" xfId="0" applyFont="1" applyBorder="1" applyAlignment="1">
      <alignment vertical="center"/>
    </xf>
    <xf numFmtId="0" fontId="13" fillId="0" borderId="66" xfId="0" applyFont="1" applyBorder="1" applyAlignment="1">
      <alignment vertical="center"/>
    </xf>
    <xf numFmtId="0" fontId="13" fillId="0" borderId="116" xfId="0" applyFont="1" applyBorder="1" applyAlignment="1">
      <alignment vertical="center"/>
    </xf>
    <xf numFmtId="0" fontId="13" fillId="0" borderId="117" xfId="0" applyFont="1" applyBorder="1" applyAlignment="1">
      <alignment vertical="center"/>
    </xf>
    <xf numFmtId="0" fontId="13" fillId="0" borderId="143" xfId="0" applyFont="1" applyBorder="1" applyAlignment="1">
      <alignment vertical="center"/>
    </xf>
    <xf numFmtId="0" fontId="13" fillId="0" borderId="118" xfId="0" applyFont="1" applyBorder="1" applyAlignment="1">
      <alignment vertical="center"/>
    </xf>
    <xf numFmtId="0" fontId="53" fillId="19" borderId="144" xfId="0" applyFont="1" applyFill="1" applyBorder="1" applyAlignment="1">
      <alignment horizontal="center"/>
    </xf>
    <xf numFmtId="0" fontId="53" fillId="19" borderId="145" xfId="0" applyFont="1" applyFill="1" applyBorder="1" applyAlignment="1">
      <alignment horizontal="center"/>
    </xf>
    <xf numFmtId="0" fontId="53" fillId="19" borderId="146" xfId="0" applyFont="1" applyFill="1" applyBorder="1" applyAlignment="1">
      <alignment horizontal="center"/>
    </xf>
    <xf numFmtId="169" fontId="0" fillId="0" borderId="147" xfId="0" applyNumberFormat="1" applyBorder="1" applyAlignment="1">
      <alignment horizontal="center"/>
    </xf>
    <xf numFmtId="169" fontId="0" fillId="0" borderId="148" xfId="0" applyNumberFormat="1" applyBorder="1" applyAlignment="1">
      <alignment horizontal="center"/>
    </xf>
    <xf numFmtId="169" fontId="0" fillId="0" borderId="149" xfId="0" applyNumberFormat="1" applyBorder="1" applyAlignment="1">
      <alignment horizontal="center"/>
    </xf>
    <xf numFmtId="169" fontId="0" fillId="0" borderId="150" xfId="0" applyNumberFormat="1" applyBorder="1" applyAlignment="1">
      <alignment horizontal="center"/>
    </xf>
    <xf numFmtId="169" fontId="0" fillId="0" borderId="151" xfId="0" applyNumberFormat="1" applyBorder="1" applyAlignment="1">
      <alignment horizontal="center"/>
    </xf>
    <xf numFmtId="169" fontId="0" fillId="0" borderId="152" xfId="0" applyNumberFormat="1" applyBorder="1" applyAlignment="1">
      <alignment horizontal="center"/>
    </xf>
    <xf numFmtId="0" fontId="1" fillId="0" borderId="0" xfId="0" applyFont="1" applyAlignment="1">
      <alignment horizontal="left" vertical="center"/>
    </xf>
    <xf numFmtId="0" fontId="0" fillId="0" borderId="122" xfId="0" applyFont="1" applyBorder="1" applyAlignment="1">
      <alignment horizontal="center" vertical="center"/>
    </xf>
    <xf numFmtId="0" fontId="0" fillId="4" borderId="122" xfId="0" applyFont="1" applyFill="1" applyBorder="1" applyAlignment="1">
      <alignment horizontal="center" vertical="center"/>
    </xf>
    <xf numFmtId="0" fontId="0" fillId="0" borderId="135" xfId="0" applyBorder="1" applyAlignment="1">
      <alignment horizontal="center" vertical="center"/>
    </xf>
    <xf numFmtId="14" fontId="0" fillId="4" borderId="122" xfId="0" applyNumberFormat="1" applyFill="1" applyBorder="1" applyAlignment="1">
      <alignment horizontal="center" vertical="center"/>
    </xf>
    <xf numFmtId="0" fontId="0" fillId="0" borderId="138"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118" xfId="0" applyFill="1" applyBorder="1" applyAlignment="1">
      <alignment horizontal="center" vertical="center"/>
    </xf>
    <xf numFmtId="2" fontId="0" fillId="0" borderId="117" xfId="0" applyNumberFormat="1" applyBorder="1" applyAlignment="1">
      <alignment horizontal="center" vertical="center"/>
    </xf>
    <xf numFmtId="0" fontId="0" fillId="0" borderId="78" xfId="0" applyBorder="1" applyAlignment="1">
      <alignment horizontal="center" vertical="center"/>
    </xf>
    <xf numFmtId="0" fontId="0" fillId="0" borderId="79" xfId="0" applyBorder="1" applyAlignment="1">
      <alignment horizontal="center" vertical="center"/>
    </xf>
    <xf numFmtId="0" fontId="0" fillId="9" borderId="46" xfId="0" applyFont="1" applyFill="1" applyBorder="1" applyAlignment="1">
      <alignment horizontal="right" vertical="center"/>
    </xf>
    <xf numFmtId="0" fontId="1" fillId="0" borderId="135" xfId="0" applyFont="1" applyFill="1" applyBorder="1" applyAlignment="1">
      <alignment vertical="center"/>
    </xf>
    <xf numFmtId="3" fontId="0" fillId="5" borderId="122" xfId="0" applyNumberFormat="1" applyFont="1" applyFill="1" applyBorder="1" applyAlignment="1" applyProtection="1">
      <alignment horizontal="center" vertical="center"/>
      <protection locked="0"/>
    </xf>
    <xf numFmtId="2" fontId="2" fillId="0" borderId="122" xfId="0" applyNumberFormat="1" applyFont="1" applyBorder="1" applyAlignment="1">
      <alignment horizontal="center" vertical="center"/>
    </xf>
    <xf numFmtId="2" fontId="1" fillId="0" borderId="122" xfId="0" applyNumberFormat="1" applyFont="1" applyBorder="1" applyAlignment="1">
      <alignment horizontal="center" vertical="center"/>
    </xf>
    <xf numFmtId="0" fontId="17" fillId="0" borderId="153" xfId="0" applyFont="1" applyBorder="1" applyAlignment="1">
      <alignment horizontal="center" vertical="center"/>
    </xf>
    <xf numFmtId="0" fontId="0" fillId="0" borderId="0" xfId="0" applyAlignment="1">
      <alignment vertical="center"/>
    </xf>
    <xf numFmtId="0" fontId="0" fillId="10" borderId="122" xfId="0" applyFill="1" applyBorder="1" applyAlignment="1">
      <alignment vertical="center"/>
    </xf>
    <xf numFmtId="0" fontId="0" fillId="17" borderId="122" xfId="0" applyFill="1" applyBorder="1" applyAlignment="1">
      <alignment vertical="center"/>
    </xf>
    <xf numFmtId="2" fontId="0" fillId="17" borderId="122" xfId="0" applyNumberFormat="1" applyFill="1" applyBorder="1" applyAlignment="1">
      <alignment vertical="center"/>
    </xf>
    <xf numFmtId="0" fontId="1" fillId="6" borderId="48" xfId="0" applyFont="1" applyFill="1" applyBorder="1" applyAlignment="1">
      <alignment vertical="center"/>
    </xf>
    <xf numFmtId="0" fontId="1" fillId="6" borderId="157" xfId="0" applyFont="1" applyFill="1" applyBorder="1" applyAlignment="1">
      <alignment vertical="center"/>
    </xf>
    <xf numFmtId="0" fontId="1" fillId="6" borderId="84" xfId="0" applyFont="1" applyFill="1" applyBorder="1" applyAlignment="1">
      <alignment vertical="center"/>
    </xf>
    <xf numFmtId="170" fontId="0" fillId="0" borderId="0" xfId="0" applyNumberFormat="1" applyAlignment="1">
      <alignment vertical="center"/>
    </xf>
    <xf numFmtId="0" fontId="26" fillId="0" borderId="28" xfId="0" applyFont="1" applyBorder="1" applyAlignment="1">
      <alignment horizontal="left" vertical="center"/>
    </xf>
    <xf numFmtId="0" fontId="0" fillId="0" borderId="28" xfId="0" applyFont="1" applyBorder="1" applyAlignment="1">
      <alignment horizontal="left" vertical="center"/>
    </xf>
    <xf numFmtId="0" fontId="26" fillId="0" borderId="30" xfId="0" applyFont="1" applyBorder="1" applyAlignment="1">
      <alignment vertical="center"/>
    </xf>
    <xf numFmtId="0" fontId="26" fillId="0" borderId="127" xfId="0" applyFont="1" applyBorder="1" applyAlignment="1">
      <alignment vertical="center"/>
    </xf>
    <xf numFmtId="0" fontId="26" fillId="0" borderId="128" xfId="0" applyFont="1" applyBorder="1" applyAlignment="1">
      <alignment vertical="center"/>
    </xf>
    <xf numFmtId="0" fontId="0" fillId="0" borderId="28" xfId="0" applyFont="1" applyBorder="1" applyAlignment="1">
      <alignment vertical="center"/>
    </xf>
    <xf numFmtId="0" fontId="26" fillId="0" borderId="28" xfId="0" applyFont="1" applyBorder="1" applyAlignment="1">
      <alignment vertical="center"/>
    </xf>
    <xf numFmtId="0" fontId="0" fillId="0" borderId="127" xfId="0" applyFont="1" applyBorder="1" applyAlignment="1">
      <alignment vertical="center"/>
    </xf>
    <xf numFmtId="0" fontId="0" fillId="0" borderId="131" xfId="0" applyFont="1" applyBorder="1" applyAlignment="1">
      <alignment vertical="center"/>
    </xf>
    <xf numFmtId="0" fontId="26" fillId="0" borderId="75" xfId="0" applyFont="1" applyBorder="1" applyAlignment="1">
      <alignment vertical="center"/>
    </xf>
    <xf numFmtId="0" fontId="0" fillId="0" borderId="29" xfId="0" applyFont="1" applyBorder="1" applyAlignment="1">
      <alignment vertical="center"/>
    </xf>
    <xf numFmtId="14" fontId="26" fillId="0" borderId="29" xfId="0" applyNumberFormat="1" applyFont="1" applyFill="1" applyBorder="1" applyAlignment="1"/>
    <xf numFmtId="0" fontId="26" fillId="0" borderId="29" xfId="0" applyFont="1" applyFill="1" applyBorder="1" applyAlignment="1">
      <alignment vertical="center"/>
    </xf>
    <xf numFmtId="4" fontId="0" fillId="0" borderId="21" xfId="0" applyNumberFormat="1" applyBorder="1"/>
    <xf numFmtId="4" fontId="0" fillId="0" borderId="10" xfId="0" applyNumberFormat="1" applyBorder="1"/>
    <xf numFmtId="2" fontId="2" fillId="3" borderId="21" xfId="0" applyNumberFormat="1" applyFont="1" applyFill="1" applyBorder="1"/>
    <xf numFmtId="4" fontId="2" fillId="3" borderId="10" xfId="0" applyNumberFormat="1" applyFont="1" applyFill="1" applyBorder="1"/>
    <xf numFmtId="4" fontId="0" fillId="0" borderId="0" xfId="0" applyNumberFormat="1" applyBorder="1"/>
    <xf numFmtId="10" fontId="0" fillId="0" borderId="0" xfId="1" applyNumberFormat="1" applyFont="1" applyBorder="1"/>
    <xf numFmtId="2" fontId="0" fillId="0" borderId="14" xfId="0" applyNumberFormat="1" applyBorder="1"/>
    <xf numFmtId="0" fontId="0" fillId="17" borderId="10" xfId="0" applyFont="1" applyFill="1" applyBorder="1" applyAlignment="1">
      <alignment vertical="center"/>
    </xf>
    <xf numFmtId="0" fontId="0" fillId="0" borderId="122" xfId="0" applyFont="1" applyBorder="1" applyAlignment="1">
      <alignment vertical="center"/>
    </xf>
    <xf numFmtId="0" fontId="13" fillId="10" borderId="122" xfId="0" applyFont="1" applyFill="1" applyBorder="1" applyAlignment="1">
      <alignment vertical="center"/>
    </xf>
    <xf numFmtId="0" fontId="0" fillId="0" borderId="139" xfId="0" applyBorder="1"/>
    <xf numFmtId="0" fontId="0" fillId="0" borderId="159" xfId="0" applyBorder="1"/>
    <xf numFmtId="0" fontId="0" fillId="0" borderId="140" xfId="0" applyBorder="1"/>
    <xf numFmtId="2" fontId="13" fillId="0" borderId="122" xfId="0" applyNumberFormat="1" applyFont="1" applyBorder="1" applyAlignment="1">
      <alignment vertical="center"/>
    </xf>
    <xf numFmtId="0" fontId="4" fillId="0" borderId="122" xfId="0" applyFont="1" applyBorder="1" applyAlignment="1">
      <alignment vertical="center"/>
    </xf>
    <xf numFmtId="2" fontId="4" fillId="0" borderId="122" xfId="0" applyNumberFormat="1" applyFont="1" applyBorder="1" applyAlignment="1">
      <alignment vertical="center"/>
    </xf>
    <xf numFmtId="0" fontId="0" fillId="17" borderId="122" xfId="0" applyFont="1" applyFill="1" applyBorder="1" applyAlignment="1" applyProtection="1">
      <alignment horizontal="right" vertical="center"/>
      <protection locked="0"/>
    </xf>
    <xf numFmtId="0" fontId="0" fillId="17" borderId="10" xfId="0" applyFont="1" applyFill="1" applyBorder="1" applyAlignment="1" applyProtection="1">
      <alignment horizontal="center" vertical="center"/>
      <protection locked="0"/>
    </xf>
    <xf numFmtId="9" fontId="0" fillId="16" borderId="122" xfId="0" applyNumberFormat="1" applyFont="1" applyFill="1" applyBorder="1" applyAlignment="1" applyProtection="1">
      <alignment horizontal="center" vertical="center"/>
      <protection locked="0"/>
    </xf>
    <xf numFmtId="2" fontId="0" fillId="4" borderId="122" xfId="0" applyNumberFormat="1" applyFont="1" applyFill="1" applyBorder="1" applyAlignment="1" applyProtection="1">
      <alignment horizontal="center" vertical="center"/>
      <protection locked="0"/>
    </xf>
    <xf numFmtId="9" fontId="13" fillId="0" borderId="122" xfId="0" applyNumberFormat="1" applyFont="1" applyBorder="1" applyAlignment="1">
      <alignment vertical="center"/>
    </xf>
    <xf numFmtId="2" fontId="0" fillId="17" borderId="122" xfId="1" applyNumberFormat="1" applyFont="1" applyFill="1" applyBorder="1" applyAlignment="1" applyProtection="1">
      <alignment horizontal="right" vertical="center"/>
      <protection locked="0"/>
    </xf>
    <xf numFmtId="0" fontId="2" fillId="6" borderId="48" xfId="0" applyFont="1" applyFill="1" applyBorder="1" applyAlignment="1">
      <alignment horizontal="center" vertical="center" wrapText="1"/>
    </xf>
    <xf numFmtId="0" fontId="2" fillId="6" borderId="155" xfId="0" applyFont="1" applyFill="1" applyBorder="1" applyAlignment="1">
      <alignment horizontal="center" vertical="center" wrapText="1"/>
    </xf>
    <xf numFmtId="0" fontId="0" fillId="0" borderId="122" xfId="0" applyBorder="1" applyAlignment="1">
      <alignment vertical="center"/>
    </xf>
    <xf numFmtId="0" fontId="26" fillId="0" borderId="29" xfId="0" applyFont="1" applyBorder="1" applyAlignment="1">
      <alignment horizontal="left" vertical="center"/>
    </xf>
    <xf numFmtId="4" fontId="0" fillId="20" borderId="160" xfId="0" applyNumberFormat="1" applyFont="1" applyFill="1" applyBorder="1" applyAlignment="1">
      <alignment horizontal="right" vertical="center" indent="1"/>
    </xf>
    <xf numFmtId="4" fontId="0" fillId="0" borderId="161" xfId="0" applyNumberFormat="1" applyFont="1" applyBorder="1" applyAlignment="1">
      <alignment horizontal="right" vertical="center" indent="1"/>
    </xf>
    <xf numFmtId="4" fontId="0" fillId="20" borderId="161" xfId="0" applyNumberFormat="1" applyFont="1" applyFill="1" applyBorder="1" applyAlignment="1">
      <alignment horizontal="right" vertical="center" indent="1"/>
    </xf>
    <xf numFmtId="4" fontId="0" fillId="0" borderId="154" xfId="0" applyNumberFormat="1" applyFont="1" applyBorder="1" applyAlignment="1">
      <alignment horizontal="right" vertical="center" indent="1"/>
    </xf>
    <xf numFmtId="4" fontId="0" fillId="0" borderId="162" xfId="0" applyNumberFormat="1" applyFont="1" applyBorder="1" applyAlignment="1">
      <alignment horizontal="right" vertical="center" indent="1"/>
    </xf>
    <xf numFmtId="4" fontId="0" fillId="0" borderId="118" xfId="0" applyNumberFormat="1" applyFont="1" applyBorder="1" applyAlignment="1">
      <alignment horizontal="right" vertical="center" indent="1"/>
    </xf>
    <xf numFmtId="0" fontId="2" fillId="6" borderId="163" xfId="0" applyFont="1" applyFill="1" applyBorder="1" applyAlignment="1">
      <alignment horizontal="center" vertical="center" wrapText="1"/>
    </xf>
    <xf numFmtId="4" fontId="0" fillId="20" borderId="156" xfId="0" applyNumberFormat="1" applyFont="1" applyFill="1" applyBorder="1" applyAlignment="1">
      <alignment horizontal="right" vertical="center" indent="1"/>
    </xf>
    <xf numFmtId="4" fontId="0" fillId="20" borderId="162" xfId="0" applyNumberFormat="1" applyFont="1" applyFill="1" applyBorder="1" applyAlignment="1">
      <alignment horizontal="right" vertical="center" indent="1"/>
    </xf>
    <xf numFmtId="0" fontId="32" fillId="6" borderId="77" xfId="0" applyFont="1" applyFill="1" applyBorder="1" applyAlignment="1">
      <alignment horizontal="center" vertical="center"/>
    </xf>
    <xf numFmtId="0" fontId="2" fillId="6" borderId="173" xfId="0" applyFont="1" applyFill="1" applyBorder="1" applyAlignment="1">
      <alignment horizontal="center" vertical="center" wrapText="1"/>
    </xf>
    <xf numFmtId="0" fontId="2" fillId="6" borderId="160" xfId="0" applyFont="1" applyFill="1" applyBorder="1" applyAlignment="1">
      <alignment horizontal="center" vertical="center" wrapText="1"/>
    </xf>
    <xf numFmtId="0" fontId="32" fillId="6" borderId="52" xfId="0" applyFont="1" applyFill="1" applyBorder="1" applyAlignment="1">
      <alignment horizontal="center" vertical="center"/>
    </xf>
    <xf numFmtId="0" fontId="55" fillId="6" borderId="169" xfId="0" applyFont="1" applyFill="1" applyBorder="1" applyAlignment="1">
      <alignment horizontal="center" vertical="center"/>
    </xf>
    <xf numFmtId="0" fontId="55" fillId="6" borderId="162" xfId="0" applyFont="1" applyFill="1" applyBorder="1" applyAlignment="1">
      <alignment horizontal="center" vertical="center"/>
    </xf>
    <xf numFmtId="3" fontId="0" fillId="20" borderId="48" xfId="0" applyNumberFormat="1" applyFont="1" applyFill="1" applyBorder="1" applyAlignment="1">
      <alignment horizontal="center" vertical="center"/>
    </xf>
    <xf numFmtId="3" fontId="0" fillId="0" borderId="157" xfId="0" applyNumberFormat="1" applyFont="1" applyBorder="1" applyAlignment="1">
      <alignment horizontal="center" vertical="center"/>
    </xf>
    <xf numFmtId="3" fontId="0" fillId="20" borderId="157" xfId="0" applyNumberFormat="1" applyFont="1" applyFill="1" applyBorder="1" applyAlignment="1">
      <alignment horizontal="center" vertical="center"/>
    </xf>
    <xf numFmtId="3" fontId="0" fillId="0" borderId="84" xfId="0" applyNumberFormat="1" applyFont="1" applyBorder="1" applyAlignment="1">
      <alignment horizontal="center" vertical="center"/>
    </xf>
    <xf numFmtId="2" fontId="0" fillId="21" borderId="51" xfId="0" applyNumberFormat="1" applyFont="1" applyFill="1" applyBorder="1" applyAlignment="1">
      <alignment horizontal="right" vertical="center" indent="1"/>
    </xf>
    <xf numFmtId="2" fontId="0" fillId="21" borderId="142" xfId="0" applyNumberFormat="1" applyFill="1" applyBorder="1" applyAlignment="1">
      <alignment horizontal="right" vertical="center" indent="1"/>
    </xf>
    <xf numFmtId="2" fontId="56" fillId="0" borderId="168" xfId="0" applyNumberFormat="1" applyFont="1" applyFill="1" applyBorder="1" applyAlignment="1">
      <alignment horizontal="right" vertical="center" indent="1"/>
    </xf>
    <xf numFmtId="2" fontId="56" fillId="0" borderId="175" xfId="0" applyNumberFormat="1" applyFont="1" applyFill="1" applyBorder="1" applyAlignment="1">
      <alignment horizontal="right" vertical="center" indent="1"/>
    </xf>
    <xf numFmtId="2" fontId="56" fillId="0" borderId="167" xfId="0" applyNumberFormat="1" applyFont="1" applyFill="1" applyBorder="1" applyAlignment="1">
      <alignment horizontal="right" vertical="center" indent="1"/>
    </xf>
    <xf numFmtId="2" fontId="56" fillId="0" borderId="158" xfId="0" applyNumberFormat="1" applyFont="1" applyFill="1" applyBorder="1" applyAlignment="1">
      <alignment horizontal="right" vertical="center" indent="1"/>
    </xf>
    <xf numFmtId="170" fontId="56" fillId="0" borderId="168" xfId="0" applyNumberFormat="1" applyFont="1" applyFill="1" applyBorder="1" applyAlignment="1">
      <alignment horizontal="right" vertical="center" indent="1"/>
    </xf>
    <xf numFmtId="170" fontId="0" fillId="21" borderId="88" xfId="0" applyNumberFormat="1" applyFont="1" applyFill="1" applyBorder="1" applyAlignment="1">
      <alignment horizontal="right" vertical="center" indent="1"/>
    </xf>
    <xf numFmtId="170" fontId="56" fillId="0" borderId="161" xfId="0" applyNumberFormat="1" applyFont="1" applyFill="1" applyBorder="1" applyAlignment="1">
      <alignment horizontal="right" vertical="center" indent="1"/>
    </xf>
    <xf numFmtId="170" fontId="0" fillId="21" borderId="142" xfId="0" applyNumberFormat="1" applyFont="1" applyFill="1" applyBorder="1" applyAlignment="1">
      <alignment horizontal="right" vertical="center" indent="1"/>
    </xf>
    <xf numFmtId="2" fontId="0" fillId="21" borderId="177" xfId="0" applyNumberFormat="1" applyFill="1" applyBorder="1" applyAlignment="1">
      <alignment horizontal="right" vertical="center" indent="1"/>
    </xf>
    <xf numFmtId="2" fontId="0" fillId="21" borderId="176" xfId="0" applyNumberFormat="1" applyFont="1" applyFill="1" applyBorder="1" applyAlignment="1">
      <alignment horizontal="right" vertical="center" indent="1"/>
    </xf>
    <xf numFmtId="2" fontId="0" fillId="21" borderId="177" xfId="0" applyNumberFormat="1" applyFont="1" applyFill="1" applyBorder="1" applyAlignment="1">
      <alignment horizontal="right" vertical="center" indent="1"/>
    </xf>
    <xf numFmtId="2" fontId="2" fillId="21" borderId="139" xfId="0" applyNumberFormat="1" applyFont="1" applyFill="1" applyBorder="1" applyAlignment="1">
      <alignment horizontal="right" vertical="center" indent="1"/>
    </xf>
    <xf numFmtId="2" fontId="2" fillId="0" borderId="178" xfId="0" applyNumberFormat="1" applyFont="1" applyFill="1" applyBorder="1" applyAlignment="1">
      <alignment horizontal="right" vertical="center" indent="1"/>
    </xf>
    <xf numFmtId="170" fontId="0" fillId="21" borderId="179" xfId="0" applyNumberFormat="1" applyFont="1" applyFill="1" applyBorder="1" applyAlignment="1">
      <alignment horizontal="right" vertical="center" indent="1"/>
    </xf>
    <xf numFmtId="170" fontId="56" fillId="0" borderId="166" xfId="0" applyNumberFormat="1" applyFont="1" applyFill="1" applyBorder="1" applyAlignment="1">
      <alignment horizontal="right" vertical="center" indent="1"/>
    </xf>
    <xf numFmtId="170" fontId="0" fillId="21" borderId="180" xfId="0" applyNumberFormat="1" applyFont="1" applyFill="1" applyBorder="1" applyAlignment="1">
      <alignment horizontal="right" vertical="center" indent="1"/>
    </xf>
    <xf numFmtId="170" fontId="56" fillId="0" borderId="157" xfId="0" applyNumberFormat="1" applyFont="1" applyFill="1" applyBorder="1" applyAlignment="1">
      <alignment horizontal="right" vertical="center" indent="1"/>
    </xf>
    <xf numFmtId="2" fontId="0" fillId="21" borderId="170" xfId="0" applyNumberFormat="1" applyFill="1" applyBorder="1" applyAlignment="1">
      <alignment horizontal="right" vertical="center" indent="1"/>
    </xf>
    <xf numFmtId="170" fontId="56" fillId="0" borderId="171" xfId="0" applyNumberFormat="1" applyFont="1" applyFill="1" applyBorder="1" applyAlignment="1">
      <alignment horizontal="right" vertical="center" indent="1"/>
    </xf>
    <xf numFmtId="170" fontId="0" fillId="21" borderId="170" xfId="0" applyNumberFormat="1" applyFill="1" applyBorder="1" applyAlignment="1">
      <alignment horizontal="right" vertical="center" indent="1"/>
    </xf>
    <xf numFmtId="2" fontId="54" fillId="21" borderId="139" xfId="0" applyNumberFormat="1" applyFont="1" applyFill="1" applyBorder="1" applyAlignment="1">
      <alignment horizontal="right" vertical="center" indent="1"/>
    </xf>
    <xf numFmtId="2" fontId="54" fillId="0" borderId="178" xfId="0" applyNumberFormat="1" applyFont="1" applyFill="1" applyBorder="1" applyAlignment="1">
      <alignment horizontal="right" vertical="center" indent="1"/>
    </xf>
    <xf numFmtId="2" fontId="54" fillId="21" borderId="164" xfId="0" applyNumberFormat="1" applyFont="1" applyFill="1" applyBorder="1" applyAlignment="1">
      <alignment horizontal="right" vertical="center" indent="1"/>
    </xf>
    <xf numFmtId="2" fontId="54" fillId="0" borderId="165" xfId="0" applyNumberFormat="1" applyFont="1" applyFill="1" applyBorder="1" applyAlignment="1">
      <alignment horizontal="right" vertical="center" indent="1"/>
    </xf>
    <xf numFmtId="0" fontId="6" fillId="0" borderId="76" xfId="0" applyFont="1" applyBorder="1" applyAlignment="1">
      <alignment vertical="center"/>
    </xf>
    <xf numFmtId="10" fontId="6" fillId="0" borderId="77" xfId="0" applyNumberFormat="1" applyFont="1" applyBorder="1" applyAlignment="1">
      <alignment vertical="center"/>
    </xf>
    <xf numFmtId="14" fontId="0" fillId="0" borderId="0" xfId="0" applyNumberFormat="1"/>
    <xf numFmtId="14" fontId="0" fillId="5" borderId="122" xfId="0" applyNumberFormat="1" applyFont="1" applyFill="1" applyBorder="1" applyAlignment="1">
      <alignment vertical="center"/>
    </xf>
    <xf numFmtId="0" fontId="0" fillId="6" borderId="122" xfId="0" applyFont="1" applyFill="1" applyBorder="1" applyAlignment="1" applyProtection="1">
      <alignment horizontal="left" vertical="center"/>
      <protection locked="0"/>
    </xf>
    <xf numFmtId="0" fontId="0" fillId="6" borderId="122" xfId="0" applyFont="1" applyFill="1" applyBorder="1" applyAlignment="1" applyProtection="1">
      <alignment horizontal="left" vertical="center" wrapText="1"/>
      <protection locked="0"/>
    </xf>
    <xf numFmtId="4" fontId="0" fillId="0" borderId="4" xfId="0" applyNumberFormat="1" applyFont="1" applyFill="1" applyBorder="1" applyAlignment="1">
      <alignment vertical="center"/>
    </xf>
    <xf numFmtId="0" fontId="6" fillId="0" borderId="181" xfId="0" applyFont="1" applyFill="1" applyBorder="1" applyAlignment="1">
      <alignment horizontal="left" vertical="center"/>
    </xf>
    <xf numFmtId="2" fontId="0" fillId="21" borderId="142" xfId="0" applyNumberFormat="1" applyFont="1" applyFill="1" applyBorder="1" applyAlignment="1">
      <alignment horizontal="right" vertical="center" indent="1"/>
    </xf>
    <xf numFmtId="2" fontId="0" fillId="21" borderId="52" xfId="0" applyNumberFormat="1" applyFont="1" applyFill="1" applyBorder="1" applyAlignment="1">
      <alignment horizontal="right" vertical="center" indent="1"/>
    </xf>
    <xf numFmtId="0" fontId="0" fillId="0" borderId="0" xfId="0" applyAlignment="1">
      <alignment horizontal="right" vertical="center"/>
    </xf>
    <xf numFmtId="0" fontId="23" fillId="0" borderId="0" xfId="0" applyFont="1" applyFill="1" applyBorder="1" applyAlignment="1" applyProtection="1">
      <alignment horizontal="center" vertical="center"/>
      <protection locked="0"/>
    </xf>
    <xf numFmtId="43" fontId="26" fillId="0" borderId="29" xfId="4" applyFont="1" applyFill="1" applyBorder="1" applyAlignment="1">
      <alignment horizontal="right" vertical="center"/>
    </xf>
    <xf numFmtId="2" fontId="23" fillId="17" borderId="122" xfId="0" applyNumberFormat="1" applyFont="1" applyFill="1" applyBorder="1" applyAlignment="1" applyProtection="1">
      <alignment horizontal="center" vertical="center"/>
      <protection locked="0"/>
    </xf>
    <xf numFmtId="10" fontId="26" fillId="15" borderId="29" xfId="1" applyNumberFormat="1" applyFont="1" applyFill="1" applyBorder="1" applyAlignment="1">
      <alignment vertical="center"/>
    </xf>
    <xf numFmtId="4" fontId="26" fillId="15" borderId="29" xfId="0" applyNumberFormat="1" applyFont="1" applyFill="1" applyBorder="1" applyAlignment="1">
      <alignment vertical="center"/>
    </xf>
    <xf numFmtId="10" fontId="26" fillId="15" borderId="128" xfId="1" applyNumberFormat="1" applyFont="1" applyFill="1" applyBorder="1" applyAlignment="1">
      <alignment vertical="center"/>
    </xf>
    <xf numFmtId="4" fontId="26" fillId="15" borderId="128" xfId="0" applyNumberFormat="1" applyFont="1" applyFill="1" applyBorder="1" applyAlignment="1">
      <alignment vertical="center"/>
    </xf>
    <xf numFmtId="10" fontId="26" fillId="15" borderId="75" xfId="1" applyNumberFormat="1" applyFont="1" applyFill="1" applyBorder="1" applyAlignment="1">
      <alignment vertical="center"/>
    </xf>
    <xf numFmtId="4" fontId="26" fillId="15" borderId="75" xfId="0" applyNumberFormat="1" applyFont="1" applyFill="1" applyBorder="1" applyAlignment="1">
      <alignment vertical="center"/>
    </xf>
    <xf numFmtId="167" fontId="26" fillId="0" borderId="29" xfId="1" applyNumberFormat="1" applyFont="1" applyBorder="1" applyAlignment="1">
      <alignment vertical="center"/>
    </xf>
    <xf numFmtId="4" fontId="26" fillId="15" borderId="73" xfId="0" applyNumberFormat="1" applyFont="1" applyFill="1" applyBorder="1" applyAlignment="1">
      <alignment vertical="center"/>
    </xf>
    <xf numFmtId="4" fontId="0" fillId="10" borderId="10" xfId="0" applyNumberFormat="1" applyFont="1" applyFill="1" applyBorder="1" applyAlignment="1" applyProtection="1">
      <alignment horizontal="right" vertical="center"/>
      <protection locked="0"/>
    </xf>
    <xf numFmtId="4" fontId="0" fillId="17" borderId="122" xfId="0" applyNumberFormat="1" applyFont="1" applyFill="1" applyBorder="1" applyAlignment="1" applyProtection="1">
      <alignment horizontal="right" vertical="center"/>
      <protection locked="0"/>
    </xf>
    <xf numFmtId="0" fontId="0" fillId="10" borderId="122" xfId="0" applyFont="1" applyFill="1" applyBorder="1" applyAlignment="1">
      <alignment vertical="center" wrapText="1"/>
    </xf>
    <xf numFmtId="0" fontId="0" fillId="6" borderId="122" xfId="0" applyFont="1" applyFill="1" applyBorder="1" applyAlignment="1">
      <alignment vertical="center"/>
    </xf>
    <xf numFmtId="0" fontId="6" fillId="0" borderId="76" xfId="0" applyFont="1" applyBorder="1" applyAlignment="1">
      <alignment vertical="center" wrapText="1"/>
    </xf>
    <xf numFmtId="2" fontId="0" fillId="17" borderId="182" xfId="0" applyNumberFormat="1" applyFont="1" applyFill="1" applyBorder="1" applyAlignment="1">
      <alignment horizontal="center" vertical="center"/>
    </xf>
    <xf numFmtId="0" fontId="26" fillId="0" borderId="0" xfId="0" applyFont="1" applyBorder="1" applyAlignment="1">
      <alignment horizontal="center" vertical="center"/>
    </xf>
    <xf numFmtId="0" fontId="21" fillId="0" borderId="0" xfId="2" applyAlignment="1">
      <alignment vertical="center"/>
    </xf>
    <xf numFmtId="2" fontId="26" fillId="0" borderId="0" xfId="0" applyNumberFormat="1" applyFont="1" applyAlignment="1">
      <alignment vertical="center"/>
    </xf>
    <xf numFmtId="0" fontId="2" fillId="6" borderId="86" xfId="0" applyFont="1" applyFill="1" applyBorder="1" applyAlignment="1">
      <alignment vertical="center" wrapText="1"/>
    </xf>
    <xf numFmtId="4" fontId="0" fillId="20" borderId="51" xfId="0" applyNumberFormat="1" applyFont="1" applyFill="1" applyBorder="1" applyAlignment="1">
      <alignment horizontal="center" vertical="center"/>
    </xf>
    <xf numFmtId="4" fontId="0" fillId="26" borderId="51" xfId="0" applyNumberFormat="1" applyFont="1" applyFill="1" applyBorder="1" applyAlignment="1">
      <alignment horizontal="center" vertical="center"/>
    </xf>
    <xf numFmtId="4" fontId="0" fillId="0" borderId="183" xfId="0" applyNumberFormat="1" applyFont="1" applyBorder="1" applyAlignment="1">
      <alignment horizontal="center" vertical="center"/>
    </xf>
    <xf numFmtId="4" fontId="0" fillId="2" borderId="183" xfId="0" applyNumberFormat="1" applyFont="1" applyFill="1" applyBorder="1" applyAlignment="1">
      <alignment horizontal="center" vertical="center"/>
    </xf>
    <xf numFmtId="4" fontId="0" fillId="20" borderId="183" xfId="0" applyNumberFormat="1" applyFont="1" applyFill="1" applyBorder="1" applyAlignment="1">
      <alignment horizontal="center" vertical="center"/>
    </xf>
    <xf numFmtId="4" fontId="0" fillId="26" borderId="183" xfId="0" applyNumberFormat="1" applyFont="1" applyFill="1" applyBorder="1" applyAlignment="1">
      <alignment horizontal="center" vertical="center"/>
    </xf>
    <xf numFmtId="4" fontId="0" fillId="0" borderId="167" xfId="0" applyNumberFormat="1" applyFont="1" applyBorder="1" applyAlignment="1">
      <alignment horizontal="center" vertical="center"/>
    </xf>
    <xf numFmtId="4" fontId="0" fillId="2" borderId="167" xfId="0" applyNumberFormat="1" applyFont="1" applyFill="1" applyBorder="1" applyAlignment="1">
      <alignment horizontal="center" vertical="center"/>
    </xf>
    <xf numFmtId="4" fontId="0" fillId="26" borderId="177" xfId="0" applyNumberFormat="1" applyFont="1" applyFill="1" applyBorder="1" applyAlignment="1">
      <alignment horizontal="center" vertical="center"/>
    </xf>
    <xf numFmtId="4" fontId="0" fillId="2" borderId="185" xfId="0" applyNumberFormat="1" applyFont="1" applyFill="1" applyBorder="1" applyAlignment="1">
      <alignment horizontal="center" vertical="center"/>
    </xf>
    <xf numFmtId="4" fontId="0" fillId="26" borderId="185" xfId="0" applyNumberFormat="1" applyFont="1" applyFill="1" applyBorder="1" applyAlignment="1">
      <alignment horizontal="center" vertical="center"/>
    </xf>
    <xf numFmtId="4" fontId="0" fillId="2" borderId="175" xfId="0" applyNumberFormat="1" applyFont="1" applyFill="1" applyBorder="1" applyAlignment="1">
      <alignment horizontal="center" vertical="center"/>
    </xf>
    <xf numFmtId="4" fontId="0" fillId="2" borderId="186" xfId="0" applyNumberFormat="1" applyFont="1" applyFill="1" applyBorder="1" applyAlignment="1">
      <alignment horizontal="center" vertical="center"/>
    </xf>
    <xf numFmtId="4" fontId="0" fillId="2" borderId="169" xfId="0" applyNumberFormat="1" applyFont="1" applyFill="1" applyBorder="1" applyAlignment="1">
      <alignment horizontal="center" vertical="center"/>
    </xf>
    <xf numFmtId="0" fontId="2" fillId="6" borderId="78" xfId="0" applyFont="1" applyFill="1" applyBorder="1" applyAlignment="1">
      <alignment horizontal="center" vertical="center" wrapText="1"/>
    </xf>
    <xf numFmtId="0" fontId="2" fillId="6" borderId="79" xfId="0" applyFont="1" applyFill="1" applyBorder="1" applyAlignment="1">
      <alignment horizontal="center" vertical="center" wrapText="1"/>
    </xf>
    <xf numFmtId="4" fontId="0" fillId="24" borderId="179" xfId="0" applyNumberFormat="1" applyFont="1" applyFill="1" applyBorder="1" applyAlignment="1">
      <alignment horizontal="center" vertical="center"/>
    </xf>
    <xf numFmtId="4" fontId="0" fillId="2" borderId="187" xfId="0" applyNumberFormat="1" applyFont="1" applyFill="1" applyBorder="1" applyAlignment="1">
      <alignment horizontal="center" vertical="center"/>
    </xf>
    <xf numFmtId="4" fontId="0" fillId="24" borderId="187" xfId="0" applyNumberFormat="1" applyFont="1" applyFill="1" applyBorder="1" applyAlignment="1">
      <alignment horizontal="center" vertical="center"/>
    </xf>
    <xf numFmtId="4" fontId="0" fillId="2" borderId="166" xfId="0" applyNumberFormat="1" applyFont="1" applyFill="1" applyBorder="1" applyAlignment="1">
      <alignment horizontal="center" vertical="center"/>
    </xf>
    <xf numFmtId="4" fontId="0" fillId="25" borderId="183" xfId="0" applyNumberFormat="1" applyFont="1" applyFill="1" applyBorder="1" applyAlignment="1">
      <alignment horizontal="center" vertical="center"/>
    </xf>
    <xf numFmtId="4" fontId="0" fillId="25" borderId="186" xfId="0" applyNumberFormat="1" applyFont="1" applyFill="1" applyBorder="1" applyAlignment="1">
      <alignment horizontal="center" vertical="center"/>
    </xf>
    <xf numFmtId="4" fontId="0" fillId="25" borderId="76" xfId="0" applyNumberFormat="1" applyFont="1" applyFill="1" applyBorder="1" applyAlignment="1">
      <alignment horizontal="center" vertical="center"/>
    </xf>
    <xf numFmtId="4" fontId="0" fillId="25" borderId="77" xfId="0" applyNumberFormat="1" applyFont="1" applyFill="1" applyBorder="1" applyAlignment="1">
      <alignment horizontal="center" vertical="center"/>
    </xf>
    <xf numFmtId="2" fontId="23" fillId="10" borderId="10" xfId="4" applyNumberFormat="1" applyFont="1" applyFill="1" applyBorder="1" applyAlignment="1" applyProtection="1">
      <alignment vertical="center"/>
      <protection locked="0"/>
    </xf>
    <xf numFmtId="2" fontId="23" fillId="10" borderId="122" xfId="4" applyNumberFormat="1" applyFont="1" applyFill="1" applyBorder="1" applyAlignment="1" applyProtection="1">
      <alignment vertical="center"/>
      <protection locked="0"/>
    </xf>
    <xf numFmtId="2" fontId="23" fillId="17" borderId="122" xfId="4" applyNumberFormat="1" applyFont="1" applyFill="1" applyBorder="1" applyAlignment="1" applyProtection="1">
      <alignment vertical="center"/>
      <protection locked="0"/>
    </xf>
    <xf numFmtId="2" fontId="23" fillId="17" borderId="122" xfId="4" applyNumberFormat="1" applyFont="1" applyFill="1" applyBorder="1" applyAlignment="1" applyProtection="1">
      <alignment horizontal="right" vertical="center"/>
      <protection locked="0"/>
    </xf>
    <xf numFmtId="4" fontId="0" fillId="20" borderId="179" xfId="0" applyNumberFormat="1" applyFont="1" applyFill="1" applyBorder="1" applyAlignment="1">
      <alignment horizontal="center" vertical="center"/>
    </xf>
    <xf numFmtId="4" fontId="0" fillId="0" borderId="187" xfId="0" applyNumberFormat="1" applyFont="1" applyBorder="1" applyAlignment="1">
      <alignment horizontal="center" vertical="center"/>
    </xf>
    <xf numFmtId="4" fontId="0" fillId="20" borderId="187" xfId="0" applyNumberFormat="1" applyFont="1" applyFill="1" applyBorder="1" applyAlignment="1">
      <alignment horizontal="center" vertical="center"/>
    </xf>
    <xf numFmtId="4" fontId="0" fillId="0" borderId="166" xfId="0" applyNumberFormat="1" applyFont="1" applyBorder="1" applyAlignment="1">
      <alignment horizontal="center" vertical="center"/>
    </xf>
    <xf numFmtId="2" fontId="0" fillId="28" borderId="51" xfId="0" applyNumberFormat="1" applyFill="1" applyBorder="1" applyAlignment="1">
      <alignment horizontal="center" vertical="center"/>
    </xf>
    <xf numFmtId="2" fontId="0" fillId="0" borderId="183" xfId="0" applyNumberFormat="1" applyBorder="1" applyAlignment="1">
      <alignment horizontal="center" vertical="center"/>
    </xf>
    <xf numFmtId="2" fontId="0" fillId="28" borderId="183" xfId="0" applyNumberFormat="1" applyFill="1" applyBorder="1" applyAlignment="1">
      <alignment horizontal="center" vertical="center"/>
    </xf>
    <xf numFmtId="2" fontId="0" fillId="0" borderId="167" xfId="0" applyNumberFormat="1" applyBorder="1" applyAlignment="1">
      <alignment horizontal="center" vertical="center"/>
    </xf>
    <xf numFmtId="4" fontId="1" fillId="26" borderId="183" xfId="0" applyNumberFormat="1" applyFont="1" applyFill="1" applyBorder="1" applyAlignment="1">
      <alignment horizontal="center" vertical="center"/>
    </xf>
    <xf numFmtId="4" fontId="1" fillId="26" borderId="186" xfId="0" applyNumberFormat="1" applyFont="1" applyFill="1" applyBorder="1" applyAlignment="1">
      <alignment horizontal="center" vertical="center"/>
    </xf>
    <xf numFmtId="4" fontId="0" fillId="20" borderId="78" xfId="0" applyNumberFormat="1" applyFont="1" applyFill="1" applyBorder="1" applyAlignment="1">
      <alignment horizontal="center" vertical="center"/>
    </xf>
    <xf numFmtId="4" fontId="0" fillId="20" borderId="79" xfId="0" applyNumberFormat="1" applyFont="1" applyFill="1" applyBorder="1" applyAlignment="1">
      <alignment horizontal="center" vertical="center"/>
    </xf>
    <xf numFmtId="2" fontId="1" fillId="28" borderId="189" xfId="0" applyNumberFormat="1" applyFont="1" applyFill="1" applyBorder="1" applyAlignment="1">
      <alignment horizontal="center" vertical="center"/>
    </xf>
    <xf numFmtId="2" fontId="1" fillId="28" borderId="91" xfId="0" applyNumberFormat="1" applyFont="1" applyFill="1" applyBorder="1" applyAlignment="1">
      <alignment horizontal="center" vertical="center"/>
    </xf>
    <xf numFmtId="4" fontId="1" fillId="25" borderId="51" xfId="0" applyNumberFormat="1" applyFont="1" applyFill="1" applyBorder="1" applyAlignment="1">
      <alignment horizontal="center" vertical="center"/>
    </xf>
    <xf numFmtId="4" fontId="1" fillId="25" borderId="52" xfId="0" applyNumberFormat="1" applyFont="1" applyFill="1" applyBorder="1" applyAlignment="1">
      <alignment horizontal="center" vertical="center"/>
    </xf>
    <xf numFmtId="0" fontId="2" fillId="6" borderId="188" xfId="0" applyFont="1" applyFill="1" applyBorder="1" applyAlignment="1">
      <alignment horizontal="center" vertical="center" wrapText="1"/>
    </xf>
    <xf numFmtId="4" fontId="1" fillId="27" borderId="51" xfId="0" applyNumberFormat="1" applyFont="1" applyFill="1" applyBorder="1" applyAlignment="1">
      <alignment horizontal="center" vertical="center"/>
    </xf>
    <xf numFmtId="4" fontId="1" fillId="27" borderId="48" xfId="0" applyNumberFormat="1" applyFont="1" applyFill="1" applyBorder="1" applyAlignment="1">
      <alignment horizontal="center" vertical="center" wrapText="1"/>
    </xf>
    <xf numFmtId="0" fontId="4" fillId="8" borderId="89" xfId="0" applyFont="1" applyFill="1" applyBorder="1" applyAlignment="1">
      <alignment horizontal="center" vertical="center" wrapText="1"/>
    </xf>
    <xf numFmtId="4" fontId="4" fillId="25" borderId="88" xfId="0" applyNumberFormat="1" applyFont="1" applyFill="1" applyBorder="1" applyAlignment="1">
      <alignment horizontal="center" vertical="center"/>
    </xf>
    <xf numFmtId="4" fontId="4" fillId="2" borderId="184" xfId="0" applyNumberFormat="1" applyFont="1" applyFill="1" applyBorder="1" applyAlignment="1">
      <alignment horizontal="center" vertical="center"/>
    </xf>
    <xf numFmtId="4" fontId="4" fillId="25" borderId="184" xfId="0" applyNumberFormat="1" applyFont="1" applyFill="1" applyBorder="1" applyAlignment="1">
      <alignment horizontal="center" vertical="center"/>
    </xf>
    <xf numFmtId="4" fontId="4" fillId="2" borderId="168" xfId="0" applyNumberFormat="1" applyFont="1" applyFill="1" applyBorder="1" applyAlignment="1">
      <alignment horizontal="center" vertical="center"/>
    </xf>
    <xf numFmtId="0" fontId="4" fillId="23" borderId="89" xfId="0" applyFont="1" applyFill="1" applyBorder="1" applyAlignment="1">
      <alignment horizontal="center" vertical="center" wrapText="1"/>
    </xf>
    <xf numFmtId="4" fontId="4" fillId="26" borderId="142" xfId="0" applyNumberFormat="1" applyFont="1" applyFill="1" applyBorder="1" applyAlignment="1">
      <alignment horizontal="center" vertical="center"/>
    </xf>
    <xf numFmtId="4" fontId="4" fillId="26" borderId="184" xfId="0" applyNumberFormat="1" applyFont="1" applyFill="1" applyBorder="1" applyAlignment="1">
      <alignment horizontal="center" vertical="center"/>
    </xf>
    <xf numFmtId="0" fontId="24" fillId="0" borderId="0" xfId="0" applyFont="1"/>
    <xf numFmtId="0" fontId="4" fillId="28" borderId="188" xfId="0" applyFont="1" applyFill="1" applyBorder="1" applyAlignment="1">
      <alignment horizontal="center" vertical="center" wrapText="1"/>
    </xf>
    <xf numFmtId="2" fontId="4" fillId="28" borderId="142" xfId="0" applyNumberFormat="1" applyFont="1" applyFill="1" applyBorder="1" applyAlignment="1">
      <alignment horizontal="center" vertical="center"/>
    </xf>
    <xf numFmtId="2" fontId="4" fillId="0" borderId="184" xfId="0" applyNumberFormat="1" applyFont="1" applyBorder="1" applyAlignment="1">
      <alignment horizontal="center" vertical="center"/>
    </xf>
    <xf numFmtId="2" fontId="4" fillId="28" borderId="184" xfId="0" applyNumberFormat="1" applyFont="1" applyFill="1" applyBorder="1" applyAlignment="1">
      <alignment horizontal="center" vertical="center"/>
    </xf>
    <xf numFmtId="2" fontId="4" fillId="0" borderId="168" xfId="0" applyNumberFormat="1" applyFont="1" applyBorder="1" applyAlignment="1">
      <alignment horizontal="center" vertical="center"/>
    </xf>
    <xf numFmtId="0" fontId="0" fillId="17" borderId="122" xfId="0" applyFill="1" applyBorder="1" applyAlignment="1">
      <alignment horizontal="center" vertical="center"/>
    </xf>
    <xf numFmtId="0" fontId="2" fillId="6" borderId="190" xfId="0" applyFont="1" applyFill="1" applyBorder="1" applyAlignment="1">
      <alignment horizontal="center" vertical="center" wrapText="1"/>
    </xf>
    <xf numFmtId="2" fontId="0" fillId="28" borderId="52" xfId="0" applyNumberFormat="1" applyFill="1" applyBorder="1" applyAlignment="1">
      <alignment horizontal="center" vertical="center"/>
    </xf>
    <xf numFmtId="2" fontId="0" fillId="0" borderId="186" xfId="0" applyNumberFormat="1" applyBorder="1" applyAlignment="1">
      <alignment horizontal="center" vertical="center"/>
    </xf>
    <xf numFmtId="2" fontId="0" fillId="28" borderId="186" xfId="0" applyNumberFormat="1" applyFill="1" applyBorder="1" applyAlignment="1">
      <alignment horizontal="center" vertical="center"/>
    </xf>
    <xf numFmtId="2" fontId="0" fillId="0" borderId="169" xfId="0" applyNumberFormat="1" applyBorder="1" applyAlignment="1">
      <alignment horizontal="center" vertical="center"/>
    </xf>
    <xf numFmtId="0" fontId="4" fillId="16" borderId="89" xfId="0" applyFont="1" applyFill="1" applyBorder="1" applyAlignment="1">
      <alignment horizontal="center" vertical="center" wrapText="1"/>
    </xf>
    <xf numFmtId="4" fontId="0" fillId="29" borderId="76" xfId="0" applyNumberFormat="1" applyFont="1" applyFill="1" applyBorder="1" applyAlignment="1">
      <alignment horizontal="center" vertical="center"/>
    </xf>
    <xf numFmtId="4" fontId="4" fillId="29" borderId="88" xfId="0" applyNumberFormat="1" applyFont="1" applyFill="1" applyBorder="1" applyAlignment="1">
      <alignment horizontal="center" vertical="center"/>
    </xf>
    <xf numFmtId="4" fontId="0" fillId="29" borderId="176" xfId="0" applyNumberFormat="1" applyFont="1" applyFill="1" applyBorder="1" applyAlignment="1">
      <alignment horizontal="center" vertical="center"/>
    </xf>
    <xf numFmtId="4" fontId="0" fillId="29" borderId="183" xfId="0" applyNumberFormat="1" applyFont="1" applyFill="1" applyBorder="1" applyAlignment="1">
      <alignment horizontal="center" vertical="center"/>
    </xf>
    <xf numFmtId="4" fontId="4" fillId="29" borderId="184" xfId="0" applyNumberFormat="1" applyFont="1" applyFill="1" applyBorder="1" applyAlignment="1">
      <alignment horizontal="center" vertical="center"/>
    </xf>
    <xf numFmtId="4" fontId="0" fillId="29" borderId="185" xfId="0" applyNumberFormat="1" applyFont="1" applyFill="1" applyBorder="1" applyAlignment="1">
      <alignment horizontal="center" vertical="center"/>
    </xf>
    <xf numFmtId="4" fontId="1" fillId="29" borderId="167" xfId="0" applyNumberFormat="1" applyFont="1" applyFill="1" applyBorder="1" applyAlignment="1">
      <alignment horizontal="center" vertical="center"/>
    </xf>
    <xf numFmtId="4" fontId="1" fillId="29" borderId="169" xfId="0" applyNumberFormat="1" applyFont="1" applyFill="1" applyBorder="1" applyAlignment="1">
      <alignment horizontal="center" vertical="center"/>
    </xf>
    <xf numFmtId="2" fontId="0" fillId="17" borderId="117" xfId="0" applyNumberFormat="1" applyFill="1" applyBorder="1" applyAlignment="1">
      <alignment horizontal="center" vertical="center"/>
    </xf>
    <xf numFmtId="0" fontId="3" fillId="0" borderId="0" xfId="0" applyFont="1" applyAlignment="1">
      <alignment vertical="center"/>
    </xf>
    <xf numFmtId="0" fontId="0" fillId="0" borderId="168" xfId="0" applyFont="1" applyBorder="1" applyAlignment="1">
      <alignment horizontal="center" vertical="center" wrapText="1"/>
    </xf>
    <xf numFmtId="0" fontId="0" fillId="0" borderId="169" xfId="0" applyFont="1" applyBorder="1" applyAlignment="1">
      <alignment horizontal="center" vertical="center" wrapText="1"/>
    </xf>
    <xf numFmtId="0" fontId="0" fillId="0" borderId="163" xfId="0" applyFont="1" applyBorder="1" applyAlignment="1">
      <alignment vertical="center"/>
    </xf>
    <xf numFmtId="164" fontId="3" fillId="0" borderId="51" xfId="0" applyNumberFormat="1" applyFont="1" applyBorder="1" applyAlignment="1">
      <alignment horizontal="center" vertical="center"/>
    </xf>
    <xf numFmtId="164" fontId="3" fillId="0" borderId="142" xfId="0" applyNumberFormat="1" applyFont="1" applyBorder="1" applyAlignment="1">
      <alignment horizontal="center" vertical="center"/>
    </xf>
    <xf numFmtId="164" fontId="3" fillId="0" borderId="52" xfId="0" applyNumberFormat="1" applyFont="1" applyBorder="1" applyAlignment="1">
      <alignment horizontal="center" vertical="center"/>
    </xf>
    <xf numFmtId="0" fontId="0" fillId="0" borderId="181" xfId="0" applyFont="1" applyBorder="1" applyAlignment="1">
      <alignment vertical="center"/>
    </xf>
    <xf numFmtId="164" fontId="3" fillId="0" borderId="183" xfId="0" applyNumberFormat="1" applyFont="1" applyBorder="1" applyAlignment="1">
      <alignment horizontal="center" vertical="center"/>
    </xf>
    <xf numFmtId="164" fontId="3" fillId="0" borderId="184" xfId="0" applyNumberFormat="1" applyFont="1" applyBorder="1" applyAlignment="1">
      <alignment horizontal="center" vertical="center"/>
    </xf>
    <xf numFmtId="164" fontId="3" fillId="0" borderId="186" xfId="0" applyNumberFormat="1" applyFont="1" applyBorder="1" applyAlignment="1">
      <alignment horizontal="center" vertical="center"/>
    </xf>
    <xf numFmtId="0" fontId="0" fillId="0" borderId="191" xfId="0" applyFont="1" applyBorder="1" applyAlignment="1">
      <alignment vertical="center"/>
    </xf>
    <xf numFmtId="164" fontId="3" fillId="0" borderId="167" xfId="0" applyNumberFormat="1" applyFont="1" applyBorder="1" applyAlignment="1">
      <alignment horizontal="center" vertical="center"/>
    </xf>
    <xf numFmtId="164" fontId="3" fillId="0" borderId="168" xfId="0" applyNumberFormat="1" applyFont="1" applyBorder="1" applyAlignment="1">
      <alignment horizontal="center" vertical="center"/>
    </xf>
    <xf numFmtId="164" fontId="3" fillId="0" borderId="169" xfId="0" applyNumberFormat="1" applyFont="1" applyBorder="1" applyAlignment="1">
      <alignment horizontal="center" vertical="center"/>
    </xf>
    <xf numFmtId="0" fontId="0" fillId="0" borderId="51" xfId="0" applyFont="1" applyBorder="1" applyAlignment="1">
      <alignment vertical="center"/>
    </xf>
    <xf numFmtId="2" fontId="3" fillId="0" borderId="142" xfId="0" applyNumberFormat="1" applyFont="1" applyBorder="1" applyAlignment="1">
      <alignment vertical="center"/>
    </xf>
    <xf numFmtId="0" fontId="0" fillId="0" borderId="183" xfId="0" applyFont="1" applyBorder="1" applyAlignment="1">
      <alignment vertical="center"/>
    </xf>
    <xf numFmtId="0" fontId="3" fillId="0" borderId="184" xfId="0" applyFont="1" applyBorder="1" applyAlignment="1">
      <alignment vertical="center"/>
    </xf>
    <xf numFmtId="0" fontId="3" fillId="0" borderId="52" xfId="0" applyFont="1" applyBorder="1" applyAlignment="1">
      <alignment vertical="center"/>
    </xf>
    <xf numFmtId="0" fontId="0" fillId="0" borderId="167" xfId="0" applyFont="1" applyBorder="1" applyAlignment="1">
      <alignment vertical="center"/>
    </xf>
    <xf numFmtId="2" fontId="3" fillId="0" borderId="169" xfId="0" applyNumberFormat="1" applyFont="1" applyBorder="1" applyAlignment="1">
      <alignment vertical="center"/>
    </xf>
    <xf numFmtId="2" fontId="0" fillId="4" borderId="69" xfId="1" applyNumberFormat="1" applyFont="1" applyFill="1" applyBorder="1" applyAlignment="1" applyProtection="1">
      <alignment horizontal="center" vertical="center"/>
      <protection locked="0"/>
    </xf>
    <xf numFmtId="2" fontId="0" fillId="6" borderId="122" xfId="1" applyNumberFormat="1" applyFont="1" applyFill="1" applyBorder="1" applyAlignment="1" applyProtection="1">
      <alignment horizontal="right" vertical="center"/>
      <protection locked="0"/>
    </xf>
    <xf numFmtId="2" fontId="0" fillId="4" borderId="122" xfId="1" applyNumberFormat="1" applyFont="1" applyFill="1" applyBorder="1" applyAlignment="1" applyProtection="1">
      <alignment horizontal="center" vertical="center"/>
      <protection locked="0"/>
    </xf>
    <xf numFmtId="0" fontId="32" fillId="15" borderId="0" xfId="0" applyFont="1" applyFill="1" applyAlignment="1">
      <alignment vertical="center"/>
    </xf>
    <xf numFmtId="2" fontId="32" fillId="15" borderId="0" xfId="0" applyNumberFormat="1" applyFont="1" applyFill="1" applyAlignment="1">
      <alignment vertical="center"/>
    </xf>
    <xf numFmtId="0" fontId="59" fillId="15" borderId="0" xfId="0" applyFont="1" applyFill="1" applyAlignment="1">
      <alignment vertical="center"/>
    </xf>
    <xf numFmtId="4" fontId="59" fillId="15" borderId="0" xfId="0" applyNumberFormat="1" applyFont="1" applyFill="1" applyAlignment="1">
      <alignment vertical="center"/>
    </xf>
    <xf numFmtId="0" fontId="60" fillId="0" borderId="0" xfId="0" applyFont="1" applyFill="1" applyAlignment="1">
      <alignment vertical="center"/>
    </xf>
    <xf numFmtId="0" fontId="26" fillId="0" borderId="0" xfId="0" applyFont="1" applyBorder="1" applyAlignment="1">
      <alignment horizontal="center" vertical="center"/>
    </xf>
    <xf numFmtId="0" fontId="26" fillId="0" borderId="28" xfId="0" applyFont="1" applyBorder="1" applyAlignment="1">
      <alignment horizontal="left" vertical="center"/>
    </xf>
    <xf numFmtId="0" fontId="0" fillId="15" borderId="0" xfId="0" applyFill="1" applyAlignment="1">
      <alignment vertical="center"/>
    </xf>
    <xf numFmtId="0" fontId="60" fillId="0" borderId="0" xfId="0" applyFont="1" applyAlignment="1">
      <alignment vertical="center"/>
    </xf>
    <xf numFmtId="0" fontId="1" fillId="15" borderId="0" xfId="0" applyFont="1" applyFill="1" applyAlignment="1">
      <alignment vertical="center"/>
    </xf>
    <xf numFmtId="0" fontId="3" fillId="0" borderId="63" xfId="0" applyFont="1" applyBorder="1" applyAlignment="1">
      <alignment horizontal="left" vertical="center"/>
    </xf>
    <xf numFmtId="0" fontId="0" fillId="0" borderId="64" xfId="0" applyBorder="1" applyAlignment="1">
      <alignment horizontal="center" vertical="center"/>
    </xf>
    <xf numFmtId="2" fontId="0" fillId="0" borderId="64" xfId="0" applyNumberFormat="1" applyBorder="1" applyAlignment="1">
      <alignment vertical="center"/>
    </xf>
    <xf numFmtId="2" fontId="0" fillId="0" borderId="65" xfId="0" applyNumberFormat="1" applyBorder="1" applyAlignment="1">
      <alignment vertical="center"/>
    </xf>
    <xf numFmtId="0" fontId="1" fillId="0" borderId="63" xfId="0" applyFont="1" applyBorder="1" applyAlignment="1">
      <alignment vertical="center"/>
    </xf>
    <xf numFmtId="2" fontId="0" fillId="0" borderId="65" xfId="4" applyNumberFormat="1" applyFont="1" applyBorder="1" applyAlignment="1">
      <alignment vertical="center"/>
    </xf>
    <xf numFmtId="0" fontId="1" fillId="0" borderId="122" xfId="0" applyFont="1" applyBorder="1" applyAlignment="1">
      <alignment horizontal="center" vertical="center"/>
    </xf>
    <xf numFmtId="0" fontId="0" fillId="0" borderId="46" xfId="0" applyBorder="1" applyAlignment="1">
      <alignment vertical="center"/>
    </xf>
    <xf numFmtId="0" fontId="0" fillId="0" borderId="192" xfId="0" applyBorder="1" applyAlignment="1">
      <alignment vertical="center"/>
    </xf>
    <xf numFmtId="2" fontId="0" fillId="0" borderId="47" xfId="0" applyNumberFormat="1" applyBorder="1" applyAlignment="1">
      <alignment vertical="center"/>
    </xf>
    <xf numFmtId="0" fontId="3" fillId="0" borderId="193" xfId="0" applyFont="1" applyBorder="1" applyAlignment="1">
      <alignment horizontal="left" vertical="center"/>
    </xf>
    <xf numFmtId="0" fontId="0" fillId="0" borderId="194" xfId="0" applyBorder="1" applyAlignment="1">
      <alignment horizontal="center" vertical="center"/>
    </xf>
    <xf numFmtId="2" fontId="0" fillId="0" borderId="194" xfId="0" applyNumberFormat="1" applyBorder="1" applyAlignment="1">
      <alignment vertical="center"/>
    </xf>
    <xf numFmtId="2" fontId="0" fillId="0" borderId="195" xfId="0" applyNumberFormat="1" applyBorder="1" applyAlignment="1">
      <alignment vertical="center"/>
    </xf>
    <xf numFmtId="0" fontId="61" fillId="0" borderId="193" xfId="0" applyFont="1" applyBorder="1" applyAlignment="1">
      <alignment vertical="center"/>
    </xf>
    <xf numFmtId="2" fontId="0" fillId="0" borderId="195" xfId="4" applyNumberFormat="1" applyFont="1" applyBorder="1" applyAlignment="1">
      <alignment vertical="center"/>
    </xf>
    <xf numFmtId="0" fontId="0" fillId="0" borderId="63" xfId="0" applyBorder="1" applyAlignment="1">
      <alignment vertical="center"/>
    </xf>
    <xf numFmtId="0" fontId="3" fillId="0" borderId="196" xfId="0" applyNumberFormat="1" applyFont="1" applyBorder="1" applyAlignment="1">
      <alignment horizontal="left" vertical="center"/>
    </xf>
    <xf numFmtId="0" fontId="0" fillId="0" borderId="196" xfId="0" applyBorder="1" applyAlignment="1">
      <alignment horizontal="center" vertical="center"/>
    </xf>
    <xf numFmtId="2" fontId="0" fillId="0" borderId="196" xfId="0" applyNumberFormat="1" applyBorder="1" applyAlignment="1">
      <alignment vertical="center"/>
    </xf>
    <xf numFmtId="2" fontId="0" fillId="0" borderId="135" xfId="0" applyNumberFormat="1" applyBorder="1" applyAlignment="1">
      <alignment vertical="center"/>
    </xf>
    <xf numFmtId="0" fontId="0" fillId="0" borderId="197" xfId="0" applyBorder="1" applyAlignment="1">
      <alignment vertical="center"/>
    </xf>
    <xf numFmtId="0" fontId="0" fillId="0" borderId="184" xfId="0" applyBorder="1" applyAlignment="1">
      <alignment vertical="center"/>
    </xf>
    <xf numFmtId="2" fontId="0" fillId="0" borderId="198" xfId="0" applyNumberFormat="1" applyBorder="1" applyAlignment="1">
      <alignment vertical="center"/>
    </xf>
    <xf numFmtId="14" fontId="0" fillId="0" borderId="196" xfId="0" applyNumberFormat="1" applyFont="1" applyFill="1" applyBorder="1" applyAlignment="1">
      <alignment horizontal="left" vertical="center"/>
    </xf>
    <xf numFmtId="0" fontId="1" fillId="0" borderId="182" xfId="0" applyFont="1" applyBorder="1" applyAlignment="1">
      <alignment vertical="center"/>
    </xf>
    <xf numFmtId="0" fontId="0" fillId="0" borderId="184" xfId="0" applyBorder="1" applyAlignment="1">
      <alignment horizontal="center" vertical="center"/>
    </xf>
    <xf numFmtId="2" fontId="0" fillId="0" borderId="184" xfId="0" applyNumberFormat="1" applyBorder="1" applyAlignment="1">
      <alignment vertical="center"/>
    </xf>
    <xf numFmtId="171" fontId="0" fillId="0" borderId="65" xfId="0" applyNumberFormat="1" applyBorder="1" applyAlignment="1">
      <alignment vertical="center"/>
    </xf>
    <xf numFmtId="0" fontId="3" fillId="0" borderId="63" xfId="0" applyFont="1" applyFill="1" applyBorder="1" applyAlignment="1">
      <alignment horizontal="left" vertical="center"/>
    </xf>
    <xf numFmtId="0" fontId="0" fillId="0" borderId="195" xfId="0" applyBorder="1" applyAlignment="1">
      <alignment vertical="center"/>
    </xf>
    <xf numFmtId="0" fontId="0" fillId="0" borderId="197" xfId="0" applyFont="1" applyBorder="1" applyAlignment="1" applyProtection="1">
      <alignment horizontal="left" vertical="center"/>
      <protection locked="0"/>
    </xf>
    <xf numFmtId="0" fontId="3" fillId="0" borderId="197" xfId="0" applyFont="1" applyFill="1" applyBorder="1" applyAlignment="1">
      <alignment horizontal="left" vertical="center"/>
    </xf>
    <xf numFmtId="0" fontId="3" fillId="0" borderId="193" xfId="0" applyFont="1" applyFill="1" applyBorder="1" applyAlignment="1">
      <alignment horizontal="left" vertical="center"/>
    </xf>
    <xf numFmtId="0" fontId="1" fillId="0" borderId="197" xfId="0" applyFont="1" applyBorder="1" applyAlignment="1">
      <alignment vertical="center"/>
    </xf>
    <xf numFmtId="4" fontId="0" fillId="0" borderId="198" xfId="0" applyNumberFormat="1" applyBorder="1" applyAlignment="1">
      <alignment vertical="center"/>
    </xf>
    <xf numFmtId="0" fontId="0" fillId="0" borderId="193" xfId="0" applyBorder="1" applyAlignment="1">
      <alignment vertical="center"/>
    </xf>
    <xf numFmtId="0" fontId="0" fillId="0" borderId="194" xfId="0" applyBorder="1" applyAlignment="1">
      <alignment vertical="center"/>
    </xf>
    <xf numFmtId="0" fontId="1" fillId="0" borderId="193" xfId="0" applyFont="1" applyBorder="1" applyAlignment="1">
      <alignment vertical="center"/>
    </xf>
    <xf numFmtId="4" fontId="0" fillId="0" borderId="195" xfId="0" applyNumberFormat="1" applyBorder="1" applyAlignment="1">
      <alignment vertical="center"/>
    </xf>
    <xf numFmtId="0" fontId="1" fillId="0" borderId="199" xfId="0" applyFont="1" applyBorder="1" applyAlignment="1">
      <alignment vertical="center"/>
    </xf>
    <xf numFmtId="0" fontId="0" fillId="0" borderId="200" xfId="0" applyBorder="1" applyAlignment="1">
      <alignment vertical="center"/>
    </xf>
    <xf numFmtId="0" fontId="0" fillId="0" borderId="64" xfId="0" applyBorder="1" applyAlignment="1">
      <alignment vertical="center"/>
    </xf>
    <xf numFmtId="0" fontId="0" fillId="0" borderId="65" xfId="0" applyBorder="1" applyAlignment="1">
      <alignment vertical="center"/>
    </xf>
    <xf numFmtId="0" fontId="1" fillId="0" borderId="201" xfId="0" applyFont="1" applyBorder="1" applyAlignment="1">
      <alignment vertical="center"/>
    </xf>
    <xf numFmtId="0" fontId="0" fillId="0" borderId="202" xfId="0" applyBorder="1" applyAlignment="1">
      <alignment vertical="center"/>
    </xf>
    <xf numFmtId="0" fontId="0" fillId="0" borderId="198" xfId="0" applyBorder="1" applyAlignment="1">
      <alignment vertical="center"/>
    </xf>
    <xf numFmtId="0" fontId="0" fillId="0" borderId="193" xfId="0" applyFont="1" applyBorder="1" applyAlignment="1" applyProtection="1">
      <alignment horizontal="left" vertical="center"/>
      <protection locked="0"/>
    </xf>
    <xf numFmtId="0" fontId="60" fillId="0" borderId="202" xfId="0" applyFont="1" applyBorder="1" applyAlignment="1">
      <alignment vertical="center"/>
    </xf>
    <xf numFmtId="14" fontId="0" fillId="0" borderId="63" xfId="0" applyNumberFormat="1" applyFont="1" applyFill="1" applyBorder="1" applyAlignment="1">
      <alignment horizontal="left" vertical="center"/>
    </xf>
    <xf numFmtId="0" fontId="0" fillId="0" borderId="193" xfId="0" applyFont="1" applyFill="1" applyBorder="1" applyAlignment="1">
      <alignment horizontal="left" vertical="center"/>
    </xf>
    <xf numFmtId="0" fontId="1" fillId="0" borderId="203" xfId="0" applyFont="1" applyBorder="1" applyAlignment="1">
      <alignment vertical="center"/>
    </xf>
    <xf numFmtId="0" fontId="0" fillId="0" borderId="204" xfId="0" applyBorder="1" applyAlignment="1">
      <alignment vertical="center"/>
    </xf>
    <xf numFmtId="0" fontId="60" fillId="0" borderId="3" xfId="0" applyFont="1" applyBorder="1" applyAlignment="1">
      <alignment horizontal="center" vertical="center"/>
    </xf>
    <xf numFmtId="1" fontId="0" fillId="0" borderId="0" xfId="0" applyNumberFormat="1" applyAlignment="1">
      <alignment vertical="center"/>
    </xf>
    <xf numFmtId="1" fontId="0" fillId="0" borderId="0" xfId="0" applyNumberFormat="1" applyBorder="1" applyAlignment="1">
      <alignment vertical="center"/>
    </xf>
    <xf numFmtId="1" fontId="0" fillId="0" borderId="0" xfId="0" applyNumberFormat="1"/>
    <xf numFmtId="0" fontId="61" fillId="0" borderId="197" xfId="0" applyFont="1" applyBorder="1" applyAlignment="1">
      <alignment vertical="center"/>
    </xf>
    <xf numFmtId="2" fontId="0" fillId="0" borderId="198" xfId="4" applyNumberFormat="1" applyFont="1" applyBorder="1" applyAlignment="1">
      <alignment vertical="center"/>
    </xf>
    <xf numFmtId="0" fontId="0" fillId="0" borderId="63" xfId="0" applyFont="1" applyBorder="1" applyAlignment="1">
      <alignment vertical="center"/>
    </xf>
    <xf numFmtId="0" fontId="0" fillId="0" borderId="197" xfId="0" applyFont="1" applyBorder="1" applyAlignment="1">
      <alignment vertical="center"/>
    </xf>
    <xf numFmtId="0" fontId="0" fillId="0" borderId="193" xfId="0" applyFont="1" applyBorder="1" applyAlignment="1">
      <alignment vertical="center"/>
    </xf>
    <xf numFmtId="172" fontId="0" fillId="4" borderId="10" xfId="0" applyNumberFormat="1" applyFont="1" applyFill="1" applyBorder="1" applyAlignment="1" applyProtection="1">
      <alignment horizontal="center" vertical="center"/>
      <protection locked="0"/>
    </xf>
    <xf numFmtId="172" fontId="0" fillId="4" borderId="10" xfId="1" applyNumberFormat="1" applyFont="1" applyFill="1" applyBorder="1" applyAlignment="1" applyProtection="1">
      <alignment horizontal="center" vertical="center"/>
      <protection locked="0"/>
    </xf>
    <xf numFmtId="4" fontId="0" fillId="4" borderId="122" xfId="0" applyNumberFormat="1" applyFont="1" applyFill="1" applyBorder="1" applyAlignment="1">
      <alignment horizontal="center" vertical="center"/>
    </xf>
    <xf numFmtId="2" fontId="23" fillId="0" borderId="10" xfId="0" applyNumberFormat="1" applyFont="1" applyFill="1" applyBorder="1" applyAlignment="1" applyProtection="1">
      <alignment horizontal="center" vertical="center"/>
      <protection locked="0"/>
    </xf>
    <xf numFmtId="2" fontId="0" fillId="0" borderId="47" xfId="0" applyNumberFormat="1" applyBorder="1"/>
    <xf numFmtId="0" fontId="1" fillId="0" borderId="46" xfId="0" applyFont="1" applyBorder="1"/>
    <xf numFmtId="2" fontId="26" fillId="0" borderId="29" xfId="0" applyNumberFormat="1" applyFont="1" applyBorder="1" applyAlignment="1">
      <alignment horizontal="center" vertical="center"/>
    </xf>
    <xf numFmtId="0" fontId="26" fillId="0" borderId="28" xfId="0" applyFont="1" applyFill="1" applyBorder="1" applyAlignment="1">
      <alignment vertical="center"/>
    </xf>
    <xf numFmtId="0" fontId="23" fillId="0" borderId="29" xfId="0" applyFont="1" applyFill="1" applyBorder="1" applyAlignment="1">
      <alignment vertical="center"/>
    </xf>
    <xf numFmtId="0" fontId="15" fillId="0" borderId="0" xfId="0" applyFont="1"/>
    <xf numFmtId="0" fontId="60" fillId="0" borderId="2" xfId="0" applyFont="1" applyBorder="1" applyAlignment="1">
      <alignment vertical="center"/>
    </xf>
    <xf numFmtId="0" fontId="60" fillId="0" borderId="3" xfId="0" applyFont="1" applyBorder="1" applyAlignment="1">
      <alignment vertical="center"/>
    </xf>
    <xf numFmtId="1" fontId="15" fillId="0" borderId="4" xfId="0" applyNumberFormat="1" applyFont="1" applyBorder="1"/>
    <xf numFmtId="0" fontId="60" fillId="0" borderId="3" xfId="0" applyFont="1" applyBorder="1" applyAlignment="1">
      <alignment horizontal="right" vertical="center"/>
    </xf>
    <xf numFmtId="0" fontId="25" fillId="30" borderId="122" xfId="0" applyFont="1" applyFill="1" applyBorder="1" applyAlignment="1">
      <alignment horizontal="right" vertical="center"/>
    </xf>
    <xf numFmtId="0" fontId="18" fillId="31" borderId="122" xfId="0" applyFont="1" applyFill="1" applyBorder="1" applyAlignment="1">
      <alignment horizontal="right" vertical="center"/>
    </xf>
    <xf numFmtId="0" fontId="58" fillId="0" borderId="0" xfId="0" applyFont="1" applyFill="1" applyBorder="1" applyAlignment="1">
      <alignment horizontal="center" vertical="center"/>
    </xf>
    <xf numFmtId="0" fontId="0" fillId="0" borderId="0" xfId="0" applyFill="1"/>
    <xf numFmtId="0" fontId="0" fillId="0" borderId="0" xfId="0" applyAlignment="1">
      <alignment wrapText="1"/>
    </xf>
    <xf numFmtId="0" fontId="0" fillId="0" borderId="0" xfId="0" applyAlignment="1">
      <alignment horizontal="center" vertical="center" wrapText="1"/>
    </xf>
    <xf numFmtId="0" fontId="2" fillId="6" borderId="51" xfId="0" applyFont="1" applyFill="1" applyBorder="1" applyAlignment="1">
      <alignment vertical="center" wrapText="1"/>
    </xf>
    <xf numFmtId="4" fontId="1" fillId="27" borderId="142" xfId="0" applyNumberFormat="1" applyFont="1" applyFill="1" applyBorder="1" applyAlignment="1">
      <alignment horizontal="center" vertical="center"/>
    </xf>
    <xf numFmtId="4" fontId="1" fillId="27" borderId="142" xfId="0" applyNumberFormat="1" applyFont="1" applyFill="1" applyBorder="1" applyAlignment="1">
      <alignment horizontal="center" vertical="center" wrapText="1"/>
    </xf>
    <xf numFmtId="4" fontId="1" fillId="27" borderId="52" xfId="0" applyNumberFormat="1" applyFont="1" applyFill="1" applyBorder="1" applyAlignment="1">
      <alignment horizontal="center" vertical="center" wrapText="1"/>
    </xf>
    <xf numFmtId="0" fontId="0" fillId="0" borderId="51" xfId="0" applyBorder="1" applyAlignment="1">
      <alignment horizontal="center" vertical="center" wrapText="1"/>
    </xf>
    <xf numFmtId="0" fontId="0" fillId="0" borderId="142" xfId="0" applyBorder="1" applyAlignment="1">
      <alignment horizontal="center" vertical="center" wrapText="1"/>
    </xf>
    <xf numFmtId="0" fontId="0" fillId="0" borderId="52" xfId="0" applyBorder="1" applyAlignment="1">
      <alignment horizontal="center" vertical="center" wrapText="1"/>
    </xf>
    <xf numFmtId="4" fontId="1" fillId="25" borderId="167" xfId="0" applyNumberFormat="1" applyFont="1" applyFill="1" applyBorder="1" applyAlignment="1">
      <alignment horizontal="center" vertical="center"/>
    </xf>
    <xf numFmtId="4" fontId="1" fillId="26" borderId="168" xfId="0" applyNumberFormat="1" applyFont="1" applyFill="1" applyBorder="1" applyAlignment="1">
      <alignment horizontal="center" vertical="center"/>
    </xf>
    <xf numFmtId="4" fontId="1" fillId="29" borderId="168" xfId="0" applyNumberFormat="1" applyFont="1" applyFill="1" applyBorder="1" applyAlignment="1">
      <alignment horizontal="center" vertical="center"/>
    </xf>
    <xf numFmtId="2" fontId="1" fillId="28" borderId="169" xfId="0" applyNumberFormat="1" applyFont="1" applyFill="1" applyBorder="1" applyAlignment="1">
      <alignment horizontal="center" vertical="center"/>
    </xf>
    <xf numFmtId="0" fontId="0" fillId="17" borderId="167" xfId="0" applyFont="1" applyFill="1" applyBorder="1" applyAlignment="1">
      <alignment horizontal="center" vertical="center"/>
    </xf>
    <xf numFmtId="2" fontId="0" fillId="17" borderId="168" xfId="0" applyNumberFormat="1" applyFont="1" applyFill="1" applyBorder="1" applyAlignment="1">
      <alignment horizontal="center" vertical="center"/>
    </xf>
    <xf numFmtId="2" fontId="0" fillId="17" borderId="169" xfId="0" applyNumberFormat="1" applyFont="1" applyFill="1" applyBorder="1" applyAlignment="1">
      <alignment horizontal="center" vertical="center"/>
    </xf>
    <xf numFmtId="0" fontId="2" fillId="6" borderId="48" xfId="0" applyFont="1" applyFill="1" applyBorder="1" applyAlignment="1">
      <alignment vertical="center" wrapText="1"/>
    </xf>
    <xf numFmtId="171" fontId="0" fillId="17" borderId="168" xfId="0" applyNumberFormat="1" applyFont="1" applyFill="1" applyBorder="1" applyAlignment="1">
      <alignment horizontal="center" vertical="center"/>
    </xf>
    <xf numFmtId="0" fontId="52" fillId="0" borderId="3" xfId="0" applyFont="1" applyBorder="1" applyAlignment="1">
      <alignment horizontal="center" vertical="center"/>
    </xf>
    <xf numFmtId="0" fontId="52" fillId="0" borderId="4" xfId="0" applyFont="1" applyBorder="1" applyAlignment="1">
      <alignment horizontal="center" vertical="center"/>
    </xf>
    <xf numFmtId="0" fontId="48" fillId="10" borderId="74" xfId="2" applyFont="1" applyFill="1" applyBorder="1" applyAlignment="1">
      <alignment horizontal="center" vertical="center" textRotation="90"/>
    </xf>
    <xf numFmtId="0" fontId="48" fillId="10" borderId="133" xfId="2" applyFont="1" applyFill="1" applyBorder="1" applyAlignment="1">
      <alignment horizontal="center" vertical="center" textRotation="90"/>
    </xf>
    <xf numFmtId="0" fontId="48" fillId="10" borderId="72" xfId="2" applyFont="1" applyFill="1" applyBorder="1" applyAlignment="1">
      <alignment horizontal="center" vertical="center" textRotation="90"/>
    </xf>
    <xf numFmtId="0" fontId="48" fillId="13" borderId="74" xfId="2" applyFont="1" applyFill="1" applyBorder="1" applyAlignment="1">
      <alignment horizontal="center" vertical="center" textRotation="90"/>
    </xf>
    <xf numFmtId="0" fontId="48" fillId="13" borderId="133" xfId="2" applyFont="1" applyFill="1" applyBorder="1" applyAlignment="1">
      <alignment horizontal="center" vertical="center" textRotation="90"/>
    </xf>
    <xf numFmtId="0" fontId="48" fillId="13" borderId="72" xfId="2" applyFont="1" applyFill="1" applyBorder="1" applyAlignment="1">
      <alignment horizontal="center" vertical="center" textRotation="90"/>
    </xf>
    <xf numFmtId="0" fontId="48" fillId="0" borderId="74" xfId="2" applyFont="1" applyBorder="1" applyAlignment="1">
      <alignment horizontal="center" vertical="center" textRotation="90"/>
    </xf>
    <xf numFmtId="0" fontId="48" fillId="0" borderId="133" xfId="2" applyFont="1" applyBorder="1" applyAlignment="1">
      <alignment horizontal="center" vertical="center" textRotation="90"/>
    </xf>
    <xf numFmtId="0" fontId="48" fillId="0" borderId="72" xfId="2" applyFont="1" applyBorder="1" applyAlignment="1">
      <alignment horizontal="center" vertical="center" textRotation="90"/>
    </xf>
    <xf numFmtId="0" fontId="48" fillId="5" borderId="24" xfId="2" applyFont="1" applyFill="1" applyBorder="1" applyAlignment="1">
      <alignment horizontal="center" vertical="center" textRotation="90"/>
    </xf>
    <xf numFmtId="0" fontId="48" fillId="5" borderId="134" xfId="2" applyFont="1" applyFill="1" applyBorder="1" applyAlignment="1">
      <alignment horizontal="center" vertical="center" textRotation="90"/>
    </xf>
    <xf numFmtId="0" fontId="48" fillId="5" borderId="141" xfId="2" applyFont="1" applyFill="1" applyBorder="1" applyAlignment="1">
      <alignment horizontal="center" vertical="center" textRotation="90"/>
    </xf>
    <xf numFmtId="0" fontId="48" fillId="5" borderId="27" xfId="2" applyFont="1" applyFill="1" applyBorder="1" applyAlignment="1">
      <alignment horizontal="center" vertical="center" textRotation="90"/>
    </xf>
    <xf numFmtId="0" fontId="51" fillId="6" borderId="74" xfId="2" applyFont="1" applyFill="1" applyBorder="1" applyAlignment="1">
      <alignment horizontal="center" vertical="center" textRotation="90" wrapText="1"/>
    </xf>
    <xf numFmtId="0" fontId="51" fillId="6" borderId="133" xfId="2" applyFont="1" applyFill="1" applyBorder="1" applyAlignment="1">
      <alignment horizontal="center" vertical="center" textRotation="90" wrapText="1"/>
    </xf>
    <xf numFmtId="0" fontId="51" fillId="6" borderId="72" xfId="2" applyFont="1" applyFill="1" applyBorder="1" applyAlignment="1">
      <alignment horizontal="center" vertical="center" textRotation="90" wrapText="1"/>
    </xf>
    <xf numFmtId="0" fontId="48" fillId="5" borderId="74" xfId="2" applyFont="1" applyFill="1" applyBorder="1" applyAlignment="1">
      <alignment horizontal="center" vertical="center" textRotation="90"/>
    </xf>
    <xf numFmtId="0" fontId="48" fillId="5" borderId="133" xfId="2" applyFont="1" applyFill="1" applyBorder="1" applyAlignment="1">
      <alignment horizontal="center" vertical="center" textRotation="90"/>
    </xf>
    <xf numFmtId="0" fontId="48" fillId="5" borderId="72" xfId="2" applyFont="1" applyFill="1" applyBorder="1" applyAlignment="1">
      <alignment horizontal="center" vertical="center" textRotation="90"/>
    </xf>
    <xf numFmtId="0" fontId="52" fillId="0" borderId="129" xfId="0" applyFont="1" applyBorder="1" applyAlignment="1">
      <alignment horizontal="center" vertical="center"/>
    </xf>
    <xf numFmtId="0" fontId="21" fillId="0" borderId="3" xfId="2" applyBorder="1" applyAlignment="1">
      <alignment horizontal="center" vertical="center"/>
    </xf>
    <xf numFmtId="0" fontId="21" fillId="0" borderId="4" xfId="2" applyBorder="1" applyAlignment="1">
      <alignment horizontal="center" vertical="center"/>
    </xf>
    <xf numFmtId="0" fontId="2" fillId="0" borderId="3" xfId="2" applyFont="1" applyBorder="1" applyAlignment="1">
      <alignment horizontal="center" vertical="center"/>
    </xf>
    <xf numFmtId="0" fontId="2" fillId="0" borderId="4" xfId="2" applyFont="1" applyBorder="1" applyAlignment="1">
      <alignment horizontal="center" vertical="center"/>
    </xf>
    <xf numFmtId="0" fontId="21" fillId="0" borderId="0" xfId="2" applyFont="1" applyAlignment="1">
      <alignment horizontal="center" vertical="center"/>
    </xf>
    <xf numFmtId="0" fontId="1" fillId="0" borderId="122" xfId="0" applyFont="1" applyBorder="1" applyAlignment="1">
      <alignment horizontal="center" vertical="center"/>
    </xf>
    <xf numFmtId="0" fontId="60" fillId="0" borderId="2" xfId="0" applyFont="1" applyBorder="1" applyAlignment="1">
      <alignment horizontal="center" vertical="center"/>
    </xf>
    <xf numFmtId="0" fontId="60" fillId="0" borderId="4" xfId="0" applyFont="1" applyBorder="1" applyAlignment="1">
      <alignment horizontal="center" vertical="center"/>
    </xf>
    <xf numFmtId="0" fontId="1" fillId="0" borderId="122" xfId="0" applyFont="1" applyBorder="1" applyAlignment="1">
      <alignment horizontal="center" vertical="center" wrapText="1"/>
    </xf>
    <xf numFmtId="0" fontId="1" fillId="0" borderId="138" xfId="0" applyFont="1" applyBorder="1" applyAlignment="1">
      <alignment horizontal="center" vertical="center"/>
    </xf>
    <xf numFmtId="0" fontId="1" fillId="0" borderId="137" xfId="0" applyFont="1" applyBorder="1" applyAlignment="1">
      <alignment horizontal="center" vertical="center"/>
    </xf>
    <xf numFmtId="0" fontId="1" fillId="0" borderId="69" xfId="0" applyFont="1" applyBorder="1" applyAlignment="1">
      <alignment horizontal="center" vertical="center"/>
    </xf>
    <xf numFmtId="0" fontId="54" fillId="0" borderId="182" xfId="0" applyFont="1" applyBorder="1" applyAlignment="1">
      <alignment horizontal="center" vertical="center"/>
    </xf>
    <xf numFmtId="0" fontId="54" fillId="0" borderId="135" xfId="0" applyFont="1" applyBorder="1" applyAlignment="1">
      <alignment horizontal="center" vertical="center"/>
    </xf>
    <xf numFmtId="0" fontId="26" fillId="0" borderId="7" xfId="0" applyFont="1" applyBorder="1" applyAlignment="1">
      <alignment horizontal="center" vertical="center"/>
    </xf>
    <xf numFmtId="0" fontId="26" fillId="0" borderId="0" xfId="0" applyFont="1" applyBorder="1" applyAlignment="1">
      <alignment horizontal="center" vertical="center"/>
    </xf>
    <xf numFmtId="0" fontId="25" fillId="2" borderId="0" xfId="0" applyFont="1" applyFill="1" applyAlignment="1">
      <alignment horizontal="center" vertical="center"/>
    </xf>
    <xf numFmtId="0" fontId="26" fillId="0" borderId="28" xfId="0" applyFont="1" applyBorder="1" applyAlignment="1">
      <alignment horizontal="left" vertical="center"/>
    </xf>
    <xf numFmtId="0" fontId="26" fillId="0" borderId="29" xfId="0" applyFont="1" applyBorder="1" applyAlignment="1">
      <alignment horizontal="left" vertical="center"/>
    </xf>
    <xf numFmtId="0" fontId="26" fillId="0" borderId="34" xfId="0" applyFont="1" applyBorder="1" applyAlignment="1">
      <alignment horizontal="center" vertical="center"/>
    </xf>
    <xf numFmtId="0" fontId="26" fillId="0" borderId="35" xfId="0" applyFont="1" applyBorder="1" applyAlignment="1">
      <alignment horizontal="center" vertical="center"/>
    </xf>
    <xf numFmtId="0" fontId="31" fillId="16" borderId="2" xfId="0" applyFont="1" applyFill="1" applyBorder="1" applyAlignment="1">
      <alignment horizontal="center" vertical="center"/>
    </xf>
    <xf numFmtId="0" fontId="31" fillId="16" borderId="3" xfId="0" applyFont="1" applyFill="1" applyBorder="1" applyAlignment="1">
      <alignment horizontal="center" vertical="center"/>
    </xf>
    <xf numFmtId="0" fontId="29" fillId="16" borderId="2" xfId="0" applyFont="1" applyFill="1" applyBorder="1" applyAlignment="1">
      <alignment horizontal="center" vertical="center"/>
    </xf>
    <xf numFmtId="0" fontId="29" fillId="16" borderId="4" xfId="0" applyFont="1" applyFill="1" applyBorder="1" applyAlignment="1">
      <alignment horizontal="center" vertical="center"/>
    </xf>
    <xf numFmtId="0" fontId="29" fillId="3" borderId="2" xfId="0" applyFont="1" applyFill="1" applyBorder="1" applyAlignment="1">
      <alignment horizontal="center" vertical="center"/>
    </xf>
    <xf numFmtId="0" fontId="29" fillId="3" borderId="4" xfId="0" applyFont="1" applyFill="1" applyBorder="1" applyAlignment="1">
      <alignment horizontal="center" vertical="center"/>
    </xf>
    <xf numFmtId="0" fontId="26" fillId="0" borderId="5" xfId="0" applyFont="1" applyBorder="1" applyAlignment="1">
      <alignment horizontal="center" vertical="center"/>
    </xf>
    <xf numFmtId="0" fontId="26" fillId="0" borderId="9" xfId="0" applyFont="1" applyBorder="1" applyAlignment="1">
      <alignment horizontal="center" vertical="center"/>
    </xf>
    <xf numFmtId="4" fontId="1" fillId="3" borderId="2" xfId="0" applyNumberFormat="1" applyFont="1" applyFill="1" applyBorder="1" applyAlignment="1">
      <alignment horizontal="center" vertical="center"/>
    </xf>
    <xf numFmtId="4" fontId="29" fillId="3" borderId="3" xfId="0" applyNumberFormat="1" applyFont="1" applyFill="1" applyBorder="1" applyAlignment="1">
      <alignment horizontal="center" vertical="center"/>
    </xf>
    <xf numFmtId="4" fontId="29" fillId="3" borderId="4" xfId="0" applyNumberFormat="1" applyFont="1" applyFill="1" applyBorder="1" applyAlignment="1">
      <alignment horizontal="center" vertical="center"/>
    </xf>
    <xf numFmtId="0" fontId="26" fillId="0" borderId="130" xfId="0" applyFont="1" applyFill="1" applyBorder="1" applyAlignment="1">
      <alignment horizontal="left" vertical="center"/>
    </xf>
    <xf numFmtId="0" fontId="26" fillId="0" borderId="68" xfId="0" applyFont="1" applyFill="1" applyBorder="1" applyAlignment="1">
      <alignment horizontal="left" vertical="center"/>
    </xf>
    <xf numFmtId="4" fontId="1" fillId="3" borderId="4" xfId="0" applyNumberFormat="1" applyFont="1" applyFill="1" applyBorder="1" applyAlignment="1">
      <alignment horizontal="center" vertical="center"/>
    </xf>
    <xf numFmtId="0" fontId="31"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23" xfId="0" applyFont="1" applyFill="1" applyBorder="1" applyAlignment="1">
      <alignment horizontal="center" vertical="center"/>
    </xf>
    <xf numFmtId="4" fontId="29" fillId="3" borderId="2" xfId="0" applyNumberFormat="1" applyFont="1" applyFill="1" applyBorder="1" applyAlignment="1">
      <alignment horizontal="center" vertical="center"/>
    </xf>
    <xf numFmtId="4" fontId="29" fillId="2" borderId="5" xfId="0" applyNumberFormat="1" applyFont="1" applyFill="1" applyBorder="1" applyAlignment="1">
      <alignment horizontal="center" vertical="center"/>
    </xf>
    <xf numFmtId="4" fontId="29" fillId="2" borderId="6" xfId="0" applyNumberFormat="1" applyFont="1" applyFill="1" applyBorder="1" applyAlignment="1">
      <alignment horizontal="center" vertical="center"/>
    </xf>
    <xf numFmtId="0" fontId="2" fillId="3" borderId="19" xfId="0" applyFont="1" applyFill="1" applyBorder="1" applyAlignment="1">
      <alignment horizontal="center"/>
    </xf>
    <xf numFmtId="0" fontId="2" fillId="3" borderId="20" xfId="0" applyFont="1" applyFill="1" applyBorder="1" applyAlignment="1">
      <alignment horizontal="center"/>
    </xf>
    <xf numFmtId="0" fontId="2" fillId="3" borderId="21" xfId="0" applyFont="1"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1" fillId="16" borderId="3" xfId="0" applyFont="1" applyFill="1" applyBorder="1" applyAlignment="1">
      <alignment horizontal="center" vertical="center"/>
    </xf>
    <xf numFmtId="0" fontId="1" fillId="16" borderId="4" xfId="0" applyFont="1" applyFill="1" applyBorder="1" applyAlignment="1">
      <alignment horizontal="center" vertical="center"/>
    </xf>
    <xf numFmtId="0" fontId="46" fillId="2" borderId="0" xfId="0" applyFont="1" applyFill="1" applyAlignment="1">
      <alignment horizontal="center" vertical="center"/>
    </xf>
    <xf numFmtId="0" fontId="1" fillId="16" borderId="2" xfId="0" applyFont="1" applyFill="1" applyBorder="1" applyAlignment="1">
      <alignment horizontal="center" vertical="center"/>
    </xf>
    <xf numFmtId="0" fontId="1" fillId="16" borderId="19" xfId="0" applyFont="1" applyFill="1" applyBorder="1" applyAlignment="1">
      <alignment horizontal="center"/>
    </xf>
    <xf numFmtId="0" fontId="1" fillId="16" borderId="20" xfId="0" applyFont="1" applyFill="1" applyBorder="1" applyAlignment="1">
      <alignment horizontal="center"/>
    </xf>
    <xf numFmtId="0" fontId="1" fillId="16" borderId="21" xfId="0" applyFont="1" applyFill="1" applyBorder="1" applyAlignment="1">
      <alignment horizontal="center"/>
    </xf>
    <xf numFmtId="0" fontId="1" fillId="3" borderId="19" xfId="0" applyFont="1" applyFill="1" applyBorder="1" applyAlignment="1">
      <alignment horizontal="center"/>
    </xf>
    <xf numFmtId="0" fontId="1" fillId="3" borderId="20" xfId="0" applyFont="1" applyFill="1" applyBorder="1" applyAlignment="1">
      <alignment horizontal="center"/>
    </xf>
    <xf numFmtId="0" fontId="1" fillId="3" borderId="21" xfId="0" applyFont="1" applyFill="1" applyBorder="1" applyAlignment="1">
      <alignment horizontal="center"/>
    </xf>
    <xf numFmtId="0" fontId="0" fillId="0" borderId="10" xfId="0" applyBorder="1" applyAlignment="1" applyProtection="1">
      <alignment horizontal="left" vertical="center"/>
      <protection locked="0"/>
    </xf>
    <xf numFmtId="0" fontId="1" fillId="0" borderId="10" xfId="0" applyFont="1" applyBorder="1" applyAlignment="1" applyProtection="1">
      <alignment horizontal="left" vertical="center"/>
      <protection locked="0"/>
    </xf>
    <xf numFmtId="0" fontId="11" fillId="11" borderId="55" xfId="0" applyFont="1" applyFill="1" applyBorder="1" applyAlignment="1" applyProtection="1">
      <alignment horizontal="center" vertical="center"/>
      <protection locked="0"/>
    </xf>
    <xf numFmtId="0" fontId="11" fillId="11" borderId="56" xfId="0" applyFont="1" applyFill="1" applyBorder="1" applyAlignment="1" applyProtection="1">
      <alignment horizontal="center" vertical="center"/>
      <protection locked="0"/>
    </xf>
    <xf numFmtId="0" fontId="11" fillId="11" borderId="57" xfId="0" applyFont="1" applyFill="1"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0" fillId="0" borderId="48" xfId="0" applyFont="1" applyBorder="1" applyAlignment="1">
      <alignment horizontal="left" vertical="top" wrapText="1"/>
    </xf>
    <xf numFmtId="0" fontId="0" fillId="0" borderId="50" xfId="0" applyFont="1" applyBorder="1" applyAlignment="1">
      <alignment horizontal="left" vertical="top" wrapText="1"/>
    </xf>
    <xf numFmtId="0" fontId="0" fillId="0" borderId="58" xfId="0" applyFont="1" applyBorder="1" applyAlignment="1">
      <alignment horizontal="left" vertical="top" wrapText="1"/>
    </xf>
    <xf numFmtId="0" fontId="0" fillId="0" borderId="59" xfId="0" applyFont="1" applyBorder="1" applyAlignment="1">
      <alignment horizontal="left" vertical="top" wrapText="1"/>
    </xf>
    <xf numFmtId="0" fontId="0" fillId="0" borderId="60" xfId="0" applyFont="1" applyBorder="1" applyAlignment="1">
      <alignment horizontal="left" vertical="top" wrapText="1"/>
    </xf>
    <xf numFmtId="0" fontId="0" fillId="0" borderId="61" xfId="0" applyFont="1" applyBorder="1" applyAlignment="1">
      <alignment horizontal="left" vertical="top" wrapText="1"/>
    </xf>
    <xf numFmtId="2" fontId="4" fillId="0" borderId="84" xfId="0" applyNumberFormat="1" applyFont="1" applyBorder="1" applyAlignment="1">
      <alignment horizontal="center" vertical="center"/>
    </xf>
    <xf numFmtId="2" fontId="4" fillId="0" borderId="85" xfId="0" applyNumberFormat="1" applyFont="1" applyBorder="1" applyAlignment="1">
      <alignment horizontal="center" vertical="center"/>
    </xf>
    <xf numFmtId="0" fontId="7" fillId="18" borderId="55" xfId="0" applyFont="1" applyFill="1" applyBorder="1" applyAlignment="1">
      <alignment horizontal="center" vertical="center"/>
    </xf>
    <xf numFmtId="0" fontId="7" fillId="18" borderId="56" xfId="0" applyFont="1" applyFill="1" applyBorder="1" applyAlignment="1">
      <alignment horizontal="center" vertical="center"/>
    </xf>
    <xf numFmtId="0" fontId="7" fillId="18" borderId="57" xfId="0" applyFont="1" applyFill="1" applyBorder="1" applyAlignment="1">
      <alignment horizontal="center" vertical="center"/>
    </xf>
    <xf numFmtId="0" fontId="0" fillId="8" borderId="86" xfId="0" applyFont="1" applyFill="1" applyBorder="1" applyAlignment="1">
      <alignment horizontal="center" vertical="center"/>
    </xf>
    <xf numFmtId="0" fontId="0" fillId="8" borderId="87" xfId="0" applyFont="1" applyFill="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4" fontId="4" fillId="8" borderId="82" xfId="0" applyNumberFormat="1" applyFont="1" applyFill="1" applyBorder="1" applyAlignment="1">
      <alignment horizontal="center" vertical="center"/>
    </xf>
    <xf numFmtId="0" fontId="4" fillId="8" borderId="83" xfId="0" applyFont="1" applyFill="1" applyBorder="1" applyAlignment="1">
      <alignment horizontal="center" vertical="center"/>
    </xf>
    <xf numFmtId="0" fontId="7" fillId="5" borderId="55" xfId="0" applyFont="1" applyFill="1" applyBorder="1" applyAlignment="1">
      <alignment horizontal="center" vertical="center"/>
    </xf>
    <xf numFmtId="0" fontId="7" fillId="5" borderId="56" xfId="0" applyFont="1" applyFill="1" applyBorder="1" applyAlignment="1">
      <alignment horizontal="center" vertical="center"/>
    </xf>
    <xf numFmtId="0" fontId="7" fillId="5" borderId="57" xfId="0" applyFont="1" applyFill="1" applyBorder="1" applyAlignment="1">
      <alignment horizontal="center" vertical="center"/>
    </xf>
    <xf numFmtId="0" fontId="4" fillId="8" borderId="82" xfId="0" applyFont="1" applyFill="1" applyBorder="1" applyAlignment="1">
      <alignment horizontal="center" vertical="center"/>
    </xf>
    <xf numFmtId="0" fontId="17" fillId="0" borderId="0" xfId="0" applyFont="1" applyAlignment="1">
      <alignment horizontal="left" vertical="center" wrapText="1"/>
    </xf>
    <xf numFmtId="0" fontId="16" fillId="7" borderId="37" xfId="0" applyFont="1" applyFill="1" applyBorder="1" applyAlignment="1">
      <alignment horizontal="center" vertical="center"/>
    </xf>
    <xf numFmtId="0" fontId="16" fillId="7" borderId="38" xfId="0" applyFont="1" applyFill="1" applyBorder="1" applyAlignment="1">
      <alignment horizontal="center" vertical="center"/>
    </xf>
    <xf numFmtId="0" fontId="16" fillId="7" borderId="39" xfId="0" applyFont="1" applyFill="1" applyBorder="1" applyAlignment="1">
      <alignment horizontal="center" vertical="center"/>
    </xf>
    <xf numFmtId="0" fontId="16" fillId="7" borderId="37" xfId="0" applyFont="1" applyFill="1" applyBorder="1" applyAlignment="1">
      <alignment horizontal="center" vertical="center" wrapText="1"/>
    </xf>
    <xf numFmtId="0" fontId="16" fillId="7" borderId="38" xfId="0" applyFont="1" applyFill="1" applyBorder="1" applyAlignment="1">
      <alignment horizontal="center" vertical="center" wrapText="1"/>
    </xf>
    <xf numFmtId="0" fontId="16" fillId="7" borderId="39" xfId="0" applyFont="1" applyFill="1" applyBorder="1" applyAlignment="1">
      <alignment horizontal="center" vertical="center" wrapText="1"/>
    </xf>
    <xf numFmtId="0" fontId="15" fillId="10" borderId="55" xfId="0" applyFont="1" applyFill="1" applyBorder="1" applyAlignment="1">
      <alignment horizontal="center" vertical="center"/>
    </xf>
    <xf numFmtId="0" fontId="15" fillId="10" borderId="56" xfId="0" applyFont="1" applyFill="1" applyBorder="1" applyAlignment="1">
      <alignment horizontal="center" vertical="center"/>
    </xf>
    <xf numFmtId="0" fontId="15" fillId="10" borderId="57" xfId="0" applyFont="1" applyFill="1" applyBorder="1" applyAlignment="1">
      <alignment horizontal="center" vertical="center"/>
    </xf>
    <xf numFmtId="0" fontId="0" fillId="0" borderId="51" xfId="0" applyFont="1" applyBorder="1" applyAlignment="1">
      <alignment horizontal="center" vertical="center" wrapText="1"/>
    </xf>
    <xf numFmtId="0" fontId="0" fillId="0" borderId="167" xfId="0" applyFont="1" applyBorder="1" applyAlignment="1">
      <alignment horizontal="center" vertical="center" wrapText="1"/>
    </xf>
    <xf numFmtId="0" fontId="0" fillId="0" borderId="142" xfId="0" applyFont="1" applyBorder="1" applyAlignment="1">
      <alignment horizontal="center" vertical="center" wrapText="1"/>
    </xf>
    <xf numFmtId="0" fontId="0" fillId="0" borderId="52" xfId="0" applyFont="1" applyBorder="1" applyAlignment="1">
      <alignment horizontal="center" vertical="center" wrapText="1"/>
    </xf>
    <xf numFmtId="2" fontId="3" fillId="0" borderId="184" xfId="0" applyNumberFormat="1" applyFont="1" applyBorder="1" applyAlignment="1">
      <alignment horizontal="left" vertical="center"/>
    </xf>
    <xf numFmtId="2" fontId="3" fillId="0" borderId="186" xfId="0" applyNumberFormat="1" applyFont="1" applyBorder="1" applyAlignment="1">
      <alignment horizontal="left" vertical="center"/>
    </xf>
    <xf numFmtId="0" fontId="0" fillId="8" borderId="0" xfId="0" applyFont="1" applyFill="1" applyAlignment="1">
      <alignment horizontal="center" vertical="center"/>
    </xf>
    <xf numFmtId="0" fontId="13" fillId="0" borderId="49" xfId="0" applyFont="1" applyBorder="1" applyAlignment="1">
      <alignment horizontal="left" vertical="top" wrapText="1"/>
    </xf>
    <xf numFmtId="0" fontId="13" fillId="0" borderId="50" xfId="0" applyFont="1" applyBorder="1" applyAlignment="1">
      <alignment horizontal="left" vertical="top" wrapText="1"/>
    </xf>
    <xf numFmtId="0" fontId="13" fillId="0" borderId="58" xfId="0" applyFont="1" applyBorder="1" applyAlignment="1">
      <alignment horizontal="left" vertical="top" wrapText="1"/>
    </xf>
    <xf numFmtId="0" fontId="13" fillId="0" borderId="0" xfId="0" applyFont="1" applyBorder="1" applyAlignment="1">
      <alignment horizontal="left" vertical="top" wrapText="1"/>
    </xf>
    <xf numFmtId="0" fontId="13" fillId="0" borderId="59" xfId="0" applyFont="1" applyBorder="1" applyAlignment="1">
      <alignment horizontal="left" vertical="top" wrapText="1"/>
    </xf>
    <xf numFmtId="0" fontId="13" fillId="0" borderId="60" xfId="0" applyFont="1" applyBorder="1" applyAlignment="1">
      <alignment horizontal="left" vertical="top" wrapText="1"/>
    </xf>
    <xf numFmtId="0" fontId="13" fillId="0" borderId="62" xfId="0" applyFont="1" applyBorder="1" applyAlignment="1">
      <alignment horizontal="left" vertical="top" wrapText="1"/>
    </xf>
    <xf numFmtId="0" fontId="13" fillId="0" borderId="61" xfId="0" applyFont="1" applyBorder="1" applyAlignment="1">
      <alignment horizontal="left" vertical="top" wrapText="1"/>
    </xf>
    <xf numFmtId="0" fontId="1" fillId="8" borderId="19" xfId="0" applyFont="1" applyFill="1" applyBorder="1" applyAlignment="1">
      <alignment horizontal="center" vertical="center"/>
    </xf>
    <xf numFmtId="0" fontId="1" fillId="8" borderId="21" xfId="0" applyFont="1" applyFill="1" applyBorder="1" applyAlignment="1">
      <alignment horizontal="center" vertical="center"/>
    </xf>
    <xf numFmtId="0" fontId="14" fillId="0" borderId="10" xfId="0" applyFont="1" applyBorder="1" applyAlignment="1">
      <alignment horizontal="center" vertical="center"/>
    </xf>
    <xf numFmtId="0" fontId="1" fillId="8" borderId="10" xfId="0" applyFont="1" applyFill="1" applyBorder="1" applyAlignment="1">
      <alignment horizontal="center" vertical="center"/>
    </xf>
    <xf numFmtId="4" fontId="35" fillId="0" borderId="10" xfId="0" applyNumberFormat="1" applyFont="1" applyBorder="1" applyAlignment="1">
      <alignment horizontal="center" vertical="center" wrapText="1"/>
    </xf>
    <xf numFmtId="4" fontId="39" fillId="0" borderId="119" xfId="0" applyNumberFormat="1" applyFont="1" applyBorder="1" applyAlignment="1">
      <alignment horizontal="center" vertical="center"/>
    </xf>
    <xf numFmtId="4" fontId="39" fillId="0" borderId="120" xfId="0" applyNumberFormat="1" applyFont="1" applyBorder="1" applyAlignment="1">
      <alignment horizontal="center" vertical="center"/>
    </xf>
    <xf numFmtId="0" fontId="40" fillId="13" borderId="55" xfId="3" applyFont="1" applyFill="1" applyBorder="1" applyAlignment="1">
      <alignment horizontal="center" vertical="center"/>
    </xf>
    <xf numFmtId="0" fontId="40" fillId="13" borderId="56" xfId="3" applyFont="1" applyFill="1" applyBorder="1" applyAlignment="1">
      <alignment horizontal="center" vertical="center"/>
    </xf>
    <xf numFmtId="0" fontId="40" fillId="13" borderId="57" xfId="3" applyFont="1" applyFill="1" applyBorder="1" applyAlignment="1">
      <alignment horizontal="center" vertical="center"/>
    </xf>
    <xf numFmtId="0" fontId="41" fillId="0" borderId="122" xfId="3" applyFont="1" applyBorder="1" applyAlignment="1">
      <alignment horizontal="center"/>
    </xf>
    <xf numFmtId="4" fontId="22" fillId="0" borderId="113" xfId="0" applyNumberFormat="1" applyFont="1" applyFill="1" applyBorder="1" applyAlignment="1" applyProtection="1">
      <alignment horizontal="center" vertical="center"/>
    </xf>
    <xf numFmtId="4" fontId="22" fillId="0" borderId="10" xfId="0" applyNumberFormat="1" applyFont="1" applyFill="1" applyBorder="1" applyAlignment="1" applyProtection="1">
      <alignment horizontal="center" vertical="center" wrapText="1"/>
    </xf>
    <xf numFmtId="0" fontId="15" fillId="9" borderId="55" xfId="0" applyFont="1" applyFill="1" applyBorder="1" applyAlignment="1">
      <alignment horizontal="center" vertical="center"/>
    </xf>
    <xf numFmtId="0" fontId="15" fillId="9" borderId="56" xfId="0" applyFont="1" applyFill="1" applyBorder="1" applyAlignment="1">
      <alignment horizontal="center" vertical="center"/>
    </xf>
    <xf numFmtId="0" fontId="15" fillId="9" borderId="57" xfId="0" applyFont="1" applyFill="1" applyBorder="1" applyAlignment="1">
      <alignment horizontal="center" vertical="center"/>
    </xf>
    <xf numFmtId="0" fontId="1" fillId="6" borderId="51" xfId="0" applyFont="1" applyFill="1" applyBorder="1" applyAlignment="1">
      <alignment horizontal="center" vertical="center"/>
    </xf>
    <xf numFmtId="0" fontId="1" fillId="6" borderId="167" xfId="0" applyFont="1" applyFill="1" applyBorder="1" applyAlignment="1">
      <alignment horizontal="center" vertical="center"/>
    </xf>
    <xf numFmtId="0" fontId="1" fillId="6" borderId="76" xfId="0" applyFont="1" applyFill="1" applyBorder="1" applyAlignment="1">
      <alignment horizontal="center" vertical="center"/>
    </xf>
    <xf numFmtId="0" fontId="1" fillId="6" borderId="174" xfId="0" applyFont="1" applyFill="1" applyBorder="1" applyAlignment="1">
      <alignment horizontal="center" vertical="center"/>
    </xf>
    <xf numFmtId="0" fontId="4" fillId="0" borderId="0" xfId="0" applyFont="1" applyAlignment="1">
      <alignment horizontal="center" vertical="center"/>
    </xf>
    <xf numFmtId="0" fontId="2" fillId="6" borderId="172" xfId="0" applyFont="1" applyFill="1" applyBorder="1" applyAlignment="1">
      <alignment horizontal="center" vertical="center" wrapText="1"/>
    </xf>
    <xf numFmtId="0" fontId="2" fillId="6" borderId="156" xfId="0" applyFont="1" applyFill="1" applyBorder="1" applyAlignment="1">
      <alignment horizontal="center" vertical="center" wrapText="1"/>
    </xf>
    <xf numFmtId="0" fontId="58" fillId="22" borderId="55" xfId="0" applyFont="1" applyFill="1" applyBorder="1" applyAlignment="1">
      <alignment horizontal="center" vertical="center"/>
    </xf>
    <xf numFmtId="0" fontId="58" fillId="22" borderId="56" xfId="0" applyFont="1" applyFill="1" applyBorder="1" applyAlignment="1">
      <alignment horizontal="center" vertical="center"/>
    </xf>
    <xf numFmtId="0" fontId="58" fillId="22" borderId="57" xfId="0" applyFont="1" applyFill="1" applyBorder="1" applyAlignment="1">
      <alignment horizontal="center" vertical="center"/>
    </xf>
    <xf numFmtId="0" fontId="4" fillId="0" borderId="205" xfId="0" applyFont="1" applyBorder="1" applyAlignment="1">
      <alignment horizontal="center"/>
    </xf>
    <xf numFmtId="0" fontId="1" fillId="0" borderId="78" xfId="0" applyFont="1" applyBorder="1" applyAlignment="1">
      <alignment horizontal="center" vertical="center"/>
    </xf>
    <xf numFmtId="0" fontId="1" fillId="0" borderId="79" xfId="0" applyFont="1" applyBorder="1" applyAlignment="1">
      <alignment horizontal="center" vertical="center"/>
    </xf>
    <xf numFmtId="0" fontId="0" fillId="0" borderId="122" xfId="0" applyBorder="1" applyAlignment="1">
      <alignment horizontal="center" vertical="center"/>
    </xf>
  </cellXfs>
  <cellStyles count="5">
    <cellStyle name="Lien hypertexte" xfId="2" builtinId="8"/>
    <cellStyle name="Milliers" xfId="4" builtinId="3"/>
    <cellStyle name="Normal" xfId="0" builtinId="0"/>
    <cellStyle name="Normal 2" xfId="3" xr:uid="{00000000-0005-0000-0000-000003000000}"/>
    <cellStyle name="Pourcentage" xfId="1" builtinId="5"/>
  </cellStyles>
  <dxfs count="10">
    <dxf>
      <fill>
        <gradientFill degree="90">
          <stop position="0">
            <color rgb="FFFFFF00"/>
          </stop>
          <stop position="1">
            <color rgb="FFFFC000"/>
          </stop>
        </gradientFill>
      </fill>
    </dxf>
    <dxf>
      <fill>
        <gradientFill degree="90">
          <stop position="0">
            <color rgb="FFFFC000"/>
          </stop>
          <stop position="1">
            <color rgb="FFFFFF00"/>
          </stop>
        </gradientFill>
      </fill>
    </dxf>
    <dxf>
      <font>
        <b/>
        <i val="0"/>
        <color rgb="FFFF0000"/>
      </font>
      <fill>
        <gradientFill degree="90">
          <stop position="0">
            <color theme="0"/>
          </stop>
          <stop position="1">
            <color rgb="FF00B0F0"/>
          </stop>
        </gradientFill>
      </fill>
    </dxf>
    <dxf>
      <font>
        <b/>
        <i val="0"/>
      </font>
      <fill>
        <patternFill>
          <bgColor rgb="FFBDDBA9"/>
        </patternFill>
      </fill>
      <border>
        <left style="thin">
          <color theme="9" tint="-0.24994659260841701"/>
        </left>
        <right style="thin">
          <color theme="9" tint="-0.24994659260841701"/>
        </right>
        <top style="thin">
          <color theme="9" tint="-0.24994659260841701"/>
        </top>
        <bottom style="thin">
          <color theme="9" tint="-0.24994659260841701"/>
        </bottom>
        <vertical/>
        <horizontal/>
      </border>
    </dxf>
    <dxf>
      <font>
        <color theme="0"/>
      </font>
      <fill>
        <patternFill>
          <bgColor theme="0"/>
        </patternFill>
      </fill>
    </dxf>
    <dxf>
      <font>
        <b/>
        <i val="0"/>
        <condense val="0"/>
        <extend val="0"/>
        <color indexed="10"/>
      </font>
    </dxf>
    <dxf>
      <font>
        <color rgb="FF006100"/>
      </font>
      <fill>
        <patternFill>
          <bgColor rgb="FFC6EFCE"/>
        </patternFill>
      </fill>
    </dxf>
    <dxf>
      <font>
        <color rgb="FF006100"/>
      </font>
      <fill>
        <patternFill>
          <bgColor rgb="FFC6EFCE"/>
        </patternFill>
      </fill>
    </dxf>
    <dxf>
      <font>
        <b/>
        <i val="0"/>
        <color rgb="FFFF0000"/>
      </font>
      <fill>
        <gradientFill>
          <stop position="0">
            <color theme="0"/>
          </stop>
          <stop position="1">
            <color rgb="FFFFC000"/>
          </stop>
        </gradientFill>
      </fill>
    </dxf>
    <dxf>
      <font>
        <b/>
        <i val="0"/>
        <color rgb="FFFF0000"/>
      </font>
      <fill>
        <gradientFill>
          <stop position="0">
            <color theme="0"/>
          </stop>
          <stop position="1">
            <color rgb="FFFFC000"/>
          </stop>
        </gradientFill>
      </fill>
    </dxf>
  </dxfs>
  <tableStyles count="0" defaultTableStyle="TableStyleMedium2" defaultPivotStyle="PivotStyleLight16"/>
  <colors>
    <mruColors>
      <color rgb="FFFFCC66"/>
      <color rgb="FFBDDBA9"/>
      <color rgb="FFFFC000"/>
      <color rgb="FFFF99FF"/>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5</xdr:col>
      <xdr:colOff>1133475</xdr:colOff>
      <xdr:row>73</xdr:row>
      <xdr:rowOff>76200</xdr:rowOff>
    </xdr:from>
    <xdr:to>
      <xdr:col>5</xdr:col>
      <xdr:colOff>1181100</xdr:colOff>
      <xdr:row>73</xdr:row>
      <xdr:rowOff>121919</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8858250" y="7905750"/>
          <a:ext cx="47625" cy="457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1</xdr:col>
          <xdr:colOff>85725</xdr:colOff>
          <xdr:row>0</xdr:row>
          <xdr:rowOff>47625</xdr:rowOff>
        </xdr:from>
        <xdr:to>
          <xdr:col>1</xdr:col>
          <xdr:colOff>1104900</xdr:colOff>
          <xdr:row>0</xdr:row>
          <xdr:rowOff>533400</xdr:rowOff>
        </xdr:to>
        <xdr:sp macro="" textlink="">
          <xdr:nvSpPr>
            <xdr:cNvPr id="15384" name="Bouton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Remise à zéro INFO PAIE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xdr:col>
          <xdr:colOff>1390650</xdr:colOff>
          <xdr:row>0</xdr:row>
          <xdr:rowOff>47625</xdr:rowOff>
        </xdr:from>
        <xdr:to>
          <xdr:col>1</xdr:col>
          <xdr:colOff>2552700</xdr:colOff>
          <xdr:row>0</xdr:row>
          <xdr:rowOff>542925</xdr:rowOff>
        </xdr:to>
        <xdr:sp macro="" textlink="">
          <xdr:nvSpPr>
            <xdr:cNvPr id="15387" name="Bouton 27" hidden="1">
              <a:extLst>
                <a:ext uri="{63B3BB69-23CF-44E3-9099-C40C66FF867C}">
                  <a14:compatExt spid="_x0000_s15387"/>
                </a:ext>
                <a:ext uri="{FF2B5EF4-FFF2-40B4-BE49-F238E27FC236}">
                  <a16:creationId xmlns:a16="http://schemas.microsoft.com/office/drawing/2014/main" id="{00000000-0008-0000-0100-00001B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Remise à zéro INFO PRINCIPALE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2</xdr:col>
          <xdr:colOff>895350</xdr:colOff>
          <xdr:row>0</xdr:row>
          <xdr:rowOff>104775</xdr:rowOff>
        </xdr:from>
        <xdr:to>
          <xdr:col>2</xdr:col>
          <xdr:colOff>2562225</xdr:colOff>
          <xdr:row>0</xdr:row>
          <xdr:rowOff>561975</xdr:rowOff>
        </xdr:to>
        <xdr:sp macro="" textlink="">
          <xdr:nvSpPr>
            <xdr:cNvPr id="15402" name="Button 42" hidden="1">
              <a:extLst>
                <a:ext uri="{63B3BB69-23CF-44E3-9099-C40C66FF867C}">
                  <a14:compatExt spid="_x0000_s15402"/>
                </a:ext>
                <a:ext uri="{FF2B5EF4-FFF2-40B4-BE49-F238E27FC236}">
                  <a16:creationId xmlns:a16="http://schemas.microsoft.com/office/drawing/2014/main" id="{00000000-0008-0000-0100-00002A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Remise à zéro - FILLON - PLAFOND</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57150</xdr:colOff>
          <xdr:row>4</xdr:row>
          <xdr:rowOff>19050</xdr:rowOff>
        </xdr:from>
        <xdr:to>
          <xdr:col>11</xdr:col>
          <xdr:colOff>1238250</xdr:colOff>
          <xdr:row>9</xdr:row>
          <xdr:rowOff>19050</xdr:rowOff>
        </xdr:to>
        <xdr:sp macro="" textlink="">
          <xdr:nvSpPr>
            <xdr:cNvPr id="10259" name="Button 19" hidden="1">
              <a:extLst>
                <a:ext uri="{63B3BB69-23CF-44E3-9099-C40C66FF867C}">
                  <a14:compatExt spid="_x0000_s10259"/>
                </a:ext>
                <a:ext uri="{FF2B5EF4-FFF2-40B4-BE49-F238E27FC236}">
                  <a16:creationId xmlns:a16="http://schemas.microsoft.com/office/drawing/2014/main" id="{00000000-0008-0000-0300-00001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COPIE Bulletin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19050</xdr:colOff>
          <xdr:row>1</xdr:row>
          <xdr:rowOff>0</xdr:rowOff>
        </xdr:from>
        <xdr:to>
          <xdr:col>10</xdr:col>
          <xdr:colOff>733425</xdr:colOff>
          <xdr:row>2</xdr:row>
          <xdr:rowOff>190500</xdr:rowOff>
        </xdr:to>
        <xdr:sp macro="" textlink="">
          <xdr:nvSpPr>
            <xdr:cNvPr id="60417" name="Bouton 1" hidden="1">
              <a:extLst>
                <a:ext uri="{63B3BB69-23CF-44E3-9099-C40C66FF867C}">
                  <a14:compatExt spid="_x0000_s60417"/>
                </a:ext>
                <a:ext uri="{FF2B5EF4-FFF2-40B4-BE49-F238E27FC236}">
                  <a16:creationId xmlns:a16="http://schemas.microsoft.com/office/drawing/2014/main" id="{00000000-0008-0000-0600-000001E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ZERO</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0</xdr:colOff>
          <xdr:row>48</xdr:row>
          <xdr:rowOff>28575</xdr:rowOff>
        </xdr:from>
        <xdr:to>
          <xdr:col>8</xdr:col>
          <xdr:colOff>9525</xdr:colOff>
          <xdr:row>50</xdr:row>
          <xdr:rowOff>85725</xdr:rowOff>
        </xdr:to>
        <xdr:sp macro="" textlink="">
          <xdr:nvSpPr>
            <xdr:cNvPr id="8228" name="Bouton 36" hidden="1">
              <a:extLst>
                <a:ext uri="{63B3BB69-23CF-44E3-9099-C40C66FF867C}">
                  <a14:compatExt spid="_x0000_s8228"/>
                </a:ext>
                <a:ext uri="{FF2B5EF4-FFF2-40B4-BE49-F238E27FC236}">
                  <a16:creationId xmlns:a16="http://schemas.microsoft.com/office/drawing/2014/main" id="{00000000-0008-0000-0A00-0000242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Remise à zéro</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28575</xdr:colOff>
          <xdr:row>2</xdr:row>
          <xdr:rowOff>0</xdr:rowOff>
        </xdr:from>
        <xdr:to>
          <xdr:col>11</xdr:col>
          <xdr:colOff>9525</xdr:colOff>
          <xdr:row>4</xdr:row>
          <xdr:rowOff>171450</xdr:rowOff>
        </xdr:to>
        <xdr:sp macro="" textlink="">
          <xdr:nvSpPr>
            <xdr:cNvPr id="69633" name="Button 1" hidden="1">
              <a:extLst>
                <a:ext uri="{63B3BB69-23CF-44E3-9099-C40C66FF867C}">
                  <a14:compatExt spid="_x0000_s69633"/>
                </a:ext>
                <a:ext uri="{FF2B5EF4-FFF2-40B4-BE49-F238E27FC236}">
                  <a16:creationId xmlns:a16="http://schemas.microsoft.com/office/drawing/2014/main" id="{00000000-0008-0000-0C00-0000011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Remise à Zéro FILLON</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9525</xdr:colOff>
          <xdr:row>3</xdr:row>
          <xdr:rowOff>200025</xdr:rowOff>
        </xdr:from>
        <xdr:to>
          <xdr:col>14</xdr:col>
          <xdr:colOff>771525</xdr:colOff>
          <xdr:row>5</xdr:row>
          <xdr:rowOff>257175</xdr:rowOff>
        </xdr:to>
        <xdr:sp macro="" textlink="">
          <xdr:nvSpPr>
            <xdr:cNvPr id="71682" name="Bouton 2" hidden="1">
              <a:extLst>
                <a:ext uri="{63B3BB69-23CF-44E3-9099-C40C66FF867C}">
                  <a14:compatExt spid="_x0000_s71682"/>
                </a:ext>
                <a:ext uri="{FF2B5EF4-FFF2-40B4-BE49-F238E27FC236}">
                  <a16:creationId xmlns:a16="http://schemas.microsoft.com/office/drawing/2014/main" id="{00000000-0008-0000-0D00-00000218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cs typeface="Calibri"/>
                </a:rPr>
                <a:t>EFFACER DONNEES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904875</xdr:colOff>
          <xdr:row>1</xdr:row>
          <xdr:rowOff>28575</xdr:rowOff>
        </xdr:from>
        <xdr:to>
          <xdr:col>14</xdr:col>
          <xdr:colOff>762000</xdr:colOff>
          <xdr:row>3</xdr:row>
          <xdr:rowOff>104775</xdr:rowOff>
        </xdr:to>
        <xdr:sp macro="" textlink="">
          <xdr:nvSpPr>
            <xdr:cNvPr id="71683" name="Bouton 3" hidden="1">
              <a:extLst>
                <a:ext uri="{63B3BB69-23CF-44E3-9099-C40C66FF867C}">
                  <a14:compatExt spid="_x0000_s71683"/>
                </a:ext>
                <a:ext uri="{FF2B5EF4-FFF2-40B4-BE49-F238E27FC236}">
                  <a16:creationId xmlns:a16="http://schemas.microsoft.com/office/drawing/2014/main" id="{00000000-0008-0000-0D00-0000031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1" i="0" u="none" strike="noStrike" baseline="0">
                  <a:solidFill>
                    <a:srgbClr val="FF0000"/>
                  </a:solidFill>
                  <a:latin typeface="Calibri"/>
                  <a:cs typeface="Calibri"/>
                </a:rPr>
                <a:t>GENERER VALEURS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omments" Target="../comments2.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trlProp" Target="../ctrlProps/ctrlProp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5.vml"/></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8.bin"/><Relationship Id="rId5" Type="http://schemas.openxmlformats.org/officeDocument/2006/relationships/comments" Target="../comments7.xml"/><Relationship Id="rId4" Type="http://schemas.openxmlformats.org/officeDocument/2006/relationships/ctrlProp" Target="../ctrlProps/ctrlProp6.xm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rfpaye.grouperf.com/calcul/?fichier=saisie_sur_salaires" TargetMode="Externa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trlProp" Target="../ctrlProps/ctrlProp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6.xml"/><Relationship Id="rId1" Type="http://schemas.openxmlformats.org/officeDocument/2006/relationships/printerSettings" Target="../printerSettings/printerSettings11.bin"/><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A1:D70"/>
  <sheetViews>
    <sheetView topLeftCell="A13" workbookViewId="0">
      <selection activeCell="B33" sqref="B33"/>
    </sheetView>
  </sheetViews>
  <sheetFormatPr baseColWidth="10" defaultRowHeight="15" x14ac:dyDescent="0.25"/>
  <cols>
    <col min="1" max="1" width="22.85546875" style="1" bestFit="1" customWidth="1"/>
    <col min="2" max="2" width="62.7109375" bestFit="1" customWidth="1"/>
    <col min="4" max="4" width="19" bestFit="1" customWidth="1"/>
  </cols>
  <sheetData>
    <row r="1" spans="1:4" x14ac:dyDescent="0.25">
      <c r="A1" s="1" t="s">
        <v>471</v>
      </c>
    </row>
    <row r="2" spans="1:4" x14ac:dyDescent="0.25">
      <c r="B2" s="318" t="s">
        <v>381</v>
      </c>
      <c r="C2" s="319">
        <v>4.0500000000000001E-2</v>
      </c>
    </row>
    <row r="3" spans="1:4" ht="24" x14ac:dyDescent="0.25">
      <c r="B3" s="641" t="s">
        <v>557</v>
      </c>
      <c r="C3" s="616">
        <v>0</v>
      </c>
    </row>
    <row r="4" spans="1:4" ht="24" x14ac:dyDescent="0.25">
      <c r="B4" s="641" t="s">
        <v>558</v>
      </c>
      <c r="C4" s="616">
        <v>0</v>
      </c>
    </row>
    <row r="5" spans="1:4" x14ac:dyDescent="0.25">
      <c r="B5" s="615" t="s">
        <v>559</v>
      </c>
      <c r="C5" s="616">
        <v>4.0500000000000001E-2</v>
      </c>
    </row>
    <row r="6" spans="1:4" x14ac:dyDescent="0.25">
      <c r="B6" s="320" t="s">
        <v>540</v>
      </c>
      <c r="C6" s="321">
        <v>7.0000000000000007E-2</v>
      </c>
    </row>
    <row r="7" spans="1:4" x14ac:dyDescent="0.25">
      <c r="B7" s="320" t="s">
        <v>541</v>
      </c>
      <c r="C7" s="321">
        <v>5.5E-2</v>
      </c>
    </row>
    <row r="8" spans="1:4" x14ac:dyDescent="0.25">
      <c r="B8" s="320" t="s">
        <v>542</v>
      </c>
      <c r="C8" s="321">
        <v>4.0500000000000001E-2</v>
      </c>
    </row>
    <row r="9" spans="1:4" x14ac:dyDescent="0.25">
      <c r="B9" s="320" t="s">
        <v>539</v>
      </c>
      <c r="C9" s="321">
        <v>4.5499999999999999E-2</v>
      </c>
      <c r="D9" s="617"/>
    </row>
    <row r="10" spans="1:4" x14ac:dyDescent="0.25">
      <c r="B10" s="320" t="s">
        <v>543</v>
      </c>
      <c r="C10" s="321">
        <v>4.0500000000000001E-2</v>
      </c>
    </row>
    <row r="11" spans="1:4" x14ac:dyDescent="0.25">
      <c r="B11" s="322" t="s">
        <v>473</v>
      </c>
      <c r="C11" s="323">
        <v>0</v>
      </c>
    </row>
    <row r="12" spans="1:4" x14ac:dyDescent="0.25">
      <c r="A12" s="1" t="s">
        <v>472</v>
      </c>
    </row>
    <row r="13" spans="1:4" x14ac:dyDescent="0.25">
      <c r="B13" s="324" t="s">
        <v>382</v>
      </c>
    </row>
    <row r="14" spans="1:4" x14ac:dyDescent="0.25">
      <c r="B14" s="325" t="s">
        <v>383</v>
      </c>
    </row>
    <row r="15" spans="1:4" x14ac:dyDescent="0.25">
      <c r="A15" s="1" t="s">
        <v>467</v>
      </c>
    </row>
    <row r="16" spans="1:4" x14ac:dyDescent="0.25">
      <c r="B16" s="324" t="s">
        <v>364</v>
      </c>
    </row>
    <row r="17" spans="1:4" x14ac:dyDescent="0.25">
      <c r="B17" s="325" t="s">
        <v>365</v>
      </c>
    </row>
    <row r="18" spans="1:4" x14ac:dyDescent="0.25">
      <c r="A18" s="1" t="s">
        <v>468</v>
      </c>
    </row>
    <row r="19" spans="1:4" x14ac:dyDescent="0.25">
      <c r="A19" s="1" t="b">
        <f>IF('info bulletin'!C64='Liste déroulante'!B29,'Liste déroulante'!B29&amp;TEXT('info bulletin'!C66," jj/mm/aaaa")&amp;" au "&amp;TEXT('info bulletin'!C67,"jj/mm/aaaa"))</f>
        <v>0</v>
      </c>
      <c r="B19" s="166" t="s">
        <v>108</v>
      </c>
    </row>
    <row r="20" spans="1:4" x14ac:dyDescent="0.25">
      <c r="B20" s="168" t="s">
        <v>109</v>
      </c>
    </row>
    <row r="21" spans="1:4" x14ac:dyDescent="0.25">
      <c r="B21" s="168" t="s">
        <v>110</v>
      </c>
      <c r="C21" t="s">
        <v>528</v>
      </c>
      <c r="D21" t="s">
        <v>529</v>
      </c>
    </row>
    <row r="22" spans="1:4" x14ac:dyDescent="0.25">
      <c r="B22" s="168" t="s">
        <v>111</v>
      </c>
      <c r="C22" t="s">
        <v>528</v>
      </c>
      <c r="D22" t="s">
        <v>530</v>
      </c>
    </row>
    <row r="23" spans="1:4" x14ac:dyDescent="0.25">
      <c r="B23" s="168" t="s">
        <v>112</v>
      </c>
      <c r="C23" t="s">
        <v>531</v>
      </c>
      <c r="D23" t="s">
        <v>529</v>
      </c>
    </row>
    <row r="24" spans="1:4" x14ac:dyDescent="0.25">
      <c r="B24" s="168" t="s">
        <v>113</v>
      </c>
      <c r="C24" t="s">
        <v>531</v>
      </c>
      <c r="D24" t="s">
        <v>530</v>
      </c>
    </row>
    <row r="25" spans="1:4" x14ac:dyDescent="0.25">
      <c r="B25" s="168" t="s">
        <v>114</v>
      </c>
    </row>
    <row r="26" spans="1:4" x14ac:dyDescent="0.25">
      <c r="B26" s="170" t="s">
        <v>115</v>
      </c>
    </row>
    <row r="27" spans="1:4" x14ac:dyDescent="0.25">
      <c r="A27" s="1" t="s">
        <v>475</v>
      </c>
    </row>
    <row r="28" spans="1:4" x14ac:dyDescent="0.25">
      <c r="B28" s="481" t="s">
        <v>562</v>
      </c>
    </row>
    <row r="29" spans="1:4" x14ac:dyDescent="0.25">
      <c r="B29" s="622" t="s">
        <v>560</v>
      </c>
    </row>
    <row r="30" spans="1:4" x14ac:dyDescent="0.25">
      <c r="B30" s="622" t="s">
        <v>561</v>
      </c>
    </row>
    <row r="31" spans="1:4" x14ac:dyDescent="0.25">
      <c r="B31" s="482" t="s">
        <v>460</v>
      </c>
    </row>
    <row r="32" spans="1:4" x14ac:dyDescent="0.25">
      <c r="A32" s="1" t="s">
        <v>476</v>
      </c>
    </row>
    <row r="33" spans="1:4" x14ac:dyDescent="0.25">
      <c r="B33" s="483" t="s">
        <v>84</v>
      </c>
      <c r="C33" s="484" t="s">
        <v>86</v>
      </c>
    </row>
    <row r="34" spans="1:4" x14ac:dyDescent="0.25">
      <c r="B34" s="485" t="s">
        <v>85</v>
      </c>
      <c r="C34" s="486" t="s">
        <v>87</v>
      </c>
    </row>
    <row r="35" spans="1:4" x14ac:dyDescent="0.25">
      <c r="A35" s="1" t="s">
        <v>442</v>
      </c>
    </row>
    <row r="36" spans="1:4" x14ac:dyDescent="0.25">
      <c r="B36" s="487">
        <v>1</v>
      </c>
      <c r="C36" s="488"/>
      <c r="D36" s="489" t="s">
        <v>173</v>
      </c>
    </row>
    <row r="37" spans="1:4" x14ac:dyDescent="0.25">
      <c r="B37" s="490">
        <v>2</v>
      </c>
      <c r="C37" s="491">
        <v>1634.5</v>
      </c>
      <c r="D37" s="492" t="s">
        <v>166</v>
      </c>
    </row>
    <row r="38" spans="1:4" x14ac:dyDescent="0.25">
      <c r="B38" s="490">
        <v>3</v>
      </c>
      <c r="C38" s="491">
        <v>1961.4</v>
      </c>
      <c r="D38" s="492" t="s">
        <v>167</v>
      </c>
    </row>
    <row r="39" spans="1:4" x14ac:dyDescent="0.25">
      <c r="B39" s="490">
        <v>4</v>
      </c>
      <c r="C39" s="491">
        <v>2288.3000000000002</v>
      </c>
      <c r="D39" s="492" t="s">
        <v>168</v>
      </c>
    </row>
    <row r="40" spans="1:4" x14ac:dyDescent="0.25">
      <c r="B40" s="490">
        <v>5</v>
      </c>
      <c r="C40" s="491">
        <v>2942.1</v>
      </c>
      <c r="D40" s="492" t="s">
        <v>169</v>
      </c>
    </row>
    <row r="41" spans="1:4" x14ac:dyDescent="0.25">
      <c r="B41" s="490">
        <v>6</v>
      </c>
      <c r="C41" s="491">
        <v>3595.9</v>
      </c>
      <c r="D41" s="492" t="s">
        <v>170</v>
      </c>
    </row>
    <row r="42" spans="1:4" x14ac:dyDescent="0.25">
      <c r="B42" s="490">
        <v>7</v>
      </c>
      <c r="C42" s="491">
        <v>4249.7</v>
      </c>
      <c r="D42" s="492" t="s">
        <v>171</v>
      </c>
    </row>
    <row r="43" spans="1:4" x14ac:dyDescent="0.25">
      <c r="B43" s="493">
        <v>8</v>
      </c>
      <c r="C43" s="494">
        <v>4903.5</v>
      </c>
      <c r="D43" s="495" t="s">
        <v>172</v>
      </c>
    </row>
    <row r="44" spans="1:4" x14ac:dyDescent="0.25">
      <c r="A44" s="1" t="s">
        <v>469</v>
      </c>
    </row>
    <row r="45" spans="1:4" x14ac:dyDescent="0.25">
      <c r="A45" s="1" t="s">
        <v>504</v>
      </c>
      <c r="B45" s="283" t="s">
        <v>209</v>
      </c>
    </row>
    <row r="46" spans="1:4" x14ac:dyDescent="0.25">
      <c r="B46" s="284" t="s">
        <v>210</v>
      </c>
    </row>
    <row r="47" spans="1:4" x14ac:dyDescent="0.25">
      <c r="B47" s="284" t="s">
        <v>211</v>
      </c>
    </row>
    <row r="48" spans="1:4" x14ac:dyDescent="0.25">
      <c r="B48" s="284" t="s">
        <v>212</v>
      </c>
    </row>
    <row r="49" spans="1:4" x14ac:dyDescent="0.25">
      <c r="B49" s="285" t="s">
        <v>213</v>
      </c>
    </row>
    <row r="50" spans="1:4" x14ac:dyDescent="0.25">
      <c r="B50" s="17"/>
    </row>
    <row r="51" spans="1:4" x14ac:dyDescent="0.25">
      <c r="A51" s="1" t="s">
        <v>505</v>
      </c>
      <c r="B51" s="282" t="s">
        <v>214</v>
      </c>
    </row>
    <row r="52" spans="1:4" x14ac:dyDescent="0.25">
      <c r="B52" s="284" t="s">
        <v>215</v>
      </c>
    </row>
    <row r="53" spans="1:4" x14ac:dyDescent="0.25">
      <c r="B53" s="284" t="s">
        <v>216</v>
      </c>
    </row>
    <row r="54" spans="1:4" x14ac:dyDescent="0.25">
      <c r="B54" s="287" t="s">
        <v>217</v>
      </c>
    </row>
    <row r="55" spans="1:4" x14ac:dyDescent="0.25">
      <c r="A55" s="1" t="s">
        <v>470</v>
      </c>
    </row>
    <row r="56" spans="1:4" x14ac:dyDescent="0.25">
      <c r="B56" s="324" t="s">
        <v>364</v>
      </c>
    </row>
    <row r="57" spans="1:4" x14ac:dyDescent="0.25">
      <c r="B57" s="325" t="s">
        <v>365</v>
      </c>
    </row>
    <row r="59" spans="1:4" x14ac:dyDescent="0.25">
      <c r="A59" s="1" t="s">
        <v>514</v>
      </c>
    </row>
    <row r="60" spans="1:4" x14ac:dyDescent="0.25">
      <c r="B60" s="554" t="s">
        <v>515</v>
      </c>
    </row>
    <row r="61" spans="1:4" x14ac:dyDescent="0.25">
      <c r="B61" s="555" t="s">
        <v>510</v>
      </c>
    </row>
    <row r="62" spans="1:4" x14ac:dyDescent="0.25">
      <c r="B62" s="556" t="s">
        <v>516</v>
      </c>
    </row>
    <row r="64" spans="1:4" x14ac:dyDescent="0.25">
      <c r="A64" s="1" t="s">
        <v>623</v>
      </c>
      <c r="C64" t="s">
        <v>624</v>
      </c>
      <c r="D64" t="s">
        <v>605</v>
      </c>
    </row>
    <row r="65" spans="2:4" x14ac:dyDescent="0.25">
      <c r="B65" t="s">
        <v>621</v>
      </c>
      <c r="C65">
        <v>65.8</v>
      </c>
      <c r="D65">
        <v>18.399999999999999</v>
      </c>
    </row>
    <row r="66" spans="2:4" x14ac:dyDescent="0.25">
      <c r="B66" t="s">
        <v>625</v>
      </c>
      <c r="C66">
        <v>48.9</v>
      </c>
      <c r="D66">
        <v>18.399999999999999</v>
      </c>
    </row>
    <row r="67" spans="2:4" x14ac:dyDescent="0.25">
      <c r="B67" t="s">
        <v>626</v>
      </c>
      <c r="C67">
        <v>55.9</v>
      </c>
      <c r="D67">
        <v>15.6</v>
      </c>
    </row>
    <row r="68" spans="2:4" x14ac:dyDescent="0.25">
      <c r="B68" t="s">
        <v>627</v>
      </c>
      <c r="C68">
        <v>41.6</v>
      </c>
      <c r="D68">
        <v>15.6</v>
      </c>
    </row>
    <row r="69" spans="2:4" x14ac:dyDescent="0.25">
      <c r="B69" t="s">
        <v>628</v>
      </c>
      <c r="C69">
        <v>46.1</v>
      </c>
      <c r="D69">
        <v>12.9</v>
      </c>
    </row>
    <row r="70" spans="2:4" x14ac:dyDescent="0.25">
      <c r="B70" t="s">
        <v>629</v>
      </c>
      <c r="C70">
        <v>34.200000000000003</v>
      </c>
      <c r="D70">
        <v>12.9</v>
      </c>
    </row>
  </sheetData>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1">
    <tabColor rgb="FFFFFF00"/>
  </sheetPr>
  <dimension ref="A1:P172"/>
  <sheetViews>
    <sheetView zoomScale="90" zoomScaleNormal="90" workbookViewId="0">
      <pane ySplit="1" topLeftCell="A21" activePane="bottomLeft" state="frozen"/>
      <selection activeCell="B1" sqref="B1"/>
      <selection pane="bottomLeft" activeCell="E49" sqref="E49"/>
    </sheetView>
  </sheetViews>
  <sheetFormatPr baseColWidth="10" defaultColWidth="11.42578125" defaultRowHeight="18.75" x14ac:dyDescent="0.25"/>
  <cols>
    <col min="1" max="1" width="11.42578125" style="335"/>
    <col min="2" max="2" width="41.28515625" style="69" bestFit="1" customWidth="1"/>
    <col min="3" max="3" width="46.85546875" style="69" customWidth="1"/>
    <col min="4" max="4" width="4.140625" style="69" customWidth="1"/>
    <col min="5" max="5" width="27.7109375" style="69" customWidth="1"/>
    <col min="6" max="6" width="26.140625" style="69" customWidth="1"/>
    <col min="7" max="7" width="25.85546875" style="69" customWidth="1"/>
    <col min="8" max="8" width="2.85546875" style="69" customWidth="1"/>
    <col min="9" max="9" width="19.28515625" style="69" customWidth="1"/>
    <col min="10" max="10" width="34.5703125" style="69" customWidth="1"/>
    <col min="11" max="11" width="21.5703125" style="17" customWidth="1"/>
    <col min="12" max="12" width="39" style="17" bestFit="1" customWidth="1"/>
    <col min="13" max="13" width="8.7109375" style="17" bestFit="1" customWidth="1"/>
    <col min="14" max="14" width="19" style="17" bestFit="1" customWidth="1"/>
    <col min="15" max="16384" width="11.42578125" style="17"/>
  </cols>
  <sheetData>
    <row r="1" spans="1:10" ht="52.5" customHeight="1" x14ac:dyDescent="0.25">
      <c r="B1" s="835"/>
      <c r="C1" s="836"/>
      <c r="D1" s="552"/>
      <c r="E1" s="639" t="s">
        <v>355</v>
      </c>
      <c r="F1" s="640" t="s">
        <v>122</v>
      </c>
      <c r="G1" s="473" t="s">
        <v>356</v>
      </c>
    </row>
    <row r="2" spans="1:10" ht="20.25" customHeight="1" thickBot="1" x14ac:dyDescent="0.3"/>
    <row r="3" spans="1:10" ht="15" x14ac:dyDescent="0.25">
      <c r="A3" s="865" t="s">
        <v>340</v>
      </c>
      <c r="B3" s="518" t="s">
        <v>47</v>
      </c>
      <c r="C3" s="386"/>
      <c r="E3" s="474">
        <f>MOIS_BULLETIN-DAY(MOIS_BULLETIN)+1</f>
        <v>1</v>
      </c>
      <c r="F3" s="474">
        <f>EOMONTH(E3,0)</f>
        <v>31</v>
      </c>
    </row>
    <row r="4" spans="1:10" ht="15" x14ac:dyDescent="0.25">
      <c r="A4" s="866"/>
      <c r="B4" s="340" t="s">
        <v>37</v>
      </c>
      <c r="C4" s="341"/>
      <c r="D4" s="341"/>
      <c r="E4" s="340" t="s">
        <v>44</v>
      </c>
      <c r="F4" s="341"/>
      <c r="G4" s="342"/>
      <c r="I4" s="343" t="s">
        <v>1</v>
      </c>
      <c r="J4" s="467"/>
    </row>
    <row r="5" spans="1:10" ht="15" x14ac:dyDescent="0.25">
      <c r="A5" s="866"/>
      <c r="B5" s="344" t="s">
        <v>448</v>
      </c>
      <c r="C5" s="464"/>
      <c r="D5" s="345"/>
      <c r="E5" s="344" t="s">
        <v>447</v>
      </c>
      <c r="F5" s="464"/>
      <c r="G5" s="464"/>
      <c r="I5" s="346" t="s">
        <v>2</v>
      </c>
      <c r="J5" s="467"/>
    </row>
    <row r="6" spans="1:10" ht="15" x14ac:dyDescent="0.25">
      <c r="A6" s="866"/>
      <c r="B6" s="345" t="s">
        <v>39</v>
      </c>
      <c r="C6" s="464"/>
      <c r="D6" s="345"/>
      <c r="E6" s="345" t="s">
        <v>39</v>
      </c>
      <c r="F6" s="464"/>
      <c r="G6" s="347"/>
      <c r="I6" s="346" t="s">
        <v>3</v>
      </c>
      <c r="J6" s="467"/>
    </row>
    <row r="7" spans="1:10" ht="15" x14ac:dyDescent="0.25">
      <c r="A7" s="866"/>
      <c r="B7" s="345" t="s">
        <v>40</v>
      </c>
      <c r="C7" s="464"/>
      <c r="D7" s="345"/>
      <c r="E7" s="345" t="s">
        <v>46</v>
      </c>
      <c r="F7" s="464"/>
      <c r="G7" s="347"/>
      <c r="I7" s="346" t="s">
        <v>4</v>
      </c>
      <c r="J7" s="467"/>
    </row>
    <row r="8" spans="1:10" ht="15" x14ac:dyDescent="0.25">
      <c r="A8" s="866"/>
      <c r="B8" s="345" t="s">
        <v>41</v>
      </c>
      <c r="C8" s="464"/>
      <c r="D8" s="345"/>
      <c r="E8" s="345" t="s">
        <v>345</v>
      </c>
      <c r="F8" s="464"/>
      <c r="G8" s="347"/>
      <c r="I8" s="346" t="s">
        <v>6</v>
      </c>
      <c r="J8" s="467"/>
    </row>
    <row r="9" spans="1:10" ht="15" x14ac:dyDescent="0.25">
      <c r="A9" s="866"/>
      <c r="B9" s="347" t="s">
        <v>43</v>
      </c>
      <c r="C9" s="464"/>
      <c r="D9" s="345"/>
      <c r="E9" s="345" t="s">
        <v>466</v>
      </c>
      <c r="F9" s="618"/>
      <c r="G9" s="473" t="str">
        <f>IF(F9="","",DATEDIF(F9,MOIS_BULLETIN,"y"))</f>
        <v/>
      </c>
      <c r="I9" s="346" t="s">
        <v>5</v>
      </c>
      <c r="J9" s="468"/>
    </row>
    <row r="10" spans="1:10" ht="15" x14ac:dyDescent="0.25">
      <c r="A10" s="866"/>
      <c r="B10" s="348" t="s">
        <v>42</v>
      </c>
      <c r="C10" s="465"/>
      <c r="D10" s="348"/>
      <c r="E10" s="348" t="s">
        <v>289</v>
      </c>
      <c r="F10" s="466"/>
      <c r="G10" s="349"/>
      <c r="I10" s="346" t="s">
        <v>488</v>
      </c>
      <c r="J10" s="468"/>
    </row>
    <row r="11" spans="1:10" ht="15" x14ac:dyDescent="0.25">
      <c r="A11" s="866"/>
      <c r="B11" s="351"/>
      <c r="C11" s="351"/>
      <c r="D11" s="351"/>
      <c r="E11" s="351"/>
      <c r="F11" s="351"/>
      <c r="G11" s="351"/>
      <c r="I11" s="350" t="s">
        <v>489</v>
      </c>
      <c r="J11" s="473" t="str">
        <f>IF(J10="","",DATEDIF(J9,J10,"Y")&amp;IF(DATEDIF(J9,J10,"Y")&gt;1," ans, "," an, ")&amp;DATEDIF(J9,J10,"YM")&amp;" mois et "&amp;DATEDIF(J9,J10,"MD")&amp;IF(DATEDIF(J9,J10,"MD")&gt;1," jours"," jour"))</f>
        <v/>
      </c>
    </row>
    <row r="12" spans="1:10" s="286" customFormat="1" ht="26.25" x14ac:dyDescent="0.25">
      <c r="A12" s="866"/>
      <c r="B12" s="753" t="s">
        <v>569</v>
      </c>
      <c r="C12" s="507"/>
      <c r="D12" s="351"/>
      <c r="E12" s="351"/>
      <c r="F12" s="351"/>
      <c r="G12" s="351"/>
      <c r="H12" s="351"/>
      <c r="I12" s="353"/>
      <c r="J12" s="353"/>
    </row>
    <row r="13" spans="1:10" ht="39.75" customHeight="1" x14ac:dyDescent="0.25">
      <c r="A13" s="866"/>
      <c r="B13" s="69" t="s">
        <v>379</v>
      </c>
      <c r="C13" s="620" t="s">
        <v>381</v>
      </c>
      <c r="D13" s="351"/>
      <c r="E13" s="353" t="s">
        <v>370</v>
      </c>
      <c r="F13" s="351"/>
      <c r="G13" s="351"/>
    </row>
    <row r="14" spans="1:10" ht="15" x14ac:dyDescent="0.25">
      <c r="A14" s="866"/>
      <c r="B14" s="69" t="s">
        <v>380</v>
      </c>
      <c r="C14" s="619" t="s">
        <v>382</v>
      </c>
      <c r="D14" s="351"/>
      <c r="E14" s="353" t="s">
        <v>370</v>
      </c>
      <c r="F14" s="351"/>
      <c r="G14" s="351"/>
    </row>
    <row r="15" spans="1:10" ht="15" x14ac:dyDescent="0.25">
      <c r="A15" s="866"/>
      <c r="B15" s="69" t="s">
        <v>418</v>
      </c>
      <c r="C15" s="469"/>
      <c r="D15" s="351"/>
      <c r="E15" s="351"/>
      <c r="F15" s="351"/>
      <c r="G15" s="351"/>
    </row>
    <row r="16" spans="1:10" ht="15" x14ac:dyDescent="0.25">
      <c r="A16" s="866"/>
      <c r="B16" s="69" t="s">
        <v>419</v>
      </c>
      <c r="C16" s="469"/>
      <c r="E16" s="69" t="s">
        <v>335</v>
      </c>
      <c r="F16" s="352">
        <f>C15*52/12</f>
        <v>0</v>
      </c>
      <c r="G16" s="351"/>
    </row>
    <row r="17" spans="1:7" ht="15" x14ac:dyDescent="0.25">
      <c r="A17" s="866"/>
      <c r="B17" s="69" t="s">
        <v>228</v>
      </c>
      <c r="C17" s="469"/>
      <c r="D17" s="351"/>
      <c r="E17" s="351"/>
      <c r="F17" s="267"/>
    </row>
    <row r="18" spans="1:7" ht="15" x14ac:dyDescent="0.25">
      <c r="A18" s="866"/>
      <c r="B18" s="69" t="s">
        <v>77</v>
      </c>
      <c r="C18" s="638">
        <f>IF(BASE_SMIC&gt;SBASE,BASE_SMIC-SBASE,0)</f>
        <v>0</v>
      </c>
      <c r="D18" s="351"/>
      <c r="E18" s="351"/>
      <c r="F18" s="267"/>
      <c r="G18" s="552" t="s">
        <v>563</v>
      </c>
    </row>
    <row r="19" spans="1:7" ht="15" x14ac:dyDescent="0.25">
      <c r="A19" s="866"/>
      <c r="B19" s="69" t="s">
        <v>311</v>
      </c>
      <c r="C19" s="637">
        <v>3269</v>
      </c>
      <c r="D19" s="351"/>
      <c r="E19" s="353" t="s">
        <v>310</v>
      </c>
      <c r="F19" s="642">
        <f>IF(C14='Liste déroulante'!B14,NBRE_H_MOIS*PS/151.67,PS)</f>
        <v>3269</v>
      </c>
      <c r="G19" s="376">
        <f>IF(C64='Liste déroulante'!B31,F19,F19*F68/30)</f>
        <v>3269</v>
      </c>
    </row>
    <row r="20" spans="1:7" ht="15" x14ac:dyDescent="0.25">
      <c r="A20" s="866"/>
      <c r="B20" s="69" t="s">
        <v>313</v>
      </c>
      <c r="C20" s="637">
        <f>9.76*151.67</f>
        <v>1480.2991999999999</v>
      </c>
      <c r="E20" s="69" t="s">
        <v>314</v>
      </c>
      <c r="F20" s="354">
        <f>IF(NBRE_H_SEM=35,C20,NBRE_H_MOIS*C20/151.67)</f>
        <v>0</v>
      </c>
    </row>
    <row r="21" spans="1:7" ht="15" x14ac:dyDescent="0.25">
      <c r="A21" s="866"/>
      <c r="B21" s="69" t="s">
        <v>498</v>
      </c>
      <c r="C21" s="638">
        <f>SMIC_M/151.67</f>
        <v>9.76</v>
      </c>
    </row>
    <row r="22" spans="1:7" ht="15" x14ac:dyDescent="0.25">
      <c r="A22" s="866"/>
    </row>
    <row r="23" spans="1:7" ht="15" x14ac:dyDescent="0.25">
      <c r="A23" s="866"/>
      <c r="B23" s="69" t="s">
        <v>78</v>
      </c>
      <c r="C23" s="355">
        <f>IF(NBRE_H_MOIS=0,0,(SBASE+CPLSMIC)/NBRE_H_MOIS)</f>
        <v>0</v>
      </c>
    </row>
    <row r="24" spans="1:7" ht="15" x14ac:dyDescent="0.25">
      <c r="A24" s="866"/>
      <c r="B24" s="103" t="s">
        <v>463</v>
      </c>
      <c r="C24" s="823"/>
    </row>
    <row r="25" spans="1:7" ht="15" x14ac:dyDescent="0.25">
      <c r="A25" s="866"/>
      <c r="B25" s="103" t="s">
        <v>464</v>
      </c>
      <c r="C25" s="823"/>
    </row>
    <row r="26" spans="1:7" ht="15" x14ac:dyDescent="0.25">
      <c r="A26" s="866"/>
      <c r="B26" s="103" t="s">
        <v>465</v>
      </c>
      <c r="C26" s="823"/>
    </row>
    <row r="27" spans="1:7" ht="15" x14ac:dyDescent="0.25">
      <c r="A27" s="866"/>
      <c r="B27" s="356" t="s">
        <v>367</v>
      </c>
      <c r="C27" s="355">
        <f>C23*1.1</f>
        <v>0</v>
      </c>
      <c r="E27" s="17"/>
      <c r="F27" s="473">
        <f>H_10</f>
        <v>0</v>
      </c>
      <c r="G27" s="357" t="s">
        <v>374</v>
      </c>
    </row>
    <row r="28" spans="1:7" ht="15" x14ac:dyDescent="0.25">
      <c r="A28" s="866"/>
      <c r="B28" s="356" t="s">
        <v>368</v>
      </c>
      <c r="C28" s="355">
        <f>TX_HOR*1.25</f>
        <v>0</v>
      </c>
      <c r="E28" s="17"/>
      <c r="F28" s="473">
        <f>H_25</f>
        <v>0</v>
      </c>
    </row>
    <row r="29" spans="1:7" ht="15" x14ac:dyDescent="0.25">
      <c r="A29" s="866"/>
      <c r="B29" s="356" t="s">
        <v>369</v>
      </c>
      <c r="C29" s="355">
        <f>TX_HOR*1.5</f>
        <v>0</v>
      </c>
      <c r="E29" s="17"/>
      <c r="F29" s="473">
        <f>H_50</f>
        <v>0</v>
      </c>
    </row>
    <row r="30" spans="1:7" ht="15" x14ac:dyDescent="0.25">
      <c r="A30" s="866"/>
      <c r="E30" s="69" t="s">
        <v>548</v>
      </c>
      <c r="F30" s="473">
        <f>H_SUP_TOTAL</f>
        <v>0</v>
      </c>
    </row>
    <row r="31" spans="1:7" ht="15" x14ac:dyDescent="0.25">
      <c r="A31" s="866"/>
      <c r="B31" s="353" t="s">
        <v>316</v>
      </c>
      <c r="C31" s="519"/>
    </row>
    <row r="32" spans="1:7" ht="15" x14ac:dyDescent="0.25">
      <c r="A32" s="866"/>
      <c r="B32" s="69" t="s">
        <v>315</v>
      </c>
      <c r="C32" s="358">
        <v>2.3230000000000001E-2</v>
      </c>
    </row>
    <row r="33" spans="1:6" ht="15" x14ac:dyDescent="0.25">
      <c r="A33" s="866"/>
      <c r="B33" s="69" t="s">
        <v>336</v>
      </c>
      <c r="C33" s="470"/>
      <c r="D33" s="353"/>
    </row>
    <row r="34" spans="1:6" ht="15" x14ac:dyDescent="0.25">
      <c r="A34" s="866"/>
      <c r="B34" s="69" t="s">
        <v>337</v>
      </c>
      <c r="C34" s="359">
        <f>IF(TATD="",TATM,TATD)</f>
        <v>2.3230000000000001E-2</v>
      </c>
    </row>
    <row r="35" spans="1:6" ht="15" x14ac:dyDescent="0.25">
      <c r="A35" s="866"/>
      <c r="B35" s="69" t="s">
        <v>390</v>
      </c>
      <c r="C35" s="360">
        <f>VLOOKUP(C13,'Liste déroulante'!B2:C11,2,FALSE)</f>
        <v>4.0500000000000001E-2</v>
      </c>
      <c r="E35" s="477"/>
    </row>
    <row r="36" spans="1:6" ht="15" x14ac:dyDescent="0.25">
      <c r="A36" s="866"/>
      <c r="B36" s="69" t="s">
        <v>350</v>
      </c>
      <c r="C36" s="470"/>
    </row>
    <row r="37" spans="1:6" ht="15" x14ac:dyDescent="0.25">
      <c r="A37" s="866"/>
      <c r="B37" s="69" t="s">
        <v>348</v>
      </c>
      <c r="C37" s="469"/>
    </row>
    <row r="38" spans="1:6" ht="15" x14ac:dyDescent="0.25">
      <c r="A38" s="866"/>
      <c r="B38" s="69" t="s">
        <v>349</v>
      </c>
      <c r="C38" s="471"/>
    </row>
    <row r="39" spans="1:6" ht="15" x14ac:dyDescent="0.25">
      <c r="A39" s="866"/>
      <c r="B39" s="69" t="s">
        <v>384</v>
      </c>
      <c r="C39" s="472"/>
    </row>
    <row r="40" spans="1:6" ht="15" x14ac:dyDescent="0.25">
      <c r="A40" s="866"/>
      <c r="B40" s="69" t="s">
        <v>385</v>
      </c>
      <c r="C40" s="471"/>
    </row>
    <row r="41" spans="1:6" ht="15" x14ac:dyDescent="0.25">
      <c r="A41" s="866"/>
      <c r="B41" s="69" t="s">
        <v>589</v>
      </c>
      <c r="C41" s="674">
        <f>IF(SBASE="",0,IFERROR(VLOOKUP(C12,'REGUL PLAFOND'!A10:O21,7,FALSE),0))</f>
        <v>0</v>
      </c>
    </row>
    <row r="42" spans="1:6" ht="15" x14ac:dyDescent="0.25">
      <c r="A42" s="866"/>
      <c r="B42" s="69" t="s">
        <v>590</v>
      </c>
      <c r="C42" s="674">
        <f>IF(SBASE="",0,IFERROR(VLOOKUP(C12,'REGUL PLAFOND'!A10:O21,10,FALSE),0))</f>
        <v>0</v>
      </c>
    </row>
    <row r="43" spans="1:6" ht="15" x14ac:dyDescent="0.25">
      <c r="A43" s="866"/>
      <c r="B43" s="69" t="s">
        <v>591</v>
      </c>
      <c r="C43" s="674">
        <f>IF(SBASE="",0,IFERROR(VLOOKUP(C12,'REGUL PLAFOND'!A10:O21,13,FALSE),0))</f>
        <v>0</v>
      </c>
    </row>
    <row r="44" spans="1:6" ht="15" x14ac:dyDescent="0.25">
      <c r="A44" s="866"/>
      <c r="B44" s="69" t="s">
        <v>566</v>
      </c>
      <c r="C44" s="671">
        <v>3611.48</v>
      </c>
      <c r="E44" s="552" t="s">
        <v>563</v>
      </c>
    </row>
    <row r="45" spans="1:6" ht="15" x14ac:dyDescent="0.25">
      <c r="A45" s="866"/>
      <c r="B45" s="69" t="s">
        <v>567</v>
      </c>
      <c r="C45" s="376">
        <f>IF(C14='Liste déroulante'!B14,S_GMP*NBRE_H_MOIS/151.67,S_GMP)</f>
        <v>3611.48</v>
      </c>
      <c r="E45" s="376">
        <f>IF(C64='Liste déroulante'!B31,C45,C45*'info bulletin'!F68/30)</f>
        <v>3611.48</v>
      </c>
      <c r="F45" s="17"/>
    </row>
    <row r="46" spans="1:6" ht="15" x14ac:dyDescent="0.25">
      <c r="A46" s="866"/>
      <c r="B46" s="69" t="s">
        <v>565</v>
      </c>
      <c r="C46" s="672">
        <v>342.48</v>
      </c>
      <c r="E46" s="552" t="s">
        <v>563</v>
      </c>
    </row>
    <row r="47" spans="1:6" ht="15" x14ac:dyDescent="0.25">
      <c r="A47" s="866"/>
      <c r="B47" s="69" t="s">
        <v>568</v>
      </c>
      <c r="C47" s="673">
        <f>IF(C14='Liste déroulante'!B14,C46*NBRE_H_MOIS/151.67,C46)</f>
        <v>342.48</v>
      </c>
      <c r="E47" s="376">
        <f>IF(C64='Liste déroulante'!B31,C47,C47*'info bulletin'!F68/30)</f>
        <v>342.48</v>
      </c>
    </row>
    <row r="48" spans="1:6" ht="15" x14ac:dyDescent="0.25">
      <c r="A48" s="866"/>
      <c r="B48" s="69" t="s">
        <v>596</v>
      </c>
      <c r="C48" s="673">
        <f>IF(SBASE="",0,IFERROR(VLOOKUP(C12,'REGUL PLAFOND'!A10:R21,16,FALSE),0))</f>
        <v>0</v>
      </c>
    </row>
    <row r="49" spans="1:14" ht="15" x14ac:dyDescent="0.25">
      <c r="A49" s="866"/>
    </row>
    <row r="50" spans="1:14" ht="15" x14ac:dyDescent="0.25">
      <c r="A50" s="866"/>
      <c r="B50" s="69" t="s">
        <v>396</v>
      </c>
      <c r="C50" s="388"/>
    </row>
    <row r="51" spans="1:14" ht="15" x14ac:dyDescent="0.25">
      <c r="A51" s="866"/>
    </row>
    <row r="52" spans="1:14" ht="15" x14ac:dyDescent="0.25">
      <c r="A52" s="866"/>
      <c r="B52" s="69" t="s">
        <v>363</v>
      </c>
      <c r="C52" s="390" t="s">
        <v>364</v>
      </c>
      <c r="E52" s="353" t="s">
        <v>370</v>
      </c>
    </row>
    <row r="53" spans="1:14" ht="15" x14ac:dyDescent="0.25">
      <c r="A53" s="866"/>
      <c r="B53" s="69" t="s">
        <v>183</v>
      </c>
      <c r="C53" s="391"/>
    </row>
    <row r="54" spans="1:14" ht="15.75" thickBot="1" x14ac:dyDescent="0.3">
      <c r="A54" s="867"/>
    </row>
    <row r="55" spans="1:14" s="286" customFormat="1" ht="15" x14ac:dyDescent="0.25">
      <c r="A55" s="336"/>
      <c r="B55" s="351"/>
      <c r="C55" s="351"/>
      <c r="D55" s="351"/>
      <c r="E55" s="361"/>
      <c r="F55" s="351"/>
      <c r="G55" s="351"/>
      <c r="H55" s="351"/>
      <c r="I55" s="351"/>
      <c r="J55" s="351"/>
    </row>
    <row r="56" spans="1:14" ht="19.5" thickBot="1" x14ac:dyDescent="0.3">
      <c r="A56" s="337"/>
      <c r="B56" s="345"/>
      <c r="C56" s="345"/>
      <c r="D56" s="362"/>
      <c r="E56" s="362"/>
      <c r="F56" s="362"/>
      <c r="G56" s="362"/>
      <c r="H56" s="362"/>
      <c r="I56" s="362"/>
      <c r="J56" s="362"/>
      <c r="K56" s="265"/>
    </row>
    <row r="57" spans="1:14" ht="15" x14ac:dyDescent="0.25">
      <c r="A57" s="865" t="s">
        <v>341</v>
      </c>
      <c r="B57" s="103" t="s">
        <v>223</v>
      </c>
      <c r="C57" s="821"/>
    </row>
    <row r="58" spans="1:14" ht="15" x14ac:dyDescent="0.25">
      <c r="A58" s="866"/>
      <c r="B58" s="103" t="s">
        <v>144</v>
      </c>
      <c r="C58" s="822"/>
    </row>
    <row r="59" spans="1:14" ht="15" x14ac:dyDescent="0.25">
      <c r="A59" s="866"/>
      <c r="B59" s="103" t="s">
        <v>256</v>
      </c>
      <c r="C59" s="821"/>
      <c r="D59" s="363"/>
    </row>
    <row r="60" spans="1:14" ht="15.75" thickBot="1" x14ac:dyDescent="0.3">
      <c r="A60" s="867"/>
      <c r="B60" s="69" t="s">
        <v>227</v>
      </c>
      <c r="C60" s="821"/>
    </row>
    <row r="61" spans="1:14" s="286" customFormat="1" ht="15" x14ac:dyDescent="0.25">
      <c r="A61" s="336"/>
      <c r="B61" s="351"/>
      <c r="C61" s="364"/>
      <c r="D61" s="351"/>
      <c r="E61" s="351"/>
      <c r="F61" s="351"/>
      <c r="G61" s="351"/>
      <c r="H61" s="351"/>
      <c r="I61" s="351"/>
      <c r="J61" s="351"/>
      <c r="L61" s="17"/>
    </row>
    <row r="62" spans="1:14" s="286" customFormat="1" ht="15.75" thickBot="1" x14ac:dyDescent="0.3">
      <c r="A62" s="338"/>
      <c r="B62" s="362"/>
      <c r="C62" s="365"/>
      <c r="D62" s="362"/>
      <c r="E62" s="362"/>
      <c r="F62" s="362"/>
      <c r="G62" s="362"/>
      <c r="H62" s="362"/>
      <c r="I62" s="362"/>
      <c r="J62" s="362"/>
      <c r="K62" s="265"/>
      <c r="L62" s="17"/>
      <c r="M62" s="270"/>
      <c r="N62" s="270"/>
    </row>
    <row r="63" spans="1:14" s="286" customFormat="1" ht="15" x14ac:dyDescent="0.25">
      <c r="A63" s="872" t="s">
        <v>461</v>
      </c>
      <c r="B63" s="351" t="s">
        <v>377</v>
      </c>
      <c r="C63" s="392" t="s">
        <v>108</v>
      </c>
      <c r="D63" s="351"/>
      <c r="E63" s="351" t="s">
        <v>370</v>
      </c>
      <c r="F63" s="351"/>
      <c r="G63" s="351"/>
      <c r="H63" s="351"/>
      <c r="I63" s="351"/>
      <c r="J63" s="351"/>
      <c r="L63" s="17"/>
      <c r="M63" s="270"/>
      <c r="N63" s="270"/>
    </row>
    <row r="64" spans="1:14" s="286" customFormat="1" ht="15" x14ac:dyDescent="0.25">
      <c r="A64" s="873"/>
      <c r="B64" s="351" t="s">
        <v>492</v>
      </c>
      <c r="C64" s="476" t="s">
        <v>460</v>
      </c>
      <c r="E64" s="353" t="s">
        <v>370</v>
      </c>
      <c r="F64" s="351"/>
      <c r="G64" s="351"/>
      <c r="H64" s="351"/>
      <c r="I64" s="351"/>
      <c r="J64" s="351"/>
      <c r="L64" s="17"/>
      <c r="M64" s="270"/>
      <c r="N64" s="270"/>
    </row>
    <row r="65" spans="1:14" s="286" customFormat="1" ht="15" x14ac:dyDescent="0.25">
      <c r="A65" s="873"/>
      <c r="B65" s="69" t="s">
        <v>375</v>
      </c>
      <c r="C65" s="388"/>
      <c r="D65" s="351"/>
      <c r="G65" s="351"/>
      <c r="H65" s="351"/>
      <c r="I65" s="351"/>
      <c r="J65" s="351"/>
      <c r="L65" s="17"/>
      <c r="M65" s="270"/>
      <c r="N65" s="270"/>
    </row>
    <row r="66" spans="1:14" s="286" customFormat="1" ht="15" x14ac:dyDescent="0.25">
      <c r="A66" s="873"/>
      <c r="B66" s="366" t="s">
        <v>123</v>
      </c>
      <c r="C66" s="393"/>
      <c r="D66" s="351"/>
      <c r="E66" s="351" t="s">
        <v>457</v>
      </c>
      <c r="F66" s="473">
        <f>IF(F_ABS_NR&gt;D_ABS_NR,F_ABS_NR-D_ABS_NR+1,F_ABS_NR-D_ABS_NR)</f>
        <v>0</v>
      </c>
      <c r="H66" s="351"/>
      <c r="I66" s="351"/>
      <c r="J66" s="351"/>
      <c r="L66" s="17"/>
      <c r="M66" s="270"/>
      <c r="N66" s="270"/>
    </row>
    <row r="67" spans="1:14" s="286" customFormat="1" ht="15" x14ac:dyDescent="0.25">
      <c r="A67" s="873"/>
      <c r="B67" s="366" t="s">
        <v>124</v>
      </c>
      <c r="C67" s="393"/>
      <c r="D67" s="351"/>
      <c r="E67" s="351" t="s">
        <v>459</v>
      </c>
      <c r="F67" s="475">
        <f>F3-E3+1</f>
        <v>31</v>
      </c>
      <c r="G67" s="351"/>
      <c r="H67" s="351"/>
      <c r="I67" s="351"/>
      <c r="J67" s="351"/>
      <c r="L67" s="17"/>
      <c r="M67" s="270"/>
      <c r="N67" s="270"/>
    </row>
    <row r="68" spans="1:14" s="286" customFormat="1" ht="15" x14ac:dyDescent="0.25">
      <c r="A68" s="873"/>
      <c r="B68" s="103" t="s">
        <v>339</v>
      </c>
      <c r="C68" s="394"/>
      <c r="D68" s="351"/>
      <c r="E68" s="351" t="s">
        <v>458</v>
      </c>
      <c r="F68" s="473">
        <f>F67-F66</f>
        <v>31</v>
      </c>
      <c r="G68" s="351"/>
      <c r="H68" s="351"/>
      <c r="I68" s="351"/>
      <c r="J68" s="351"/>
      <c r="L68" s="17"/>
      <c r="M68" s="270"/>
      <c r="N68" s="270"/>
    </row>
    <row r="69" spans="1:14" s="286" customFormat="1" ht="15.75" thickBot="1" x14ac:dyDescent="0.3">
      <c r="A69" s="874"/>
      <c r="B69" s="371" t="s">
        <v>525</v>
      </c>
      <c r="C69" s="394"/>
      <c r="D69" s="351"/>
      <c r="E69" s="351"/>
      <c r="F69" s="351"/>
      <c r="G69" s="351"/>
      <c r="H69" s="351"/>
      <c r="I69" s="351"/>
      <c r="J69" s="351"/>
      <c r="L69" s="17"/>
      <c r="M69" s="270"/>
      <c r="N69" s="270"/>
    </row>
    <row r="70" spans="1:14" s="286" customFormat="1" ht="15" x14ac:dyDescent="0.25">
      <c r="A70" s="336"/>
      <c r="B70" s="351"/>
      <c r="C70" s="364"/>
      <c r="D70" s="351"/>
      <c r="E70" s="351"/>
      <c r="F70" s="351"/>
      <c r="G70" s="351"/>
      <c r="H70" s="351"/>
      <c r="I70" s="351"/>
      <c r="J70" s="351"/>
    </row>
    <row r="71" spans="1:14" ht="19.5" thickBot="1" x14ac:dyDescent="0.3">
      <c r="A71" s="339"/>
      <c r="B71" s="367"/>
      <c r="C71" s="367"/>
      <c r="D71" s="368"/>
      <c r="E71" s="368"/>
      <c r="F71" s="368"/>
      <c r="G71" s="368"/>
      <c r="H71" s="362"/>
      <c r="I71" s="362"/>
      <c r="J71" s="362"/>
      <c r="K71" s="265"/>
    </row>
    <row r="72" spans="1:14" ht="15" x14ac:dyDescent="0.25">
      <c r="A72" s="868" t="s">
        <v>343</v>
      </c>
      <c r="B72" s="103" t="s">
        <v>338</v>
      </c>
      <c r="C72" s="390" t="s">
        <v>113</v>
      </c>
      <c r="E72" s="69" t="s">
        <v>342</v>
      </c>
    </row>
    <row r="73" spans="1:14" ht="15" x14ac:dyDescent="0.25">
      <c r="A73" s="869"/>
      <c r="B73" s="366" t="s">
        <v>123</v>
      </c>
      <c r="C73" s="393"/>
    </row>
    <row r="74" spans="1:14" ht="15" x14ac:dyDescent="0.25">
      <c r="A74" s="869"/>
      <c r="B74" s="366" t="s">
        <v>124</v>
      </c>
      <c r="C74" s="393"/>
    </row>
    <row r="75" spans="1:14" ht="15" x14ac:dyDescent="0.25">
      <c r="A75" s="870"/>
      <c r="B75" s="103" t="s">
        <v>449</v>
      </c>
      <c r="C75" s="388"/>
    </row>
    <row r="76" spans="1:14" ht="15" x14ac:dyDescent="0.25">
      <c r="A76" s="870"/>
      <c r="B76" s="103" t="s">
        <v>506</v>
      </c>
      <c r="C76" s="560">
        <f>J_CP</f>
        <v>0</v>
      </c>
    </row>
    <row r="77" spans="1:14" ht="15" x14ac:dyDescent="0.25">
      <c r="A77" s="870"/>
      <c r="B77" s="383" t="s">
        <v>434</v>
      </c>
      <c r="C77" s="384">
        <f>ABS_CP</f>
        <v>0</v>
      </c>
    </row>
    <row r="78" spans="1:14" ht="15.75" thickBot="1" x14ac:dyDescent="0.3">
      <c r="A78" s="871"/>
      <c r="B78" s="103"/>
      <c r="C78" s="103"/>
    </row>
    <row r="79" spans="1:14" ht="15" customHeight="1" x14ac:dyDescent="0.25">
      <c r="A79" s="875" t="s">
        <v>219</v>
      </c>
      <c r="B79" s="366" t="s">
        <v>93</v>
      </c>
      <c r="C79" s="561" t="str">
        <f>VLOOKUP(C72,'Liste déroulante'!B21:D24,2,FALSE)</f>
        <v>OUVRABLES</v>
      </c>
    </row>
    <row r="80" spans="1:14" ht="15" x14ac:dyDescent="0.25">
      <c r="A80" s="876"/>
      <c r="B80" s="369" t="s">
        <v>94</v>
      </c>
      <c r="C80" s="561" t="str">
        <f>VLOOKUP(C72,'Liste déroulante'!B21:D24,3,FALSE)</f>
        <v>MOYEN</v>
      </c>
    </row>
    <row r="81" spans="1:5" ht="15" x14ac:dyDescent="0.25">
      <c r="A81" s="876"/>
      <c r="B81" s="69" t="s">
        <v>420</v>
      </c>
      <c r="C81" s="388"/>
    </row>
    <row r="82" spans="1:5" ht="15" x14ac:dyDescent="0.25">
      <c r="A82" s="876"/>
      <c r="B82" s="69" t="s">
        <v>421</v>
      </c>
      <c r="C82" s="388"/>
    </row>
    <row r="83" spans="1:5" ht="15" x14ac:dyDescent="0.25">
      <c r="A83" s="876"/>
      <c r="B83" s="69" t="s">
        <v>526</v>
      </c>
      <c r="C83" s="560">
        <f>C76</f>
        <v>0</v>
      </c>
    </row>
    <row r="84" spans="1:5" ht="15" x14ac:dyDescent="0.25">
      <c r="A84" s="876"/>
      <c r="B84" s="383" t="s">
        <v>435</v>
      </c>
      <c r="C84" s="370">
        <f>ICCP</f>
        <v>0</v>
      </c>
      <c r="E84" s="357" t="s">
        <v>373</v>
      </c>
    </row>
    <row r="85" spans="1:5" ht="15" x14ac:dyDescent="0.25">
      <c r="A85" s="876"/>
      <c r="C85" s="103"/>
    </row>
    <row r="86" spans="1:5" ht="15" x14ac:dyDescent="0.25">
      <c r="A86" s="876"/>
      <c r="B86" s="69" t="s">
        <v>423</v>
      </c>
      <c r="C86" s="388"/>
    </row>
    <row r="87" spans="1:5" ht="15" x14ac:dyDescent="0.25">
      <c r="A87" s="876"/>
      <c r="B87" s="69" t="s">
        <v>420</v>
      </c>
      <c r="C87" s="507"/>
    </row>
    <row r="88" spans="1:5" ht="15" x14ac:dyDescent="0.25">
      <c r="A88" s="876"/>
      <c r="B88" s="366" t="s">
        <v>426</v>
      </c>
      <c r="C88" s="507"/>
    </row>
    <row r="89" spans="1:5" ht="15" x14ac:dyDescent="0.25">
      <c r="A89" s="876"/>
      <c r="B89" s="69" t="s">
        <v>422</v>
      </c>
      <c r="C89" s="388"/>
    </row>
    <row r="90" spans="1:5" ht="15" x14ac:dyDescent="0.25">
      <c r="A90" s="876"/>
      <c r="B90" s="382" t="s">
        <v>437</v>
      </c>
      <c r="C90" s="376">
        <f>SoldeICCPN1</f>
        <v>0</v>
      </c>
    </row>
    <row r="91" spans="1:5" ht="15" x14ac:dyDescent="0.25">
      <c r="A91" s="876"/>
      <c r="C91" s="103"/>
    </row>
    <row r="92" spans="1:5" ht="15" x14ac:dyDescent="0.25">
      <c r="A92" s="876"/>
      <c r="B92" s="69" t="s">
        <v>424</v>
      </c>
      <c r="C92" s="388"/>
      <c r="E92" s="69" t="s">
        <v>602</v>
      </c>
    </row>
    <row r="93" spans="1:5" ht="15" x14ac:dyDescent="0.25">
      <c r="A93" s="876"/>
      <c r="B93" s="69" t="s">
        <v>425</v>
      </c>
      <c r="C93" s="388"/>
    </row>
    <row r="94" spans="1:5" ht="15" x14ac:dyDescent="0.25">
      <c r="A94" s="876"/>
      <c r="B94" s="366" t="s">
        <v>426</v>
      </c>
      <c r="C94" s="388"/>
    </row>
    <row r="95" spans="1:5" ht="15" x14ac:dyDescent="0.25">
      <c r="A95" s="876"/>
      <c r="B95" s="69" t="s">
        <v>427</v>
      </c>
      <c r="C95" s="388"/>
    </row>
    <row r="96" spans="1:5" ht="15" x14ac:dyDescent="0.25">
      <c r="A96" s="876"/>
      <c r="B96" s="382" t="s">
        <v>436</v>
      </c>
      <c r="C96" s="376">
        <f>MAX(SoldeICCPNR10,SoldeICCPMaintien)</f>
        <v>0</v>
      </c>
    </row>
    <row r="97" spans="1:11" ht="15" x14ac:dyDescent="0.25">
      <c r="A97" s="876"/>
    </row>
    <row r="98" spans="1:11" ht="15" x14ac:dyDescent="0.25">
      <c r="A98" s="876"/>
      <c r="B98" s="69" t="s">
        <v>99</v>
      </c>
      <c r="C98" s="387"/>
    </row>
    <row r="99" spans="1:11" ht="15" x14ac:dyDescent="0.25">
      <c r="A99" s="876"/>
      <c r="B99" s="69" t="s">
        <v>428</v>
      </c>
      <c r="C99" s="387"/>
    </row>
    <row r="100" spans="1:11" ht="15.75" thickBot="1" x14ac:dyDescent="0.3">
      <c r="A100" s="877"/>
      <c r="B100" s="382" t="s">
        <v>438</v>
      </c>
      <c r="C100" s="376">
        <f>ICCPFRACT</f>
        <v>0</v>
      </c>
    </row>
    <row r="101" spans="1:11" s="286" customFormat="1" ht="15" x14ac:dyDescent="0.25">
      <c r="A101" s="336"/>
      <c r="B101" s="351"/>
      <c r="C101" s="353"/>
      <c r="D101" s="351"/>
      <c r="E101" s="351"/>
      <c r="F101" s="351"/>
      <c r="G101" s="351"/>
      <c r="H101" s="351"/>
      <c r="I101" s="351"/>
      <c r="J101" s="351"/>
    </row>
    <row r="102" spans="1:11" ht="11.25" customHeight="1" thickBot="1" x14ac:dyDescent="0.3">
      <c r="A102" s="337"/>
      <c r="B102" s="362"/>
      <c r="C102" s="362"/>
      <c r="D102" s="362"/>
      <c r="E102" s="362"/>
      <c r="F102" s="362"/>
      <c r="G102" s="362"/>
      <c r="H102" s="362"/>
      <c r="I102" s="362"/>
      <c r="J102" s="362"/>
      <c r="K102" s="265"/>
    </row>
    <row r="103" spans="1:11" ht="15.75" customHeight="1" thickBot="1" x14ac:dyDescent="0.3">
      <c r="A103" s="859" t="s">
        <v>147</v>
      </c>
      <c r="B103" s="879" t="s">
        <v>400</v>
      </c>
      <c r="C103" s="880"/>
    </row>
    <row r="104" spans="1:11" ht="15" customHeight="1" x14ac:dyDescent="0.25">
      <c r="A104" s="860"/>
      <c r="B104" s="69" t="s">
        <v>389</v>
      </c>
      <c r="C104" s="395"/>
    </row>
    <row r="105" spans="1:11" ht="15" customHeight="1" x14ac:dyDescent="0.25">
      <c r="A105" s="860"/>
      <c r="B105" s="69" t="s">
        <v>347</v>
      </c>
      <c r="C105" s="394"/>
    </row>
    <row r="106" spans="1:11" ht="15" customHeight="1" x14ac:dyDescent="0.25">
      <c r="A106" s="860"/>
      <c r="B106" s="103" t="s">
        <v>151</v>
      </c>
      <c r="C106" s="396">
        <v>5.38</v>
      </c>
    </row>
    <row r="107" spans="1:11" ht="15" customHeight="1" x14ac:dyDescent="0.25">
      <c r="A107" s="860"/>
      <c r="B107" s="103" t="s">
        <v>150</v>
      </c>
      <c r="C107" s="389"/>
    </row>
    <row r="108" spans="1:11" ht="15" customHeight="1" x14ac:dyDescent="0.25">
      <c r="A108" s="860"/>
      <c r="B108" s="69" t="s">
        <v>72</v>
      </c>
      <c r="C108" s="372">
        <f>100%-PSAL_TR</f>
        <v>1</v>
      </c>
    </row>
    <row r="109" spans="1:11" ht="15" customHeight="1" x14ac:dyDescent="0.25">
      <c r="A109" s="860"/>
      <c r="B109" s="385" t="s">
        <v>149</v>
      </c>
      <c r="C109" s="370">
        <f>TR_SAL</f>
        <v>0</v>
      </c>
    </row>
    <row r="110" spans="1:11" s="286" customFormat="1" ht="15" customHeight="1" x14ac:dyDescent="0.25">
      <c r="A110" s="860"/>
      <c r="B110" s="385" t="s">
        <v>441</v>
      </c>
      <c r="C110" s="370">
        <f>AN_TR</f>
        <v>0</v>
      </c>
      <c r="D110" s="351"/>
      <c r="E110" s="351"/>
      <c r="F110" s="351"/>
      <c r="G110" s="351"/>
      <c r="H110" s="351"/>
      <c r="I110" s="351"/>
      <c r="J110" s="351"/>
    </row>
    <row r="111" spans="1:11" ht="15" x14ac:dyDescent="0.25">
      <c r="A111" s="860"/>
      <c r="B111" s="883"/>
      <c r="C111" s="883"/>
      <c r="D111" s="371"/>
      <c r="E111" s="371"/>
      <c r="F111" s="371"/>
      <c r="G111" s="371"/>
      <c r="J111" s="351"/>
    </row>
    <row r="112" spans="1:11" ht="15" customHeight="1" x14ac:dyDescent="0.25">
      <c r="A112" s="860"/>
      <c r="B112" s="103" t="s">
        <v>155</v>
      </c>
      <c r="C112" s="394"/>
      <c r="D112" s="371"/>
      <c r="E112" s="371"/>
      <c r="F112" s="371"/>
      <c r="G112" s="371"/>
    </row>
    <row r="113" spans="1:16" ht="15" customHeight="1" x14ac:dyDescent="0.25">
      <c r="A113" s="860"/>
      <c r="B113" s="103" t="s">
        <v>156</v>
      </c>
      <c r="C113" s="396">
        <v>4.75</v>
      </c>
      <c r="F113" s="371"/>
      <c r="G113" s="371"/>
    </row>
    <row r="114" spans="1:16" ht="15" customHeight="1" x14ac:dyDescent="0.25">
      <c r="A114" s="860"/>
      <c r="B114" s="103" t="s">
        <v>158</v>
      </c>
      <c r="C114" s="394"/>
      <c r="F114" s="371"/>
      <c r="G114" s="371"/>
      <c r="L114" s="32"/>
      <c r="M114" s="32"/>
      <c r="N114" s="69"/>
    </row>
    <row r="115" spans="1:16" ht="15" customHeight="1" x14ac:dyDescent="0.25">
      <c r="A115" s="860"/>
      <c r="B115" s="371" t="s">
        <v>159</v>
      </c>
      <c r="C115" s="373">
        <f>EF_SAL</f>
        <v>0</v>
      </c>
      <c r="D115" s="371"/>
      <c r="E115" s="371"/>
      <c r="F115" s="371"/>
      <c r="G115" s="371"/>
      <c r="O115" s="32"/>
      <c r="P115" s="32"/>
    </row>
    <row r="116" spans="1:16" ht="15" x14ac:dyDescent="0.25">
      <c r="A116" s="860"/>
      <c r="B116" s="385" t="s">
        <v>440</v>
      </c>
      <c r="C116" s="373">
        <f>AN_EF</f>
        <v>0</v>
      </c>
      <c r="D116" s="371"/>
      <c r="E116" s="371"/>
      <c r="F116" s="371"/>
      <c r="G116" s="371"/>
      <c r="O116" s="32"/>
      <c r="P116" s="32"/>
    </row>
    <row r="117" spans="1:16" ht="15.75" thickBot="1" x14ac:dyDescent="0.3">
      <c r="A117" s="860"/>
      <c r="B117" s="371"/>
      <c r="C117" s="371"/>
      <c r="D117" s="371"/>
      <c r="E117" s="371"/>
      <c r="F117" s="371"/>
      <c r="G117" s="371"/>
      <c r="O117" s="32"/>
      <c r="P117" s="32"/>
    </row>
    <row r="118" spans="1:16" ht="15.75" thickBot="1" x14ac:dyDescent="0.3">
      <c r="A118" s="860"/>
      <c r="B118" s="879" t="s">
        <v>401</v>
      </c>
      <c r="C118" s="880"/>
      <c r="D118" s="371"/>
      <c r="E118" s="371"/>
      <c r="F118" s="371"/>
      <c r="G118" s="371"/>
      <c r="O118" s="32"/>
      <c r="P118" s="32"/>
    </row>
    <row r="119" spans="1:16" ht="15" customHeight="1" x14ac:dyDescent="0.25">
      <c r="A119" s="860"/>
      <c r="B119" s="69" t="s">
        <v>378</v>
      </c>
      <c r="C119" s="395"/>
      <c r="D119" s="371"/>
      <c r="E119" s="371"/>
      <c r="F119" s="371"/>
      <c r="G119" s="371"/>
      <c r="O119" s="32"/>
      <c r="P119" s="32"/>
    </row>
    <row r="120" spans="1:16" ht="15" customHeight="1" x14ac:dyDescent="0.25">
      <c r="A120" s="860"/>
      <c r="B120" s="69" t="s">
        <v>432</v>
      </c>
      <c r="C120" s="397"/>
      <c r="D120" s="379">
        <f>IF(C120&gt;'Liste déroulante'!C43,8,IF(C120&gt;'Liste déroulante'!C42,7,IF(C120&gt;'Liste déroulante'!C41,6,IF(C120&gt;'Liste déroulante'!C40,5,IF(C120&gt;'Liste déroulante'!C39,4,IF(C120&gt;'Liste déroulante'!C38,3,IF(C120&gt;'Liste déroulante'!C37,2,1)))))))</f>
        <v>1</v>
      </c>
      <c r="E120" s="17"/>
      <c r="F120" s="17"/>
      <c r="G120" s="371"/>
      <c r="I120" s="371"/>
      <c r="O120" s="32"/>
      <c r="P120" s="32"/>
    </row>
    <row r="121" spans="1:16" ht="15" customHeight="1" x14ac:dyDescent="0.25">
      <c r="A121" s="860"/>
      <c r="B121" s="371" t="s">
        <v>433</v>
      </c>
      <c r="C121" s="380" t="str">
        <f>VLOOKUP(D120,'Liste déroulante'!B36:D43,3,FALSE)</f>
        <v>Infèrieur à 1634,50</v>
      </c>
      <c r="D121" s="371"/>
      <c r="E121" s="371"/>
      <c r="F121" s="371"/>
      <c r="G121" s="371"/>
      <c r="I121" s="371"/>
      <c r="O121" s="32"/>
      <c r="P121" s="32"/>
    </row>
    <row r="122" spans="1:16" ht="15" customHeight="1" x14ac:dyDescent="0.25">
      <c r="A122" s="860"/>
      <c r="B122" s="385" t="s">
        <v>442</v>
      </c>
      <c r="C122" s="381">
        <f>AN_LOG</f>
        <v>0</v>
      </c>
      <c r="D122" s="371"/>
      <c r="E122" s="371"/>
      <c r="F122" s="371"/>
      <c r="G122" s="371"/>
      <c r="I122" s="371"/>
      <c r="O122" s="32"/>
      <c r="P122" s="32"/>
    </row>
    <row r="123" spans="1:16" ht="15" customHeight="1" thickBot="1" x14ac:dyDescent="0.3">
      <c r="A123" s="860"/>
      <c r="O123" s="32"/>
      <c r="P123" s="32"/>
    </row>
    <row r="124" spans="1:16" ht="15.75" thickBot="1" x14ac:dyDescent="0.3">
      <c r="A124" s="860"/>
      <c r="B124" s="879" t="s">
        <v>402</v>
      </c>
      <c r="C124" s="880"/>
      <c r="O124" s="32"/>
      <c r="P124" s="32"/>
    </row>
    <row r="125" spans="1:16" ht="15" customHeight="1" x14ac:dyDescent="0.25">
      <c r="A125" s="860"/>
      <c r="B125" s="103" t="s">
        <v>391</v>
      </c>
      <c r="C125" s="398"/>
      <c r="D125" s="69" t="s">
        <v>196</v>
      </c>
    </row>
    <row r="126" spans="1:16" ht="15" customHeight="1" x14ac:dyDescent="0.25">
      <c r="A126" s="860"/>
      <c r="B126" s="103" t="s">
        <v>177</v>
      </c>
      <c r="C126" s="399"/>
      <c r="D126" s="69" t="s">
        <v>197</v>
      </c>
    </row>
    <row r="127" spans="1:16" ht="15" customHeight="1" x14ac:dyDescent="0.25">
      <c r="A127" s="860"/>
      <c r="B127" s="103" t="s">
        <v>179</v>
      </c>
      <c r="C127" s="399"/>
      <c r="D127" s="69" t="s">
        <v>197</v>
      </c>
    </row>
    <row r="128" spans="1:16" ht="15" customHeight="1" x14ac:dyDescent="0.25">
      <c r="A128" s="860"/>
      <c r="B128" s="103" t="s">
        <v>178</v>
      </c>
      <c r="C128" s="399"/>
      <c r="D128" s="69" t="s">
        <v>197</v>
      </c>
    </row>
    <row r="129" spans="1:5" ht="15" customHeight="1" x14ac:dyDescent="0.25">
      <c r="A129" s="860"/>
    </row>
    <row r="130" spans="1:5" ht="15" customHeight="1" x14ac:dyDescent="0.25">
      <c r="A130" s="860"/>
      <c r="B130" s="69" t="s">
        <v>243</v>
      </c>
      <c r="C130" s="400"/>
    </row>
    <row r="131" spans="1:5" ht="15" customHeight="1" x14ac:dyDescent="0.25">
      <c r="A131" s="860"/>
      <c r="B131" s="69" t="s">
        <v>244</v>
      </c>
      <c r="C131" s="400"/>
    </row>
    <row r="132" spans="1:5" ht="15" customHeight="1" x14ac:dyDescent="0.25">
      <c r="A132" s="860"/>
      <c r="B132" s="382" t="s">
        <v>443</v>
      </c>
      <c r="C132" s="355">
        <f>AN_VEH_HA</f>
        <v>0</v>
      </c>
    </row>
    <row r="133" spans="1:5" ht="15" customHeight="1" x14ac:dyDescent="0.25">
      <c r="A133" s="860"/>
    </row>
    <row r="134" spans="1:5" ht="15" customHeight="1" x14ac:dyDescent="0.25">
      <c r="A134" s="860"/>
      <c r="B134" s="69" t="s">
        <v>351</v>
      </c>
      <c r="C134" s="401" t="s">
        <v>208</v>
      </c>
      <c r="E134" s="69" t="s">
        <v>342</v>
      </c>
    </row>
    <row r="135" spans="1:5" ht="15" customHeight="1" x14ac:dyDescent="0.25">
      <c r="A135" s="860"/>
    </row>
    <row r="136" spans="1:5" ht="15" customHeight="1" x14ac:dyDescent="0.25">
      <c r="A136" s="860"/>
      <c r="B136" s="103" t="s">
        <v>180</v>
      </c>
      <c r="C136" s="399"/>
      <c r="D136" s="69" t="s">
        <v>197</v>
      </c>
    </row>
    <row r="137" spans="1:5" ht="15" customHeight="1" x14ac:dyDescent="0.25">
      <c r="A137" s="860"/>
      <c r="B137" s="103" t="s">
        <v>177</v>
      </c>
      <c r="C137" s="399"/>
      <c r="D137" s="69" t="s">
        <v>197</v>
      </c>
    </row>
    <row r="138" spans="1:5" ht="15" customHeight="1" x14ac:dyDescent="0.25">
      <c r="A138" s="860"/>
      <c r="B138" s="103" t="s">
        <v>179</v>
      </c>
      <c r="C138" s="399"/>
      <c r="D138" s="69" t="s">
        <v>197</v>
      </c>
    </row>
    <row r="139" spans="1:5" ht="15" customHeight="1" x14ac:dyDescent="0.25">
      <c r="A139" s="860"/>
      <c r="B139" s="103" t="s">
        <v>178</v>
      </c>
      <c r="C139" s="399"/>
      <c r="D139" s="69" t="s">
        <v>197</v>
      </c>
    </row>
    <row r="140" spans="1:5" ht="15" customHeight="1" x14ac:dyDescent="0.25">
      <c r="A140" s="860"/>
    </row>
    <row r="141" spans="1:5" ht="15" customHeight="1" x14ac:dyDescent="0.25">
      <c r="A141" s="860"/>
      <c r="B141" s="69" t="s">
        <v>352</v>
      </c>
      <c r="C141" s="401" t="s">
        <v>214</v>
      </c>
      <c r="E141" s="69" t="s">
        <v>342</v>
      </c>
    </row>
    <row r="142" spans="1:5" ht="15" customHeight="1" x14ac:dyDescent="0.25">
      <c r="A142" s="860"/>
      <c r="B142" s="382" t="s">
        <v>444</v>
      </c>
      <c r="C142" s="355">
        <f>AN_VEH_LOA</f>
        <v>0</v>
      </c>
    </row>
    <row r="143" spans="1:5" ht="15" customHeight="1" thickBot="1" x14ac:dyDescent="0.3">
      <c r="A143" s="860"/>
    </row>
    <row r="144" spans="1:5" ht="15" customHeight="1" thickBot="1" x14ac:dyDescent="0.3">
      <c r="A144" s="860"/>
      <c r="B144" s="881" t="s">
        <v>403</v>
      </c>
      <c r="C144" s="882"/>
    </row>
    <row r="145" spans="1:11" ht="15" customHeight="1" x14ac:dyDescent="0.25">
      <c r="A145" s="860"/>
      <c r="B145" s="69" t="s">
        <v>357</v>
      </c>
      <c r="C145" s="402"/>
    </row>
    <row r="146" spans="1:11" ht="15" customHeight="1" x14ac:dyDescent="0.25">
      <c r="A146" s="860"/>
      <c r="B146" s="69" t="s">
        <v>358</v>
      </c>
      <c r="C146" s="402"/>
      <c r="F146" s="374"/>
      <c r="G146" s="374"/>
    </row>
    <row r="147" spans="1:11" ht="15" customHeight="1" x14ac:dyDescent="0.25">
      <c r="A147" s="860"/>
      <c r="B147" s="382" t="s">
        <v>445</v>
      </c>
      <c r="C147" s="355">
        <f>C145*10%/12</f>
        <v>0</v>
      </c>
    </row>
    <row r="148" spans="1:11" ht="15" customHeight="1" x14ac:dyDescent="0.25">
      <c r="A148" s="860"/>
      <c r="B148" s="382" t="s">
        <v>446</v>
      </c>
      <c r="C148" s="355">
        <f>C146*10%</f>
        <v>0</v>
      </c>
    </row>
    <row r="149" spans="1:11" ht="15" customHeight="1" thickBot="1" x14ac:dyDescent="0.3">
      <c r="A149" s="860"/>
    </row>
    <row r="150" spans="1:11" ht="15" customHeight="1" thickBot="1" x14ac:dyDescent="0.3">
      <c r="A150" s="860"/>
      <c r="B150" s="881" t="s">
        <v>404</v>
      </c>
      <c r="C150" s="882"/>
    </row>
    <row r="151" spans="1:11" ht="15" customHeight="1" x14ac:dyDescent="0.25">
      <c r="A151" s="860"/>
      <c r="B151" s="69" t="s">
        <v>392</v>
      </c>
      <c r="C151" s="391"/>
    </row>
    <row r="152" spans="1:11" ht="15" customHeight="1" x14ac:dyDescent="0.25">
      <c r="A152" s="860"/>
      <c r="B152" s="69" t="s">
        <v>253</v>
      </c>
      <c r="C152" s="403"/>
    </row>
    <row r="153" spans="1:11" ht="15" customHeight="1" thickBot="1" x14ac:dyDescent="0.3">
      <c r="A153" s="860"/>
    </row>
    <row r="154" spans="1:11" ht="15" customHeight="1" thickBot="1" x14ac:dyDescent="0.3">
      <c r="A154" s="860"/>
      <c r="B154" s="857" t="s">
        <v>512</v>
      </c>
      <c r="C154" s="878"/>
    </row>
    <row r="155" spans="1:11" ht="15" customHeight="1" x14ac:dyDescent="0.25">
      <c r="A155" s="860"/>
      <c r="B155" s="69" t="s">
        <v>513</v>
      </c>
      <c r="C155" s="563"/>
    </row>
    <row r="156" spans="1:11" ht="15" customHeight="1" x14ac:dyDescent="0.25">
      <c r="A156" s="860"/>
      <c r="B156" s="69" t="s">
        <v>50</v>
      </c>
      <c r="C156" s="563"/>
    </row>
    <row r="157" spans="1:11" ht="15" customHeight="1" x14ac:dyDescent="0.25">
      <c r="A157" s="860"/>
      <c r="B157" s="69" t="s">
        <v>514</v>
      </c>
      <c r="C157" s="562" t="s">
        <v>515</v>
      </c>
      <c r="E157" s="69" t="s">
        <v>342</v>
      </c>
    </row>
    <row r="158" spans="1:11" ht="15" customHeight="1" x14ac:dyDescent="0.25">
      <c r="A158" s="860"/>
      <c r="B158" s="69" t="s">
        <v>517</v>
      </c>
      <c r="C158" s="565">
        <f>AN!B70</f>
        <v>0</v>
      </c>
    </row>
    <row r="159" spans="1:11" ht="15" customHeight="1" x14ac:dyDescent="0.25">
      <c r="A159" s="860"/>
      <c r="B159" s="69" t="s">
        <v>518</v>
      </c>
      <c r="C159" s="565">
        <f>AN!B74</f>
        <v>0</v>
      </c>
    </row>
    <row r="160" spans="1:11" s="286" customFormat="1" ht="15" customHeight="1" thickBot="1" x14ac:dyDescent="0.3">
      <c r="A160" s="860"/>
      <c r="B160" s="351"/>
      <c r="C160" s="375"/>
      <c r="D160" s="351"/>
      <c r="E160" s="351"/>
      <c r="F160" s="351"/>
      <c r="G160" s="351"/>
      <c r="H160" s="351"/>
      <c r="I160" s="351"/>
      <c r="J160" s="351"/>
      <c r="K160" s="316"/>
    </row>
    <row r="161" spans="1:11" s="286" customFormat="1" ht="15" customHeight="1" thickBot="1" x14ac:dyDescent="0.3">
      <c r="A161" s="860"/>
      <c r="B161" s="857" t="s">
        <v>309</v>
      </c>
      <c r="C161" s="858"/>
      <c r="D161" s="69"/>
      <c r="E161" s="69"/>
      <c r="F161" s="351"/>
      <c r="G161" s="351"/>
      <c r="H161" s="351"/>
      <c r="I161" s="351"/>
      <c r="J161" s="351"/>
      <c r="K161" s="316"/>
    </row>
    <row r="162" spans="1:11" s="286" customFormat="1" ht="15" customHeight="1" x14ac:dyDescent="0.25">
      <c r="A162" s="860"/>
      <c r="B162" s="69" t="s">
        <v>612</v>
      </c>
      <c r="C162" s="746"/>
      <c r="D162" s="69"/>
      <c r="E162" s="69"/>
      <c r="F162" s="351"/>
      <c r="G162" s="351"/>
      <c r="H162" s="351"/>
      <c r="I162" s="351"/>
      <c r="J162" s="351"/>
      <c r="K162" s="316"/>
    </row>
    <row r="163" spans="1:11" s="286" customFormat="1" ht="15" customHeight="1" x14ac:dyDescent="0.25">
      <c r="A163" s="860"/>
      <c r="B163" s="69" t="s">
        <v>620</v>
      </c>
      <c r="C163" s="747" t="s">
        <v>621</v>
      </c>
      <c r="D163" s="69"/>
      <c r="E163" s="69" t="s">
        <v>342</v>
      </c>
      <c r="F163" s="351"/>
      <c r="G163" s="351"/>
      <c r="H163" s="351"/>
      <c r="I163" s="351"/>
      <c r="J163" s="351"/>
      <c r="K163" s="316"/>
    </row>
    <row r="164" spans="1:11" s="286" customFormat="1" ht="15" customHeight="1" x14ac:dyDescent="0.25">
      <c r="A164" s="860"/>
      <c r="B164" s="69" t="s">
        <v>622</v>
      </c>
      <c r="C164" s="748"/>
      <c r="D164" s="69"/>
      <c r="E164" s="69"/>
      <c r="F164" s="351"/>
      <c r="G164" s="351"/>
      <c r="H164" s="351"/>
      <c r="I164" s="351"/>
      <c r="J164" s="351"/>
      <c r="K164" s="316"/>
    </row>
    <row r="165" spans="1:11" s="286" customFormat="1" ht="15" customHeight="1" x14ac:dyDescent="0.25">
      <c r="A165" s="860"/>
      <c r="B165" s="69" t="s">
        <v>618</v>
      </c>
      <c r="C165" s="565">
        <f>AN!B92</f>
        <v>0</v>
      </c>
      <c r="D165" s="69"/>
      <c r="E165" s="69"/>
      <c r="F165" s="351"/>
      <c r="G165" s="351"/>
      <c r="H165" s="351"/>
      <c r="I165" s="351"/>
      <c r="J165" s="351"/>
      <c r="K165" s="316"/>
    </row>
    <row r="166" spans="1:11" s="286" customFormat="1" ht="15" customHeight="1" thickBot="1" x14ac:dyDescent="0.3">
      <c r="A166" s="861"/>
      <c r="B166" s="69" t="s">
        <v>619</v>
      </c>
      <c r="C166" s="565">
        <f>AN!B93</f>
        <v>0</v>
      </c>
      <c r="D166" s="69"/>
      <c r="E166" s="69" t="s">
        <v>342</v>
      </c>
      <c r="F166" s="351"/>
      <c r="G166" s="351"/>
      <c r="H166" s="351"/>
      <c r="I166" s="351"/>
      <c r="J166" s="351"/>
      <c r="K166" s="316"/>
    </row>
    <row r="167" spans="1:11" ht="19.5" thickBot="1" x14ac:dyDescent="0.3">
      <c r="A167" s="337"/>
      <c r="B167" s="362"/>
      <c r="C167" s="362"/>
      <c r="D167" s="362"/>
      <c r="E167" s="362"/>
      <c r="F167" s="362"/>
      <c r="G167" s="362"/>
      <c r="H167" s="362"/>
      <c r="I167" s="362"/>
      <c r="J167" s="362"/>
      <c r="K167" s="265"/>
    </row>
    <row r="168" spans="1:11" ht="12.75" customHeight="1" x14ac:dyDescent="0.25">
      <c r="A168" s="862" t="s">
        <v>237</v>
      </c>
      <c r="B168" s="69" t="s">
        <v>366</v>
      </c>
      <c r="C168" s="390" t="s">
        <v>364</v>
      </c>
      <c r="E168" s="69" t="s">
        <v>342</v>
      </c>
    </row>
    <row r="169" spans="1:11" ht="15" customHeight="1" x14ac:dyDescent="0.25">
      <c r="A169" s="863"/>
      <c r="B169" s="69" t="s">
        <v>293</v>
      </c>
      <c r="C169" s="404">
        <v>118.33</v>
      </c>
    </row>
    <row r="170" spans="1:11" ht="15" customHeight="1" x14ac:dyDescent="0.25">
      <c r="A170" s="863"/>
      <c r="B170" s="69" t="s">
        <v>289</v>
      </c>
      <c r="C170" s="551">
        <v>4</v>
      </c>
    </row>
    <row r="171" spans="1:11" ht="15" customHeight="1" x14ac:dyDescent="0.25">
      <c r="A171" s="863"/>
      <c r="B171" s="69" t="s">
        <v>371</v>
      </c>
      <c r="C171" s="404">
        <v>535.16999999999996</v>
      </c>
    </row>
    <row r="172" spans="1:11" ht="15" customHeight="1" thickBot="1" x14ac:dyDescent="0.3">
      <c r="A172" s="864"/>
      <c r="B172" s="69" t="s">
        <v>372</v>
      </c>
      <c r="C172" s="376">
        <f>SAISIE_SAL</f>
        <v>0</v>
      </c>
    </row>
  </sheetData>
  <sheetProtection selectLockedCells="1" sort="0"/>
  <mergeCells count="15">
    <mergeCell ref="B161:C161"/>
    <mergeCell ref="A103:A166"/>
    <mergeCell ref="A168:A172"/>
    <mergeCell ref="A3:A54"/>
    <mergeCell ref="A57:A60"/>
    <mergeCell ref="A72:A78"/>
    <mergeCell ref="A63:A69"/>
    <mergeCell ref="A79:A100"/>
    <mergeCell ref="B154:C154"/>
    <mergeCell ref="B124:C124"/>
    <mergeCell ref="B150:C150"/>
    <mergeCell ref="B103:C103"/>
    <mergeCell ref="B111:C111"/>
    <mergeCell ref="B118:C118"/>
    <mergeCell ref="B144:C144"/>
  </mergeCells>
  <hyperlinks>
    <hyperlink ref="A72:A78" location="ABS" display="Abs CP " xr:uid="{00000000-0004-0000-0100-000000000000}"/>
    <hyperlink ref="A168:A171" location="SAISIE" display="SAISIE" xr:uid="{00000000-0004-0000-0100-000001000000}"/>
    <hyperlink ref="A103:A152" location="AN_TR" display="AVANTAGE EN NATURE" xr:uid="{00000000-0004-0000-0100-000002000000}"/>
    <hyperlink ref="A57:A60" location="BULLETIN" display="PRIMES" xr:uid="{00000000-0004-0000-0100-000003000000}"/>
    <hyperlink ref="A3:A54" location="BULLETIN" display="INFORMATION GENERALE" xr:uid="{00000000-0004-0000-0100-000004000000}"/>
    <hyperlink ref="A79:A85" location="CP" display="CP" xr:uid="{00000000-0004-0000-0100-000005000000}"/>
    <hyperlink ref="E84" location="CP" display="Aller sur l'onglet CP" xr:uid="{00000000-0004-0000-0100-000006000000}"/>
    <hyperlink ref="G27" location="HS" display="Si HSUP aller sur l'onglet H SUP" xr:uid="{00000000-0004-0000-0100-000007000000}"/>
    <hyperlink ref="B103:C103" location="AN_TR" display="REPAS / TR " xr:uid="{00000000-0004-0000-0100-000008000000}"/>
    <hyperlink ref="B118:C118" location="ANLOGEMENT" display="LOGEMENT" xr:uid="{00000000-0004-0000-0100-000009000000}"/>
    <hyperlink ref="B124:C124" location="AN_VEH" display="VEHICULE" xr:uid="{00000000-0004-0000-0100-00000A000000}"/>
    <hyperlink ref="A63:A69" location="ABS_NR" display="Absence Entrée Sortie" xr:uid="{00000000-0004-0000-0100-00000B000000}"/>
  </hyperlinks>
  <pageMargins left="0.7" right="0.7" top="0.75" bottom="0.75" header="0.3" footer="0.3"/>
  <pageSetup paperSize="9" orientation="portrait" r:id="rId1"/>
  <ignoredErrors>
    <ignoredError sqref="C20"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Bouton 24">
              <controlPr locked="0" defaultSize="0" print="0" autoFill="0" autoPict="0" macro="[0]!Test_Effacer_Jaunes">
                <anchor moveWithCells="1" sizeWithCells="1">
                  <from>
                    <xdr:col>1</xdr:col>
                    <xdr:colOff>85725</xdr:colOff>
                    <xdr:row>0</xdr:row>
                    <xdr:rowOff>47625</xdr:rowOff>
                  </from>
                  <to>
                    <xdr:col>1</xdr:col>
                    <xdr:colOff>1104900</xdr:colOff>
                    <xdr:row>0</xdr:row>
                    <xdr:rowOff>533400</xdr:rowOff>
                  </to>
                </anchor>
              </controlPr>
            </control>
          </mc:Choice>
        </mc:AlternateContent>
        <mc:AlternateContent xmlns:mc="http://schemas.openxmlformats.org/markup-compatibility/2006">
          <mc:Choice Requires="x14">
            <control shapeId="15387" r:id="rId5" name="Bouton 27">
              <controlPr locked="0" defaultSize="0" print="0" autoFill="0" autoPict="0" macro="[0]!Test_Effacer_Orange">
                <anchor moveWithCells="1" sizeWithCells="1">
                  <from>
                    <xdr:col>1</xdr:col>
                    <xdr:colOff>1390650</xdr:colOff>
                    <xdr:row>0</xdr:row>
                    <xdr:rowOff>47625</xdr:rowOff>
                  </from>
                  <to>
                    <xdr:col>1</xdr:col>
                    <xdr:colOff>2552700</xdr:colOff>
                    <xdr:row>0</xdr:row>
                    <xdr:rowOff>542925</xdr:rowOff>
                  </to>
                </anchor>
              </controlPr>
            </control>
          </mc:Choice>
        </mc:AlternateContent>
        <mc:AlternateContent xmlns:mc="http://schemas.openxmlformats.org/markup-compatibility/2006">
          <mc:Choice Requires="x14">
            <control shapeId="15402" r:id="rId6" name="Button 42">
              <controlPr defaultSize="0" print="0" autoFill="0" autoPict="0" macro="[0]!ZERO_FILLON_PLAFOND">
                <anchor moveWithCells="1" sizeWithCells="1">
                  <from>
                    <xdr:col>2</xdr:col>
                    <xdr:colOff>895350</xdr:colOff>
                    <xdr:row>0</xdr:row>
                    <xdr:rowOff>104775</xdr:rowOff>
                  </from>
                  <to>
                    <xdr:col>2</xdr:col>
                    <xdr:colOff>2562225</xdr:colOff>
                    <xdr:row>0</xdr:row>
                    <xdr:rowOff>561975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100-000000000000}">
          <x14:formula1>
            <xm:f>'Liste déroulante'!$B$13:$B$14</xm:f>
          </x14:formula1>
          <xm:sqref>C14</xm:sqref>
        </x14:dataValidation>
        <x14:dataValidation type="list" allowBlank="1" showInputMessage="1" showErrorMessage="1" xr:uid="{00000000-0002-0000-0100-000001000000}">
          <x14:formula1>
            <xm:f>'Liste déroulante'!$B$16:$B$17</xm:f>
          </x14:formula1>
          <xm:sqref>C52</xm:sqref>
        </x14:dataValidation>
        <x14:dataValidation type="list" allowBlank="1" showInputMessage="1" showErrorMessage="1" xr:uid="{00000000-0002-0000-0100-000002000000}">
          <x14:formula1>
            <xm:f>'Liste déroulante'!$B$19:$B$26</xm:f>
          </x14:formula1>
          <xm:sqref>C63</xm:sqref>
        </x14:dataValidation>
        <x14:dataValidation type="list" allowBlank="1" showInputMessage="1" showErrorMessage="1" xr:uid="{00000000-0002-0000-0100-000003000000}">
          <x14:formula1>
            <xm:f>'Liste déroulante'!$B$28:$B$31</xm:f>
          </x14:formula1>
          <xm:sqref>C64</xm:sqref>
        </x14:dataValidation>
        <x14:dataValidation type="list" allowBlank="1" showInputMessage="1" showErrorMessage="1" xr:uid="{00000000-0002-0000-0100-000004000000}">
          <x14:formula1>
            <xm:f>'Liste déroulante'!$B$51:$B$54</xm:f>
          </x14:formula1>
          <xm:sqref>C141</xm:sqref>
        </x14:dataValidation>
        <x14:dataValidation type="list" allowBlank="1" showInputMessage="1" showErrorMessage="1" xr:uid="{00000000-0002-0000-0100-000005000000}">
          <x14:formula1>
            <xm:f>'Liste déroulante'!$B$45:$B$49</xm:f>
          </x14:formula1>
          <xm:sqref>C134</xm:sqref>
        </x14:dataValidation>
        <x14:dataValidation type="list" allowBlank="1" showInputMessage="1" showErrorMessage="1" xr:uid="{00000000-0002-0000-0100-000006000000}">
          <x14:formula1>
            <xm:f>'Liste déroulante'!$B$56:$B$57</xm:f>
          </x14:formula1>
          <xm:sqref>C168</xm:sqref>
        </x14:dataValidation>
        <x14:dataValidation type="list" allowBlank="1" showInputMessage="1" showErrorMessage="1" xr:uid="{00000000-0002-0000-0100-000007000000}">
          <x14:formula1>
            <xm:f>'Liste déroulante'!$B$21:$B$24</xm:f>
          </x14:formula1>
          <xm:sqref>C72</xm:sqref>
        </x14:dataValidation>
        <x14:dataValidation type="list" allowBlank="1" showInputMessage="1" showErrorMessage="1" xr:uid="{00000000-0002-0000-0100-000008000000}">
          <x14:formula1>
            <xm:f>'Liste déroulante'!$B$60:$B$62</xm:f>
          </x14:formula1>
          <xm:sqref>C157</xm:sqref>
        </x14:dataValidation>
        <x14:dataValidation type="list" allowBlank="1" showInputMessage="1" showErrorMessage="1" xr:uid="{00000000-0002-0000-0100-000009000000}">
          <x14:formula1>
            <xm:f>'Liste déroulante'!$B$2:$B$11</xm:f>
          </x14:formula1>
          <xm:sqref>C13</xm:sqref>
        </x14:dataValidation>
        <x14:dataValidation type="list" allowBlank="1" showInputMessage="1" showErrorMessage="1" xr:uid="{00000000-0002-0000-0100-00000A000000}">
          <x14:formula1>
            <xm:f>'Liste déroulante'!$B$65:$B$70</xm:f>
          </x14:formula1>
          <xm:sqref>C163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5"/>
  <dimension ref="A1:P51"/>
  <sheetViews>
    <sheetView zoomScale="80" zoomScaleNormal="80" workbookViewId="0">
      <selection activeCell="J7" sqref="J7"/>
    </sheetView>
  </sheetViews>
  <sheetFormatPr baseColWidth="10" defaultRowHeight="15" x14ac:dyDescent="0.25"/>
  <cols>
    <col min="2" max="2" width="43.85546875" bestFit="1" customWidth="1"/>
    <col min="3" max="3" width="3.140625" customWidth="1"/>
    <col min="7" max="7" width="5" style="815" bestFit="1" customWidth="1"/>
    <col min="8" max="8" width="3.7109375" customWidth="1"/>
    <col min="9" max="9" width="13.140625" bestFit="1" customWidth="1"/>
    <col min="11" max="11" width="3" customWidth="1"/>
    <col min="12" max="12" width="12.85546875" customWidth="1"/>
    <col min="13" max="13" width="43.85546875" bestFit="1" customWidth="1"/>
    <col min="16" max="16" width="2.28515625" bestFit="1" customWidth="1"/>
  </cols>
  <sheetData>
    <row r="1" spans="1:16" ht="27" thickBot="1" x14ac:dyDescent="0.4">
      <c r="A1" s="831" t="s">
        <v>632</v>
      </c>
      <c r="B1" s="832"/>
      <c r="C1" s="832"/>
      <c r="D1" s="812" t="s">
        <v>660</v>
      </c>
      <c r="E1" s="832"/>
      <c r="F1" s="833">
        <f>COUNT(G2:G50)</f>
        <v>0</v>
      </c>
      <c r="G1" s="813"/>
      <c r="H1" s="756"/>
      <c r="I1" s="885" t="s">
        <v>633</v>
      </c>
      <c r="J1" s="886"/>
      <c r="K1" s="756"/>
      <c r="L1" s="831" t="s">
        <v>634</v>
      </c>
      <c r="M1" s="832"/>
      <c r="N1" s="834" t="s">
        <v>660</v>
      </c>
      <c r="O1" s="833">
        <f>COUNT(P2:P50)</f>
        <v>0</v>
      </c>
    </row>
    <row r="2" spans="1:16" ht="26.25" x14ac:dyDescent="0.25">
      <c r="A2" s="757"/>
      <c r="B2" s="523"/>
      <c r="C2" s="90"/>
      <c r="D2" s="523"/>
      <c r="E2" s="523"/>
      <c r="F2" s="523"/>
      <c r="G2" s="813"/>
      <c r="H2" s="756"/>
      <c r="I2" s="757"/>
      <c r="J2" s="523"/>
      <c r="K2" s="756"/>
      <c r="L2" s="382"/>
      <c r="M2" s="523"/>
      <c r="N2" s="523"/>
      <c r="O2" s="523"/>
    </row>
    <row r="3" spans="1:16" x14ac:dyDescent="0.25">
      <c r="A3" s="887" t="s">
        <v>635</v>
      </c>
      <c r="B3" s="759" t="s">
        <v>8</v>
      </c>
      <c r="C3" s="760" t="s">
        <v>145</v>
      </c>
      <c r="D3" s="761">
        <f>NBRE_H_MOIS</f>
        <v>0</v>
      </c>
      <c r="E3" s="761">
        <f>TX_HOR</f>
        <v>0</v>
      </c>
      <c r="F3" s="762">
        <f>SBASE</f>
        <v>0</v>
      </c>
      <c r="G3" s="814" t="str">
        <f>IF(F3=0,"",1)</f>
        <v/>
      </c>
      <c r="H3" s="756"/>
      <c r="I3" s="763" t="s">
        <v>583</v>
      </c>
      <c r="J3" s="764">
        <f>+TR_A</f>
        <v>0</v>
      </c>
      <c r="K3" s="756"/>
      <c r="L3" s="765" t="s">
        <v>237</v>
      </c>
      <c r="M3" s="766" t="s">
        <v>236</v>
      </c>
      <c r="N3" s="767"/>
      <c r="O3" s="768">
        <f>-SAISIE_SAL</f>
        <v>0</v>
      </c>
      <c r="P3" t="str">
        <f>IF(O3=0,"",1)</f>
        <v/>
      </c>
    </row>
    <row r="4" spans="1:16" x14ac:dyDescent="0.25">
      <c r="A4" s="887"/>
      <c r="B4" s="769" t="s">
        <v>77</v>
      </c>
      <c r="C4" s="770"/>
      <c r="D4" s="771"/>
      <c r="E4" s="771"/>
      <c r="F4" s="772">
        <f>'info bulletin'!C18</f>
        <v>0</v>
      </c>
      <c r="G4" s="814" t="str">
        <f t="shared" ref="G4:G50" si="0">IF(F4=0,"",1)</f>
        <v/>
      </c>
      <c r="H4" s="756"/>
      <c r="I4" s="816" t="s">
        <v>585</v>
      </c>
      <c r="J4" s="817">
        <f>TR_B</f>
        <v>0</v>
      </c>
      <c r="K4" s="756"/>
      <c r="L4" s="888" t="s">
        <v>636</v>
      </c>
      <c r="M4" s="775" t="s">
        <v>152</v>
      </c>
      <c r="N4" s="761">
        <f>J_TR</f>
        <v>0</v>
      </c>
      <c r="O4" s="762">
        <f>TR_SAL</f>
        <v>0</v>
      </c>
      <c r="P4" t="str">
        <f t="shared" ref="P4:P50" si="1">IF(O4=0,"",1)</f>
        <v/>
      </c>
    </row>
    <row r="5" spans="1:16" x14ac:dyDescent="0.25">
      <c r="A5" s="765" t="s">
        <v>637</v>
      </c>
      <c r="B5" s="776" t="str">
        <f>IF('info bulletin'!C64='Liste déroulante'!B29,'Liste déroulante'!B29 &amp; TEXT((F_ABS_NR+1)," jj/mm/aaaa"),IF('info bulletin'!C64='Liste déroulante'!B30,'Liste déroulante'!B30&amp;TEXT((D_ABS_NR-1)," jj/mm/aaaa"),IF('info bulletin'!C64='Liste déroulante'!B28,'info bulletin'!C64 &amp; TEXT(D_ABS_NR," jj/mm/aaaa")&amp;" au "&amp; TEXT(F_ABS_NR,"jj/mm/aaaa"),'Liste déroulante'!B31)))</f>
        <v>Pas d'entrée sortie</v>
      </c>
      <c r="C5" s="777" t="s">
        <v>145</v>
      </c>
      <c r="D5" s="778">
        <f>-H_ABS_NR</f>
        <v>0</v>
      </c>
      <c r="E5" s="778"/>
      <c r="F5" s="779">
        <f>-ABSNR</f>
        <v>0</v>
      </c>
      <c r="G5" s="814" t="str">
        <f t="shared" si="0"/>
        <v/>
      </c>
      <c r="H5" s="756"/>
      <c r="I5" s="773" t="s">
        <v>587</v>
      </c>
      <c r="J5" s="774">
        <f>TR_C</f>
        <v>0</v>
      </c>
      <c r="K5" s="756"/>
      <c r="L5" s="889"/>
      <c r="M5" s="780" t="s">
        <v>638</v>
      </c>
      <c r="N5" s="781"/>
      <c r="O5" s="782">
        <f>-AN_TR</f>
        <v>0</v>
      </c>
      <c r="P5" t="str">
        <f t="shared" si="1"/>
        <v/>
      </c>
    </row>
    <row r="6" spans="1:16" x14ac:dyDescent="0.25">
      <c r="A6" s="765" t="s">
        <v>639</v>
      </c>
      <c r="B6" s="783" t="s">
        <v>395</v>
      </c>
      <c r="C6" s="777" t="s">
        <v>145</v>
      </c>
      <c r="D6" s="778">
        <f>S_RTT</f>
        <v>0</v>
      </c>
      <c r="E6" s="778">
        <f>TX_HOR</f>
        <v>0</v>
      </c>
      <c r="F6" s="779">
        <f>E6*D6</f>
        <v>0</v>
      </c>
      <c r="G6" s="814" t="str">
        <f t="shared" si="0"/>
        <v/>
      </c>
      <c r="H6" s="756"/>
      <c r="I6" s="826" t="s">
        <v>552</v>
      </c>
      <c r="J6" s="825" t="str">
        <f>'REGUL PLAFOND'!L5</f>
        <v/>
      </c>
      <c r="K6" s="756"/>
      <c r="L6" s="889"/>
      <c r="M6" s="780" t="s">
        <v>157</v>
      </c>
      <c r="N6" s="781"/>
      <c r="O6" s="782">
        <f>EF_SAL</f>
        <v>0</v>
      </c>
      <c r="P6" t="str">
        <f t="shared" si="1"/>
        <v/>
      </c>
    </row>
    <row r="7" spans="1:16" x14ac:dyDescent="0.25">
      <c r="A7" s="884" t="s">
        <v>641</v>
      </c>
      <c r="B7" s="818" t="s">
        <v>223</v>
      </c>
      <c r="C7" s="760"/>
      <c r="D7" s="761"/>
      <c r="E7" s="761"/>
      <c r="F7" s="762">
        <f>'info bulletin'!C57</f>
        <v>0</v>
      </c>
      <c r="G7" s="814" t="str">
        <f t="shared" si="0"/>
        <v/>
      </c>
      <c r="H7" s="756"/>
      <c r="I7" s="784" t="s">
        <v>640</v>
      </c>
      <c r="J7" s="779">
        <f>PSS</f>
        <v>3269</v>
      </c>
      <c r="K7" s="756"/>
      <c r="L7" s="889"/>
      <c r="M7" s="780" t="s">
        <v>642</v>
      </c>
      <c r="N7" s="781"/>
      <c r="O7" s="782">
        <f>-AN_EF</f>
        <v>0</v>
      </c>
      <c r="P7" t="str">
        <f t="shared" si="1"/>
        <v/>
      </c>
    </row>
    <row r="8" spans="1:16" x14ac:dyDescent="0.25">
      <c r="A8" s="884"/>
      <c r="B8" s="819" t="s">
        <v>144</v>
      </c>
      <c r="C8" s="785"/>
      <c r="D8" s="786"/>
      <c r="E8" s="786"/>
      <c r="F8" s="782">
        <f>'info bulletin'!C58</f>
        <v>0</v>
      </c>
      <c r="G8" s="814" t="str">
        <f t="shared" si="0"/>
        <v/>
      </c>
      <c r="H8" s="756"/>
      <c r="I8" s="758"/>
      <c r="J8" s="756"/>
      <c r="K8" s="756"/>
      <c r="L8" s="889"/>
      <c r="M8" s="780" t="s">
        <v>643</v>
      </c>
      <c r="N8" s="786">
        <f>'info bulletin'!C162</f>
        <v>0</v>
      </c>
      <c r="O8" s="782">
        <f>'info bulletin'!C165</f>
        <v>0</v>
      </c>
      <c r="P8" t="str">
        <f t="shared" si="1"/>
        <v/>
      </c>
    </row>
    <row r="9" spans="1:16" ht="18.75" x14ac:dyDescent="0.25">
      <c r="A9" s="884"/>
      <c r="B9" s="819" t="s">
        <v>256</v>
      </c>
      <c r="C9" s="785"/>
      <c r="D9" s="786"/>
      <c r="E9" s="786"/>
      <c r="F9" s="782">
        <f>'info bulletin'!C59</f>
        <v>0</v>
      </c>
      <c r="G9" s="814" t="str">
        <f t="shared" si="0"/>
        <v/>
      </c>
      <c r="H9" s="756"/>
      <c r="I9" s="891" t="s">
        <v>644</v>
      </c>
      <c r="J9" s="892"/>
      <c r="K9" s="756"/>
      <c r="L9" s="889"/>
      <c r="M9" s="780" t="s">
        <v>645</v>
      </c>
      <c r="N9" s="781"/>
      <c r="O9" s="782">
        <f>-F19</f>
        <v>0</v>
      </c>
      <c r="P9" t="str">
        <f t="shared" si="1"/>
        <v/>
      </c>
    </row>
    <row r="10" spans="1:16" x14ac:dyDescent="0.25">
      <c r="A10" s="884"/>
      <c r="B10" s="820" t="s">
        <v>227</v>
      </c>
      <c r="C10" s="770"/>
      <c r="D10" s="771"/>
      <c r="E10" s="771"/>
      <c r="F10" s="772">
        <f>'info bulletin'!C60</f>
        <v>0</v>
      </c>
      <c r="G10" s="814" t="str">
        <f t="shared" si="0"/>
        <v/>
      </c>
      <c r="H10" s="756"/>
      <c r="I10" s="763" t="s">
        <v>125</v>
      </c>
      <c r="J10" s="787">
        <f>MOIS_BULLETIN</f>
        <v>0</v>
      </c>
      <c r="K10" s="756"/>
      <c r="L10" s="889"/>
      <c r="M10" s="780" t="s">
        <v>512</v>
      </c>
      <c r="N10" s="781"/>
      <c r="O10" s="782">
        <f>'info bulletin'!C158</f>
        <v>0</v>
      </c>
      <c r="P10" t="str">
        <f t="shared" si="1"/>
        <v/>
      </c>
    </row>
    <row r="11" spans="1:16" x14ac:dyDescent="0.25">
      <c r="A11" s="884" t="s">
        <v>247</v>
      </c>
      <c r="B11" s="788" t="s">
        <v>224</v>
      </c>
      <c r="C11" s="760" t="s">
        <v>145</v>
      </c>
      <c r="D11" s="761">
        <f>'info bulletin'!C24</f>
        <v>0</v>
      </c>
      <c r="E11" s="761">
        <f>TX_10</f>
        <v>0</v>
      </c>
      <c r="F11" s="762">
        <f>E11*D11</f>
        <v>0</v>
      </c>
      <c r="G11" s="814" t="str">
        <f t="shared" si="0"/>
        <v/>
      </c>
      <c r="H11" s="756"/>
      <c r="I11" s="773" t="s">
        <v>646</v>
      </c>
      <c r="J11" s="789">
        <f>'info bulletin'!C12</f>
        <v>0</v>
      </c>
      <c r="K11" s="756"/>
      <c r="L11" s="889"/>
      <c r="M11" s="790" t="s">
        <v>647</v>
      </c>
      <c r="N11" s="781"/>
      <c r="O11" s="782">
        <f>-F20</f>
        <v>0</v>
      </c>
      <c r="P11" t="str">
        <f t="shared" si="1"/>
        <v/>
      </c>
    </row>
    <row r="12" spans="1:16" x14ac:dyDescent="0.25">
      <c r="A12" s="884"/>
      <c r="B12" s="791" t="s">
        <v>79</v>
      </c>
      <c r="C12" s="785" t="s">
        <v>145</v>
      </c>
      <c r="D12" s="786">
        <f>'info bulletin'!C25</f>
        <v>0</v>
      </c>
      <c r="E12" s="786">
        <f>TX_25</f>
        <v>0</v>
      </c>
      <c r="F12" s="782">
        <f>E12*D12</f>
        <v>0</v>
      </c>
      <c r="G12" s="814" t="str">
        <f t="shared" si="0"/>
        <v/>
      </c>
      <c r="H12" s="756"/>
      <c r="I12" s="382"/>
      <c r="J12" s="523"/>
      <c r="K12" s="756"/>
      <c r="L12" s="889"/>
      <c r="M12" s="780" t="s">
        <v>648</v>
      </c>
      <c r="N12" s="781"/>
      <c r="O12" s="782">
        <f>ABO_TR</f>
        <v>0</v>
      </c>
      <c r="P12" t="str">
        <f t="shared" si="1"/>
        <v/>
      </c>
    </row>
    <row r="13" spans="1:16" x14ac:dyDescent="0.25">
      <c r="A13" s="884"/>
      <c r="B13" s="792" t="s">
        <v>80</v>
      </c>
      <c r="C13" s="770" t="s">
        <v>145</v>
      </c>
      <c r="D13" s="771">
        <f>'info bulletin'!C26</f>
        <v>0</v>
      </c>
      <c r="E13" s="771">
        <f>TX_50</f>
        <v>0</v>
      </c>
      <c r="F13" s="772">
        <f>E13*D13</f>
        <v>0</v>
      </c>
      <c r="G13" s="814" t="str">
        <f t="shared" si="0"/>
        <v/>
      </c>
      <c r="H13" s="756"/>
      <c r="I13" s="382"/>
      <c r="J13" s="523"/>
      <c r="K13" s="756"/>
      <c r="L13" s="889"/>
      <c r="M13" s="790" t="s">
        <v>649</v>
      </c>
      <c r="N13" s="781"/>
      <c r="O13" s="782">
        <f>-F21</f>
        <v>0</v>
      </c>
      <c r="P13" t="str">
        <f t="shared" si="1"/>
        <v/>
      </c>
    </row>
    <row r="14" spans="1:16" x14ac:dyDescent="0.25">
      <c r="A14" s="884" t="s">
        <v>636</v>
      </c>
      <c r="B14" s="775" t="s">
        <v>638</v>
      </c>
      <c r="C14" s="760"/>
      <c r="D14" s="761"/>
      <c r="E14" s="761"/>
      <c r="F14" s="762">
        <f>AN_TR</f>
        <v>0</v>
      </c>
      <c r="G14" s="814" t="str">
        <f t="shared" si="0"/>
        <v/>
      </c>
      <c r="H14" s="756"/>
      <c r="I14" s="763" t="s">
        <v>650</v>
      </c>
      <c r="J14" s="762">
        <f>SBRUT</f>
        <v>0</v>
      </c>
      <c r="K14" s="756"/>
      <c r="L14" s="889"/>
      <c r="M14" s="780" t="s">
        <v>174</v>
      </c>
      <c r="N14" s="781"/>
      <c r="O14" s="782">
        <f>-AN_LOG</f>
        <v>0</v>
      </c>
      <c r="P14" t="str">
        <f t="shared" si="1"/>
        <v/>
      </c>
    </row>
    <row r="15" spans="1:16" x14ac:dyDescent="0.25">
      <c r="A15" s="884"/>
      <c r="B15" s="780" t="s">
        <v>642</v>
      </c>
      <c r="C15" s="785"/>
      <c r="D15" s="786"/>
      <c r="E15" s="786"/>
      <c r="F15" s="782">
        <f>AN_EF</f>
        <v>0</v>
      </c>
      <c r="G15" s="814" t="str">
        <f t="shared" si="0"/>
        <v/>
      </c>
      <c r="H15" s="756"/>
      <c r="I15" s="793" t="s">
        <v>651</v>
      </c>
      <c r="J15" s="794">
        <f>totcotsal</f>
        <v>0</v>
      </c>
      <c r="K15" s="756"/>
      <c r="L15" s="889"/>
      <c r="M15" s="780" t="s">
        <v>193</v>
      </c>
      <c r="N15" s="781"/>
      <c r="O15" s="782">
        <f>-F17</f>
        <v>0</v>
      </c>
      <c r="P15" t="str">
        <f t="shared" si="1"/>
        <v/>
      </c>
    </row>
    <row r="16" spans="1:16" x14ac:dyDescent="0.25">
      <c r="A16" s="884"/>
      <c r="B16" s="791" t="s">
        <v>174</v>
      </c>
      <c r="C16" s="785"/>
      <c r="D16" s="786"/>
      <c r="E16" s="786"/>
      <c r="F16" s="782">
        <f>AN_LOG</f>
        <v>0</v>
      </c>
      <c r="G16" s="814" t="str">
        <f t="shared" si="0"/>
        <v/>
      </c>
      <c r="H16" s="756"/>
      <c r="I16" s="793" t="s">
        <v>652</v>
      </c>
      <c r="J16" s="794">
        <f>totcotpat</f>
        <v>0</v>
      </c>
      <c r="K16" s="756"/>
      <c r="L16" s="890"/>
      <c r="M16" s="795" t="s">
        <v>229</v>
      </c>
      <c r="N16" s="796"/>
      <c r="O16" s="772">
        <f>-F18</f>
        <v>0</v>
      </c>
      <c r="P16" t="str">
        <f t="shared" si="1"/>
        <v/>
      </c>
    </row>
    <row r="17" spans="1:16" x14ac:dyDescent="0.25">
      <c r="A17" s="884"/>
      <c r="B17" s="791" t="s">
        <v>193</v>
      </c>
      <c r="C17" s="785"/>
      <c r="D17" s="786"/>
      <c r="E17" s="786"/>
      <c r="F17" s="782">
        <f>AN_VEH_HA+AN_VEH_LOA</f>
        <v>0</v>
      </c>
      <c r="G17" s="814" t="str">
        <f t="shared" si="0"/>
        <v/>
      </c>
      <c r="H17" s="756"/>
      <c r="I17" s="793" t="s">
        <v>653</v>
      </c>
      <c r="J17" s="794">
        <f>NAP</f>
        <v>0</v>
      </c>
      <c r="K17" s="756"/>
      <c r="L17" s="765" t="s">
        <v>654</v>
      </c>
      <c r="M17" s="766" t="s">
        <v>238</v>
      </c>
      <c r="N17" s="767"/>
      <c r="O17" s="768">
        <f>IF('info bulletin'!C52="OUI",-SNAR*10/100,0)</f>
        <v>0</v>
      </c>
      <c r="P17" t="str">
        <f t="shared" si="1"/>
        <v/>
      </c>
    </row>
    <row r="18" spans="1:16" x14ac:dyDescent="0.25">
      <c r="A18" s="884"/>
      <c r="B18" s="791" t="s">
        <v>229</v>
      </c>
      <c r="C18" s="785"/>
      <c r="D18" s="786"/>
      <c r="E18" s="786"/>
      <c r="F18" s="782">
        <f>AN_TECH</f>
        <v>0</v>
      </c>
      <c r="G18" s="814" t="str">
        <f t="shared" si="0"/>
        <v/>
      </c>
      <c r="H18" s="756"/>
      <c r="I18" s="797" t="s">
        <v>655</v>
      </c>
      <c r="J18" s="798">
        <f>NetImposable</f>
        <v>0</v>
      </c>
      <c r="K18" s="756"/>
      <c r="L18" s="765" t="s">
        <v>656</v>
      </c>
      <c r="M18" s="766" t="s">
        <v>183</v>
      </c>
      <c r="N18" s="767"/>
      <c r="O18" s="768">
        <f>-ACOMPTE</f>
        <v>0</v>
      </c>
      <c r="P18" t="str">
        <f t="shared" si="1"/>
        <v/>
      </c>
    </row>
    <row r="19" spans="1:16" x14ac:dyDescent="0.25">
      <c r="A19" s="884"/>
      <c r="B19" s="790" t="s">
        <v>657</v>
      </c>
      <c r="C19" s="785"/>
      <c r="D19" s="786"/>
      <c r="E19" s="786"/>
      <c r="F19" s="782">
        <f>'info bulletin'!C166</f>
        <v>0</v>
      </c>
      <c r="G19" s="814" t="str">
        <f t="shared" si="0"/>
        <v/>
      </c>
      <c r="H19" s="756"/>
      <c r="I19" s="382"/>
      <c r="J19" s="523"/>
      <c r="K19" s="756"/>
      <c r="L19" s="799"/>
      <c r="M19" s="800"/>
      <c r="N19" s="801"/>
      <c r="O19" s="802"/>
      <c r="P19" t="str">
        <f t="shared" si="1"/>
        <v/>
      </c>
    </row>
    <row r="20" spans="1:16" x14ac:dyDescent="0.25">
      <c r="A20" s="884"/>
      <c r="B20" s="790" t="s">
        <v>647</v>
      </c>
      <c r="C20" s="785"/>
      <c r="D20" s="786"/>
      <c r="E20" s="786"/>
      <c r="F20" s="782">
        <f>'info bulletin'!C159</f>
        <v>0</v>
      </c>
      <c r="G20" s="814" t="str">
        <f t="shared" si="0"/>
        <v/>
      </c>
      <c r="H20" s="756"/>
      <c r="I20" s="382"/>
      <c r="J20" s="523"/>
      <c r="K20" s="756"/>
      <c r="L20" s="803"/>
      <c r="M20" s="804"/>
      <c r="N20" s="781"/>
      <c r="O20" s="805"/>
      <c r="P20" t="str">
        <f t="shared" si="1"/>
        <v/>
      </c>
    </row>
    <row r="21" spans="1:16" ht="16.5" customHeight="1" x14ac:dyDescent="0.25">
      <c r="A21" s="884"/>
      <c r="B21" s="806" t="s">
        <v>649</v>
      </c>
      <c r="C21" s="770"/>
      <c r="D21" s="771"/>
      <c r="E21" s="771"/>
      <c r="F21" s="772">
        <f>AN!B59</f>
        <v>0</v>
      </c>
      <c r="G21" s="814" t="str">
        <f t="shared" si="0"/>
        <v/>
      </c>
      <c r="H21" s="756"/>
      <c r="I21" s="382"/>
      <c r="J21" s="523"/>
      <c r="K21" s="756"/>
      <c r="L21" s="803"/>
      <c r="M21" s="807"/>
      <c r="N21" s="781"/>
      <c r="O21" s="805"/>
      <c r="P21" t="str">
        <f t="shared" si="1"/>
        <v/>
      </c>
    </row>
    <row r="22" spans="1:16" x14ac:dyDescent="0.25">
      <c r="A22" s="884" t="s">
        <v>219</v>
      </c>
      <c r="B22" s="808" t="s">
        <v>658</v>
      </c>
      <c r="C22" s="760" t="s">
        <v>146</v>
      </c>
      <c r="D22" s="761"/>
      <c r="E22" s="761"/>
      <c r="F22" s="762">
        <f>ABS_CP</f>
        <v>0</v>
      </c>
      <c r="G22" s="814" t="str">
        <f t="shared" si="0"/>
        <v/>
      </c>
      <c r="H22" s="756"/>
      <c r="I22" s="382"/>
      <c r="J22" s="523"/>
      <c r="K22" s="756"/>
      <c r="L22" s="803"/>
      <c r="M22" s="804"/>
      <c r="N22" s="781"/>
      <c r="O22" s="805"/>
      <c r="P22" t="str">
        <f t="shared" si="1"/>
        <v/>
      </c>
    </row>
    <row r="23" spans="1:16" x14ac:dyDescent="0.25">
      <c r="A23" s="884"/>
      <c r="B23" s="791" t="s">
        <v>82</v>
      </c>
      <c r="C23" s="785" t="s">
        <v>146</v>
      </c>
      <c r="D23" s="786"/>
      <c r="E23" s="786"/>
      <c r="F23" s="782">
        <f>ICCP</f>
        <v>0</v>
      </c>
      <c r="G23" s="814" t="str">
        <f t="shared" si="0"/>
        <v/>
      </c>
      <c r="H23" s="756"/>
      <c r="I23" s="382"/>
      <c r="J23" s="523"/>
      <c r="K23" s="756"/>
      <c r="L23" s="803"/>
      <c r="M23" s="804"/>
      <c r="N23" s="781"/>
      <c r="O23" s="805"/>
      <c r="P23" t="str">
        <f t="shared" si="1"/>
        <v/>
      </c>
    </row>
    <row r="24" spans="1:16" x14ac:dyDescent="0.25">
      <c r="A24" s="884"/>
      <c r="B24" s="791" t="s">
        <v>189</v>
      </c>
      <c r="C24" s="785" t="s">
        <v>146</v>
      </c>
      <c r="D24" s="786">
        <f>'info bulletin'!C86</f>
        <v>0</v>
      </c>
      <c r="E24" s="786"/>
      <c r="F24" s="782">
        <f>SoldeICCPN1</f>
        <v>0</v>
      </c>
      <c r="G24" s="814" t="str">
        <f t="shared" si="0"/>
        <v/>
      </c>
      <c r="H24" s="756"/>
      <c r="I24" s="382"/>
      <c r="J24" s="523"/>
      <c r="K24" s="756"/>
      <c r="L24" s="803"/>
      <c r="M24" s="804"/>
      <c r="N24" s="781"/>
      <c r="O24" s="805"/>
      <c r="P24" t="str">
        <f t="shared" si="1"/>
        <v/>
      </c>
    </row>
    <row r="25" spans="1:16" x14ac:dyDescent="0.25">
      <c r="A25" s="884"/>
      <c r="B25" s="791" t="s">
        <v>190</v>
      </c>
      <c r="C25" s="785" t="s">
        <v>146</v>
      </c>
      <c r="D25" s="786">
        <f>'info bulletin'!C92</f>
        <v>0</v>
      </c>
      <c r="E25" s="786"/>
      <c r="F25" s="782">
        <f>MAX(SoldeICCPNR10,SoldeICCPMaintien)</f>
        <v>0</v>
      </c>
      <c r="G25" s="814" t="str">
        <f t="shared" si="0"/>
        <v/>
      </c>
      <c r="H25" s="756"/>
      <c r="I25" s="382"/>
      <c r="J25" s="523"/>
      <c r="K25" s="756"/>
      <c r="L25" s="803"/>
      <c r="M25" s="804"/>
      <c r="N25" s="781"/>
      <c r="O25" s="805"/>
      <c r="P25" t="str">
        <f t="shared" si="1"/>
        <v/>
      </c>
    </row>
    <row r="26" spans="1:16" x14ac:dyDescent="0.25">
      <c r="A26" s="884"/>
      <c r="B26" s="809" t="s">
        <v>439</v>
      </c>
      <c r="C26" s="770" t="s">
        <v>146</v>
      </c>
      <c r="D26" s="771"/>
      <c r="E26" s="771"/>
      <c r="F26" s="772">
        <f>ICCPFRACT</f>
        <v>0</v>
      </c>
      <c r="G26" s="814" t="str">
        <f t="shared" si="0"/>
        <v/>
      </c>
      <c r="H26" s="756"/>
      <c r="I26" s="382"/>
      <c r="J26" s="523"/>
      <c r="K26" s="756"/>
      <c r="L26" s="803"/>
      <c r="M26" s="804"/>
      <c r="N26" s="781"/>
      <c r="O26" s="805"/>
      <c r="P26" t="str">
        <f t="shared" si="1"/>
        <v/>
      </c>
    </row>
    <row r="27" spans="1:16" x14ac:dyDescent="0.25">
      <c r="A27" s="799"/>
      <c r="B27" s="800"/>
      <c r="C27" s="760"/>
      <c r="D27" s="801"/>
      <c r="E27" s="801"/>
      <c r="F27" s="802"/>
      <c r="G27" s="814" t="str">
        <f t="shared" si="0"/>
        <v/>
      </c>
      <c r="H27" s="756"/>
      <c r="I27" s="382"/>
      <c r="J27" s="523"/>
      <c r="K27" s="756"/>
      <c r="L27" s="803"/>
      <c r="M27" s="804"/>
      <c r="N27" s="781"/>
      <c r="O27" s="805"/>
      <c r="P27" t="str">
        <f t="shared" si="1"/>
        <v/>
      </c>
    </row>
    <row r="28" spans="1:16" x14ac:dyDescent="0.25">
      <c r="A28" s="803"/>
      <c r="B28" s="804"/>
      <c r="C28" s="785"/>
      <c r="D28" s="781"/>
      <c r="E28" s="781"/>
      <c r="F28" s="805"/>
      <c r="G28" s="814" t="str">
        <f t="shared" si="0"/>
        <v/>
      </c>
      <c r="H28" s="756"/>
      <c r="I28" s="382"/>
      <c r="J28" s="523"/>
      <c r="K28" s="756"/>
      <c r="L28" s="803"/>
      <c r="M28" s="804"/>
      <c r="N28" s="781"/>
      <c r="O28" s="805"/>
      <c r="P28" t="str">
        <f t="shared" si="1"/>
        <v/>
      </c>
    </row>
    <row r="29" spans="1:16" x14ac:dyDescent="0.25">
      <c r="A29" s="803"/>
      <c r="B29" s="804"/>
      <c r="C29" s="785"/>
      <c r="D29" s="781"/>
      <c r="E29" s="781"/>
      <c r="F29" s="805"/>
      <c r="G29" s="814" t="str">
        <f t="shared" si="0"/>
        <v/>
      </c>
      <c r="H29" s="756"/>
      <c r="I29" s="382"/>
      <c r="J29" s="523"/>
      <c r="K29" s="756"/>
      <c r="L29" s="803"/>
      <c r="M29" s="804"/>
      <c r="N29" s="781"/>
      <c r="O29" s="805"/>
      <c r="P29" t="str">
        <f t="shared" si="1"/>
        <v/>
      </c>
    </row>
    <row r="30" spans="1:16" x14ac:dyDescent="0.25">
      <c r="A30" s="803"/>
      <c r="B30" s="804"/>
      <c r="C30" s="785"/>
      <c r="D30" s="781"/>
      <c r="E30" s="781"/>
      <c r="F30" s="805"/>
      <c r="G30" s="814" t="str">
        <f t="shared" si="0"/>
        <v/>
      </c>
      <c r="H30" s="756"/>
      <c r="I30" s="382"/>
      <c r="J30" s="523"/>
      <c r="K30" s="756"/>
      <c r="L30" s="803"/>
      <c r="M30" s="804"/>
      <c r="N30" s="781"/>
      <c r="O30" s="805"/>
      <c r="P30" t="str">
        <f t="shared" si="1"/>
        <v/>
      </c>
    </row>
    <row r="31" spans="1:16" x14ac:dyDescent="0.25">
      <c r="A31" s="803"/>
      <c r="B31" s="804"/>
      <c r="C31" s="785"/>
      <c r="D31" s="781"/>
      <c r="E31" s="781"/>
      <c r="F31" s="805"/>
      <c r="G31" s="814" t="str">
        <f t="shared" si="0"/>
        <v/>
      </c>
      <c r="H31" s="756"/>
      <c r="I31" s="382"/>
      <c r="J31" s="523"/>
      <c r="K31" s="756"/>
      <c r="L31" s="803"/>
      <c r="M31" s="804"/>
      <c r="N31" s="781"/>
      <c r="O31" s="805"/>
      <c r="P31" t="str">
        <f t="shared" si="1"/>
        <v/>
      </c>
    </row>
    <row r="32" spans="1:16" x14ac:dyDescent="0.25">
      <c r="A32" s="803"/>
      <c r="B32" s="804"/>
      <c r="C32" s="785"/>
      <c r="D32" s="781"/>
      <c r="E32" s="781"/>
      <c r="F32" s="805"/>
      <c r="G32" s="814" t="str">
        <f t="shared" si="0"/>
        <v/>
      </c>
      <c r="H32" s="756"/>
      <c r="I32" s="382"/>
      <c r="J32" s="523"/>
      <c r="K32" s="756"/>
      <c r="L32" s="803"/>
      <c r="M32" s="804"/>
      <c r="N32" s="781"/>
      <c r="O32" s="805"/>
      <c r="P32" t="str">
        <f t="shared" si="1"/>
        <v/>
      </c>
    </row>
    <row r="33" spans="1:16" x14ac:dyDescent="0.25">
      <c r="A33" s="803"/>
      <c r="B33" s="804"/>
      <c r="C33" s="785"/>
      <c r="D33" s="781"/>
      <c r="E33" s="781"/>
      <c r="F33" s="805"/>
      <c r="G33" s="814" t="str">
        <f t="shared" si="0"/>
        <v/>
      </c>
      <c r="H33" s="756"/>
      <c r="I33" s="382"/>
      <c r="J33" s="523"/>
      <c r="K33" s="756"/>
      <c r="L33" s="803"/>
      <c r="M33" s="804"/>
      <c r="N33" s="781"/>
      <c r="O33" s="805"/>
      <c r="P33" t="str">
        <f t="shared" si="1"/>
        <v/>
      </c>
    </row>
    <row r="34" spans="1:16" x14ac:dyDescent="0.25">
      <c r="A34" s="803"/>
      <c r="B34" s="804"/>
      <c r="C34" s="785"/>
      <c r="D34" s="781"/>
      <c r="E34" s="781"/>
      <c r="F34" s="805"/>
      <c r="G34" s="814" t="str">
        <f t="shared" si="0"/>
        <v/>
      </c>
      <c r="H34" s="756"/>
      <c r="I34" s="382"/>
      <c r="J34" s="523"/>
      <c r="K34" s="756"/>
      <c r="L34" s="803"/>
      <c r="M34" s="804"/>
      <c r="N34" s="781"/>
      <c r="O34" s="805"/>
      <c r="P34" t="str">
        <f t="shared" si="1"/>
        <v/>
      </c>
    </row>
    <row r="35" spans="1:16" x14ac:dyDescent="0.25">
      <c r="A35" s="803"/>
      <c r="B35" s="804"/>
      <c r="C35" s="785"/>
      <c r="D35" s="781"/>
      <c r="E35" s="781"/>
      <c r="F35" s="805"/>
      <c r="G35" s="814" t="str">
        <f t="shared" si="0"/>
        <v/>
      </c>
      <c r="H35" s="756"/>
      <c r="I35" s="382"/>
      <c r="J35" s="523"/>
      <c r="K35" s="756"/>
      <c r="L35" s="803"/>
      <c r="M35" s="804"/>
      <c r="N35" s="781"/>
      <c r="O35" s="805"/>
      <c r="P35" t="str">
        <f t="shared" si="1"/>
        <v/>
      </c>
    </row>
    <row r="36" spans="1:16" x14ac:dyDescent="0.25">
      <c r="A36" s="803"/>
      <c r="B36" s="804"/>
      <c r="C36" s="785"/>
      <c r="D36" s="781"/>
      <c r="E36" s="781"/>
      <c r="F36" s="805"/>
      <c r="G36" s="814" t="str">
        <f t="shared" si="0"/>
        <v/>
      </c>
      <c r="H36" s="756"/>
      <c r="I36" s="382"/>
      <c r="J36" s="523"/>
      <c r="K36" s="756"/>
      <c r="L36" s="803"/>
      <c r="M36" s="804"/>
      <c r="N36" s="781"/>
      <c r="O36" s="805"/>
      <c r="P36" t="str">
        <f t="shared" si="1"/>
        <v/>
      </c>
    </row>
    <row r="37" spans="1:16" x14ac:dyDescent="0.25">
      <c r="A37" s="803"/>
      <c r="B37" s="804"/>
      <c r="C37" s="785"/>
      <c r="D37" s="781"/>
      <c r="E37" s="781"/>
      <c r="F37" s="805"/>
      <c r="G37" s="814" t="str">
        <f t="shared" si="0"/>
        <v/>
      </c>
      <c r="H37" s="756"/>
      <c r="I37" s="382"/>
      <c r="J37" s="523"/>
      <c r="K37" s="756"/>
      <c r="L37" s="803"/>
      <c r="M37" s="804"/>
      <c r="N37" s="781"/>
      <c r="O37" s="805"/>
      <c r="P37" t="str">
        <f t="shared" si="1"/>
        <v/>
      </c>
    </row>
    <row r="38" spans="1:16" x14ac:dyDescent="0.25">
      <c r="A38" s="803"/>
      <c r="B38" s="804"/>
      <c r="C38" s="785"/>
      <c r="D38" s="781"/>
      <c r="E38" s="781"/>
      <c r="F38" s="805"/>
      <c r="G38" s="814" t="str">
        <f t="shared" si="0"/>
        <v/>
      </c>
      <c r="H38" s="756"/>
      <c r="I38" s="382"/>
      <c r="J38" s="523"/>
      <c r="K38" s="756"/>
      <c r="L38" s="803"/>
      <c r="M38" s="804"/>
      <c r="N38" s="781"/>
      <c r="O38" s="805"/>
      <c r="P38" t="str">
        <f t="shared" si="1"/>
        <v/>
      </c>
    </row>
    <row r="39" spans="1:16" x14ac:dyDescent="0.25">
      <c r="A39" s="803"/>
      <c r="B39" s="804"/>
      <c r="C39" s="785"/>
      <c r="D39" s="781"/>
      <c r="E39" s="781"/>
      <c r="F39" s="805"/>
      <c r="G39" s="814" t="str">
        <f t="shared" si="0"/>
        <v/>
      </c>
      <c r="H39" s="756"/>
      <c r="I39" s="382"/>
      <c r="J39" s="523"/>
      <c r="K39" s="756"/>
      <c r="L39" s="803"/>
      <c r="M39" s="804"/>
      <c r="N39" s="781"/>
      <c r="O39" s="805"/>
      <c r="P39" t="str">
        <f t="shared" si="1"/>
        <v/>
      </c>
    </row>
    <row r="40" spans="1:16" x14ac:dyDescent="0.25">
      <c r="A40" s="803"/>
      <c r="B40" s="804"/>
      <c r="C40" s="785"/>
      <c r="D40" s="781"/>
      <c r="E40" s="781"/>
      <c r="F40" s="805"/>
      <c r="G40" s="814" t="str">
        <f t="shared" si="0"/>
        <v/>
      </c>
      <c r="H40" s="756"/>
      <c r="I40" s="382"/>
      <c r="J40" s="523"/>
      <c r="K40" s="756"/>
      <c r="L40" s="803"/>
      <c r="M40" s="804"/>
      <c r="N40" s="781"/>
      <c r="O40" s="805"/>
      <c r="P40" t="str">
        <f t="shared" si="1"/>
        <v/>
      </c>
    </row>
    <row r="41" spans="1:16" x14ac:dyDescent="0.25">
      <c r="A41" s="803"/>
      <c r="B41" s="804"/>
      <c r="C41" s="785"/>
      <c r="D41" s="781"/>
      <c r="E41" s="781"/>
      <c r="F41" s="805"/>
      <c r="G41" s="814" t="str">
        <f t="shared" si="0"/>
        <v/>
      </c>
      <c r="H41" s="756"/>
      <c r="I41" s="382"/>
      <c r="J41" s="523"/>
      <c r="K41" s="756"/>
      <c r="L41" s="803"/>
      <c r="M41" s="804"/>
      <c r="N41" s="781"/>
      <c r="O41" s="805"/>
      <c r="P41" t="str">
        <f t="shared" si="1"/>
        <v/>
      </c>
    </row>
    <row r="42" spans="1:16" x14ac:dyDescent="0.25">
      <c r="A42" s="803"/>
      <c r="B42" s="804"/>
      <c r="C42" s="785"/>
      <c r="D42" s="781"/>
      <c r="E42" s="781"/>
      <c r="F42" s="805"/>
      <c r="G42" s="814" t="str">
        <f t="shared" si="0"/>
        <v/>
      </c>
      <c r="H42" s="756"/>
      <c r="I42" s="382"/>
      <c r="J42" s="523"/>
      <c r="K42" s="756"/>
      <c r="L42" s="803"/>
      <c r="M42" s="804"/>
      <c r="N42" s="781"/>
      <c r="O42" s="805"/>
      <c r="P42" t="str">
        <f t="shared" si="1"/>
        <v/>
      </c>
    </row>
    <row r="43" spans="1:16" x14ac:dyDescent="0.25">
      <c r="A43" s="803"/>
      <c r="B43" s="804"/>
      <c r="C43" s="785"/>
      <c r="D43" s="781"/>
      <c r="E43" s="781"/>
      <c r="F43" s="805"/>
      <c r="G43" s="814" t="str">
        <f t="shared" si="0"/>
        <v/>
      </c>
      <c r="H43" s="756"/>
      <c r="I43" s="382"/>
      <c r="J43" s="523"/>
      <c r="K43" s="756"/>
      <c r="L43" s="803"/>
      <c r="M43" s="804"/>
      <c r="N43" s="781"/>
      <c r="O43" s="805"/>
      <c r="P43" t="str">
        <f t="shared" si="1"/>
        <v/>
      </c>
    </row>
    <row r="44" spans="1:16" x14ac:dyDescent="0.25">
      <c r="A44" s="803"/>
      <c r="B44" s="804"/>
      <c r="C44" s="785"/>
      <c r="D44" s="781"/>
      <c r="E44" s="781"/>
      <c r="F44" s="805"/>
      <c r="G44" s="814" t="str">
        <f t="shared" si="0"/>
        <v/>
      </c>
      <c r="H44" s="756"/>
      <c r="I44" s="382"/>
      <c r="J44" s="523"/>
      <c r="K44" s="756"/>
      <c r="L44" s="803"/>
      <c r="M44" s="804"/>
      <c r="N44" s="781"/>
      <c r="O44" s="805"/>
      <c r="P44" t="str">
        <f t="shared" si="1"/>
        <v/>
      </c>
    </row>
    <row r="45" spans="1:16" x14ac:dyDescent="0.25">
      <c r="A45" s="803"/>
      <c r="B45" s="804"/>
      <c r="C45" s="785"/>
      <c r="D45" s="781"/>
      <c r="E45" s="781"/>
      <c r="F45" s="805"/>
      <c r="G45" s="814" t="str">
        <f t="shared" si="0"/>
        <v/>
      </c>
      <c r="H45" s="756"/>
      <c r="I45" s="382"/>
      <c r="J45" s="523"/>
      <c r="K45" s="756"/>
      <c r="L45" s="803"/>
      <c r="M45" s="804"/>
      <c r="N45" s="781"/>
      <c r="O45" s="805"/>
      <c r="P45" t="str">
        <f t="shared" si="1"/>
        <v/>
      </c>
    </row>
    <row r="46" spans="1:16" x14ac:dyDescent="0.25">
      <c r="A46" s="803"/>
      <c r="B46" s="804"/>
      <c r="C46" s="785"/>
      <c r="D46" s="781"/>
      <c r="E46" s="781"/>
      <c r="F46" s="805"/>
      <c r="G46" s="814" t="str">
        <f t="shared" si="0"/>
        <v/>
      </c>
      <c r="H46" s="756"/>
      <c r="I46" s="382"/>
      <c r="J46" s="523"/>
      <c r="K46" s="756"/>
      <c r="L46" s="803"/>
      <c r="M46" s="804"/>
      <c r="N46" s="781"/>
      <c r="O46" s="805"/>
      <c r="P46" t="str">
        <f t="shared" si="1"/>
        <v/>
      </c>
    </row>
    <row r="47" spans="1:16" x14ac:dyDescent="0.25">
      <c r="A47" s="803"/>
      <c r="B47" s="804"/>
      <c r="C47" s="785"/>
      <c r="D47" s="781"/>
      <c r="E47" s="781"/>
      <c r="F47" s="805"/>
      <c r="G47" s="814" t="str">
        <f t="shared" si="0"/>
        <v/>
      </c>
      <c r="H47" s="756"/>
      <c r="I47" s="382"/>
      <c r="J47" s="523"/>
      <c r="K47" s="756"/>
      <c r="L47" s="803"/>
      <c r="M47" s="804"/>
      <c r="N47" s="781"/>
      <c r="O47" s="805"/>
      <c r="P47" t="str">
        <f t="shared" si="1"/>
        <v/>
      </c>
    </row>
    <row r="48" spans="1:16" x14ac:dyDescent="0.25">
      <c r="A48" s="803"/>
      <c r="B48" s="804"/>
      <c r="C48" s="785"/>
      <c r="D48" s="781"/>
      <c r="E48" s="781"/>
      <c r="F48" s="805"/>
      <c r="G48" s="814" t="str">
        <f t="shared" si="0"/>
        <v/>
      </c>
      <c r="H48" s="756"/>
      <c r="I48" s="382"/>
      <c r="J48" s="523"/>
      <c r="K48" s="756"/>
      <c r="L48" s="803"/>
      <c r="M48" s="804"/>
      <c r="N48" s="781"/>
      <c r="O48" s="805"/>
      <c r="P48" t="str">
        <f t="shared" si="1"/>
        <v/>
      </c>
    </row>
    <row r="49" spans="1:16" x14ac:dyDescent="0.25">
      <c r="A49" s="803"/>
      <c r="B49" s="804"/>
      <c r="C49" s="785"/>
      <c r="D49" s="781"/>
      <c r="E49" s="781"/>
      <c r="F49" s="805"/>
      <c r="G49" s="814" t="str">
        <f t="shared" si="0"/>
        <v/>
      </c>
      <c r="H49" s="756"/>
      <c r="I49" s="382"/>
      <c r="J49" s="523"/>
      <c r="K49" s="756"/>
      <c r="L49" s="803"/>
      <c r="M49" s="804"/>
      <c r="N49" s="781"/>
      <c r="O49" s="805"/>
      <c r="P49" t="str">
        <f t="shared" si="1"/>
        <v/>
      </c>
    </row>
    <row r="50" spans="1:16" x14ac:dyDescent="0.25">
      <c r="A50" s="810"/>
      <c r="B50" s="811"/>
      <c r="C50" s="770"/>
      <c r="D50" s="796"/>
      <c r="E50" s="796"/>
      <c r="F50" s="789"/>
      <c r="G50" s="814" t="str">
        <f t="shared" si="0"/>
        <v/>
      </c>
      <c r="H50" s="756"/>
      <c r="I50" s="382"/>
      <c r="J50" s="523"/>
      <c r="K50" s="756"/>
      <c r="L50" s="810"/>
      <c r="M50" s="811"/>
      <c r="N50" s="796"/>
      <c r="O50" s="789"/>
      <c r="P50" t="str">
        <f t="shared" si="1"/>
        <v/>
      </c>
    </row>
    <row r="51" spans="1:16" ht="21" x14ac:dyDescent="0.35">
      <c r="B51" s="830"/>
      <c r="C51" s="830"/>
      <c r="M51" s="830"/>
      <c r="N51" s="830"/>
    </row>
  </sheetData>
  <mergeCells count="8">
    <mergeCell ref="A22:A26"/>
    <mergeCell ref="I1:J1"/>
    <mergeCell ref="A3:A4"/>
    <mergeCell ref="L4:L16"/>
    <mergeCell ref="A7:A10"/>
    <mergeCell ref="I9:J9"/>
    <mergeCell ref="A11:A13"/>
    <mergeCell ref="A14:A21"/>
  </mergeCells>
  <conditionalFormatting sqref="M3:O50">
    <cfRule type="expression" dxfId="9" priority="1">
      <formula>$P3=1</formula>
    </cfRule>
  </conditionalFormatting>
  <conditionalFormatting sqref="B3:G50">
    <cfRule type="expression" dxfId="8" priority="2">
      <formula>$G3=1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pageSetUpPr fitToPage="1"/>
  </sheetPr>
  <dimension ref="A1:N113"/>
  <sheetViews>
    <sheetView zoomScaleNormal="100" workbookViewId="0">
      <pane ySplit="14" topLeftCell="A15" activePane="bottomLeft" state="frozen"/>
      <selection pane="bottomLeft" activeCell="B13" sqref="B13"/>
    </sheetView>
  </sheetViews>
  <sheetFormatPr baseColWidth="10" defaultColWidth="11.42578125" defaultRowHeight="15" x14ac:dyDescent="0.25"/>
  <cols>
    <col min="1" max="1" width="18.28515625" style="110" customWidth="1"/>
    <col min="2" max="2" width="36" style="110" customWidth="1"/>
    <col min="3" max="3" width="5.7109375" style="110" customWidth="1"/>
    <col min="4" max="4" width="11.42578125" style="110"/>
    <col min="5" max="5" width="15.7109375" style="110" customWidth="1"/>
    <col min="6" max="6" width="19.7109375" style="110" bestFit="1" customWidth="1"/>
    <col min="7" max="7" width="4.42578125" style="110" customWidth="1"/>
    <col min="8" max="8" width="14.5703125" style="110" customWidth="1"/>
    <col min="9" max="9" width="20.85546875" style="110" bestFit="1" customWidth="1"/>
    <col min="10" max="10" width="22" style="110" customWidth="1"/>
    <col min="11" max="11" width="13" style="110" bestFit="1" customWidth="1"/>
    <col min="12" max="12" width="18.7109375" style="110" bestFit="1" customWidth="1"/>
    <col min="13" max="16384" width="11.42578125" style="110"/>
  </cols>
  <sheetData>
    <row r="1" spans="1:14" ht="10.5" customHeight="1" x14ac:dyDescent="0.25">
      <c r="A1" s="895" t="s">
        <v>0</v>
      </c>
      <c r="B1" s="895"/>
      <c r="C1" s="106"/>
      <c r="D1" s="107" t="s">
        <v>37</v>
      </c>
      <c r="E1" s="108"/>
      <c r="F1" s="108"/>
      <c r="G1" s="108"/>
      <c r="H1" s="108"/>
      <c r="I1" s="109"/>
      <c r="J1" s="17"/>
      <c r="K1" s="17"/>
      <c r="L1" s="17"/>
      <c r="M1" s="17"/>
    </row>
    <row r="2" spans="1:14" ht="10.5" customHeight="1" x14ac:dyDescent="0.25">
      <c r="A2" s="895"/>
      <c r="B2" s="895"/>
      <c r="C2" s="106"/>
      <c r="D2" s="111"/>
      <c r="E2" s="112" t="s">
        <v>38</v>
      </c>
      <c r="F2" s="113" t="str">
        <f>IF('info bulletin'!C5="","",'info bulletin'!C5)</f>
        <v/>
      </c>
      <c r="G2" s="113"/>
      <c r="H2" s="113"/>
      <c r="I2" s="114"/>
      <c r="J2" s="17" t="s">
        <v>106</v>
      </c>
      <c r="K2" s="225">
        <f>SBRUT</f>
        <v>0</v>
      </c>
      <c r="L2" s="17"/>
      <c r="M2" s="17"/>
    </row>
    <row r="3" spans="1:14" s="116" customFormat="1" ht="10.5" customHeight="1" x14ac:dyDescent="0.25">
      <c r="A3" s="115"/>
      <c r="B3" s="115"/>
      <c r="C3" s="115"/>
      <c r="D3" s="111"/>
      <c r="E3" s="113" t="s">
        <v>39</v>
      </c>
      <c r="F3" s="113" t="str">
        <f>IF('info bulletin'!C6="","",'info bulletin'!C6)</f>
        <v/>
      </c>
      <c r="G3" s="113"/>
      <c r="H3" s="113"/>
      <c r="I3" s="114"/>
      <c r="J3" s="17" t="s">
        <v>26</v>
      </c>
      <c r="K3" s="225">
        <f>totcotsal</f>
        <v>0</v>
      </c>
      <c r="L3" s="17"/>
      <c r="M3" s="17"/>
      <c r="N3" s="110"/>
    </row>
    <row r="4" spans="1:14" s="116" customFormat="1" ht="10.5" customHeight="1" x14ac:dyDescent="0.25">
      <c r="A4" s="117" t="s">
        <v>47</v>
      </c>
      <c r="B4" s="272" t="str">
        <f>IF('info bulletin'!C3="","",'info bulletin'!C3)</f>
        <v/>
      </c>
      <c r="C4" s="115"/>
      <c r="D4" s="111"/>
      <c r="E4" s="113" t="s">
        <v>40</v>
      </c>
      <c r="F4" s="113" t="str">
        <f>IF('info bulletin'!C7="","",'info bulletin'!C7)</f>
        <v/>
      </c>
      <c r="G4" s="113"/>
      <c r="H4" s="113"/>
      <c r="I4" s="114"/>
      <c r="J4" s="17" t="s">
        <v>28</v>
      </c>
      <c r="K4" s="378">
        <f>totcotpat</f>
        <v>0</v>
      </c>
      <c r="L4" s="17"/>
      <c r="M4" s="17"/>
      <c r="N4" s="110"/>
    </row>
    <row r="5" spans="1:14" s="116" customFormat="1" ht="10.5" customHeight="1" x14ac:dyDescent="0.25">
      <c r="A5" s="115"/>
      <c r="B5" s="115"/>
      <c r="C5" s="115"/>
      <c r="D5" s="111"/>
      <c r="E5" s="113" t="s">
        <v>41</v>
      </c>
      <c r="F5" s="113" t="str">
        <f>IF('info bulletin'!C8="","",'info bulletin'!C8)</f>
        <v/>
      </c>
      <c r="G5" s="113" t="s">
        <v>42</v>
      </c>
      <c r="H5" s="273" t="str">
        <f>IF('info bulletin'!C10="","",'info bulletin'!C10)</f>
        <v/>
      </c>
      <c r="I5" s="114"/>
      <c r="J5" s="17" t="s">
        <v>429</v>
      </c>
      <c r="K5" s="225">
        <f>SNAR</f>
        <v>0</v>
      </c>
      <c r="L5" s="17"/>
      <c r="M5" s="17"/>
      <c r="N5" s="110"/>
    </row>
    <row r="6" spans="1:14" s="116" customFormat="1" ht="10.5" customHeight="1" x14ac:dyDescent="0.25">
      <c r="A6" s="115"/>
      <c r="B6" s="115"/>
      <c r="C6" s="115"/>
      <c r="D6" s="118"/>
      <c r="E6" s="119" t="s">
        <v>43</v>
      </c>
      <c r="F6" s="119"/>
      <c r="G6" s="119"/>
      <c r="H6" s="119" t="str">
        <f>IF('info bulletin'!C9="","",'info bulletin'!C9)</f>
        <v/>
      </c>
      <c r="I6" s="120"/>
      <c r="J6" s="17" t="s">
        <v>430</v>
      </c>
      <c r="K6" s="378">
        <f>TOTRET</f>
        <v>0</v>
      </c>
      <c r="L6" s="17"/>
      <c r="M6" s="17"/>
      <c r="N6" s="110"/>
    </row>
    <row r="7" spans="1:14" s="116" customFormat="1" ht="10.5" customHeight="1" x14ac:dyDescent="0.25">
      <c r="A7" s="462" t="s">
        <v>450</v>
      </c>
      <c r="B7" s="275" t="str">
        <f>IF('info bulletin'!J4="","",'info bulletin'!J4)</f>
        <v/>
      </c>
      <c r="C7" s="115"/>
      <c r="D7" s="115"/>
      <c r="E7" s="115"/>
      <c r="F7" s="115"/>
      <c r="G7" s="115"/>
      <c r="H7" s="115"/>
      <c r="I7" s="115"/>
      <c r="J7" s="17" t="s">
        <v>241</v>
      </c>
      <c r="K7" s="225">
        <f>NAP</f>
        <v>0</v>
      </c>
      <c r="L7" s="17"/>
      <c r="M7" s="17"/>
      <c r="N7" s="110"/>
    </row>
    <row r="8" spans="1:14" s="116" customFormat="1" ht="10.5" customHeight="1" x14ac:dyDescent="0.25">
      <c r="A8" s="463" t="s">
        <v>451</v>
      </c>
      <c r="B8" s="114" t="str">
        <f>IF('info bulletin'!J5="","",'info bulletin'!J5)</f>
        <v/>
      </c>
      <c r="C8" s="121"/>
      <c r="D8" s="115"/>
      <c r="E8" s="115"/>
      <c r="F8" s="115"/>
      <c r="G8" s="115"/>
      <c r="H8" s="115"/>
      <c r="I8" s="115"/>
      <c r="J8" s="17" t="s">
        <v>431</v>
      </c>
      <c r="K8" s="225">
        <f>NetImposable</f>
        <v>0</v>
      </c>
    </row>
    <row r="9" spans="1:14" s="116" customFormat="1" ht="10.5" customHeight="1" x14ac:dyDescent="0.25">
      <c r="A9" s="111" t="s">
        <v>3</v>
      </c>
      <c r="B9" s="114" t="str">
        <f>IF('info bulletin'!J6="","",'info bulletin'!J6)</f>
        <v/>
      </c>
      <c r="C9" s="121"/>
      <c r="D9" s="107" t="s">
        <v>44</v>
      </c>
      <c r="E9" s="108"/>
      <c r="F9" s="108"/>
      <c r="G9" s="108"/>
      <c r="H9" s="108"/>
      <c r="I9" s="109"/>
      <c r="K9" s="17"/>
    </row>
    <row r="10" spans="1:14" s="116" customFormat="1" ht="10.5" customHeight="1" x14ac:dyDescent="0.25">
      <c r="A10" s="463" t="s">
        <v>452</v>
      </c>
      <c r="B10" s="276" t="str">
        <f>IF('info bulletin'!J7="","",'info bulletin'!J7)</f>
        <v/>
      </c>
      <c r="C10" s="121"/>
      <c r="D10" s="111"/>
      <c r="E10" s="112" t="s">
        <v>45</v>
      </c>
      <c r="F10" s="113" t="str">
        <f>IF('info bulletin'!F5="","",'info bulletin'!F5)</f>
        <v/>
      </c>
      <c r="G10" s="113"/>
      <c r="H10" s="113" t="str">
        <f>IF('info bulletin'!G5="","",'info bulletin'!G5)</f>
        <v/>
      </c>
      <c r="I10" s="114"/>
      <c r="K10" s="17"/>
    </row>
    <row r="11" spans="1:14" s="116" customFormat="1" ht="10.5" customHeight="1" x14ac:dyDescent="0.25">
      <c r="A11" s="463" t="s">
        <v>453</v>
      </c>
      <c r="B11" s="276" t="str">
        <f>IF('info bulletin'!J8="","",'info bulletin'!J8)</f>
        <v/>
      </c>
      <c r="C11" s="121"/>
      <c r="D11" s="111"/>
      <c r="E11" s="113" t="s">
        <v>39</v>
      </c>
      <c r="F11" s="113" t="str">
        <f>IF('info bulletin'!F6="","",'info bulletin'!F6)</f>
        <v/>
      </c>
      <c r="G11" s="113"/>
      <c r="H11" s="113"/>
      <c r="I11" s="114"/>
      <c r="K11" s="17"/>
    </row>
    <row r="12" spans="1:14" s="116" customFormat="1" ht="10.5" customHeight="1" x14ac:dyDescent="0.25">
      <c r="A12" s="463" t="s">
        <v>454</v>
      </c>
      <c r="B12" s="274" t="str">
        <f>IF('info bulletin'!J9="","",'info bulletin'!J9)</f>
        <v/>
      </c>
      <c r="C12" s="121"/>
      <c r="D12" s="111"/>
      <c r="E12" s="113" t="s">
        <v>46</v>
      </c>
      <c r="F12" s="113" t="str">
        <f>IF('info bulletin'!F7="","",'info bulletin'!F7)</f>
        <v/>
      </c>
      <c r="G12" s="113"/>
      <c r="H12" s="264" t="s">
        <v>345</v>
      </c>
      <c r="I12" s="114" t="str">
        <f>IF('info bulletin'!F8="","",'info bulletin'!F8)</f>
        <v/>
      </c>
      <c r="K12" s="17"/>
    </row>
    <row r="13" spans="1:14" s="116" customFormat="1" ht="10.5" customHeight="1" x14ac:dyDescent="0.25">
      <c r="A13" s="220" t="s">
        <v>455</v>
      </c>
      <c r="B13" s="221">
        <f>'info bulletin'!G19</f>
        <v>3269</v>
      </c>
      <c r="C13" s="121"/>
      <c r="D13" s="118"/>
      <c r="E13" s="119"/>
      <c r="F13" s="119"/>
      <c r="G13" s="119"/>
      <c r="H13" s="119"/>
      <c r="I13" s="120"/>
      <c r="K13" s="17"/>
    </row>
    <row r="14" spans="1:14" ht="10.5" customHeight="1" thickBot="1" x14ac:dyDescent="0.3">
      <c r="A14" s="106"/>
      <c r="B14" s="106"/>
      <c r="C14" s="106"/>
      <c r="D14" s="106"/>
      <c r="E14" s="106"/>
      <c r="F14" s="106"/>
      <c r="G14" s="106"/>
      <c r="H14" s="106"/>
      <c r="I14" s="106"/>
    </row>
    <row r="15" spans="1:14" s="122" customFormat="1" ht="15.75" thickBot="1" x14ac:dyDescent="0.3">
      <c r="A15" s="902" t="s">
        <v>7</v>
      </c>
      <c r="B15" s="903"/>
      <c r="C15" s="241"/>
      <c r="D15" s="242" t="s">
        <v>24</v>
      </c>
      <c r="E15" s="243" t="s">
        <v>78</v>
      </c>
      <c r="F15" s="243" t="s">
        <v>50</v>
      </c>
      <c r="G15" s="244"/>
      <c r="H15" s="244"/>
      <c r="I15" s="245"/>
      <c r="J15" s="122" t="s">
        <v>264</v>
      </c>
    </row>
    <row r="16" spans="1:14" x14ac:dyDescent="0.25">
      <c r="A16" s="533"/>
      <c r="B16" s="123"/>
      <c r="C16" s="123"/>
      <c r="D16" s="123"/>
      <c r="E16" s="123"/>
      <c r="F16" s="123"/>
      <c r="G16" s="123"/>
      <c r="H16" s="123"/>
      <c r="I16" s="124"/>
      <c r="J16" s="125"/>
      <c r="M16" s="125"/>
      <c r="N16" s="125"/>
    </row>
    <row r="17" spans="1:14" x14ac:dyDescent="0.25">
      <c r="A17" s="531"/>
      <c r="B17" s="129"/>
      <c r="C17" s="126" t="str">
        <f>IFERROR(IF(VLOOKUP(A17,RECAP!$B$3:$F$50,2,FALSE)=0,"",(VLOOKUP(A17,RECAP!$B$3:$F$50,2,FALSE))),"")</f>
        <v/>
      </c>
      <c r="D17" s="827" t="str">
        <f>IFERROR(IF(VLOOKUP(A17,RECAP!$B$3:$F$50,3,FALSE)=0,"",(VLOOKUP(A17,RECAP!$B$3:$F$50,3,FALSE))),"")</f>
        <v/>
      </c>
      <c r="E17" s="266" t="str">
        <f>IFERROR(IF(VLOOKUP(A17,RECAP!$B$3:$F$50,4,FALSE)=0,"",(VLOOKUP(A17,RECAP!$B$3:$F$50,4,FALSE))),"")</f>
        <v/>
      </c>
      <c r="F17" s="266" t="str">
        <f>IFERROR(IF(VLOOKUP(A17,RECAP!$B$3:$F$50,5,FALSE)=0,"",(VLOOKUP(A17,RECAP!$B$3:$F$50,5,FALSE))),"")</f>
        <v/>
      </c>
      <c r="G17" s="129"/>
      <c r="H17" s="129"/>
      <c r="I17" s="130"/>
      <c r="J17" s="125"/>
      <c r="M17" s="125"/>
      <c r="N17" s="125"/>
    </row>
    <row r="18" spans="1:14" x14ac:dyDescent="0.25">
      <c r="A18" s="755"/>
      <c r="B18" s="129"/>
      <c r="C18" s="126" t="str">
        <f>IFERROR(IF(VLOOKUP(A18,RECAP!$B$3:$F$50,2,FALSE)=0,"",(VLOOKUP(A18,RECAP!$B$3:$F$50,2,FALSE))),"")</f>
        <v/>
      </c>
      <c r="D18" s="827" t="str">
        <f>IFERROR(IF(VLOOKUP(A18,RECAP!$B$3:$F$50,3,FALSE)=0,"",(VLOOKUP(A18,RECAP!$B$3:$F$50,3,FALSE))),"")</f>
        <v/>
      </c>
      <c r="E18" s="266" t="str">
        <f>IFERROR(IF(VLOOKUP(A18,RECAP!$B$3:$F$50,4,FALSE)=0,"",(VLOOKUP(A18,RECAP!$B$3:$F$50,4,FALSE))),"")</f>
        <v/>
      </c>
      <c r="F18" s="266" t="str">
        <f>IFERROR(IF(VLOOKUP(A18,RECAP!$B$3:$F$50,5,FALSE)=0,"",(VLOOKUP(A18,RECAP!$B$3:$F$50,5,FALSE))),"")</f>
        <v/>
      </c>
      <c r="G18" s="129"/>
      <c r="H18" s="129"/>
      <c r="I18" s="130"/>
      <c r="J18" s="131"/>
      <c r="M18" s="125"/>
      <c r="N18" s="125"/>
    </row>
    <row r="19" spans="1:14" x14ac:dyDescent="0.25">
      <c r="A19" s="755"/>
      <c r="B19" s="542"/>
      <c r="C19" s="126" t="str">
        <f>IFERROR(IF(VLOOKUP(A19,RECAP!$B$3:$F$50,2,FALSE)=0,"",(VLOOKUP(A19,RECAP!$B$3:$F$50,2,FALSE))),"")</f>
        <v/>
      </c>
      <c r="D19" s="827" t="str">
        <f>IFERROR(IF(VLOOKUP(A19,RECAP!$B$3:$F$50,3,FALSE)=0,"",(VLOOKUP(A19,RECAP!$B$3:$F$50,3,FALSE))),"")</f>
        <v/>
      </c>
      <c r="E19" s="266" t="str">
        <f>IFERROR(IF(VLOOKUP(A19,RECAP!$B$3:$F$50,4,FALSE)=0,"",(VLOOKUP(A19,RECAP!$B$3:$F$50,4,FALSE))),"")</f>
        <v/>
      </c>
      <c r="F19" s="266" t="str">
        <f>IFERROR(IF(VLOOKUP(A19,RECAP!$B$3:$F$50,5,FALSE)=0,"",(VLOOKUP(A19,RECAP!$B$3:$F$50,5,FALSE))),"")</f>
        <v/>
      </c>
      <c r="G19" s="129"/>
      <c r="H19" s="129"/>
      <c r="I19" s="130"/>
      <c r="J19" s="84"/>
      <c r="K19" s="133"/>
      <c r="M19" s="125"/>
      <c r="N19" s="125"/>
    </row>
    <row r="20" spans="1:14" x14ac:dyDescent="0.25">
      <c r="A20" s="755"/>
      <c r="B20" s="542"/>
      <c r="C20" s="126" t="str">
        <f>IFERROR(IF(VLOOKUP(A20,RECAP!$B$3:$F$50,2,FALSE)=0,"",(VLOOKUP(A20,RECAP!$B$3:$F$50,2,FALSE))),"")</f>
        <v/>
      </c>
      <c r="D20" s="827" t="str">
        <f>IFERROR(IF(VLOOKUP(A20,RECAP!$B$3:$F$50,3,FALSE)=0,"",(VLOOKUP(A20,RECAP!$B$3:$F$50,3,FALSE))),"")</f>
        <v/>
      </c>
      <c r="E20" s="266" t="str">
        <f>IFERROR(IF(VLOOKUP(A20,RECAP!$B$3:$F$50,4,FALSE)=0,"",(VLOOKUP(A20,RECAP!$B$3:$F$50,4,FALSE))),"")</f>
        <v/>
      </c>
      <c r="F20" s="266" t="str">
        <f>IFERROR(IF(VLOOKUP(A20,RECAP!$B$3:$F$50,5,FALSE)=0,"",(VLOOKUP(A20,RECAP!$B$3:$F$50,5,FALSE))),"")</f>
        <v/>
      </c>
      <c r="G20" s="129"/>
      <c r="H20" s="129"/>
      <c r="I20" s="130"/>
      <c r="J20" s="84"/>
      <c r="K20" s="133"/>
      <c r="M20" s="125"/>
      <c r="N20" s="125"/>
    </row>
    <row r="21" spans="1:14" ht="14.25" customHeight="1" x14ac:dyDescent="0.25">
      <c r="A21" s="755"/>
      <c r="B21" s="129"/>
      <c r="C21" s="126" t="str">
        <f>IFERROR(IF(VLOOKUP(A21,RECAP!$B$3:$F$50,2,FALSE)=0,"",(VLOOKUP(A21,RECAP!$B$3:$F$50,2,FALSE))),"")</f>
        <v/>
      </c>
      <c r="D21" s="827" t="str">
        <f>IFERROR(IF(VLOOKUP(A21,RECAP!$B$3:$F$50,3,FALSE)=0,"",(VLOOKUP(A21,RECAP!$B$3:$F$50,3,FALSE))),"")</f>
        <v/>
      </c>
      <c r="E21" s="266" t="str">
        <f>IFERROR(IF(VLOOKUP(A21,RECAP!$B$3:$F$50,4,FALSE)=0,"",(VLOOKUP(A21,RECAP!$B$3:$F$50,4,FALSE))),"")</f>
        <v/>
      </c>
      <c r="F21" s="266" t="str">
        <f>IFERROR(IF(VLOOKUP(A21,RECAP!$B$3:$F$50,5,FALSE)=0,"",(VLOOKUP(A21,RECAP!$B$3:$F$50,5,FALSE))),"")</f>
        <v/>
      </c>
      <c r="G21" s="129"/>
      <c r="H21" s="129"/>
      <c r="I21" s="130"/>
      <c r="J21" s="125"/>
      <c r="K21" s="133"/>
      <c r="M21" s="134"/>
      <c r="N21" s="125"/>
    </row>
    <row r="22" spans="1:14" x14ac:dyDescent="0.25">
      <c r="A22" s="755"/>
      <c r="B22" s="129"/>
      <c r="C22" s="126" t="str">
        <f>IFERROR(IF(VLOOKUP(A22,RECAP!$B$3:$F$50,2,FALSE)=0,"",(VLOOKUP(A22,RECAP!$B$3:$F$50,2,FALSE))),"")</f>
        <v/>
      </c>
      <c r="D22" s="827" t="str">
        <f>IFERROR(IF(VLOOKUP(A22,RECAP!$B$3:$F$50,3,FALSE)=0,"",(VLOOKUP(A22,RECAP!$B$3:$F$50,3,FALSE))),"")</f>
        <v/>
      </c>
      <c r="E22" s="266" t="str">
        <f>IFERROR(IF(VLOOKUP(A22,RECAP!$B$3:$F$50,4,FALSE)=0,"",(VLOOKUP(A22,RECAP!$B$3:$F$50,4,FALSE))),"")</f>
        <v/>
      </c>
      <c r="F22" s="266" t="str">
        <f>IFERROR(IF(VLOOKUP(A22,RECAP!$B$3:$F$50,5,FALSE)=0,"",(VLOOKUP(A22,RECAP!$B$3:$F$50,5,FALSE))),"")</f>
        <v/>
      </c>
      <c r="G22" s="129"/>
      <c r="H22" s="129"/>
      <c r="I22" s="130"/>
    </row>
    <row r="23" spans="1:14" x14ac:dyDescent="0.25">
      <c r="A23" s="755"/>
      <c r="B23" s="129"/>
      <c r="C23" s="126" t="str">
        <f>IFERROR(IF(VLOOKUP(A23,RECAP!$B$3:$F$50,2,FALSE)=0,"",(VLOOKUP(A23,RECAP!$B$3:$F$50,2,FALSE))),"")</f>
        <v/>
      </c>
      <c r="D23" s="827" t="str">
        <f>IFERROR(IF(VLOOKUP(A23,RECAP!$B$3:$F$50,3,FALSE)=0,"",(VLOOKUP(A23,RECAP!$B$3:$F$50,3,FALSE))),"")</f>
        <v/>
      </c>
      <c r="E23" s="266" t="str">
        <f>IFERROR(IF(VLOOKUP(A23,RECAP!$B$3:$F$50,4,FALSE)=0,"",(VLOOKUP(A23,RECAP!$B$3:$F$50,4,FALSE))),"")</f>
        <v/>
      </c>
      <c r="F23" s="266" t="str">
        <f>IFERROR(IF(VLOOKUP(A23,RECAP!$B$3:$F$50,5,FALSE)=0,"",(VLOOKUP(A23,RECAP!$B$3:$F$50,5,FALSE))),"")</f>
        <v/>
      </c>
      <c r="G23" s="129"/>
      <c r="H23" s="129"/>
      <c r="I23" s="130"/>
      <c r="J23" s="125"/>
      <c r="K23" s="133"/>
      <c r="M23" s="134"/>
      <c r="N23" s="125"/>
    </row>
    <row r="24" spans="1:14" x14ac:dyDescent="0.25">
      <c r="A24" s="755"/>
      <c r="B24" s="129"/>
      <c r="C24" s="126" t="str">
        <f>IFERROR(IF(VLOOKUP(A24,RECAP!$B$3:$F$50,2,FALSE)=0,"",(VLOOKUP(A24,RECAP!$B$3:$F$50,2,FALSE))),"")</f>
        <v/>
      </c>
      <c r="D24" s="827" t="str">
        <f>IFERROR(IF(VLOOKUP(A24,RECAP!$B$3:$F$50,3,FALSE)=0,"",(VLOOKUP(A24,RECAP!$B$3:$F$50,3,FALSE))),"")</f>
        <v/>
      </c>
      <c r="E24" s="266" t="str">
        <f>IFERROR(IF(VLOOKUP(A24,RECAP!$B$3:$F$50,4,FALSE)=0,"",(VLOOKUP(A24,RECAP!$B$3:$F$50,4,FALSE))),"")</f>
        <v/>
      </c>
      <c r="F24" s="266" t="str">
        <f>IFERROR(IF(VLOOKUP(A24,RECAP!$B$3:$F$50,5,FALSE)=0,"",(VLOOKUP(A24,RECAP!$B$3:$F$50,5,FALSE))),"")</f>
        <v/>
      </c>
      <c r="G24" s="129"/>
      <c r="H24" s="129"/>
      <c r="I24" s="130"/>
    </row>
    <row r="25" spans="1:14" x14ac:dyDescent="0.25">
      <c r="A25" s="755"/>
      <c r="B25" s="543"/>
      <c r="C25" s="126" t="str">
        <f>IFERROR(IF(VLOOKUP(A25,RECAP!$B$3:$F$50,2,FALSE)=0,"",(VLOOKUP(A25,RECAP!$B$3:$F$50,2,FALSE))),"")</f>
        <v/>
      </c>
      <c r="D25" s="827" t="str">
        <f>IFERROR(IF(VLOOKUP(A25,RECAP!$B$3:$F$50,3,FALSE)=0,"",(VLOOKUP(A25,RECAP!$B$3:$F$50,3,FALSE))),"")</f>
        <v/>
      </c>
      <c r="E25" s="266" t="str">
        <f>IFERROR(IF(VLOOKUP(A25,RECAP!$B$3:$F$50,4,FALSE)=0,"",(VLOOKUP(A25,RECAP!$B$3:$F$50,4,FALSE))),"")</f>
        <v/>
      </c>
      <c r="F25" s="266" t="str">
        <f>IFERROR(IF(VLOOKUP(A25,RECAP!$B$3:$F$50,5,FALSE)=0,"",(VLOOKUP(A25,RECAP!$B$3:$F$50,5,FALSE))),"")</f>
        <v/>
      </c>
      <c r="G25" s="129"/>
      <c r="H25" s="129"/>
      <c r="I25" s="130"/>
      <c r="J25" s="125"/>
      <c r="K25" s="133"/>
      <c r="M25" s="134"/>
      <c r="N25" s="125"/>
    </row>
    <row r="26" spans="1:14" x14ac:dyDescent="0.25">
      <c r="A26" s="755"/>
      <c r="B26" s="543"/>
      <c r="C26" s="126" t="str">
        <f>IFERROR(IF(VLOOKUP(A26,RECAP!$B$3:$F$50,2,FALSE)=0,"",(VLOOKUP(A26,RECAP!$B$3:$F$50,2,FALSE))),"")</f>
        <v/>
      </c>
      <c r="D26" s="827" t="str">
        <f>IFERROR(IF(VLOOKUP(A26,RECAP!$B$3:$F$50,3,FALSE)=0,"",(VLOOKUP(A26,RECAP!$B$3:$F$50,3,FALSE))),"")</f>
        <v/>
      </c>
      <c r="E26" s="266" t="str">
        <f>IFERROR(IF(VLOOKUP(A26,RECAP!$B$3:$F$50,4,FALSE)=0,"",(VLOOKUP(A26,RECAP!$B$3:$F$50,4,FALSE))),"")</f>
        <v/>
      </c>
      <c r="F26" s="266" t="str">
        <f>IFERROR(IF(VLOOKUP(A26,RECAP!$B$3:$F$50,5,FALSE)=0,"",(VLOOKUP(A26,RECAP!$B$3:$F$50,5,FALSE))),"")</f>
        <v/>
      </c>
      <c r="G26" s="129"/>
      <c r="H26" s="129"/>
      <c r="I26" s="130"/>
      <c r="J26" s="135"/>
      <c r="M26" s="125"/>
      <c r="N26" s="125"/>
    </row>
    <row r="27" spans="1:14" x14ac:dyDescent="0.25">
      <c r="A27" s="755"/>
      <c r="B27" s="543"/>
      <c r="C27" s="126" t="str">
        <f>IFERROR(IF(VLOOKUP(A27,RECAP!$B$3:$F$50,2,FALSE)=0,"",(VLOOKUP(A27,RECAP!$B$3:$F$50,2,FALSE))),"")</f>
        <v/>
      </c>
      <c r="D27" s="827" t="str">
        <f>IFERROR(IF(VLOOKUP(A27,RECAP!$B$3:$F$50,3,FALSE)=0,"",(VLOOKUP(A27,RECAP!$B$3:$F$50,3,FALSE))),"")</f>
        <v/>
      </c>
      <c r="E27" s="266" t="str">
        <f>IFERROR(IF(VLOOKUP(A27,RECAP!$B$3:$F$50,4,FALSE)=0,"",(VLOOKUP(A27,RECAP!$B$3:$F$50,4,FALSE))),"")</f>
        <v/>
      </c>
      <c r="F27" s="266" t="str">
        <f>IFERROR(IF(VLOOKUP(A27,RECAP!$B$3:$F$50,5,FALSE)=0,"",(VLOOKUP(A27,RECAP!$B$3:$F$50,5,FALSE))),"")</f>
        <v/>
      </c>
      <c r="G27" s="129"/>
      <c r="H27" s="129"/>
      <c r="I27" s="130"/>
      <c r="J27" s="136"/>
      <c r="K27" s="133"/>
      <c r="M27" s="125"/>
      <c r="N27" s="125"/>
    </row>
    <row r="28" spans="1:14" x14ac:dyDescent="0.25">
      <c r="A28" s="755"/>
      <c r="B28" s="543"/>
      <c r="C28" s="126" t="str">
        <f>IFERROR(IF(VLOOKUP(A28,RECAP!$B$3:$F$50,2,FALSE)=0,"",(VLOOKUP(A28,RECAP!$B$3:$F$50,2,FALSE))),"")</f>
        <v/>
      </c>
      <c r="D28" s="827" t="str">
        <f>IFERROR(IF(VLOOKUP(A28,RECAP!$B$3:$F$50,3,FALSE)=0,"",(VLOOKUP(A28,RECAP!$B$3:$F$50,3,FALSE))),"")</f>
        <v/>
      </c>
      <c r="E28" s="266" t="str">
        <f>IFERROR(IF(VLOOKUP(A28,RECAP!$B$3:$F$50,4,FALSE)=0,"",(VLOOKUP(A28,RECAP!$B$3:$F$50,4,FALSE))),"")</f>
        <v/>
      </c>
      <c r="F28" s="266" t="str">
        <f>IFERROR(IF(VLOOKUP(A28,RECAP!$B$3:$F$50,5,FALSE)=0,"",(VLOOKUP(A28,RECAP!$B$3:$F$50,5,FALSE))),"")</f>
        <v/>
      </c>
      <c r="G28" s="129"/>
      <c r="H28" s="129"/>
      <c r="I28" s="130"/>
      <c r="J28" s="137"/>
      <c r="K28" s="133"/>
      <c r="M28" s="125"/>
      <c r="N28" s="125"/>
    </row>
    <row r="29" spans="1:14" x14ac:dyDescent="0.25">
      <c r="A29" s="755"/>
      <c r="B29" s="543"/>
      <c r="C29" s="126" t="str">
        <f>IFERROR(IF(VLOOKUP(A29,RECAP!$B$3:$F$50,2,FALSE)=0,"",(VLOOKUP(A29,RECAP!$B$3:$F$50,2,FALSE))),"")</f>
        <v/>
      </c>
      <c r="D29" s="827" t="str">
        <f>IFERROR(IF(VLOOKUP(A29,RECAP!$B$3:$F$50,3,FALSE)=0,"",(VLOOKUP(A29,RECAP!$B$3:$F$50,3,FALSE))),"")</f>
        <v/>
      </c>
      <c r="E29" s="266" t="str">
        <f>IFERROR(IF(VLOOKUP(A29,RECAP!$B$3:$F$50,4,FALSE)=0,"",(VLOOKUP(A29,RECAP!$B$3:$F$50,4,FALSE))),"")</f>
        <v/>
      </c>
      <c r="F29" s="266" t="str">
        <f>IFERROR(IF(VLOOKUP(A29,RECAP!$B$3:$F$50,5,FALSE)=0,"",(VLOOKUP(A29,RECAP!$B$3:$F$50,5,FALSE))),"")</f>
        <v/>
      </c>
      <c r="G29" s="129"/>
      <c r="H29" s="129"/>
      <c r="I29" s="130"/>
      <c r="J29" s="137"/>
      <c r="K29" s="133"/>
      <c r="M29" s="125"/>
      <c r="N29" s="125"/>
    </row>
    <row r="30" spans="1:14" x14ac:dyDescent="0.25">
      <c r="A30" s="755"/>
      <c r="B30" s="543"/>
      <c r="C30" s="126" t="str">
        <f>IFERROR(IF(VLOOKUP(A30,RECAP!$B$3:$F$50,2,FALSE)=0,"",(VLOOKUP(A30,RECAP!$B$3:$F$50,2,FALSE))),"")</f>
        <v/>
      </c>
      <c r="D30" s="827" t="str">
        <f>IFERROR(IF(VLOOKUP(A30,RECAP!$B$3:$F$50,3,FALSE)=0,"",(VLOOKUP(A30,RECAP!$B$3:$F$50,3,FALSE))),"")</f>
        <v/>
      </c>
      <c r="E30" s="266" t="str">
        <f>IFERROR(IF(VLOOKUP(A30,RECAP!$B$3:$F$50,4,FALSE)=0,"",(VLOOKUP(A30,RECAP!$B$3:$F$50,4,FALSE))),"")</f>
        <v/>
      </c>
      <c r="F30" s="266" t="str">
        <f>IFERROR(IF(VLOOKUP(A30,RECAP!$B$3:$F$50,5,FALSE)=0,"",(VLOOKUP(A30,RECAP!$B$3:$F$50,5,FALSE))),"")</f>
        <v/>
      </c>
      <c r="G30" s="129"/>
      <c r="H30" s="129"/>
      <c r="I30" s="130"/>
      <c r="J30" s="137"/>
      <c r="K30" s="133"/>
      <c r="M30" s="125"/>
      <c r="N30" s="125"/>
    </row>
    <row r="31" spans="1:14" x14ac:dyDescent="0.25">
      <c r="A31" s="755"/>
      <c r="B31" s="543"/>
      <c r="C31" s="126" t="str">
        <f>IFERROR(IF(VLOOKUP(A31,RECAP!$B$3:$F$50,2,FALSE)=0,"",(VLOOKUP(A31,RECAP!$B$3:$F$50,2,FALSE))),"")</f>
        <v/>
      </c>
      <c r="D31" s="827" t="str">
        <f>IFERROR(IF(VLOOKUP(A31,RECAP!$B$3:$F$50,3,FALSE)=0,"",(VLOOKUP(A31,RECAP!$B$3:$F$50,3,FALSE))),"")</f>
        <v/>
      </c>
      <c r="E31" s="266" t="str">
        <f>IFERROR(IF(VLOOKUP(A31,RECAP!$B$3:$F$50,4,FALSE)=0,"",(VLOOKUP(A31,RECAP!$B$3:$F$50,4,FALSE))),"")</f>
        <v/>
      </c>
      <c r="F31" s="266" t="str">
        <f>IFERROR(IF(VLOOKUP(A31,RECAP!$B$3:$F$50,5,FALSE)=0,"",(VLOOKUP(A31,RECAP!$B$3:$F$50,5,FALSE))),"")</f>
        <v/>
      </c>
      <c r="G31" s="129"/>
      <c r="H31" s="129"/>
      <c r="I31" s="130"/>
      <c r="J31" s="136"/>
      <c r="K31" s="133"/>
      <c r="M31" s="125"/>
      <c r="N31" s="125"/>
    </row>
    <row r="32" spans="1:14" x14ac:dyDescent="0.25">
      <c r="A32" s="755"/>
      <c r="B32" s="543"/>
      <c r="C32" s="126" t="str">
        <f>IFERROR(IF(VLOOKUP(A32,RECAP!$B$3:$F$50,2,FALSE)=0,"",(VLOOKUP(A32,RECAP!$B$3:$F$50,2,FALSE))),"")</f>
        <v/>
      </c>
      <c r="D32" s="827" t="str">
        <f>IFERROR(IF(VLOOKUP(A32,RECAP!$B$3:$F$50,3,FALSE)=0,"",(VLOOKUP(A32,RECAP!$B$3:$F$50,3,FALSE))),"")</f>
        <v/>
      </c>
      <c r="E32" s="266" t="str">
        <f>IFERROR(IF(VLOOKUP(A32,RECAP!$B$3:$F$50,4,FALSE)=0,"",(VLOOKUP(A32,RECAP!$B$3:$F$50,4,FALSE))),"")</f>
        <v/>
      </c>
      <c r="F32" s="266" t="str">
        <f>IFERROR(IF(VLOOKUP(A32,RECAP!$B$3:$F$50,5,FALSE)=0,"",(VLOOKUP(A32,RECAP!$B$3:$F$50,5,FALSE))),"")</f>
        <v/>
      </c>
      <c r="G32" s="129"/>
      <c r="H32" s="129"/>
      <c r="I32" s="130"/>
    </row>
    <row r="33" spans="1:12" x14ac:dyDescent="0.25">
      <c r="A33" s="755"/>
      <c r="B33" s="543"/>
      <c r="C33" s="126" t="str">
        <f>IFERROR(IF(VLOOKUP(A33,RECAP!$B$3:$F$50,2,FALSE)=0,"",(VLOOKUP(A33,RECAP!$B$3:$F$50,2,FALSE))),"")</f>
        <v/>
      </c>
      <c r="D33" s="827" t="str">
        <f>IFERROR(IF(VLOOKUP(A33,RECAP!$B$3:$F$50,3,FALSE)=0,"",(VLOOKUP(A33,RECAP!$B$3:$F$50,3,FALSE))),"")</f>
        <v/>
      </c>
      <c r="E33" s="266" t="str">
        <f>IFERROR(IF(VLOOKUP(A33,RECAP!$B$3:$F$50,4,FALSE)=0,"",(VLOOKUP(A33,RECAP!$B$3:$F$50,4,FALSE))),"")</f>
        <v/>
      </c>
      <c r="F33" s="266" t="str">
        <f>IFERROR(IF(VLOOKUP(A33,RECAP!$B$3:$F$50,5,FALSE)=0,"",(VLOOKUP(A33,RECAP!$B$3:$F$50,5,FALSE))),"")</f>
        <v/>
      </c>
      <c r="G33" s="129"/>
      <c r="H33" s="129"/>
      <c r="I33" s="130"/>
    </row>
    <row r="34" spans="1:12" x14ac:dyDescent="0.25">
      <c r="A34" s="755"/>
      <c r="B34" s="543"/>
      <c r="C34" s="126" t="str">
        <f>IFERROR(IF(VLOOKUP(A34,RECAP!$B$3:$F$50,2,FALSE)=0,"",(VLOOKUP(A34,RECAP!$B$3:$F$50,2,FALSE))),"")</f>
        <v/>
      </c>
      <c r="D34" s="827" t="str">
        <f>IFERROR(IF(VLOOKUP(A34,RECAP!$B$3:$F$50,3,FALSE)=0,"",(VLOOKUP(A34,RECAP!$B$3:$F$50,3,FALSE))),"")</f>
        <v/>
      </c>
      <c r="E34" s="266" t="str">
        <f>IFERROR(IF(VLOOKUP(A34,RECAP!$B$3:$F$50,4,FALSE)=0,"",(VLOOKUP(A34,RECAP!$B$3:$F$50,4,FALSE))),"")</f>
        <v/>
      </c>
      <c r="F34" s="266" t="str">
        <f>IFERROR(IF(VLOOKUP(A34,RECAP!$B$3:$F$50,5,FALSE)=0,"",(VLOOKUP(A34,RECAP!$B$3:$F$50,5,FALSE))),"")</f>
        <v/>
      </c>
      <c r="G34" s="129"/>
      <c r="H34" s="129"/>
      <c r="I34" s="130"/>
    </row>
    <row r="35" spans="1:12" ht="15.75" thickBot="1" x14ac:dyDescent="0.3">
      <c r="I35" s="130"/>
    </row>
    <row r="36" spans="1:12" ht="15.75" thickBot="1" x14ac:dyDescent="0.3">
      <c r="A36" s="904" t="s">
        <v>9</v>
      </c>
      <c r="B36" s="905"/>
      <c r="C36" s="210" t="s">
        <v>145</v>
      </c>
      <c r="D36" s="153">
        <f ca="1">SUMIF(C17:D34,C36,D17:D34)</f>
        <v>0</v>
      </c>
      <c r="E36" s="240"/>
      <c r="F36" s="152">
        <f>ROUND(SUM(F16:F34),2)</f>
        <v>0</v>
      </c>
      <c r="G36" s="129"/>
      <c r="H36" s="129"/>
      <c r="I36" s="130"/>
      <c r="J36" s="84"/>
    </row>
    <row r="37" spans="1:12" ht="15.75" thickBot="1" x14ac:dyDescent="0.3">
      <c r="A37" s="906"/>
      <c r="B37" s="907"/>
      <c r="C37" s="239"/>
      <c r="D37" s="160"/>
      <c r="E37" s="160"/>
      <c r="F37" s="160"/>
      <c r="G37" s="139"/>
      <c r="H37" s="139"/>
      <c r="I37" s="140"/>
    </row>
    <row r="38" spans="1:12" s="142" customFormat="1" ht="15.75" thickBot="1" x14ac:dyDescent="0.3">
      <c r="A38" s="900" t="s">
        <v>10</v>
      </c>
      <c r="B38" s="901"/>
      <c r="C38" s="246"/>
      <c r="D38" s="246" t="s">
        <v>24</v>
      </c>
      <c r="E38" s="247" t="s">
        <v>25</v>
      </c>
      <c r="F38" s="247" t="s">
        <v>26</v>
      </c>
      <c r="G38" s="247"/>
      <c r="H38" s="247" t="s">
        <v>27</v>
      </c>
      <c r="I38" s="248" t="s">
        <v>28</v>
      </c>
    </row>
    <row r="39" spans="1:12" x14ac:dyDescent="0.25">
      <c r="A39" s="533" t="s">
        <v>11</v>
      </c>
      <c r="B39" s="123"/>
      <c r="C39" s="143"/>
      <c r="D39" s="144">
        <f>IF(SBRUT&gt;4*PSS,SBRUT+PPMUT+PPPREVDC,(SBRUT*98.25%)+PPMUT+PPPREVDC)</f>
        <v>0</v>
      </c>
      <c r="E39" s="222">
        <v>5.0999999999999997E-2</v>
      </c>
      <c r="F39" s="144">
        <f>E39*D39</f>
        <v>0</v>
      </c>
      <c r="G39" s="144"/>
      <c r="H39" s="226"/>
      <c r="I39" s="227"/>
      <c r="K39" s="142"/>
      <c r="L39" s="142"/>
    </row>
    <row r="40" spans="1:12" ht="15.75" thickBot="1" x14ac:dyDescent="0.3">
      <c r="A40" s="898"/>
      <c r="B40" s="899"/>
      <c r="C40" s="138"/>
      <c r="D40" s="146"/>
      <c r="E40" s="146"/>
      <c r="F40" s="146"/>
      <c r="G40" s="146"/>
      <c r="H40" s="146"/>
      <c r="I40" s="147"/>
      <c r="K40" s="142"/>
      <c r="L40" s="142"/>
    </row>
    <row r="41" spans="1:12" s="142" customFormat="1" ht="15.75" thickBot="1" x14ac:dyDescent="0.3">
      <c r="A41" s="900" t="s">
        <v>12</v>
      </c>
      <c r="B41" s="901"/>
      <c r="C41" s="246"/>
      <c r="D41" s="249" t="s">
        <v>24</v>
      </c>
      <c r="E41" s="250" t="s">
        <v>25</v>
      </c>
      <c r="F41" s="250" t="s">
        <v>26</v>
      </c>
      <c r="G41" s="250"/>
      <c r="H41" s="250" t="s">
        <v>27</v>
      </c>
      <c r="I41" s="251" t="s">
        <v>28</v>
      </c>
    </row>
    <row r="42" spans="1:12" x14ac:dyDescent="0.25">
      <c r="A42" s="534" t="s">
        <v>13</v>
      </c>
      <c r="B42" s="535"/>
      <c r="C42" s="229"/>
      <c r="D42" s="230">
        <f>SBRUT</f>
        <v>0</v>
      </c>
      <c r="E42" s="231">
        <v>7.4999999999999997E-3</v>
      </c>
      <c r="F42" s="230">
        <f>D42*E42</f>
        <v>0</v>
      </c>
      <c r="G42" s="230"/>
      <c r="H42" s="231">
        <v>0.12889999999999999</v>
      </c>
      <c r="I42" s="232">
        <f>D42*H42</f>
        <v>0</v>
      </c>
    </row>
    <row r="43" spans="1:12" x14ac:dyDescent="0.25">
      <c r="A43" s="536" t="s">
        <v>312</v>
      </c>
      <c r="B43" s="129"/>
      <c r="C43" s="126"/>
      <c r="D43" s="128">
        <f>TR_A</f>
        <v>0</v>
      </c>
      <c r="E43" s="223">
        <v>6.9000000000000006E-2</v>
      </c>
      <c r="F43" s="128">
        <f>+E43*D43</f>
        <v>0</v>
      </c>
      <c r="G43" s="128"/>
      <c r="H43" s="223">
        <v>8.5500000000000007E-2</v>
      </c>
      <c r="I43" s="145">
        <f>H43*D43</f>
        <v>0</v>
      </c>
    </row>
    <row r="44" spans="1:12" x14ac:dyDescent="0.25">
      <c r="A44" s="537" t="s">
        <v>14</v>
      </c>
      <c r="B44" s="129"/>
      <c r="C44" s="126"/>
      <c r="D44" s="128">
        <f>SBRUT</f>
        <v>0</v>
      </c>
      <c r="E44" s="223">
        <v>4.0000000000000001E-3</v>
      </c>
      <c r="F44" s="128">
        <f>+E44*D44</f>
        <v>0</v>
      </c>
      <c r="G44" s="128"/>
      <c r="H44" s="223">
        <v>1.9E-2</v>
      </c>
      <c r="I44" s="145">
        <f>+H44*D44</f>
        <v>0</v>
      </c>
    </row>
    <row r="45" spans="1:12" x14ac:dyDescent="0.25">
      <c r="A45" s="537" t="s">
        <v>15</v>
      </c>
      <c r="B45" s="129"/>
      <c r="C45" s="126"/>
      <c r="D45" s="128">
        <f>SBRUT</f>
        <v>0</v>
      </c>
      <c r="E45" s="629"/>
      <c r="F45" s="630"/>
      <c r="G45" s="128"/>
      <c r="H45" s="223">
        <f>IF(SBRUT&gt;=3.5*BASE_SMIC,5.25%,3.45%)</f>
        <v>5.2499999999999998E-2</v>
      </c>
      <c r="I45" s="145">
        <f>H45*D45</f>
        <v>0</v>
      </c>
    </row>
    <row r="46" spans="1:12" x14ac:dyDescent="0.25">
      <c r="A46" s="537" t="s">
        <v>16</v>
      </c>
      <c r="B46" s="129"/>
      <c r="C46" s="126"/>
      <c r="D46" s="128">
        <f>SBRUT</f>
        <v>0</v>
      </c>
      <c r="E46" s="629"/>
      <c r="F46" s="630"/>
      <c r="G46" s="128"/>
      <c r="H46" s="228">
        <f>TAT</f>
        <v>2.3230000000000001E-2</v>
      </c>
      <c r="I46" s="145">
        <f>+H46*D46</f>
        <v>0</v>
      </c>
    </row>
    <row r="47" spans="1:12" x14ac:dyDescent="0.25">
      <c r="A47" s="536" t="s">
        <v>319</v>
      </c>
      <c r="B47" s="129"/>
      <c r="C47" s="126"/>
      <c r="D47" s="128">
        <f>IF(NBRE_SALARIES&gt;11,PPMUT+PPPREVDC+I64,0)</f>
        <v>0</v>
      </c>
      <c r="E47" s="629"/>
      <c r="F47" s="630"/>
      <c r="G47" s="128"/>
      <c r="H47" s="228">
        <v>0.08</v>
      </c>
      <c r="I47" s="145">
        <f>H47*D47</f>
        <v>0</v>
      </c>
    </row>
    <row r="48" spans="1:12" x14ac:dyDescent="0.25">
      <c r="A48" s="537" t="s">
        <v>23</v>
      </c>
      <c r="B48" s="129"/>
      <c r="C48" s="126"/>
      <c r="D48" s="128">
        <f>SBRUT</f>
        <v>0</v>
      </c>
      <c r="E48" s="629"/>
      <c r="F48" s="630"/>
      <c r="G48" s="128"/>
      <c r="H48" s="228">
        <v>3.0000000000000001E-3</v>
      </c>
      <c r="I48" s="145">
        <f>H48*D48</f>
        <v>0</v>
      </c>
    </row>
    <row r="49" spans="1:12" ht="15.75" thickBot="1" x14ac:dyDescent="0.3">
      <c r="A49" s="893"/>
      <c r="B49" s="894"/>
      <c r="C49" s="132"/>
      <c r="D49" s="148"/>
      <c r="E49" s="148"/>
      <c r="F49" s="148"/>
      <c r="G49" s="148"/>
      <c r="H49" s="148"/>
      <c r="I49" s="149"/>
    </row>
    <row r="50" spans="1:12" s="142" customFormat="1" ht="15.75" thickBot="1" x14ac:dyDescent="0.3">
      <c r="A50" s="900" t="s">
        <v>17</v>
      </c>
      <c r="B50" s="901"/>
      <c r="C50" s="246"/>
      <c r="D50" s="249" t="s">
        <v>24</v>
      </c>
      <c r="E50" s="250" t="s">
        <v>25</v>
      </c>
      <c r="F50" s="250" t="s">
        <v>26</v>
      </c>
      <c r="G50" s="250"/>
      <c r="H50" s="250" t="s">
        <v>27</v>
      </c>
      <c r="I50" s="251" t="s">
        <v>28</v>
      </c>
    </row>
    <row r="51" spans="1:12" x14ac:dyDescent="0.25">
      <c r="A51" s="538" t="s">
        <v>18</v>
      </c>
      <c r="B51" s="535"/>
      <c r="C51" s="229"/>
      <c r="D51" s="230">
        <f>IF(SBRUT&gt;4*PSS,4*PSS,SBRUT)</f>
        <v>0</v>
      </c>
      <c r="E51" s="231">
        <v>2.4E-2</v>
      </c>
      <c r="F51" s="230">
        <f>E51*D51</f>
        <v>0</v>
      </c>
      <c r="G51" s="230"/>
      <c r="H51" s="231">
        <f>TX_CHOM</f>
        <v>4.0500000000000001E-2</v>
      </c>
      <c r="I51" s="232">
        <f>H51*D51</f>
        <v>0</v>
      </c>
      <c r="J51" s="69"/>
    </row>
    <row r="52" spans="1:12" x14ac:dyDescent="0.25">
      <c r="A52" s="536" t="s">
        <v>474</v>
      </c>
      <c r="B52" s="129"/>
      <c r="C52" s="126"/>
      <c r="D52" s="128"/>
      <c r="E52" s="629"/>
      <c r="F52" s="630"/>
      <c r="G52" s="128"/>
      <c r="H52" s="223"/>
      <c r="I52" s="145"/>
    </row>
    <row r="53" spans="1:12" x14ac:dyDescent="0.25">
      <c r="A53" s="537" t="s">
        <v>19</v>
      </c>
      <c r="B53" s="129"/>
      <c r="C53" s="126"/>
      <c r="D53" s="128">
        <f>IF(SBRUT&gt;4*PSS,4*PSS,SBRUT)</f>
        <v>0</v>
      </c>
      <c r="E53" s="629"/>
      <c r="F53" s="630"/>
      <c r="G53" s="128"/>
      <c r="H53" s="223">
        <v>1.5E-3</v>
      </c>
      <c r="I53" s="145">
        <f>H53*D53</f>
        <v>0</v>
      </c>
    </row>
    <row r="54" spans="1:12" ht="15.75" thickBot="1" x14ac:dyDescent="0.3">
      <c r="A54" s="893"/>
      <c r="B54" s="894"/>
      <c r="C54" s="132"/>
      <c r="D54" s="148"/>
      <c r="E54" s="224"/>
      <c r="F54" s="148"/>
      <c r="G54" s="148"/>
      <c r="H54" s="224"/>
      <c r="I54" s="149"/>
    </row>
    <row r="55" spans="1:12" s="142" customFormat="1" ht="15.75" thickBot="1" x14ac:dyDescent="0.3">
      <c r="A55" s="900" t="s">
        <v>20</v>
      </c>
      <c r="B55" s="901"/>
      <c r="C55" s="246"/>
      <c r="D55" s="249" t="s">
        <v>24</v>
      </c>
      <c r="E55" s="250" t="s">
        <v>25</v>
      </c>
      <c r="F55" s="250" t="s">
        <v>26</v>
      </c>
      <c r="G55" s="250"/>
      <c r="H55" s="250" t="s">
        <v>27</v>
      </c>
      <c r="I55" s="251" t="s">
        <v>28</v>
      </c>
      <c r="J55" s="110"/>
      <c r="K55" s="110"/>
      <c r="L55" s="110"/>
    </row>
    <row r="56" spans="1:12" x14ac:dyDescent="0.25">
      <c r="A56" s="538" t="s">
        <v>549</v>
      </c>
      <c r="B56" s="535"/>
      <c r="C56" s="229"/>
      <c r="D56" s="230">
        <f>TR_A</f>
        <v>0</v>
      </c>
      <c r="E56" s="231">
        <v>3.1E-2</v>
      </c>
      <c r="F56" s="230">
        <f>E56*D56</f>
        <v>0</v>
      </c>
      <c r="G56" s="230"/>
      <c r="H56" s="231">
        <v>4.65E-2</v>
      </c>
      <c r="I56" s="232">
        <f>H56*D56</f>
        <v>0</v>
      </c>
    </row>
    <row r="57" spans="1:12" x14ac:dyDescent="0.25">
      <c r="A57" s="536" t="s">
        <v>550</v>
      </c>
      <c r="B57" s="129"/>
      <c r="C57" s="126"/>
      <c r="D57" s="128">
        <f>TR_A</f>
        <v>0</v>
      </c>
      <c r="E57" s="223">
        <v>8.0000000000000002E-3</v>
      </c>
      <c r="F57" s="128">
        <f>E57*D57</f>
        <v>0</v>
      </c>
      <c r="G57" s="128"/>
      <c r="H57" s="223">
        <v>1.2E-2</v>
      </c>
      <c r="I57" s="145">
        <f>H57*D57</f>
        <v>0</v>
      </c>
    </row>
    <row r="58" spans="1:12" x14ac:dyDescent="0.25">
      <c r="A58" s="536" t="s">
        <v>551</v>
      </c>
      <c r="B58" s="129"/>
      <c r="C58" s="126"/>
      <c r="D58" s="128">
        <f>TR_B</f>
        <v>0</v>
      </c>
      <c r="E58" s="223">
        <v>7.8E-2</v>
      </c>
      <c r="F58" s="128">
        <f t="shared" ref="F58:F63" si="0">IFERROR(E58*D58,0)</f>
        <v>0</v>
      </c>
      <c r="G58" s="128"/>
      <c r="H58" s="223">
        <v>0.1275</v>
      </c>
      <c r="I58" s="145">
        <f t="shared" ref="I58:I64" si="1">IFERROR(H58*D58,0)</f>
        <v>0</v>
      </c>
    </row>
    <row r="59" spans="1:12" x14ac:dyDescent="0.25">
      <c r="A59" s="536" t="s">
        <v>552</v>
      </c>
      <c r="B59" s="129"/>
      <c r="C59" s="126"/>
      <c r="D59" s="645">
        <f>GMP_MOIS</f>
        <v>0</v>
      </c>
      <c r="E59" s="223">
        <v>7.8E-2</v>
      </c>
      <c r="F59" s="128">
        <f>E59*D59</f>
        <v>0</v>
      </c>
      <c r="G59" s="128"/>
      <c r="H59" s="223">
        <v>0.1275</v>
      </c>
      <c r="I59" s="145">
        <f>H59*D59</f>
        <v>0</v>
      </c>
    </row>
    <row r="60" spans="1:12" x14ac:dyDescent="0.25">
      <c r="A60" s="536" t="s">
        <v>553</v>
      </c>
      <c r="B60" s="129"/>
      <c r="C60" s="126"/>
      <c r="D60" s="128">
        <f>TR_B</f>
        <v>0</v>
      </c>
      <c r="E60" s="223">
        <v>8.9999999999999993E-3</v>
      </c>
      <c r="F60" s="128">
        <f t="shared" si="0"/>
        <v>0</v>
      </c>
      <c r="G60" s="128"/>
      <c r="H60" s="223">
        <v>1.2999999999999999E-2</v>
      </c>
      <c r="I60" s="145">
        <f t="shared" si="1"/>
        <v>0</v>
      </c>
    </row>
    <row r="61" spans="1:12" x14ac:dyDescent="0.25">
      <c r="A61" s="536" t="s">
        <v>63</v>
      </c>
      <c r="B61" s="129"/>
      <c r="C61" s="126"/>
      <c r="D61" s="128">
        <f>IF(SBRUT&gt;4*PSS,4*PSS,SBRUT)</f>
        <v>0</v>
      </c>
      <c r="E61" s="635">
        <v>2.4000000000000001E-4</v>
      </c>
      <c r="F61" s="128">
        <f t="shared" si="0"/>
        <v>0</v>
      </c>
      <c r="G61" s="128"/>
      <c r="H61" s="635">
        <v>3.6000000000000002E-4</v>
      </c>
      <c r="I61" s="145">
        <f t="shared" si="1"/>
        <v>0</v>
      </c>
    </row>
    <row r="62" spans="1:12" x14ac:dyDescent="0.25">
      <c r="A62" s="536" t="s">
        <v>554</v>
      </c>
      <c r="B62" s="129"/>
      <c r="C62" s="126"/>
      <c r="D62" s="128">
        <f>TR_C</f>
        <v>0</v>
      </c>
      <c r="E62" s="223">
        <v>7.8E-2</v>
      </c>
      <c r="F62" s="128">
        <f t="shared" si="0"/>
        <v>0</v>
      </c>
      <c r="G62" s="128"/>
      <c r="H62" s="223">
        <v>0.1275</v>
      </c>
      <c r="I62" s="145">
        <f t="shared" si="1"/>
        <v>0</v>
      </c>
    </row>
    <row r="63" spans="1:12" x14ac:dyDescent="0.25">
      <c r="A63" s="536" t="s">
        <v>555</v>
      </c>
      <c r="B63" s="129"/>
      <c r="C63" s="126"/>
      <c r="D63" s="128">
        <f>IF(SBRUT&gt;8*PSS,8*PSS,SBRUT)</f>
        <v>0</v>
      </c>
      <c r="E63" s="223">
        <v>1.2999999999999999E-3</v>
      </c>
      <c r="F63" s="128">
        <f t="shared" si="0"/>
        <v>0</v>
      </c>
      <c r="G63" s="128"/>
      <c r="H63" s="223">
        <v>2.2000000000000001E-3</v>
      </c>
      <c r="I63" s="145">
        <f t="shared" si="1"/>
        <v>0</v>
      </c>
    </row>
    <row r="64" spans="1:12" x14ac:dyDescent="0.25">
      <c r="A64" s="536" t="s">
        <v>556</v>
      </c>
      <c r="B64" s="129"/>
      <c r="C64" s="126"/>
      <c r="D64" s="128">
        <f>IF(PSAL_PREV_DC=0,IF(SBRUT&gt;PSS,PSS,SBRUT),0)</f>
        <v>0</v>
      </c>
      <c r="E64" s="629"/>
      <c r="F64" s="630"/>
      <c r="G64" s="128"/>
      <c r="H64" s="223">
        <v>1.4999999999999999E-2</v>
      </c>
      <c r="I64" s="145">
        <f t="shared" si="1"/>
        <v>0</v>
      </c>
    </row>
    <row r="65" spans="1:10" x14ac:dyDescent="0.25">
      <c r="A65" s="536" t="s">
        <v>318</v>
      </c>
      <c r="B65" s="129"/>
      <c r="C65" s="126"/>
      <c r="D65" s="127">
        <f>MUTUELLE</f>
        <v>0</v>
      </c>
      <c r="E65" s="228">
        <f>PSAL_MUT</f>
        <v>0</v>
      </c>
      <c r="F65" s="128">
        <f>E65*D65</f>
        <v>0</v>
      </c>
      <c r="G65" s="128"/>
      <c r="H65" s="228">
        <f>IF(PSAL_MUT=0,0%,100%-PSAL_MUT)</f>
        <v>0</v>
      </c>
      <c r="I65" s="145">
        <f t="shared" ref="I65:I66" si="2">H65*D65</f>
        <v>0</v>
      </c>
    </row>
    <row r="66" spans="1:10" x14ac:dyDescent="0.25">
      <c r="A66" s="536" t="s">
        <v>317</v>
      </c>
      <c r="B66" s="129"/>
      <c r="C66" s="126"/>
      <c r="D66" s="128">
        <f>IF(PSAL_PREV_DC=0,0,IF(SBRUT&gt;PSS,PSS,SBRUT))</f>
        <v>0</v>
      </c>
      <c r="E66" s="228">
        <f>PSAL_PREV_DC</f>
        <v>0</v>
      </c>
      <c r="F66" s="128">
        <f t="shared" ref="F66" si="3">E66*D66</f>
        <v>0</v>
      </c>
      <c r="G66" s="128"/>
      <c r="H66" s="228">
        <f>PPAT_PREV_DC</f>
        <v>0</v>
      </c>
      <c r="I66" s="145">
        <f t="shared" si="2"/>
        <v>0</v>
      </c>
    </row>
    <row r="67" spans="1:10" ht="15.75" thickBot="1" x14ac:dyDescent="0.3">
      <c r="A67" s="893"/>
      <c r="B67" s="894"/>
      <c r="C67" s="132"/>
      <c r="D67" s="148"/>
      <c r="E67" s="224"/>
      <c r="F67" s="148"/>
      <c r="G67" s="148"/>
      <c r="H67" s="224"/>
      <c r="I67" s="149"/>
    </row>
    <row r="68" spans="1:10" s="142" customFormat="1" ht="15.75" thickBot="1" x14ac:dyDescent="0.3">
      <c r="A68" s="900" t="s">
        <v>21</v>
      </c>
      <c r="B68" s="901"/>
      <c r="C68" s="246"/>
      <c r="D68" s="249" t="s">
        <v>24</v>
      </c>
      <c r="E68" s="250" t="s">
        <v>25</v>
      </c>
      <c r="F68" s="250" t="s">
        <v>26</v>
      </c>
      <c r="G68" s="250"/>
      <c r="H68" s="250" t="s">
        <v>27</v>
      </c>
      <c r="I68" s="251" t="s">
        <v>28</v>
      </c>
    </row>
    <row r="69" spans="1:10" x14ac:dyDescent="0.25">
      <c r="A69" s="534" t="s">
        <v>22</v>
      </c>
      <c r="B69" s="535"/>
      <c r="C69" s="229"/>
      <c r="D69" s="230">
        <f>IF(NBRE_SALARIES&gt;20,SBRUT,IF(SBRUT&gt;PSS,PSS,SBRUT))</f>
        <v>0</v>
      </c>
      <c r="E69" s="631"/>
      <c r="F69" s="632"/>
      <c r="G69" s="230"/>
      <c r="H69" s="231">
        <f>IF(NBRE_SALARIES&gt;20,0.5%,0.1%)</f>
        <v>1E-3</v>
      </c>
      <c r="I69" s="232">
        <f>H69*D69</f>
        <v>0</v>
      </c>
    </row>
    <row r="70" spans="1:10" x14ac:dyDescent="0.25">
      <c r="A70" s="536" t="s">
        <v>320</v>
      </c>
      <c r="B70" s="129"/>
      <c r="C70" s="126"/>
      <c r="D70" s="128">
        <f>SBRUT</f>
        <v>0</v>
      </c>
      <c r="E70" s="630"/>
      <c r="F70" s="630"/>
      <c r="G70" s="128"/>
      <c r="H70" s="223">
        <v>1E-4</v>
      </c>
      <c r="I70" s="145">
        <f>H70*D70</f>
        <v>0</v>
      </c>
    </row>
    <row r="71" spans="1:10" x14ac:dyDescent="0.25">
      <c r="A71" s="539" t="s">
        <v>321</v>
      </c>
      <c r="B71" s="540"/>
      <c r="C71" s="233"/>
      <c r="D71" s="155">
        <f>SBRUT</f>
        <v>0</v>
      </c>
      <c r="E71" s="633"/>
      <c r="F71" s="634"/>
      <c r="G71" s="155"/>
      <c r="H71" s="234">
        <v>1.6000000000000001E-4</v>
      </c>
      <c r="I71" s="151">
        <f t="shared" ref="I71:I80" si="4">H71*D71</f>
        <v>0</v>
      </c>
    </row>
    <row r="72" spans="1:10" x14ac:dyDescent="0.25">
      <c r="A72" s="536" t="s">
        <v>332</v>
      </c>
      <c r="B72" s="541"/>
      <c r="C72" s="233"/>
      <c r="D72" s="155">
        <f>IF(SBRUT&gt;4*PSS,SBRUT+PPMUT+PPPREVDC,(SBRUT*98.25%)+PPMUT+PPPREVDC)</f>
        <v>0</v>
      </c>
      <c r="E72" s="255">
        <v>2.4E-2</v>
      </c>
      <c r="F72" s="154">
        <f>E72*D72</f>
        <v>0</v>
      </c>
      <c r="G72" s="155"/>
      <c r="H72" s="633"/>
      <c r="I72" s="636"/>
    </row>
    <row r="73" spans="1:10" x14ac:dyDescent="0.25">
      <c r="A73" s="536" t="s">
        <v>333</v>
      </c>
      <c r="B73" s="541"/>
      <c r="C73" s="233"/>
      <c r="D73" s="155">
        <f>IF(SBRUT&gt;4*PSS,SBRUT+PPMUT+PPPREVDC,(SBRUT*98.25%)+PPMUT+PPPREVDC)</f>
        <v>0</v>
      </c>
      <c r="E73" s="255">
        <v>5.0000000000000001E-3</v>
      </c>
      <c r="F73" s="154">
        <f>E73*D73</f>
        <v>0</v>
      </c>
      <c r="G73" s="155"/>
      <c r="H73" s="633"/>
      <c r="I73" s="636"/>
    </row>
    <row r="74" spans="1:10" x14ac:dyDescent="0.25">
      <c r="A74" s="536" t="s">
        <v>322</v>
      </c>
      <c r="B74" s="129"/>
      <c r="C74" s="126"/>
      <c r="D74" s="128" t="str">
        <f>IF(NBRE_SALARIES&gt;11,SBRUT,"")</f>
        <v/>
      </c>
      <c r="E74" s="629"/>
      <c r="F74" s="630"/>
      <c r="G74" s="128"/>
      <c r="H74" s="228">
        <f>COT_TR</f>
        <v>0</v>
      </c>
      <c r="I74" s="145">
        <f>IFERROR(H74*D74,0)</f>
        <v>0</v>
      </c>
    </row>
    <row r="75" spans="1:10" x14ac:dyDescent="0.25">
      <c r="A75" s="896" t="s">
        <v>29</v>
      </c>
      <c r="B75" s="897"/>
      <c r="C75" s="126"/>
      <c r="D75" s="128"/>
      <c r="E75" s="629"/>
      <c r="F75" s="630"/>
      <c r="G75" s="128"/>
      <c r="H75" s="228"/>
      <c r="I75" s="145"/>
      <c r="J75" s="84" t="s">
        <v>564</v>
      </c>
    </row>
    <row r="76" spans="1:10" x14ac:dyDescent="0.25">
      <c r="A76" s="532" t="s">
        <v>547</v>
      </c>
      <c r="B76" s="569"/>
      <c r="C76" s="126"/>
      <c r="D76" s="128">
        <f>IF(NBRE_SALARIES&lt;20,'info bulletin'!F30,0)</f>
        <v>0</v>
      </c>
      <c r="E76" s="629"/>
      <c r="F76" s="630"/>
      <c r="G76" s="128"/>
      <c r="H76" s="627">
        <v>1.5</v>
      </c>
      <c r="I76" s="145">
        <f>-H76*D76</f>
        <v>0</v>
      </c>
    </row>
    <row r="77" spans="1:10" x14ac:dyDescent="0.25">
      <c r="A77" s="536" t="s">
        <v>325</v>
      </c>
      <c r="B77" s="129"/>
      <c r="C77" s="126"/>
      <c r="D77" s="128" t="str">
        <f>IF(NBRE_SALARIES&gt;=20,SBRUT,"")</f>
        <v/>
      </c>
      <c r="E77" s="629"/>
      <c r="F77" s="630"/>
      <c r="G77" s="128"/>
      <c r="H77" s="228">
        <v>4.4999999999999997E-3</v>
      </c>
      <c r="I77" s="145">
        <f>IFERROR(H77*D77,0)</f>
        <v>0</v>
      </c>
    </row>
    <row r="78" spans="1:10" x14ac:dyDescent="0.25">
      <c r="A78" s="536" t="s">
        <v>326</v>
      </c>
      <c r="B78" s="129"/>
      <c r="C78" s="237" t="s">
        <v>327</v>
      </c>
      <c r="D78" s="128" t="str">
        <f>IF(C78="TVA","",SBRUT)</f>
        <v/>
      </c>
      <c r="E78" s="629"/>
      <c r="F78" s="630"/>
      <c r="G78" s="128"/>
      <c r="H78" s="223">
        <v>4.2500000000000003E-2</v>
      </c>
      <c r="I78" s="145">
        <f>IFERROR(H78*D78,0)</f>
        <v>0</v>
      </c>
      <c r="J78" s="238" t="s">
        <v>328</v>
      </c>
    </row>
    <row r="79" spans="1:10" x14ac:dyDescent="0.25">
      <c r="A79" s="536" t="s">
        <v>329</v>
      </c>
      <c r="B79" s="129"/>
      <c r="C79" s="126"/>
      <c r="D79" s="128">
        <f>SBRUT</f>
        <v>0</v>
      </c>
      <c r="E79" s="629"/>
      <c r="F79" s="630"/>
      <c r="G79" s="128"/>
      <c r="H79" s="223">
        <v>6.7999999999999996E-3</v>
      </c>
      <c r="I79" s="145">
        <f t="shared" si="4"/>
        <v>0</v>
      </c>
    </row>
    <row r="80" spans="1:10" x14ac:dyDescent="0.25">
      <c r="A80" s="536" t="s">
        <v>330</v>
      </c>
      <c r="B80" s="129"/>
      <c r="C80" s="126"/>
      <c r="D80" s="128">
        <f>SBRUT</f>
        <v>0</v>
      </c>
      <c r="E80" s="629"/>
      <c r="F80" s="630"/>
      <c r="G80" s="128"/>
      <c r="H80" s="223">
        <f>IF(NBRE_SALARIES&gt;=11,1%,0.55%)</f>
        <v>5.5000000000000005E-3</v>
      </c>
      <c r="I80" s="145">
        <f t="shared" si="4"/>
        <v>0</v>
      </c>
    </row>
    <row r="81" spans="1:10" ht="15.75" thickBot="1" x14ac:dyDescent="0.3">
      <c r="A81" s="896"/>
      <c r="B81" s="897"/>
      <c r="C81" s="126"/>
      <c r="D81" s="128"/>
      <c r="E81" s="223"/>
      <c r="F81" s="128"/>
      <c r="G81" s="128"/>
      <c r="H81" s="223"/>
      <c r="I81" s="145"/>
    </row>
    <row r="82" spans="1:10" ht="15.75" thickBot="1" x14ac:dyDescent="0.3">
      <c r="A82" s="150"/>
      <c r="B82" s="133"/>
      <c r="C82" s="133"/>
      <c r="D82" s="148"/>
      <c r="E82" s="256" t="s">
        <v>323</v>
      </c>
      <c r="F82" s="235">
        <f>SUM(F39:F81)</f>
        <v>0</v>
      </c>
      <c r="G82" s="148"/>
      <c r="H82" s="236" t="s">
        <v>324</v>
      </c>
      <c r="I82" s="235">
        <f>SUM(I39:I81)</f>
        <v>0</v>
      </c>
    </row>
    <row r="83" spans="1:10" ht="15.75" thickBot="1" x14ac:dyDescent="0.3">
      <c r="A83" s="150"/>
      <c r="B83" s="258"/>
      <c r="C83" s="259"/>
      <c r="D83" s="908" t="s">
        <v>462</v>
      </c>
      <c r="E83" s="913"/>
      <c r="F83" s="153">
        <f>SBRUT-totcotsal</f>
        <v>0</v>
      </c>
      <c r="G83" s="148"/>
      <c r="H83" s="257"/>
      <c r="I83" s="149"/>
    </row>
    <row r="84" spans="1:10" x14ac:dyDescent="0.25">
      <c r="A84" s="543"/>
      <c r="B84" s="543"/>
      <c r="C84" s="156"/>
      <c r="D84" s="127"/>
      <c r="E84" s="127"/>
      <c r="F84" s="127"/>
      <c r="G84" s="128"/>
      <c r="H84" s="128"/>
      <c r="I84" s="145"/>
      <c r="J84" s="754"/>
    </row>
    <row r="85" spans="1:10" x14ac:dyDescent="0.25">
      <c r="A85" s="828"/>
      <c r="B85" s="543"/>
      <c r="C85" s="156"/>
      <c r="D85" s="127" t="str">
        <f>IFERROR(IF(VLOOKUP(A85,RECAP!$M$2:$O$50,2,FALSE)=0,"",(VLOOKUP(A85,RECAP!$M$2:$O$50,2,FALSE))),"")</f>
        <v/>
      </c>
      <c r="E85" s="127"/>
      <c r="F85" s="127" t="str">
        <f>IFERROR(IF(VLOOKUP(A85,RECAP!$M$2:$O$50,3,FALSE)=0,"",(VLOOKUP(A85,RECAP!$M$2:$O$50,3,FALSE))),"")</f>
        <v/>
      </c>
      <c r="G85" s="128"/>
      <c r="H85" s="128"/>
      <c r="I85" s="145"/>
      <c r="J85" s="754"/>
    </row>
    <row r="86" spans="1:10" x14ac:dyDescent="0.25">
      <c r="A86" s="828"/>
      <c r="B86" s="543"/>
      <c r="C86" s="156"/>
      <c r="D86" s="127" t="str">
        <f>IFERROR(IF(VLOOKUP(A86,RECAP!$M$2:$O$50,2,FALSE)=0,"",(VLOOKUP(A86,RECAP!$M$2:$O$50,2,FALSE))),"")</f>
        <v/>
      </c>
      <c r="E86" s="127"/>
      <c r="F86" s="127" t="str">
        <f>IFERROR(IF(VLOOKUP(A86,RECAP!$M$2:$O$50,3,FALSE)=0,"",(VLOOKUP(A86,RECAP!$M$2:$O$50,3,FALSE))),"")</f>
        <v/>
      </c>
      <c r="G86" s="128"/>
      <c r="H86" s="128"/>
      <c r="I86" s="145"/>
      <c r="J86" s="754"/>
    </row>
    <row r="87" spans="1:10" x14ac:dyDescent="0.25">
      <c r="A87" s="828"/>
      <c r="B87" s="829"/>
      <c r="C87" s="156"/>
      <c r="D87" s="127" t="str">
        <f>IFERROR(IF(VLOOKUP(A87,RECAP!$M$2:$O$50,2,FALSE)=0,"",(VLOOKUP(A87,RECAP!$M$2:$O$50,2,FALSE))),"")</f>
        <v/>
      </c>
      <c r="E87" s="459"/>
      <c r="F87" s="127" t="str">
        <f>IFERROR(IF(VLOOKUP(A87,RECAP!$M$2:$O$50,3,FALSE)=0,"",(VLOOKUP(A87,RECAP!$M$2:$O$50,3,FALSE))),"")</f>
        <v/>
      </c>
      <c r="G87" s="128"/>
      <c r="H87" s="128"/>
      <c r="I87" s="145"/>
      <c r="J87" s="754"/>
    </row>
    <row r="88" spans="1:10" ht="12.75" customHeight="1" x14ac:dyDescent="0.25">
      <c r="A88" s="828"/>
      <c r="B88" s="829"/>
      <c r="C88" s="156"/>
      <c r="D88" s="127" t="str">
        <f>IFERROR(IF(VLOOKUP(A88,RECAP!$M$2:$O$50,2,FALSE)=0,"",(VLOOKUP(A88,RECAP!$M$2:$O$50,2,FALSE))),"")</f>
        <v/>
      </c>
      <c r="E88" s="459"/>
      <c r="F88" s="127" t="str">
        <f>IFERROR(IF(VLOOKUP(A88,RECAP!$M$2:$O$50,3,FALSE)=0,"",(VLOOKUP(A88,RECAP!$M$2:$O$50,3,FALSE))),"")</f>
        <v/>
      </c>
      <c r="G88" s="128"/>
      <c r="H88" s="128"/>
      <c r="I88" s="145"/>
      <c r="J88" s="754"/>
    </row>
    <row r="89" spans="1:10" ht="12.75" customHeight="1" x14ac:dyDescent="0.25">
      <c r="A89" s="828"/>
      <c r="B89" s="543"/>
      <c r="C89" s="156"/>
      <c r="D89" s="127" t="str">
        <f>IFERROR(IF(VLOOKUP(A89,RECAP!$M$2:$O$50,2,FALSE)=0,"",(VLOOKUP(A89,RECAP!$M$2:$O$50,2,FALSE))),"")</f>
        <v/>
      </c>
      <c r="E89" s="157"/>
      <c r="F89" s="127" t="str">
        <f>IFERROR(IF(VLOOKUP(A89,RECAP!$M$2:$O$50,3,FALSE)=0,"",(VLOOKUP(A89,RECAP!$M$2:$O$50,3,FALSE))),"")</f>
        <v/>
      </c>
      <c r="G89" s="128"/>
      <c r="H89" s="128"/>
      <c r="I89" s="145"/>
      <c r="J89" s="754"/>
    </row>
    <row r="90" spans="1:10" x14ac:dyDescent="0.25">
      <c r="A90" s="828"/>
      <c r="B90" s="543"/>
      <c r="C90" s="156"/>
      <c r="D90" s="127" t="str">
        <f>IFERROR(IF(VLOOKUP(A90,RECAP!$M$2:$O$50,2,FALSE)=0,"",(VLOOKUP(A90,RECAP!$M$2:$O$50,2,FALSE))),"")</f>
        <v/>
      </c>
      <c r="E90" s="127"/>
      <c r="F90" s="127" t="str">
        <f>IFERROR(IF(VLOOKUP(A90,RECAP!$M$2:$O$50,3,FALSE)=0,"",(VLOOKUP(A90,RECAP!$M$2:$O$50,3,FALSE))),"")</f>
        <v/>
      </c>
      <c r="G90" s="128"/>
      <c r="H90" s="128"/>
      <c r="I90" s="145"/>
      <c r="J90" s="754"/>
    </row>
    <row r="91" spans="1:10" x14ac:dyDescent="0.25">
      <c r="A91" s="828"/>
      <c r="B91" s="543"/>
      <c r="C91" s="156"/>
      <c r="D91" s="127" t="str">
        <f>IFERROR(IF(VLOOKUP(A91,RECAP!$M$2:$O$50,2,FALSE)=0,"",(VLOOKUP(A91,RECAP!$M$2:$O$50,2,FALSE))),"")</f>
        <v/>
      </c>
      <c r="E91" s="127"/>
      <c r="F91" s="127" t="str">
        <f>IFERROR(IF(VLOOKUP(A91,RECAP!$M$2:$O$50,3,FALSE)=0,"",(VLOOKUP(A91,RECAP!$M$2:$O$50,3,FALSE))),"")</f>
        <v/>
      </c>
      <c r="G91" s="128"/>
      <c r="H91" s="128"/>
      <c r="I91" s="145"/>
      <c r="J91" s="754"/>
    </row>
    <row r="92" spans="1:10" x14ac:dyDescent="0.25">
      <c r="A92" s="828"/>
      <c r="B92" s="543"/>
      <c r="C92" s="156"/>
      <c r="D92" s="127" t="str">
        <f>IFERROR(IF(VLOOKUP(A92,RECAP!$M$2:$O$50,2,FALSE)=0,"",(VLOOKUP(A92,RECAP!$M$2:$O$50,2,FALSE))),"")</f>
        <v/>
      </c>
      <c r="E92" s="127"/>
      <c r="F92" s="127" t="str">
        <f>IFERROR(IF(VLOOKUP(A92,RECAP!$M$2:$O$50,3,FALSE)=0,"",(VLOOKUP(A92,RECAP!$M$2:$O$50,3,FALSE))),"")</f>
        <v/>
      </c>
      <c r="G92" s="128"/>
      <c r="H92" s="128"/>
      <c r="I92" s="145"/>
      <c r="J92" s="754"/>
    </row>
    <row r="93" spans="1:10" ht="14.25" customHeight="1" x14ac:dyDescent="0.25">
      <c r="A93" s="828"/>
      <c r="B93" s="543"/>
      <c r="C93" s="156"/>
      <c r="D93" s="127" t="str">
        <f>IFERROR(IF(VLOOKUP(A93,RECAP!$M$2:$O$50,2,FALSE)=0,"",(VLOOKUP(A93,RECAP!$M$2:$O$50,2,FALSE))),"")</f>
        <v/>
      </c>
      <c r="E93" s="127"/>
      <c r="F93" s="127" t="str">
        <f>IFERROR(IF(VLOOKUP(A93,RECAP!$M$2:$O$50,3,FALSE)=0,"",(VLOOKUP(A93,RECAP!$M$2:$O$50,3,FALSE))),"")</f>
        <v/>
      </c>
      <c r="G93" s="128"/>
      <c r="H93" s="128"/>
      <c r="I93" s="145"/>
      <c r="J93" s="754"/>
    </row>
    <row r="94" spans="1:10" x14ac:dyDescent="0.25">
      <c r="A94" s="828"/>
      <c r="B94" s="543"/>
      <c r="C94" s="156"/>
      <c r="D94" s="127" t="str">
        <f>IFERROR(IF(VLOOKUP(A94,RECAP!$M$2:$O$50,2,FALSE)=0,"",(VLOOKUP(A94,RECAP!$M$2:$O$50,2,FALSE))),"")</f>
        <v/>
      </c>
      <c r="E94" s="127"/>
      <c r="F94" s="127" t="str">
        <f>IFERROR(IF(VLOOKUP(A94,RECAP!$M$2:$O$50,3,FALSE)=0,"",(VLOOKUP(A94,RECAP!$M$2:$O$50,3,FALSE))),"")</f>
        <v/>
      </c>
      <c r="G94" s="128"/>
      <c r="H94" s="128"/>
      <c r="I94" s="145"/>
      <c r="J94" s="754"/>
    </row>
    <row r="95" spans="1:10" x14ac:dyDescent="0.25">
      <c r="A95" s="828"/>
      <c r="B95" s="543"/>
      <c r="C95" s="156"/>
      <c r="D95" s="127" t="str">
        <f>IFERROR(IF(VLOOKUP(A95,RECAP!$M$2:$O$50,2,FALSE)=0,"",(VLOOKUP(A95,RECAP!$M$2:$O$50,2,FALSE))),"")</f>
        <v/>
      </c>
      <c r="E95" s="127"/>
      <c r="F95" s="127" t="str">
        <f>IFERROR(IF(VLOOKUP(A95,RECAP!$M$2:$O$50,3,FALSE)=0,"",(VLOOKUP(A95,RECAP!$M$2:$O$50,3,FALSE))),"")</f>
        <v/>
      </c>
      <c r="G95" s="128"/>
      <c r="H95" s="128"/>
      <c r="I95" s="145"/>
      <c r="J95" s="754"/>
    </row>
    <row r="96" spans="1:10" x14ac:dyDescent="0.25">
      <c r="A96" s="828"/>
      <c r="B96" s="543"/>
      <c r="C96" s="156"/>
      <c r="D96" s="127" t="str">
        <f>IFERROR(IF(VLOOKUP(A96,RECAP!$M$2:$O$50,2,FALSE)=0,"",(VLOOKUP(A96,RECAP!$M$2:$O$50,2,FALSE))),"")</f>
        <v/>
      </c>
      <c r="E96" s="127"/>
      <c r="F96" s="127" t="str">
        <f>IFERROR(IF(VLOOKUP(A96,RECAP!$M$2:$O$50,3,FALSE)=0,"",(VLOOKUP(A96,RECAP!$M$2:$O$50,3,FALSE))),"")</f>
        <v/>
      </c>
      <c r="G96" s="128"/>
      <c r="H96" s="128"/>
      <c r="I96" s="145"/>
      <c r="J96" s="754"/>
    </row>
    <row r="97" spans="1:10" x14ac:dyDescent="0.25">
      <c r="A97" s="828"/>
      <c r="B97" s="543"/>
      <c r="C97" s="156"/>
      <c r="D97" s="127" t="str">
        <f>IFERROR(IF(VLOOKUP(A97,RECAP!$M$2:$O$50,2,FALSE)=0,"",(VLOOKUP(A97,RECAP!$M$2:$O$50,2,FALSE))),"")</f>
        <v/>
      </c>
      <c r="E97" s="127"/>
      <c r="F97" s="127" t="str">
        <f>IFERROR(IF(VLOOKUP(A97,RECAP!$M$2:$O$50,3,FALSE)=0,"",(VLOOKUP(A97,RECAP!$M$2:$O$50,3,FALSE))),"")</f>
        <v/>
      </c>
      <c r="G97" s="128"/>
      <c r="H97" s="128"/>
      <c r="I97" s="145"/>
      <c r="J97" s="754"/>
    </row>
    <row r="98" spans="1:10" ht="15.75" thickBot="1" x14ac:dyDescent="0.3">
      <c r="A98" s="828"/>
      <c r="B98" s="543"/>
      <c r="C98" s="156"/>
      <c r="D98" s="127"/>
      <c r="E98" s="127"/>
      <c r="F98" s="127"/>
      <c r="G98" s="128"/>
      <c r="H98" s="128"/>
      <c r="I98" s="145"/>
      <c r="J98" s="754"/>
    </row>
    <row r="99" spans="1:10" ht="15.75" thickBot="1" x14ac:dyDescent="0.3">
      <c r="A99" s="911"/>
      <c r="B99" s="912"/>
      <c r="C99" s="158"/>
      <c r="D99" s="158"/>
      <c r="E99" s="254" t="s">
        <v>331</v>
      </c>
      <c r="F99" s="235">
        <f>SUM(F84:F98)</f>
        <v>0</v>
      </c>
      <c r="G99" s="158"/>
      <c r="H99" s="236" t="s">
        <v>324</v>
      </c>
      <c r="I99" s="621">
        <f>totcotpat</f>
        <v>0</v>
      </c>
      <c r="J99" s="754"/>
    </row>
    <row r="100" spans="1:10" ht="15.75" thickBot="1" x14ac:dyDescent="0.3">
      <c r="A100" s="252"/>
      <c r="B100" s="253"/>
      <c r="C100" s="133"/>
      <c r="D100" s="133"/>
      <c r="E100" s="133"/>
      <c r="F100" s="133"/>
      <c r="G100" s="133"/>
      <c r="H100" s="133"/>
      <c r="I100" s="149"/>
      <c r="J100" s="754"/>
    </row>
    <row r="101" spans="1:10" ht="15.75" thickBot="1" x14ac:dyDescent="0.3">
      <c r="A101" s="150"/>
      <c r="B101" s="133"/>
      <c r="C101" s="908" t="s">
        <v>334</v>
      </c>
      <c r="D101" s="909"/>
      <c r="E101" s="910"/>
      <c r="F101" s="153">
        <f>SNAR+TOTRET</f>
        <v>0</v>
      </c>
      <c r="G101" s="148"/>
      <c r="I101" s="149"/>
      <c r="J101" s="643"/>
    </row>
    <row r="102" spans="1:10" x14ac:dyDescent="0.25">
      <c r="A102" s="150"/>
      <c r="B102" s="133"/>
      <c r="C102" s="133"/>
      <c r="D102" s="148"/>
      <c r="E102" s="148"/>
      <c r="F102" s="148"/>
      <c r="G102" s="148"/>
      <c r="H102" s="148"/>
      <c r="I102" s="149"/>
      <c r="J102" s="643"/>
    </row>
    <row r="103" spans="1:10" ht="15.75" thickBot="1" x14ac:dyDescent="0.3">
      <c r="A103" s="150"/>
      <c r="B103" s="133"/>
      <c r="C103" s="133"/>
      <c r="D103" s="148"/>
      <c r="E103" s="148"/>
      <c r="F103" s="148"/>
      <c r="G103" s="148"/>
      <c r="H103" s="148"/>
      <c r="I103" s="149"/>
      <c r="J103" s="643"/>
    </row>
    <row r="104" spans="1:10" ht="15.75" thickBot="1" x14ac:dyDescent="0.3">
      <c r="A104" s="150"/>
      <c r="B104" s="133"/>
      <c r="C104" s="133"/>
      <c r="D104" s="148"/>
      <c r="E104" s="148"/>
      <c r="F104" s="148"/>
      <c r="G104" s="148"/>
      <c r="H104" s="918" t="s">
        <v>30</v>
      </c>
      <c r="I104" s="910"/>
      <c r="J104" s="643"/>
    </row>
    <row r="105" spans="1:10" ht="15.75" thickBot="1" x14ac:dyDescent="0.3">
      <c r="A105" s="159"/>
      <c r="B105" s="160"/>
      <c r="C105" s="160"/>
      <c r="D105" s="161"/>
      <c r="E105" s="161"/>
      <c r="F105" s="161"/>
      <c r="G105" s="161"/>
      <c r="H105" s="919">
        <f>NAP</f>
        <v>0</v>
      </c>
      <c r="I105" s="920"/>
    </row>
    <row r="106" spans="1:10" ht="15.75" thickBot="1" x14ac:dyDescent="0.3">
      <c r="A106" s="914" t="s">
        <v>31</v>
      </c>
      <c r="B106" s="915"/>
      <c r="C106" s="141"/>
      <c r="D106" s="162"/>
      <c r="E106" s="162"/>
      <c r="F106" s="162"/>
      <c r="G106" s="162"/>
      <c r="H106" s="162"/>
      <c r="I106" s="163"/>
    </row>
    <row r="107" spans="1:10" x14ac:dyDescent="0.25">
      <c r="A107" s="150"/>
      <c r="B107" s="133"/>
      <c r="C107" s="133"/>
      <c r="D107" s="133"/>
      <c r="E107" s="133"/>
      <c r="F107" s="133"/>
      <c r="G107" s="133"/>
      <c r="H107" s="133"/>
      <c r="I107" s="164"/>
    </row>
    <row r="108" spans="1:10" ht="15.75" thickBot="1" x14ac:dyDescent="0.3">
      <c r="A108" s="150"/>
      <c r="B108" s="133"/>
      <c r="C108" s="133"/>
      <c r="D108" s="133"/>
      <c r="E108" s="133"/>
      <c r="F108" s="133"/>
      <c r="G108" s="133"/>
      <c r="H108" s="133"/>
      <c r="I108" s="164"/>
    </row>
    <row r="109" spans="1:10" ht="15.75" thickBot="1" x14ac:dyDescent="0.3">
      <c r="A109" s="914" t="s">
        <v>32</v>
      </c>
      <c r="B109" s="915"/>
      <c r="C109" s="141"/>
      <c r="D109" s="162"/>
      <c r="E109" s="162"/>
      <c r="F109" s="162"/>
      <c r="G109" s="162"/>
      <c r="H109" s="162"/>
      <c r="I109" s="163"/>
    </row>
    <row r="110" spans="1:10" x14ac:dyDescent="0.25">
      <c r="A110" s="150"/>
      <c r="B110" s="133"/>
      <c r="C110" s="133"/>
      <c r="D110" s="133"/>
      <c r="E110" s="133"/>
      <c r="F110" s="133"/>
      <c r="G110" s="133"/>
      <c r="H110" s="133"/>
      <c r="I110" s="164"/>
    </row>
    <row r="111" spans="1:10" ht="15.75" thickBot="1" x14ac:dyDescent="0.3">
      <c r="A111" s="159"/>
      <c r="B111" s="160"/>
      <c r="C111" s="160"/>
      <c r="D111" s="160"/>
      <c r="E111" s="160"/>
      <c r="F111" s="160"/>
      <c r="G111" s="160"/>
      <c r="H111" s="160"/>
      <c r="I111" s="165"/>
    </row>
    <row r="112" spans="1:10" x14ac:dyDescent="0.25">
      <c r="A112" s="110" t="s">
        <v>34</v>
      </c>
      <c r="G112" s="916" t="s">
        <v>36</v>
      </c>
      <c r="H112" s="917"/>
      <c r="I112" s="262" t="s">
        <v>35</v>
      </c>
    </row>
    <row r="113" spans="1:9" ht="15.75" thickBot="1" x14ac:dyDescent="0.3">
      <c r="A113" s="110" t="s">
        <v>33</v>
      </c>
      <c r="G113" s="263"/>
      <c r="H113" s="260">
        <f>NAP</f>
        <v>0</v>
      </c>
      <c r="I113" s="261">
        <f>NAP+F72+F73+PPMUT-ACOMPTE-SAISIE_SAL+PS_MUT</f>
        <v>0</v>
      </c>
    </row>
  </sheetData>
  <mergeCells count="23">
    <mergeCell ref="A109:B109"/>
    <mergeCell ref="G112:H112"/>
    <mergeCell ref="H104:I104"/>
    <mergeCell ref="H105:I105"/>
    <mergeCell ref="A106:B106"/>
    <mergeCell ref="C101:E101"/>
    <mergeCell ref="A99:B99"/>
    <mergeCell ref="D83:E83"/>
    <mergeCell ref="A67:B67"/>
    <mergeCell ref="A68:B68"/>
    <mergeCell ref="A54:B54"/>
    <mergeCell ref="A1:B2"/>
    <mergeCell ref="A81:B81"/>
    <mergeCell ref="A40:B40"/>
    <mergeCell ref="A55:B55"/>
    <mergeCell ref="A15:B15"/>
    <mergeCell ref="A49:B49"/>
    <mergeCell ref="A50:B50"/>
    <mergeCell ref="A36:B36"/>
    <mergeCell ref="A37:B37"/>
    <mergeCell ref="A38:B38"/>
    <mergeCell ref="A41:B41"/>
    <mergeCell ref="A75:B75"/>
  </mergeCells>
  <hyperlinks>
    <hyperlink ref="J75" location="FILLON" display="FILLON" xr:uid="{00000000-0004-0000-0300-000000000000}"/>
  </hyperlinks>
  <printOptions horizontalCentered="1" verticalCentered="1"/>
  <pageMargins left="0.23622047244094491" right="0.23622047244094491" top="0.74803149606299213" bottom="0.74803149606299213" header="0.31496062992125984" footer="0.31496062992125984"/>
  <pageSetup paperSize="9" scale="45" fitToWidth="0" orientation="portrait" r:id="rId1"/>
  <headerFooter>
    <oddFooter>&amp;LMORALES Sandrine&amp;RGestionnaire de paie 2 
&amp;D</oddFooter>
  </headerFooter>
  <ignoredErrors>
    <ignoredError sqref="I45:I46 I44 I74"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9" r:id="rId4" name="Button 19">
              <controlPr defaultSize="0" print="0" autoFill="0" autoPict="0" macro="[0]!COPIE_BULLETIN">
                <anchor moveWithCells="1" sizeWithCells="1">
                  <from>
                    <xdr:col>11</xdr:col>
                    <xdr:colOff>57150</xdr:colOff>
                    <xdr:row>4</xdr:row>
                    <xdr:rowOff>19050</xdr:rowOff>
                  </from>
                  <to>
                    <xdr:col>11</xdr:col>
                    <xdr:colOff>1238250</xdr:colOff>
                    <xdr:row>9</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RECAP!$B$2:$B$50</xm:f>
          </x14:formula1>
          <xm:sqref>A17:A34</xm:sqref>
        </x14:dataValidation>
        <x14:dataValidation type="list" allowBlank="1" showInputMessage="1" showErrorMessage="1" xr:uid="{00000000-0002-0000-0300-000001000000}">
          <x14:formula1>
            <xm:f>RECAP!$M$2:$M$50</xm:f>
          </x14:formula1>
          <xm:sqref>A85:A98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pageSetUpPr fitToPage="1"/>
  </sheetPr>
  <dimension ref="A1:I60"/>
  <sheetViews>
    <sheetView workbookViewId="0">
      <pane ySplit="15" topLeftCell="A19" activePane="bottomLeft" state="frozen"/>
      <selection pane="bottomLeft" activeCell="A16" sqref="A16"/>
    </sheetView>
  </sheetViews>
  <sheetFormatPr baseColWidth="10" defaultColWidth="11.42578125" defaultRowHeight="15" x14ac:dyDescent="0.25"/>
  <cols>
    <col min="1" max="1" width="30.7109375" customWidth="1"/>
    <col min="2" max="2" width="17.28515625" customWidth="1"/>
    <col min="3" max="3" width="2.5703125" customWidth="1"/>
    <col min="4" max="4" width="14.85546875" customWidth="1"/>
    <col min="5" max="5" width="22.5703125" customWidth="1"/>
    <col min="6" max="6" width="17" customWidth="1"/>
    <col min="7" max="8" width="16.5703125" customWidth="1"/>
  </cols>
  <sheetData>
    <row r="1" spans="1:9" x14ac:dyDescent="0.25">
      <c r="A1" s="929" t="s">
        <v>0</v>
      </c>
      <c r="B1" s="929"/>
      <c r="C1" s="297"/>
      <c r="D1" s="308" t="s">
        <v>37</v>
      </c>
      <c r="E1" s="309"/>
      <c r="F1" s="309"/>
      <c r="G1" s="309"/>
      <c r="H1" s="309"/>
      <c r="I1" s="303"/>
    </row>
    <row r="2" spans="1:9" x14ac:dyDescent="0.25">
      <c r="A2" s="929"/>
      <c r="B2" s="929"/>
      <c r="C2" s="297"/>
      <c r="D2" s="304"/>
      <c r="E2" s="310" t="s">
        <v>38</v>
      </c>
      <c r="F2" s="310" t="str">
        <f>'Modèle Cadre'!F2</f>
        <v/>
      </c>
      <c r="G2" s="310"/>
      <c r="H2" s="310"/>
      <c r="I2" s="305"/>
    </row>
    <row r="3" spans="1:9" ht="12" customHeight="1" x14ac:dyDescent="0.25">
      <c r="A3" s="299"/>
      <c r="B3" s="299"/>
      <c r="C3" s="299"/>
      <c r="D3" s="304"/>
      <c r="E3" s="310" t="s">
        <v>39</v>
      </c>
      <c r="F3" s="310" t="str">
        <f>'Modèle Cadre'!F3</f>
        <v/>
      </c>
      <c r="G3" s="310"/>
      <c r="H3" s="310"/>
      <c r="I3" s="305"/>
    </row>
    <row r="4" spans="1:9" ht="12" customHeight="1" x14ac:dyDescent="0.25">
      <c r="A4" s="301" t="s">
        <v>47</v>
      </c>
      <c r="B4" s="301" t="str">
        <f>'Modèle Cadre'!B4</f>
        <v/>
      </c>
      <c r="C4" s="299"/>
      <c r="D4" s="304"/>
      <c r="E4" s="310" t="s">
        <v>40</v>
      </c>
      <c r="F4" s="310" t="str">
        <f>'Modèle Cadre'!F4</f>
        <v/>
      </c>
      <c r="G4" s="310"/>
      <c r="H4" s="310"/>
      <c r="I4" s="305"/>
    </row>
    <row r="5" spans="1:9" ht="12" customHeight="1" x14ac:dyDescent="0.25">
      <c r="A5" s="299"/>
      <c r="B5" s="299"/>
      <c r="C5" s="299"/>
      <c r="D5" s="304"/>
      <c r="E5" s="310" t="s">
        <v>41</v>
      </c>
      <c r="F5" s="310" t="str">
        <f>'Modèle Cadre'!F5</f>
        <v/>
      </c>
      <c r="G5" s="310" t="s">
        <v>42</v>
      </c>
      <c r="H5" s="313" t="str">
        <f>'Modèle Cadre'!H5</f>
        <v/>
      </c>
      <c r="I5" s="305"/>
    </row>
    <row r="6" spans="1:9" ht="12" customHeight="1" x14ac:dyDescent="0.25">
      <c r="A6" s="302" t="s">
        <v>1</v>
      </c>
      <c r="B6" s="303" t="str">
        <f>'Modèle Cadre'!B7</f>
        <v/>
      </c>
      <c r="C6" s="299"/>
      <c r="D6" s="306"/>
      <c r="E6" s="315" t="s">
        <v>43</v>
      </c>
      <c r="F6" s="311" t="str">
        <f>'Modèle Cadre'!H6</f>
        <v/>
      </c>
      <c r="G6" s="311"/>
      <c r="H6" s="311"/>
      <c r="I6" s="307"/>
    </row>
    <row r="7" spans="1:9" ht="12" customHeight="1" x14ac:dyDescent="0.25">
      <c r="A7" s="304" t="s">
        <v>2</v>
      </c>
      <c r="B7" s="305" t="str">
        <f>'Modèle Cadre'!B8</f>
        <v/>
      </c>
      <c r="C7" s="299"/>
      <c r="D7" s="299"/>
      <c r="E7" s="299"/>
      <c r="F7" s="299"/>
      <c r="G7" s="299"/>
      <c r="H7" s="299"/>
      <c r="I7" s="299"/>
    </row>
    <row r="8" spans="1:9" ht="12" customHeight="1" x14ac:dyDescent="0.25">
      <c r="A8" s="304" t="s">
        <v>3</v>
      </c>
      <c r="B8" s="305" t="str">
        <f>'Modèle Cadre'!B9</f>
        <v/>
      </c>
      <c r="C8" s="298"/>
      <c r="D8" s="299"/>
      <c r="E8" s="299"/>
      <c r="F8" s="299"/>
      <c r="G8" s="299"/>
      <c r="H8" s="299"/>
      <c r="I8" s="299"/>
    </row>
    <row r="9" spans="1:9" ht="12" customHeight="1" x14ac:dyDescent="0.25">
      <c r="A9" s="304" t="s">
        <v>4</v>
      </c>
      <c r="B9" s="305" t="str">
        <f>'Modèle Cadre'!B10</f>
        <v/>
      </c>
      <c r="C9" s="298"/>
      <c r="D9" s="308" t="s">
        <v>44</v>
      </c>
      <c r="E9" s="309"/>
      <c r="F9" s="309"/>
      <c r="G9" s="309"/>
      <c r="H9" s="309"/>
      <c r="I9" s="303"/>
    </row>
    <row r="10" spans="1:9" ht="12" customHeight="1" x14ac:dyDescent="0.25">
      <c r="A10" s="304" t="s">
        <v>6</v>
      </c>
      <c r="B10" s="305" t="str">
        <f>'Modèle Cadre'!B11</f>
        <v/>
      </c>
      <c r="C10" s="298"/>
      <c r="D10" s="304"/>
      <c r="E10" s="310" t="s">
        <v>45</v>
      </c>
      <c r="F10" s="310" t="str">
        <f>'Modèle Cadre'!F10</f>
        <v/>
      </c>
      <c r="G10" s="310" t="str">
        <f>'Modèle Cadre'!H10</f>
        <v/>
      </c>
      <c r="H10" s="310"/>
      <c r="I10" s="305"/>
    </row>
    <row r="11" spans="1:9" ht="12" customHeight="1" x14ac:dyDescent="0.25">
      <c r="A11" s="304" t="s">
        <v>5</v>
      </c>
      <c r="B11" s="312" t="str">
        <f>'Modèle Cadre'!B12</f>
        <v/>
      </c>
      <c r="C11" s="298"/>
      <c r="D11" s="304"/>
      <c r="E11" s="310" t="s">
        <v>39</v>
      </c>
      <c r="F11" s="310" t="str">
        <f>'Modèle Cadre'!F11</f>
        <v/>
      </c>
      <c r="G11" s="310"/>
      <c r="H11" s="310"/>
      <c r="I11" s="305"/>
    </row>
    <row r="12" spans="1:9" ht="12" customHeight="1" x14ac:dyDescent="0.25">
      <c r="A12" s="306" t="s">
        <v>76</v>
      </c>
      <c r="B12" s="314">
        <f>PSS</f>
        <v>3269</v>
      </c>
      <c r="C12" s="298"/>
      <c r="D12" s="304"/>
      <c r="E12" s="310" t="s">
        <v>46</v>
      </c>
      <c r="F12" s="310" t="str">
        <f>'Modèle Cadre'!F12</f>
        <v/>
      </c>
      <c r="G12" s="310" t="s">
        <v>345</v>
      </c>
      <c r="H12" s="310" t="str">
        <f>'Modèle Cadre'!I12</f>
        <v/>
      </c>
      <c r="I12" s="305"/>
    </row>
    <row r="13" spans="1:9" ht="12" customHeight="1" x14ac:dyDescent="0.25">
      <c r="A13" s="300"/>
      <c r="B13" s="300"/>
      <c r="C13" s="298"/>
      <c r="D13" s="306"/>
      <c r="E13" s="311"/>
      <c r="F13" s="311"/>
      <c r="G13" s="311"/>
      <c r="H13" s="311"/>
      <c r="I13" s="307"/>
    </row>
    <row r="14" spans="1:9" ht="12" customHeight="1" thickBot="1" x14ac:dyDescent="0.3">
      <c r="C14" s="18"/>
      <c r="D14" s="18"/>
      <c r="E14" s="18"/>
      <c r="F14" s="18"/>
      <c r="G14" s="18"/>
      <c r="H14" s="18"/>
      <c r="I14" s="18"/>
    </row>
    <row r="15" spans="1:9" ht="15.75" thickBot="1" x14ac:dyDescent="0.3">
      <c r="A15" s="930" t="s">
        <v>48</v>
      </c>
      <c r="B15" s="927"/>
      <c r="C15" s="294"/>
      <c r="D15" s="294" t="s">
        <v>24</v>
      </c>
      <c r="E15" s="294" t="s">
        <v>49</v>
      </c>
      <c r="F15" s="294" t="s">
        <v>50</v>
      </c>
      <c r="G15" s="927" t="s">
        <v>51</v>
      </c>
      <c r="H15" s="927"/>
      <c r="I15" s="928"/>
    </row>
    <row r="16" spans="1:9" x14ac:dyDescent="0.25">
      <c r="A16" s="2"/>
      <c r="B16" s="4"/>
      <c r="C16" s="2" t="str">
        <f t="shared" ref="C16:C27" si="0">IF(A16="","",VLOOKUP(A16,BRUT_BULLETIN,3,FALSE))</f>
        <v/>
      </c>
      <c r="D16" s="544" t="str">
        <f t="shared" ref="D16:D27" si="1">IF(A16="","",VLOOKUP(A16,BRUT_BULLETIN,4,FALSE))</f>
        <v/>
      </c>
      <c r="E16" s="545" t="str">
        <f t="shared" ref="E16:E27" si="2">IF(A16="","",VLOOKUP(A16,BRUT_BULLETIN,5,FALSE))</f>
        <v/>
      </c>
      <c r="F16" s="544" t="str">
        <f t="shared" ref="F16:F27" si="3">IF(A16="","",VLOOKUP(A16,BRUT_BULLETIN,6,FALSE))</f>
        <v/>
      </c>
      <c r="G16" s="2"/>
      <c r="H16" s="3"/>
      <c r="I16" s="4"/>
    </row>
    <row r="17" spans="1:9" x14ac:dyDescent="0.25">
      <c r="A17" s="2"/>
      <c r="B17" s="4"/>
      <c r="C17" s="2" t="str">
        <f t="shared" si="0"/>
        <v/>
      </c>
      <c r="D17" s="544" t="str">
        <f t="shared" si="1"/>
        <v/>
      </c>
      <c r="E17" s="545" t="str">
        <f t="shared" si="2"/>
        <v/>
      </c>
      <c r="F17" s="544" t="str">
        <f t="shared" si="3"/>
        <v/>
      </c>
      <c r="G17" s="2"/>
      <c r="H17" s="3"/>
      <c r="I17" s="4"/>
    </row>
    <row r="18" spans="1:9" x14ac:dyDescent="0.25">
      <c r="A18" s="2"/>
      <c r="B18" s="4"/>
      <c r="C18" s="2" t="str">
        <f t="shared" si="0"/>
        <v/>
      </c>
      <c r="D18" s="544" t="str">
        <f t="shared" si="1"/>
        <v/>
      </c>
      <c r="E18" s="545" t="str">
        <f t="shared" si="2"/>
        <v/>
      </c>
      <c r="F18" s="544" t="str">
        <f t="shared" si="3"/>
        <v/>
      </c>
      <c r="G18" s="2"/>
      <c r="H18" s="3"/>
      <c r="I18" s="4"/>
    </row>
    <row r="19" spans="1:9" ht="14.25" customHeight="1" x14ac:dyDescent="0.25">
      <c r="A19" s="2"/>
      <c r="B19" s="4"/>
      <c r="C19" s="2" t="str">
        <f t="shared" si="0"/>
        <v/>
      </c>
      <c r="D19" s="544" t="str">
        <f t="shared" si="1"/>
        <v/>
      </c>
      <c r="E19" s="545" t="str">
        <f t="shared" si="2"/>
        <v/>
      </c>
      <c r="F19" s="544" t="str">
        <f t="shared" si="3"/>
        <v/>
      </c>
      <c r="G19" s="2"/>
      <c r="H19" s="3"/>
      <c r="I19" s="4"/>
    </row>
    <row r="20" spans="1:9" ht="14.25" customHeight="1" x14ac:dyDescent="0.25">
      <c r="A20" s="2"/>
      <c r="B20" s="4"/>
      <c r="C20" s="2" t="str">
        <f t="shared" si="0"/>
        <v/>
      </c>
      <c r="D20" s="544" t="str">
        <f t="shared" si="1"/>
        <v/>
      </c>
      <c r="E20" s="545" t="str">
        <f t="shared" si="2"/>
        <v/>
      </c>
      <c r="F20" s="544" t="str">
        <f t="shared" si="3"/>
        <v/>
      </c>
      <c r="G20" s="2"/>
      <c r="H20" s="3"/>
      <c r="I20" s="4"/>
    </row>
    <row r="21" spans="1:9" ht="14.25" customHeight="1" x14ac:dyDescent="0.25">
      <c r="A21" s="2"/>
      <c r="B21" s="4"/>
      <c r="C21" s="2" t="str">
        <f t="shared" si="0"/>
        <v/>
      </c>
      <c r="D21" s="544" t="str">
        <f t="shared" si="1"/>
        <v/>
      </c>
      <c r="E21" s="545" t="str">
        <f t="shared" si="2"/>
        <v/>
      </c>
      <c r="F21" s="544" t="str">
        <f t="shared" si="3"/>
        <v/>
      </c>
      <c r="G21" s="2"/>
      <c r="H21" s="3"/>
      <c r="I21" s="4"/>
    </row>
    <row r="22" spans="1:9" ht="14.25" customHeight="1" x14ac:dyDescent="0.25">
      <c r="A22" s="2"/>
      <c r="B22" s="4"/>
      <c r="C22" s="2" t="str">
        <f t="shared" si="0"/>
        <v/>
      </c>
      <c r="D22" s="544" t="str">
        <f t="shared" si="1"/>
        <v/>
      </c>
      <c r="E22" s="545" t="str">
        <f t="shared" si="2"/>
        <v/>
      </c>
      <c r="F22" s="544" t="str">
        <f t="shared" si="3"/>
        <v/>
      </c>
      <c r="G22" s="2"/>
      <c r="H22" s="3"/>
      <c r="I22" s="4"/>
    </row>
    <row r="23" spans="1:9" ht="14.25" customHeight="1" x14ac:dyDescent="0.25">
      <c r="A23" s="2"/>
      <c r="B23" s="4"/>
      <c r="C23" s="2" t="str">
        <f t="shared" si="0"/>
        <v/>
      </c>
      <c r="D23" s="544" t="str">
        <f t="shared" si="1"/>
        <v/>
      </c>
      <c r="E23" s="545" t="str">
        <f t="shared" si="2"/>
        <v/>
      </c>
      <c r="F23" s="544" t="str">
        <f t="shared" si="3"/>
        <v/>
      </c>
      <c r="G23" s="2"/>
      <c r="H23" s="3"/>
      <c r="I23" s="4"/>
    </row>
    <row r="24" spans="1:9" ht="14.25" customHeight="1" x14ac:dyDescent="0.25">
      <c r="A24" s="2"/>
      <c r="B24" s="4"/>
      <c r="C24" s="2" t="str">
        <f t="shared" si="0"/>
        <v/>
      </c>
      <c r="D24" s="544" t="str">
        <f t="shared" si="1"/>
        <v/>
      </c>
      <c r="E24" s="545" t="str">
        <f t="shared" si="2"/>
        <v/>
      </c>
      <c r="F24" s="544" t="str">
        <f t="shared" si="3"/>
        <v/>
      </c>
      <c r="G24" s="2"/>
      <c r="H24" s="3"/>
      <c r="I24" s="4"/>
    </row>
    <row r="25" spans="1:9" ht="14.25" customHeight="1" x14ac:dyDescent="0.25">
      <c r="A25" s="2"/>
      <c r="B25" s="4"/>
      <c r="C25" s="2" t="str">
        <f t="shared" si="0"/>
        <v/>
      </c>
      <c r="D25" s="544" t="str">
        <f t="shared" si="1"/>
        <v/>
      </c>
      <c r="E25" s="545" t="str">
        <f t="shared" si="2"/>
        <v/>
      </c>
      <c r="F25" s="544" t="str">
        <f t="shared" si="3"/>
        <v/>
      </c>
      <c r="G25" s="2"/>
      <c r="H25" s="3"/>
      <c r="I25" s="4"/>
    </row>
    <row r="26" spans="1:9" ht="14.25" customHeight="1" x14ac:dyDescent="0.25">
      <c r="A26" s="2"/>
      <c r="B26" s="4"/>
      <c r="C26" s="2" t="str">
        <f t="shared" si="0"/>
        <v/>
      </c>
      <c r="D26" s="544" t="str">
        <f t="shared" si="1"/>
        <v/>
      </c>
      <c r="E26" s="545" t="str">
        <f t="shared" si="2"/>
        <v/>
      </c>
      <c r="F26" s="544" t="str">
        <f t="shared" si="3"/>
        <v/>
      </c>
      <c r="G26" s="2"/>
      <c r="H26" s="3"/>
      <c r="I26" s="4"/>
    </row>
    <row r="27" spans="1:9" ht="14.25" customHeight="1" x14ac:dyDescent="0.25">
      <c r="A27" s="2"/>
      <c r="B27" s="4"/>
      <c r="C27" s="2" t="str">
        <f t="shared" si="0"/>
        <v/>
      </c>
      <c r="D27" s="544" t="str">
        <f t="shared" si="1"/>
        <v/>
      </c>
      <c r="E27" s="545" t="str">
        <f t="shared" si="2"/>
        <v/>
      </c>
      <c r="F27" s="544" t="str">
        <f t="shared" si="3"/>
        <v/>
      </c>
      <c r="G27" s="2"/>
      <c r="H27" s="3"/>
      <c r="I27" s="4"/>
    </row>
    <row r="28" spans="1:9" ht="6.75" customHeight="1" x14ac:dyDescent="0.25"/>
    <row r="29" spans="1:9" x14ac:dyDescent="0.25">
      <c r="A29" s="8" t="s">
        <v>52</v>
      </c>
      <c r="B29" s="9"/>
      <c r="C29" s="8" t="s">
        <v>145</v>
      </c>
      <c r="D29" s="546">
        <f>SUMIF(C16:C27,C29,D16:D27)</f>
        <v>0</v>
      </c>
      <c r="E29" s="10"/>
      <c r="F29" s="547">
        <f>SUM(F16:F28)</f>
        <v>0</v>
      </c>
    </row>
    <row r="31" spans="1:9" s="1" customFormat="1" x14ac:dyDescent="0.25">
      <c r="A31" s="295" t="s">
        <v>53</v>
      </c>
      <c r="B31" s="296"/>
      <c r="C31" s="931" t="s">
        <v>71</v>
      </c>
      <c r="D31" s="932"/>
      <c r="E31" s="932"/>
      <c r="F31" s="933"/>
      <c r="G31" s="931" t="s">
        <v>72</v>
      </c>
      <c r="H31" s="932"/>
      <c r="I31" s="933"/>
    </row>
    <row r="32" spans="1:9" x14ac:dyDescent="0.25">
      <c r="A32" s="1" t="s">
        <v>66</v>
      </c>
      <c r="C32" s="5"/>
      <c r="D32" s="6"/>
      <c r="E32" s="549"/>
      <c r="F32" s="7"/>
      <c r="G32" s="5"/>
      <c r="H32" s="549"/>
      <c r="I32" s="7"/>
    </row>
    <row r="33" spans="1:9" x14ac:dyDescent="0.25">
      <c r="A33" t="s">
        <v>54</v>
      </c>
      <c r="C33" s="5"/>
      <c r="D33" s="6"/>
      <c r="E33" s="549"/>
      <c r="F33" s="7"/>
      <c r="G33" s="5"/>
      <c r="H33" s="549"/>
      <c r="I33" s="7"/>
    </row>
    <row r="34" spans="1:9" x14ac:dyDescent="0.25">
      <c r="A34" t="s">
        <v>55</v>
      </c>
      <c r="C34" s="5"/>
      <c r="D34" s="6"/>
      <c r="E34" s="549"/>
      <c r="F34" s="7"/>
      <c r="G34" s="5"/>
      <c r="H34" s="549"/>
      <c r="I34" s="7"/>
    </row>
    <row r="35" spans="1:9" x14ac:dyDescent="0.25">
      <c r="A35" t="s">
        <v>56</v>
      </c>
      <c r="C35" s="5"/>
      <c r="D35" s="6"/>
      <c r="E35" s="549"/>
      <c r="F35" s="7"/>
      <c r="G35" s="5"/>
      <c r="H35" s="549"/>
      <c r="I35" s="7"/>
    </row>
    <row r="36" spans="1:9" x14ac:dyDescent="0.25">
      <c r="C36" s="5"/>
      <c r="D36" s="6"/>
      <c r="E36" s="549"/>
      <c r="F36" s="7"/>
      <c r="G36" s="5"/>
      <c r="H36" s="549"/>
      <c r="I36" s="7"/>
    </row>
    <row r="37" spans="1:9" x14ac:dyDescent="0.25">
      <c r="A37" s="1" t="s">
        <v>57</v>
      </c>
      <c r="C37" s="5"/>
      <c r="D37" s="6"/>
      <c r="E37" s="549"/>
      <c r="F37" s="7"/>
      <c r="G37" s="5"/>
      <c r="H37" s="549"/>
      <c r="I37" s="7"/>
    </row>
    <row r="38" spans="1:9" x14ac:dyDescent="0.25">
      <c r="C38" s="5"/>
      <c r="D38" s="6"/>
      <c r="E38" s="549"/>
      <c r="F38" s="7"/>
      <c r="G38" s="5"/>
      <c r="H38" s="549"/>
      <c r="I38" s="7"/>
    </row>
    <row r="39" spans="1:9" x14ac:dyDescent="0.25">
      <c r="A39" s="1" t="s">
        <v>58</v>
      </c>
      <c r="C39" s="5"/>
      <c r="D39" s="6"/>
      <c r="E39" s="549"/>
      <c r="F39" s="7"/>
      <c r="G39" s="5"/>
      <c r="H39" s="549"/>
      <c r="I39" s="7"/>
    </row>
    <row r="40" spans="1:9" x14ac:dyDescent="0.25">
      <c r="A40" t="s">
        <v>54</v>
      </c>
      <c r="C40" s="5"/>
      <c r="D40" s="6"/>
      <c r="E40" s="549"/>
      <c r="F40" s="7"/>
      <c r="G40" s="5"/>
      <c r="H40" s="549"/>
      <c r="I40" s="7"/>
    </row>
    <row r="41" spans="1:9" x14ac:dyDescent="0.25">
      <c r="A41" t="s">
        <v>59</v>
      </c>
      <c r="C41" s="5"/>
      <c r="D41" s="6"/>
      <c r="E41" s="549"/>
      <c r="F41" s="7"/>
      <c r="G41" s="5"/>
      <c r="H41" s="549"/>
      <c r="I41" s="7"/>
    </row>
    <row r="42" spans="1:9" x14ac:dyDescent="0.25">
      <c r="A42" t="s">
        <v>60</v>
      </c>
      <c r="C42" s="5"/>
      <c r="D42" s="6"/>
      <c r="E42" s="549"/>
      <c r="F42" s="7"/>
      <c r="G42" s="5"/>
      <c r="H42" s="549"/>
      <c r="I42" s="7"/>
    </row>
    <row r="43" spans="1:9" x14ac:dyDescent="0.25">
      <c r="C43" s="5"/>
      <c r="D43" s="6"/>
      <c r="E43" s="549"/>
      <c r="F43" s="7"/>
      <c r="G43" s="5"/>
      <c r="H43" s="549"/>
      <c r="I43" s="7"/>
    </row>
    <row r="44" spans="1:9" x14ac:dyDescent="0.25">
      <c r="A44" s="1" t="s">
        <v>61</v>
      </c>
      <c r="C44" s="5"/>
      <c r="D44" s="6"/>
      <c r="E44" s="549"/>
      <c r="F44" s="7"/>
      <c r="G44" s="5"/>
      <c r="H44" s="549"/>
      <c r="I44" s="7"/>
    </row>
    <row r="45" spans="1:9" x14ac:dyDescent="0.25">
      <c r="C45" s="5"/>
      <c r="D45" s="6"/>
      <c r="E45" s="549"/>
      <c r="F45" s="7"/>
      <c r="G45" s="5"/>
      <c r="H45" s="549"/>
      <c r="I45" s="7"/>
    </row>
    <row r="46" spans="1:9" x14ac:dyDescent="0.25">
      <c r="A46" s="1" t="s">
        <v>62</v>
      </c>
      <c r="C46" s="5"/>
      <c r="D46" s="6"/>
      <c r="E46" s="549"/>
      <c r="F46" s="7"/>
      <c r="G46" s="5"/>
      <c r="H46" s="549"/>
      <c r="I46" s="7"/>
    </row>
    <row r="47" spans="1:9" x14ac:dyDescent="0.25">
      <c r="A47" t="s">
        <v>63</v>
      </c>
      <c r="C47" s="5"/>
      <c r="D47" s="6"/>
      <c r="E47" s="549"/>
      <c r="F47" s="7"/>
      <c r="G47" s="5"/>
      <c r="H47" s="549"/>
      <c r="I47" s="7"/>
    </row>
    <row r="48" spans="1:9" x14ac:dyDescent="0.25">
      <c r="C48" s="5"/>
      <c r="D48" s="6"/>
      <c r="E48" s="549"/>
      <c r="F48" s="7"/>
      <c r="G48" s="5"/>
      <c r="H48" s="549"/>
      <c r="I48" s="7"/>
    </row>
    <row r="49" spans="1:9" x14ac:dyDescent="0.25">
      <c r="A49" t="s">
        <v>64</v>
      </c>
      <c r="C49" s="5"/>
      <c r="D49" s="6"/>
      <c r="E49" s="549"/>
      <c r="F49" s="7"/>
      <c r="G49" s="5"/>
      <c r="H49" s="549"/>
      <c r="I49" s="7"/>
    </row>
    <row r="50" spans="1:9" x14ac:dyDescent="0.25">
      <c r="A50" t="s">
        <v>65</v>
      </c>
      <c r="C50" s="5"/>
      <c r="D50" s="6"/>
      <c r="E50" s="549"/>
      <c r="F50" s="7"/>
      <c r="G50" s="5"/>
      <c r="H50" s="549"/>
      <c r="I50" s="7"/>
    </row>
    <row r="51" spans="1:9" x14ac:dyDescent="0.25">
      <c r="A51" t="s">
        <v>67</v>
      </c>
      <c r="C51" s="5"/>
      <c r="D51" s="548">
        <f>'Modèle Cadre'!D39</f>
        <v>0</v>
      </c>
      <c r="E51" s="549">
        <f>'Modèle Cadre'!E39</f>
        <v>5.0999999999999997E-2</v>
      </c>
      <c r="F51" s="548">
        <f>'Modèle Cadre'!F39</f>
        <v>0</v>
      </c>
      <c r="G51" s="5"/>
      <c r="H51" s="549"/>
      <c r="I51" s="7"/>
    </row>
    <row r="52" spans="1:9" x14ac:dyDescent="0.25">
      <c r="A52" t="s">
        <v>68</v>
      </c>
      <c r="C52" s="5"/>
      <c r="D52" s="548">
        <f>'Modèle Cadre'!D72</f>
        <v>0</v>
      </c>
      <c r="E52" s="549">
        <f>'Modèle Cadre'!E72+'Modèle Cadre'!E73</f>
        <v>2.9000000000000001E-2</v>
      </c>
      <c r="F52" s="550">
        <f>CSGND+CRDSND</f>
        <v>0</v>
      </c>
      <c r="G52" s="5"/>
      <c r="H52" s="549"/>
      <c r="I52" s="7"/>
    </row>
    <row r="53" spans="1:9" x14ac:dyDescent="0.25">
      <c r="A53" t="s">
        <v>69</v>
      </c>
      <c r="C53" s="5"/>
      <c r="D53" s="6"/>
      <c r="E53" s="549"/>
      <c r="F53" s="7"/>
      <c r="G53" s="5"/>
      <c r="H53" s="549"/>
      <c r="I53" s="7"/>
    </row>
    <row r="54" spans="1:9" x14ac:dyDescent="0.25">
      <c r="C54" s="5"/>
      <c r="D54" s="6"/>
      <c r="E54" s="549"/>
      <c r="F54" s="7"/>
      <c r="G54" s="5"/>
      <c r="H54" s="549"/>
      <c r="I54" s="7"/>
    </row>
    <row r="55" spans="1:9" x14ac:dyDescent="0.25">
      <c r="A55" s="13" t="s">
        <v>70</v>
      </c>
      <c r="B55" s="12"/>
      <c r="C55" s="11"/>
      <c r="D55" s="12"/>
      <c r="E55" s="12"/>
      <c r="F55" s="14"/>
      <c r="G55" s="11"/>
      <c r="H55" s="12"/>
      <c r="I55" s="14"/>
    </row>
    <row r="56" spans="1:9" ht="9.75" customHeight="1" x14ac:dyDescent="0.25"/>
    <row r="57" spans="1:9" x14ac:dyDescent="0.25">
      <c r="C57" s="934" t="s">
        <v>73</v>
      </c>
      <c r="D57" s="935"/>
      <c r="E57" s="935"/>
      <c r="F57" s="935"/>
      <c r="G57" s="935"/>
      <c r="H57" s="935"/>
      <c r="I57" s="936"/>
    </row>
    <row r="58" spans="1:9" x14ac:dyDescent="0.25">
      <c r="C58" s="924"/>
      <c r="D58" s="925"/>
      <c r="E58" s="925"/>
      <c r="F58" s="925"/>
      <c r="G58" s="925"/>
      <c r="H58" s="925"/>
      <c r="I58" s="926"/>
    </row>
    <row r="59" spans="1:9" x14ac:dyDescent="0.25">
      <c r="C59" s="921" t="s">
        <v>74</v>
      </c>
      <c r="D59" s="922"/>
      <c r="E59" s="922"/>
      <c r="F59" s="923"/>
      <c r="G59" s="921" t="s">
        <v>75</v>
      </c>
      <c r="H59" s="922"/>
      <c r="I59" s="923"/>
    </row>
    <row r="60" spans="1:9" x14ac:dyDescent="0.25">
      <c r="C60" s="924"/>
      <c r="D60" s="925"/>
      <c r="E60" s="925"/>
      <c r="F60" s="926"/>
      <c r="G60" s="924"/>
      <c r="H60" s="925"/>
      <c r="I60" s="926"/>
    </row>
  </sheetData>
  <mergeCells count="11">
    <mergeCell ref="A1:B2"/>
    <mergeCell ref="A15:B15"/>
    <mergeCell ref="C31:F31"/>
    <mergeCell ref="G31:I31"/>
    <mergeCell ref="C57:I57"/>
    <mergeCell ref="C59:F59"/>
    <mergeCell ref="G59:I59"/>
    <mergeCell ref="C60:F60"/>
    <mergeCell ref="G60:I60"/>
    <mergeCell ref="G15:I15"/>
    <mergeCell ref="C58:I58"/>
  </mergeCells>
  <pageMargins left="0.25" right="0.25" top="0.75" bottom="0.75" header="0.3" footer="0.3"/>
  <pageSetup paperSize="9" scale="8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'Modèle Cadre'!$A$16:$A$34</xm:f>
          </x14:formula1>
          <xm:sqref>A16:A27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A2"/>
  <sheetViews>
    <sheetView topLeftCell="A28" workbookViewId="0">
      <selection activeCell="H34" sqref="H34"/>
    </sheetView>
  </sheetViews>
  <sheetFormatPr baseColWidth="10" defaultRowHeight="15" x14ac:dyDescent="0.25"/>
  <sheetData>
    <row r="1" ht="15" customHeight="1" x14ac:dyDescent="0.25"/>
    <row r="2" ht="15"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4">
    <tabColor rgb="FFFF3300"/>
  </sheetPr>
  <dimension ref="A1:O61"/>
  <sheetViews>
    <sheetView workbookViewId="0">
      <selection activeCell="J9" sqref="J9"/>
    </sheetView>
  </sheetViews>
  <sheetFormatPr baseColWidth="10" defaultColWidth="11.42578125" defaultRowHeight="15" x14ac:dyDescent="0.25"/>
  <cols>
    <col min="1" max="9" width="11.42578125" style="407"/>
    <col min="10" max="10" width="12.5703125" style="407" customWidth="1"/>
    <col min="11" max="11" width="10.5703125" style="407" bestFit="1" customWidth="1"/>
    <col min="12" max="16384" width="11.42578125" style="407"/>
  </cols>
  <sheetData>
    <row r="1" spans="1:15" ht="37.5" customHeight="1" thickBot="1" x14ac:dyDescent="0.3">
      <c r="A1" s="939" t="s">
        <v>116</v>
      </c>
      <c r="B1" s="940"/>
      <c r="C1" s="940"/>
      <c r="D1" s="940"/>
      <c r="E1" s="940"/>
      <c r="F1" s="940"/>
      <c r="G1" s="940"/>
      <c r="H1" s="940"/>
      <c r="I1" s="941"/>
      <c r="J1" s="405" t="s">
        <v>220</v>
      </c>
      <c r="K1" s="405" t="s">
        <v>346</v>
      </c>
      <c r="L1" s="406"/>
      <c r="M1" s="406"/>
      <c r="N1" s="406"/>
      <c r="O1" s="406"/>
    </row>
    <row r="2" spans="1:15" s="409" customFormat="1" ht="15.75" customHeight="1" x14ac:dyDescent="0.25">
      <c r="A2" s="408"/>
      <c r="B2" s="408"/>
      <c r="C2" s="408"/>
      <c r="D2" s="408"/>
      <c r="E2" s="408"/>
      <c r="F2" s="408"/>
      <c r="G2" s="408"/>
      <c r="H2" s="408"/>
      <c r="I2" s="408"/>
      <c r="J2" s="405"/>
      <c r="K2" s="405"/>
      <c r="L2" s="406"/>
      <c r="M2" s="406"/>
      <c r="N2" s="406"/>
      <c r="O2" s="406"/>
    </row>
    <row r="3" spans="1:15" s="409" customFormat="1" ht="15.75" customHeight="1" x14ac:dyDescent="0.25">
      <c r="A3" s="410" t="s">
        <v>359</v>
      </c>
      <c r="B3" s="408"/>
      <c r="C3" s="408"/>
      <c r="D3" s="824">
        <f>'info bulletin'!C24</f>
        <v>0</v>
      </c>
      <c r="E3" s="410" t="s">
        <v>362</v>
      </c>
      <c r="F3" s="408"/>
      <c r="G3" s="408"/>
      <c r="H3" s="408"/>
      <c r="I3" s="408"/>
      <c r="J3" s="405"/>
      <c r="K3" s="405"/>
      <c r="L3" s="406"/>
      <c r="M3" s="406"/>
      <c r="N3" s="406"/>
      <c r="O3" s="406"/>
    </row>
    <row r="4" spans="1:15" s="409" customFormat="1" ht="15.75" customHeight="1" x14ac:dyDescent="0.25">
      <c r="A4" s="410" t="s">
        <v>360</v>
      </c>
      <c r="B4" s="408"/>
      <c r="C4" s="408"/>
      <c r="D4" s="824">
        <f>'info bulletin'!C25</f>
        <v>0</v>
      </c>
      <c r="E4" s="410" t="s">
        <v>362</v>
      </c>
      <c r="F4" s="408"/>
      <c r="G4" s="408"/>
      <c r="H4" s="408"/>
      <c r="I4" s="408"/>
      <c r="J4" s="405"/>
      <c r="K4" s="405"/>
      <c r="L4" s="406"/>
      <c r="M4" s="406"/>
      <c r="N4" s="406"/>
      <c r="O4" s="406"/>
    </row>
    <row r="5" spans="1:15" s="409" customFormat="1" ht="15.75" customHeight="1" x14ac:dyDescent="0.25">
      <c r="A5" s="410" t="s">
        <v>361</v>
      </c>
      <c r="B5" s="408"/>
      <c r="C5" s="408"/>
      <c r="D5" s="824">
        <f>'info bulletin'!C26</f>
        <v>0</v>
      </c>
      <c r="E5" s="410" t="s">
        <v>362</v>
      </c>
      <c r="F5" s="408"/>
      <c r="G5" s="408"/>
      <c r="H5" s="408"/>
      <c r="I5" s="408"/>
      <c r="J5" s="405"/>
      <c r="K5" s="405"/>
      <c r="L5" s="406"/>
      <c r="M5" s="406"/>
      <c r="N5" s="406"/>
      <c r="O5" s="406"/>
    </row>
    <row r="6" spans="1:15" s="409" customFormat="1" ht="15.75" customHeight="1" x14ac:dyDescent="0.25">
      <c r="A6" s="410"/>
      <c r="B6" s="408"/>
      <c r="C6" s="626" t="s">
        <v>207</v>
      </c>
      <c r="D6" s="628">
        <f>SUM(D3:D5)</f>
        <v>0</v>
      </c>
      <c r="E6" s="408"/>
      <c r="F6" s="408"/>
      <c r="G6" s="408"/>
      <c r="H6" s="408"/>
      <c r="I6" s="408"/>
      <c r="J6" s="405"/>
      <c r="K6" s="405"/>
      <c r="L6" s="406"/>
      <c r="M6" s="406"/>
      <c r="N6" s="406"/>
      <c r="O6" s="406"/>
    </row>
    <row r="7" spans="1:15" ht="15.75" thickBot="1" x14ac:dyDescent="0.3">
      <c r="A7" s="411"/>
      <c r="B7" s="411" t="s">
        <v>201</v>
      </c>
      <c r="C7" s="411"/>
      <c r="D7" s="411"/>
      <c r="E7" s="411"/>
      <c r="F7" s="411"/>
      <c r="G7" s="411"/>
      <c r="H7" s="411"/>
    </row>
    <row r="8" spans="1:15" ht="15.75" thickBot="1" x14ac:dyDescent="0.3">
      <c r="A8" s="411"/>
      <c r="B8" s="412" t="s">
        <v>202</v>
      </c>
      <c r="C8" s="413" t="s">
        <v>203</v>
      </c>
      <c r="D8" s="413" t="s">
        <v>204</v>
      </c>
      <c r="E8" s="414" t="s">
        <v>205</v>
      </c>
      <c r="F8" s="412" t="s">
        <v>202</v>
      </c>
      <c r="G8" s="413" t="s">
        <v>206</v>
      </c>
      <c r="H8" s="415" t="s">
        <v>207</v>
      </c>
      <c r="J8" s="407" t="s">
        <v>268</v>
      </c>
    </row>
    <row r="9" spans="1:15" x14ac:dyDescent="0.25">
      <c r="A9" s="411">
        <v>1</v>
      </c>
      <c r="B9" s="416">
        <v>0.35416666666666669</v>
      </c>
      <c r="C9" s="417">
        <v>0.5</v>
      </c>
      <c r="D9" s="417">
        <v>0.58333333333333337</v>
      </c>
      <c r="E9" s="418">
        <v>0.70833333333333337</v>
      </c>
      <c r="F9" s="419">
        <f>C9-B9</f>
        <v>0.14583333333333331</v>
      </c>
      <c r="G9" s="420">
        <f>E9-D9</f>
        <v>0.125</v>
      </c>
      <c r="H9" s="421">
        <f>G9+F9</f>
        <v>0.27083333333333331</v>
      </c>
      <c r="J9" s="422"/>
      <c r="K9" s="423"/>
      <c r="L9" s="423">
        <v>0.33333333333333331</v>
      </c>
      <c r="M9" s="423"/>
    </row>
    <row r="10" spans="1:15" x14ac:dyDescent="0.25">
      <c r="A10" s="411">
        <v>2</v>
      </c>
      <c r="B10" s="424">
        <v>0.35416666666666669</v>
      </c>
      <c r="C10" s="425">
        <v>0.5</v>
      </c>
      <c r="D10" s="425">
        <v>0.58333333333333337</v>
      </c>
      <c r="E10" s="426">
        <v>0.6875</v>
      </c>
      <c r="F10" s="427">
        <f t="shared" ref="F10:F31" si="0">C10-B10</f>
        <v>0.14583333333333331</v>
      </c>
      <c r="G10" s="428">
        <f t="shared" ref="G10:G31" si="1">E10-D10</f>
        <v>0.10416666666666663</v>
      </c>
      <c r="H10" s="429">
        <f t="shared" ref="H10:H31" si="2">G10+F10</f>
        <v>0.24999999999999994</v>
      </c>
      <c r="J10" s="430" t="s">
        <v>246</v>
      </c>
      <c r="K10" s="431" t="s">
        <v>247</v>
      </c>
      <c r="L10" s="431" t="s">
        <v>248</v>
      </c>
      <c r="M10" s="432" t="s">
        <v>249</v>
      </c>
    </row>
    <row r="11" spans="1:15" x14ac:dyDescent="0.25">
      <c r="A11" s="411">
        <v>3</v>
      </c>
      <c r="B11" s="424">
        <v>0.36458333333333331</v>
      </c>
      <c r="C11" s="425">
        <v>0.5</v>
      </c>
      <c r="D11" s="425">
        <v>0.58333333333333337</v>
      </c>
      <c r="E11" s="426">
        <v>0.75</v>
      </c>
      <c r="F11" s="427">
        <f t="shared" si="0"/>
        <v>0.13541666666666669</v>
      </c>
      <c r="G11" s="428">
        <f t="shared" si="1"/>
        <v>0.16666666666666663</v>
      </c>
      <c r="H11" s="429">
        <f t="shared" si="2"/>
        <v>0.30208333333333331</v>
      </c>
      <c r="J11" s="433">
        <v>1.875</v>
      </c>
      <c r="K11" s="434">
        <f>IF(J11="","",J11-$J$9)</f>
        <v>1.875</v>
      </c>
      <c r="L11" s="434">
        <f>IF(J11="","",IF(K11&gt;L9,L9,K11))</f>
        <v>0.33333333333333331</v>
      </c>
      <c r="M11" s="435">
        <f>IF(J11="","",K11-L11)</f>
        <v>1.5416666666666667</v>
      </c>
    </row>
    <row r="12" spans="1:15" x14ac:dyDescent="0.25">
      <c r="A12" s="411">
        <v>4</v>
      </c>
      <c r="B12" s="424">
        <v>0.34375</v>
      </c>
      <c r="C12" s="425">
        <v>0.5</v>
      </c>
      <c r="D12" s="425">
        <v>0.58333333333333337</v>
      </c>
      <c r="E12" s="426">
        <v>0.73958333333333337</v>
      </c>
      <c r="F12" s="427">
        <f t="shared" si="0"/>
        <v>0.15625</v>
      </c>
      <c r="G12" s="428">
        <f t="shared" si="1"/>
        <v>0.15625</v>
      </c>
      <c r="H12" s="429">
        <f t="shared" si="2"/>
        <v>0.3125</v>
      </c>
      <c r="J12" s="436">
        <v>2</v>
      </c>
      <c r="K12" s="434">
        <f t="shared" ref="K12:K27" si="3">IF(J12="","",J12-$J$9)</f>
        <v>2</v>
      </c>
      <c r="L12" s="434">
        <f t="shared" ref="L12:L27" si="4">IF(J12="","",IF(K12&gt;L10,L10,K12))</f>
        <v>2</v>
      </c>
      <c r="M12" s="435">
        <f t="shared" ref="M12:M27" si="5">IF(J12="","",K12-L12)</f>
        <v>0</v>
      </c>
    </row>
    <row r="13" spans="1:15" x14ac:dyDescent="0.25">
      <c r="A13" s="411">
        <v>5</v>
      </c>
      <c r="B13" s="424">
        <v>0.375</v>
      </c>
      <c r="C13" s="425">
        <v>0.5</v>
      </c>
      <c r="D13" s="425">
        <v>0.58333333333333337</v>
      </c>
      <c r="E13" s="426">
        <v>0.72916666666666663</v>
      </c>
      <c r="F13" s="427">
        <f t="shared" si="0"/>
        <v>0.125</v>
      </c>
      <c r="G13" s="428">
        <f t="shared" si="1"/>
        <v>0.14583333333333326</v>
      </c>
      <c r="H13" s="429">
        <f t="shared" si="2"/>
        <v>0.27083333333333326</v>
      </c>
      <c r="J13" s="436">
        <v>1.4583333333333333</v>
      </c>
      <c r="K13" s="434">
        <f>IF(J13="","",J13-$J$9)</f>
        <v>1.4583333333333333</v>
      </c>
      <c r="L13" s="434">
        <f t="shared" si="4"/>
        <v>0.33333333333333331</v>
      </c>
      <c r="M13" s="435">
        <f t="shared" si="5"/>
        <v>1.125</v>
      </c>
    </row>
    <row r="14" spans="1:15" x14ac:dyDescent="0.25">
      <c r="A14" s="411">
        <v>6</v>
      </c>
      <c r="B14" s="424">
        <v>0.36458333333333331</v>
      </c>
      <c r="C14" s="425">
        <v>0.5</v>
      </c>
      <c r="D14" s="425">
        <v>0.58333333333333337</v>
      </c>
      <c r="E14" s="426">
        <v>0.71875</v>
      </c>
      <c r="F14" s="427">
        <f t="shared" si="0"/>
        <v>0.13541666666666669</v>
      </c>
      <c r="G14" s="428">
        <f t="shared" si="1"/>
        <v>0.13541666666666663</v>
      </c>
      <c r="H14" s="429">
        <f t="shared" si="2"/>
        <v>0.27083333333333331</v>
      </c>
      <c r="J14" s="436"/>
      <c r="K14" s="434" t="str">
        <f t="shared" si="3"/>
        <v/>
      </c>
      <c r="L14" s="434" t="str">
        <f t="shared" si="4"/>
        <v/>
      </c>
      <c r="M14" s="435" t="str">
        <f t="shared" si="5"/>
        <v/>
      </c>
    </row>
    <row r="15" spans="1:15" x14ac:dyDescent="0.25">
      <c r="A15" s="411">
        <v>7</v>
      </c>
      <c r="B15" s="424">
        <v>0.34375</v>
      </c>
      <c r="C15" s="425">
        <v>0.5</v>
      </c>
      <c r="D15" s="425">
        <v>0.58333333333333337</v>
      </c>
      <c r="E15" s="426">
        <v>0.70833333333333337</v>
      </c>
      <c r="F15" s="427">
        <f t="shared" si="0"/>
        <v>0.15625</v>
      </c>
      <c r="G15" s="428">
        <f t="shared" si="1"/>
        <v>0.125</v>
      </c>
      <c r="H15" s="429">
        <f t="shared" si="2"/>
        <v>0.28125</v>
      </c>
      <c r="J15" s="436"/>
      <c r="K15" s="434" t="str">
        <f t="shared" si="3"/>
        <v/>
      </c>
      <c r="L15" s="434" t="str">
        <f t="shared" si="4"/>
        <v/>
      </c>
      <c r="M15" s="435" t="str">
        <f t="shared" si="5"/>
        <v/>
      </c>
    </row>
    <row r="16" spans="1:15" x14ac:dyDescent="0.25">
      <c r="A16" s="411">
        <v>8</v>
      </c>
      <c r="B16" s="424">
        <v>0.32291666666666669</v>
      </c>
      <c r="C16" s="425">
        <v>0.5</v>
      </c>
      <c r="D16" s="425">
        <v>0.58333333333333337</v>
      </c>
      <c r="E16" s="426">
        <v>0.72916666666666663</v>
      </c>
      <c r="F16" s="427">
        <f t="shared" si="0"/>
        <v>0.17708333333333331</v>
      </c>
      <c r="G16" s="428">
        <f t="shared" si="1"/>
        <v>0.14583333333333326</v>
      </c>
      <c r="H16" s="429">
        <f t="shared" si="2"/>
        <v>0.32291666666666657</v>
      </c>
      <c r="J16" s="436"/>
      <c r="K16" s="434" t="str">
        <f t="shared" si="3"/>
        <v/>
      </c>
      <c r="L16" s="434" t="str">
        <f t="shared" si="4"/>
        <v/>
      </c>
      <c r="M16" s="435" t="str">
        <f t="shared" si="5"/>
        <v/>
      </c>
    </row>
    <row r="17" spans="1:13" x14ac:dyDescent="0.25">
      <c r="A17" s="437">
        <v>9</v>
      </c>
      <c r="B17" s="424">
        <v>0.33333333333333331</v>
      </c>
      <c r="C17" s="425">
        <v>0.5</v>
      </c>
      <c r="D17" s="425">
        <v>0.58333333333333337</v>
      </c>
      <c r="E17" s="426">
        <v>0.70833333333333337</v>
      </c>
      <c r="F17" s="424">
        <f t="shared" si="0"/>
        <v>0.16666666666666669</v>
      </c>
      <c r="G17" s="426">
        <f t="shared" si="1"/>
        <v>0.125</v>
      </c>
      <c r="H17" s="438">
        <f t="shared" si="2"/>
        <v>0.29166666666666669</v>
      </c>
      <c r="J17" s="436"/>
      <c r="K17" s="434" t="str">
        <f t="shared" si="3"/>
        <v/>
      </c>
      <c r="L17" s="434" t="str">
        <f t="shared" si="4"/>
        <v/>
      </c>
      <c r="M17" s="435" t="str">
        <f t="shared" si="5"/>
        <v/>
      </c>
    </row>
    <row r="18" spans="1:13" x14ac:dyDescent="0.25">
      <c r="A18" s="437">
        <v>10</v>
      </c>
      <c r="B18" s="424">
        <v>0.33333333333333331</v>
      </c>
      <c r="C18" s="425">
        <v>0.5</v>
      </c>
      <c r="D18" s="425">
        <v>0.58333333333333337</v>
      </c>
      <c r="E18" s="426">
        <v>0.70833333333333337</v>
      </c>
      <c r="F18" s="424">
        <f t="shared" si="0"/>
        <v>0.16666666666666669</v>
      </c>
      <c r="G18" s="426">
        <f t="shared" si="1"/>
        <v>0.125</v>
      </c>
      <c r="H18" s="438">
        <f t="shared" si="2"/>
        <v>0.29166666666666669</v>
      </c>
      <c r="J18" s="436"/>
      <c r="K18" s="434" t="str">
        <f t="shared" si="3"/>
        <v/>
      </c>
      <c r="L18" s="434" t="str">
        <f t="shared" si="4"/>
        <v/>
      </c>
      <c r="M18" s="435" t="str">
        <f t="shared" si="5"/>
        <v/>
      </c>
    </row>
    <row r="19" spans="1:13" x14ac:dyDescent="0.25">
      <c r="A19" s="437">
        <v>11</v>
      </c>
      <c r="B19" s="424">
        <v>0.33333333333333331</v>
      </c>
      <c r="C19" s="425">
        <v>0.5</v>
      </c>
      <c r="D19" s="425">
        <v>0.58333333333333337</v>
      </c>
      <c r="E19" s="426">
        <v>0.70833333333333337</v>
      </c>
      <c r="F19" s="424">
        <f t="shared" si="0"/>
        <v>0.16666666666666669</v>
      </c>
      <c r="G19" s="426">
        <f t="shared" si="1"/>
        <v>0.125</v>
      </c>
      <c r="H19" s="438">
        <f t="shared" si="2"/>
        <v>0.29166666666666669</v>
      </c>
      <c r="J19" s="436"/>
      <c r="K19" s="434" t="str">
        <f t="shared" si="3"/>
        <v/>
      </c>
      <c r="L19" s="434" t="str">
        <f t="shared" si="4"/>
        <v/>
      </c>
      <c r="M19" s="435" t="str">
        <f t="shared" si="5"/>
        <v/>
      </c>
    </row>
    <row r="20" spans="1:13" x14ac:dyDescent="0.25">
      <c r="A20" s="437">
        <v>12</v>
      </c>
      <c r="B20" s="424">
        <v>0.33333333333333331</v>
      </c>
      <c r="C20" s="425">
        <v>0.5</v>
      </c>
      <c r="D20" s="425">
        <v>0.58333333333333337</v>
      </c>
      <c r="E20" s="426">
        <v>0.70833333333333337</v>
      </c>
      <c r="F20" s="424">
        <f t="shared" si="0"/>
        <v>0.16666666666666669</v>
      </c>
      <c r="G20" s="426">
        <f t="shared" si="1"/>
        <v>0.125</v>
      </c>
      <c r="H20" s="438">
        <f t="shared" si="2"/>
        <v>0.29166666666666669</v>
      </c>
      <c r="J20" s="436"/>
      <c r="K20" s="434" t="str">
        <f t="shared" si="3"/>
        <v/>
      </c>
      <c r="L20" s="434" t="str">
        <f t="shared" si="4"/>
        <v/>
      </c>
      <c r="M20" s="435" t="str">
        <f t="shared" si="5"/>
        <v/>
      </c>
    </row>
    <row r="21" spans="1:13" x14ac:dyDescent="0.25">
      <c r="A21" s="411">
        <v>13</v>
      </c>
      <c r="B21" s="424">
        <v>0.32291666666666669</v>
      </c>
      <c r="C21" s="425">
        <v>0.5</v>
      </c>
      <c r="D21" s="425">
        <v>0.58333333333333337</v>
      </c>
      <c r="E21" s="426">
        <v>0.70833333333333337</v>
      </c>
      <c r="F21" s="427">
        <f t="shared" si="0"/>
        <v>0.17708333333333331</v>
      </c>
      <c r="G21" s="428">
        <f t="shared" si="1"/>
        <v>0.125</v>
      </c>
      <c r="H21" s="429">
        <f t="shared" si="2"/>
        <v>0.30208333333333331</v>
      </c>
      <c r="J21" s="436"/>
      <c r="K21" s="434" t="str">
        <f t="shared" si="3"/>
        <v/>
      </c>
      <c r="L21" s="434" t="str">
        <f t="shared" si="4"/>
        <v/>
      </c>
      <c r="M21" s="435" t="str">
        <f t="shared" si="5"/>
        <v/>
      </c>
    </row>
    <row r="22" spans="1:13" x14ac:dyDescent="0.25">
      <c r="A22" s="411">
        <v>14</v>
      </c>
      <c r="B22" s="424">
        <v>0.36458333333333331</v>
      </c>
      <c r="C22" s="425">
        <v>0.5</v>
      </c>
      <c r="D22" s="425">
        <v>0.58333333333333337</v>
      </c>
      <c r="E22" s="426">
        <v>0.71875</v>
      </c>
      <c r="F22" s="427">
        <f t="shared" si="0"/>
        <v>0.13541666666666669</v>
      </c>
      <c r="G22" s="428">
        <f t="shared" si="1"/>
        <v>0.13541666666666663</v>
      </c>
      <c r="H22" s="429">
        <f t="shared" si="2"/>
        <v>0.27083333333333331</v>
      </c>
      <c r="J22" s="436"/>
      <c r="K22" s="434" t="str">
        <f t="shared" si="3"/>
        <v/>
      </c>
      <c r="L22" s="434" t="str">
        <f t="shared" si="4"/>
        <v/>
      </c>
      <c r="M22" s="435" t="str">
        <f t="shared" si="5"/>
        <v/>
      </c>
    </row>
    <row r="23" spans="1:13" x14ac:dyDescent="0.25">
      <c r="A23" s="411">
        <v>15</v>
      </c>
      <c r="B23" s="424">
        <v>0.32291666666666669</v>
      </c>
      <c r="C23" s="425">
        <v>0.5</v>
      </c>
      <c r="D23" s="425">
        <v>0.58333333333333337</v>
      </c>
      <c r="E23" s="426">
        <v>0.72916666666666663</v>
      </c>
      <c r="F23" s="427">
        <f t="shared" si="0"/>
        <v>0.17708333333333331</v>
      </c>
      <c r="G23" s="428">
        <f t="shared" si="1"/>
        <v>0.14583333333333326</v>
      </c>
      <c r="H23" s="429">
        <f t="shared" si="2"/>
        <v>0.32291666666666657</v>
      </c>
      <c r="J23" s="436"/>
      <c r="K23" s="434" t="str">
        <f t="shared" si="3"/>
        <v/>
      </c>
      <c r="L23" s="434" t="str">
        <f t="shared" si="4"/>
        <v/>
      </c>
      <c r="M23" s="435" t="str">
        <f t="shared" si="5"/>
        <v/>
      </c>
    </row>
    <row r="24" spans="1:13" x14ac:dyDescent="0.25">
      <c r="A24" s="411">
        <v>16</v>
      </c>
      <c r="B24" s="424">
        <v>0.375</v>
      </c>
      <c r="C24" s="425">
        <v>0.5</v>
      </c>
      <c r="D24" s="425">
        <v>0.58333333333333337</v>
      </c>
      <c r="E24" s="426">
        <v>0.72916666666666663</v>
      </c>
      <c r="F24" s="427">
        <f t="shared" si="0"/>
        <v>0.125</v>
      </c>
      <c r="G24" s="428">
        <f t="shared" si="1"/>
        <v>0.14583333333333326</v>
      </c>
      <c r="H24" s="429">
        <f t="shared" si="2"/>
        <v>0.27083333333333326</v>
      </c>
      <c r="J24" s="436"/>
      <c r="K24" s="434" t="str">
        <f t="shared" si="3"/>
        <v/>
      </c>
      <c r="L24" s="434" t="str">
        <f t="shared" si="4"/>
        <v/>
      </c>
      <c r="M24" s="435" t="str">
        <f t="shared" si="5"/>
        <v/>
      </c>
    </row>
    <row r="25" spans="1:13" x14ac:dyDescent="0.25">
      <c r="A25" s="411">
        <v>17</v>
      </c>
      <c r="B25" s="424">
        <v>0.33333333333333331</v>
      </c>
      <c r="C25" s="425">
        <v>0.5</v>
      </c>
      <c r="D25" s="425">
        <v>0.58333333333333337</v>
      </c>
      <c r="E25" s="426">
        <v>0.75</v>
      </c>
      <c r="F25" s="427">
        <f t="shared" si="0"/>
        <v>0.16666666666666669</v>
      </c>
      <c r="G25" s="428">
        <f t="shared" si="1"/>
        <v>0.16666666666666663</v>
      </c>
      <c r="H25" s="429">
        <f t="shared" si="2"/>
        <v>0.33333333333333331</v>
      </c>
      <c r="J25" s="436"/>
      <c r="K25" s="434" t="str">
        <f t="shared" si="3"/>
        <v/>
      </c>
      <c r="L25" s="434" t="str">
        <f t="shared" si="4"/>
        <v/>
      </c>
      <c r="M25" s="435" t="str">
        <f t="shared" si="5"/>
        <v/>
      </c>
    </row>
    <row r="26" spans="1:13" x14ac:dyDescent="0.25">
      <c r="A26" s="411">
        <v>18</v>
      </c>
      <c r="B26" s="424">
        <v>0.33333333333333331</v>
      </c>
      <c r="C26" s="425">
        <v>0.5</v>
      </c>
      <c r="D26" s="425">
        <v>0.58333333333333337</v>
      </c>
      <c r="E26" s="426">
        <v>0.77083333333333337</v>
      </c>
      <c r="F26" s="427">
        <f t="shared" si="0"/>
        <v>0.16666666666666669</v>
      </c>
      <c r="G26" s="428">
        <f t="shared" si="1"/>
        <v>0.1875</v>
      </c>
      <c r="H26" s="429">
        <f t="shared" si="2"/>
        <v>0.35416666666666669</v>
      </c>
      <c r="J26" s="436"/>
      <c r="K26" s="434" t="str">
        <f t="shared" si="3"/>
        <v/>
      </c>
      <c r="L26" s="434" t="str">
        <f t="shared" si="4"/>
        <v/>
      </c>
      <c r="M26" s="435" t="str">
        <f t="shared" si="5"/>
        <v/>
      </c>
    </row>
    <row r="27" spans="1:13" x14ac:dyDescent="0.25">
      <c r="A27" s="411">
        <v>19</v>
      </c>
      <c r="B27" s="424">
        <v>0.36458333333333331</v>
      </c>
      <c r="C27" s="425">
        <v>0.5</v>
      </c>
      <c r="D27" s="425">
        <v>0.58333333333333337</v>
      </c>
      <c r="E27" s="426">
        <v>0.73958333333333337</v>
      </c>
      <c r="F27" s="427">
        <f t="shared" si="0"/>
        <v>0.13541666666666669</v>
      </c>
      <c r="G27" s="428">
        <f t="shared" si="1"/>
        <v>0.15625</v>
      </c>
      <c r="H27" s="429">
        <f t="shared" si="2"/>
        <v>0.29166666666666669</v>
      </c>
      <c r="J27" s="439"/>
      <c r="K27" s="440" t="str">
        <f t="shared" si="3"/>
        <v/>
      </c>
      <c r="L27" s="440" t="str">
        <f t="shared" si="4"/>
        <v/>
      </c>
      <c r="M27" s="441" t="str">
        <f t="shared" si="5"/>
        <v/>
      </c>
    </row>
    <row r="28" spans="1:13" x14ac:dyDescent="0.25">
      <c r="A28" s="411">
        <v>20</v>
      </c>
      <c r="B28" s="424">
        <v>0.33333333333333331</v>
      </c>
      <c r="C28" s="425">
        <v>0.5</v>
      </c>
      <c r="D28" s="425">
        <v>0.58333333333333337</v>
      </c>
      <c r="E28" s="426">
        <v>0.70833333333333337</v>
      </c>
      <c r="F28" s="427">
        <f t="shared" si="0"/>
        <v>0.16666666666666669</v>
      </c>
      <c r="G28" s="428">
        <f t="shared" si="1"/>
        <v>0.125</v>
      </c>
      <c r="H28" s="429">
        <f t="shared" si="2"/>
        <v>0.29166666666666669</v>
      </c>
      <c r="K28" s="442" t="s">
        <v>269</v>
      </c>
      <c r="L28" s="443">
        <f>SUM(L11:L14)</f>
        <v>2.666666666666667</v>
      </c>
      <c r="M28" s="444">
        <f>SUM(M11:M14)</f>
        <v>2.666666666666667</v>
      </c>
    </row>
    <row r="29" spans="1:13" x14ac:dyDescent="0.25">
      <c r="A29" s="411">
        <v>21</v>
      </c>
      <c r="B29" s="424">
        <v>0.33333333333333331</v>
      </c>
      <c r="C29" s="425">
        <v>0.5</v>
      </c>
      <c r="D29" s="425">
        <v>0.58333333333333337</v>
      </c>
      <c r="E29" s="426">
        <v>0.6875</v>
      </c>
      <c r="F29" s="427">
        <f t="shared" si="0"/>
        <v>0.16666666666666669</v>
      </c>
      <c r="G29" s="428">
        <f t="shared" si="1"/>
        <v>0.10416666666666663</v>
      </c>
      <c r="H29" s="429">
        <f t="shared" si="2"/>
        <v>0.27083333333333331</v>
      </c>
    </row>
    <row r="30" spans="1:13" x14ac:dyDescent="0.25">
      <c r="A30" s="411">
        <v>22</v>
      </c>
      <c r="B30" s="424">
        <v>0.33333333333333331</v>
      </c>
      <c r="C30" s="425">
        <v>0.5</v>
      </c>
      <c r="D30" s="425">
        <v>0.58333333333333337</v>
      </c>
      <c r="E30" s="426">
        <v>0.71875</v>
      </c>
      <c r="F30" s="427">
        <f t="shared" si="0"/>
        <v>0.16666666666666669</v>
      </c>
      <c r="G30" s="428">
        <f t="shared" si="1"/>
        <v>0.13541666666666663</v>
      </c>
      <c r="H30" s="429">
        <f t="shared" si="2"/>
        <v>0.30208333333333331</v>
      </c>
      <c r="K30" s="407" t="s">
        <v>270</v>
      </c>
      <c r="L30" s="445">
        <f>L28/"1:00"</f>
        <v>64.000000000000014</v>
      </c>
      <c r="M30" s="445">
        <f>M28/"1:00"</f>
        <v>64.000000000000014</v>
      </c>
    </row>
    <row r="31" spans="1:13" ht="15.75" thickBot="1" x14ac:dyDescent="0.3">
      <c r="A31" s="437">
        <v>23</v>
      </c>
      <c r="B31" s="446">
        <v>0.33333333333333331</v>
      </c>
      <c r="C31" s="447">
        <v>0.5</v>
      </c>
      <c r="D31" s="447">
        <v>0.58333333333333337</v>
      </c>
      <c r="E31" s="448">
        <v>0.70833333333333337</v>
      </c>
      <c r="F31" s="446">
        <f t="shared" si="0"/>
        <v>0.16666666666666669</v>
      </c>
      <c r="G31" s="448">
        <f t="shared" si="1"/>
        <v>0.125</v>
      </c>
      <c r="H31" s="449">
        <f t="shared" si="2"/>
        <v>0.29166666666666669</v>
      </c>
    </row>
    <row r="32" spans="1:13" x14ac:dyDescent="0.25">
      <c r="A32" s="411">
        <v>7</v>
      </c>
      <c r="B32" s="450"/>
      <c r="C32" s="450"/>
      <c r="D32" s="450"/>
      <c r="E32" s="450"/>
      <c r="F32" s="450"/>
      <c r="G32" s="450"/>
      <c r="H32" s="450"/>
    </row>
    <row r="33" spans="1:13" x14ac:dyDescent="0.25">
      <c r="A33" s="411">
        <f>A31*A32</f>
        <v>161</v>
      </c>
      <c r="B33" s="450"/>
      <c r="C33" s="450"/>
      <c r="D33" s="450"/>
      <c r="E33" s="450"/>
      <c r="F33" s="451">
        <f>SUM(F9:F31)</f>
        <v>3.5937499999999991</v>
      </c>
      <c r="G33" s="451">
        <f>SUM(G9:G31)</f>
        <v>3.1562499999999987</v>
      </c>
      <c r="H33" s="451">
        <f>SUM(H9:H31)</f>
        <v>6.7499999999999991</v>
      </c>
    </row>
    <row r="34" spans="1:13" x14ac:dyDescent="0.25">
      <c r="A34" s="411"/>
      <c r="B34" s="450"/>
      <c r="C34" s="450"/>
      <c r="D34" s="450"/>
      <c r="E34" s="450"/>
      <c r="F34" s="450"/>
      <c r="G34" s="450"/>
      <c r="H34" s="451">
        <v>6.708333333333333</v>
      </c>
    </row>
    <row r="35" spans="1:13" x14ac:dyDescent="0.25">
      <c r="A35" s="411"/>
      <c r="B35" s="450"/>
      <c r="C35" s="450"/>
      <c r="D35" s="450"/>
      <c r="E35" s="450"/>
      <c r="F35" s="450"/>
      <c r="G35" s="450"/>
      <c r="H35" s="451">
        <f>H33-H34</f>
        <v>4.1666666666666075E-2</v>
      </c>
    </row>
    <row r="39" spans="1:13" x14ac:dyDescent="0.25">
      <c r="A39" s="942" t="s">
        <v>117</v>
      </c>
      <c r="B39" s="942"/>
      <c r="C39" s="452" t="s">
        <v>118</v>
      </c>
      <c r="D39" s="452"/>
      <c r="E39" s="452"/>
      <c r="F39" s="453">
        <v>0.25</v>
      </c>
      <c r="H39" s="454" t="s">
        <v>255</v>
      </c>
      <c r="M39" s="450"/>
    </row>
    <row r="40" spans="1:13" x14ac:dyDescent="0.25">
      <c r="A40" s="942" t="s">
        <v>119</v>
      </c>
      <c r="B40" s="942"/>
      <c r="C40" s="942"/>
      <c r="D40" s="942"/>
      <c r="E40" s="942"/>
      <c r="F40" s="453">
        <v>0.5</v>
      </c>
      <c r="H40" s="455" t="s">
        <v>257</v>
      </c>
      <c r="M40" s="450"/>
    </row>
    <row r="41" spans="1:13" x14ac:dyDescent="0.25">
      <c r="M41" s="450"/>
    </row>
    <row r="42" spans="1:13" ht="15.75" x14ac:dyDescent="0.25">
      <c r="A42" s="938" t="s">
        <v>120</v>
      </c>
      <c r="B42" s="938"/>
      <c r="C42" s="938"/>
      <c r="D42" s="938"/>
      <c r="E42" s="938"/>
      <c r="F42" s="453">
        <v>0.1</v>
      </c>
      <c r="M42" s="456" t="s">
        <v>284</v>
      </c>
    </row>
    <row r="43" spans="1:13" x14ac:dyDescent="0.25">
      <c r="A43" s="937" t="s">
        <v>121</v>
      </c>
      <c r="B43" s="937"/>
      <c r="C43" s="937"/>
      <c r="D43" s="937"/>
      <c r="E43" s="937"/>
      <c r="F43" s="453">
        <v>0.25</v>
      </c>
      <c r="M43" s="450" t="s">
        <v>273</v>
      </c>
    </row>
    <row r="44" spans="1:13" x14ac:dyDescent="0.25">
      <c r="A44" s="937" t="s">
        <v>119</v>
      </c>
      <c r="B44" s="937"/>
      <c r="C44" s="937"/>
      <c r="D44" s="937"/>
      <c r="E44" s="937"/>
      <c r="F44" s="453">
        <v>0.5</v>
      </c>
      <c r="M44" s="450" t="s">
        <v>274</v>
      </c>
    </row>
    <row r="45" spans="1:13" x14ac:dyDescent="0.25">
      <c r="M45" s="450" t="s">
        <v>275</v>
      </c>
    </row>
    <row r="46" spans="1:13" x14ac:dyDescent="0.25">
      <c r="A46" s="407" t="s">
        <v>143</v>
      </c>
      <c r="M46" s="450" t="s">
        <v>276</v>
      </c>
    </row>
    <row r="47" spans="1:13" x14ac:dyDescent="0.25">
      <c r="M47" s="450" t="s">
        <v>277</v>
      </c>
    </row>
    <row r="48" spans="1:13" x14ac:dyDescent="0.25">
      <c r="A48" s="407" t="s">
        <v>199</v>
      </c>
      <c r="M48" s="450" t="s">
        <v>278</v>
      </c>
    </row>
    <row r="49" spans="1:13" ht="17.25" x14ac:dyDescent="0.25">
      <c r="A49" s="407" t="s">
        <v>200</v>
      </c>
      <c r="M49" s="450" t="s">
        <v>279</v>
      </c>
    </row>
    <row r="50" spans="1:13" x14ac:dyDescent="0.25">
      <c r="M50" s="450" t="s">
        <v>280</v>
      </c>
    </row>
    <row r="51" spans="1:13" x14ac:dyDescent="0.25">
      <c r="M51" s="450" t="s">
        <v>281</v>
      </c>
    </row>
    <row r="52" spans="1:13" x14ac:dyDescent="0.25">
      <c r="A52" s="457" t="s">
        <v>258</v>
      </c>
      <c r="M52" s="450" t="s">
        <v>282</v>
      </c>
    </row>
    <row r="53" spans="1:13" x14ac:dyDescent="0.25">
      <c r="A53" s="407" t="s">
        <v>259</v>
      </c>
      <c r="M53" s="450" t="s">
        <v>283</v>
      </c>
    </row>
    <row r="54" spans="1:13" x14ac:dyDescent="0.25">
      <c r="A54" s="407" t="s">
        <v>260</v>
      </c>
      <c r="M54" s="450"/>
    </row>
    <row r="56" spans="1:13" x14ac:dyDescent="0.25">
      <c r="A56" s="407" t="s">
        <v>265</v>
      </c>
      <c r="B56" s="458"/>
    </row>
    <row r="57" spans="1:13" x14ac:dyDescent="0.25">
      <c r="A57" s="407" t="s">
        <v>266</v>
      </c>
      <c r="B57" s="407">
        <f>B56/10</f>
        <v>0</v>
      </c>
    </row>
    <row r="58" spans="1:13" x14ac:dyDescent="0.25">
      <c r="A58" s="407" t="s">
        <v>267</v>
      </c>
      <c r="B58" s="407">
        <f>B56/3</f>
        <v>0</v>
      </c>
    </row>
    <row r="59" spans="1:13" x14ac:dyDescent="0.25">
      <c r="A59" s="407" t="s">
        <v>386</v>
      </c>
      <c r="C59" s="458"/>
    </row>
    <row r="60" spans="1:13" x14ac:dyDescent="0.25">
      <c r="A60" s="407" t="s">
        <v>387</v>
      </c>
      <c r="C60" s="407">
        <f>IF(C59&gt;10%*B56,10%*B56,C59)</f>
        <v>0</v>
      </c>
    </row>
    <row r="61" spans="1:13" x14ac:dyDescent="0.25">
      <c r="A61" s="407" t="s">
        <v>388</v>
      </c>
      <c r="C61" s="407">
        <f>C59-C60</f>
        <v>0</v>
      </c>
    </row>
  </sheetData>
  <mergeCells count="7">
    <mergeCell ref="A43:E43"/>
    <mergeCell ref="A44:E44"/>
    <mergeCell ref="A42:E42"/>
    <mergeCell ref="A1:I1"/>
    <mergeCell ref="A39:B39"/>
    <mergeCell ref="A40:B40"/>
    <mergeCell ref="C40:E40"/>
  </mergeCells>
  <hyperlinks>
    <hyperlink ref="J1" location="BULLETIN" display="BULLETIN" xr:uid="{00000000-0004-0000-0600-000000000000}"/>
    <hyperlink ref="K1" location="INFO" display="INFO" xr:uid="{00000000-0004-0000-0600-000001000000}"/>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0417" r:id="rId4" name="Bouton 1">
              <controlPr defaultSize="0" print="0" autoFill="0" autoPict="0" macro="[0]!ZERO_H_SUP">
                <anchor moveWithCells="1" sizeWithCells="1">
                  <from>
                    <xdr:col>10</xdr:col>
                    <xdr:colOff>19050</xdr:colOff>
                    <xdr:row>1</xdr:row>
                    <xdr:rowOff>0</xdr:rowOff>
                  </from>
                  <to>
                    <xdr:col>10</xdr:col>
                    <xdr:colOff>733425</xdr:colOff>
                    <xdr:row>2</xdr:row>
                    <xdr:rowOff>190500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2">
    <tabColor theme="8" tint="0.59999389629810485"/>
  </sheetPr>
  <dimension ref="A1:K30"/>
  <sheetViews>
    <sheetView workbookViewId="0">
      <selection activeCell="E29" sqref="E29"/>
    </sheetView>
  </sheetViews>
  <sheetFormatPr baseColWidth="10" defaultColWidth="11.42578125" defaultRowHeight="15" x14ac:dyDescent="0.25"/>
  <cols>
    <col min="1" max="1" width="18.28515625" bestFit="1" customWidth="1"/>
    <col min="2" max="5" width="16.5703125" customWidth="1"/>
    <col min="7" max="7" width="10.5703125" customWidth="1"/>
    <col min="8" max="8" width="32.85546875" customWidth="1"/>
  </cols>
  <sheetData>
    <row r="1" spans="1:11" ht="21.75" thickBot="1" x14ac:dyDescent="0.3">
      <c r="A1" s="951" t="s">
        <v>376</v>
      </c>
      <c r="B1" s="952"/>
      <c r="C1" s="952"/>
      <c r="D1" s="952"/>
      <c r="E1" s="952"/>
      <c r="F1" s="953"/>
    </row>
    <row r="2" spans="1:11" ht="15" customHeight="1" x14ac:dyDescent="0.25">
      <c r="H2" s="943" t="s">
        <v>456</v>
      </c>
      <c r="I2" s="944"/>
    </row>
    <row r="3" spans="1:11" x14ac:dyDescent="0.25">
      <c r="A3" s="27" t="s">
        <v>106</v>
      </c>
      <c r="B3" s="317">
        <f>'info bulletin'!C65</f>
        <v>0</v>
      </c>
      <c r="C3" s="19"/>
      <c r="D3" s="19"/>
      <c r="E3" s="28" t="s">
        <v>141</v>
      </c>
      <c r="F3" s="267">
        <f>NBRE_H_SEM</f>
        <v>0</v>
      </c>
      <c r="G3" s="19"/>
      <c r="H3" s="945"/>
      <c r="I3" s="946"/>
      <c r="J3" s="54"/>
      <c r="K3" s="54"/>
    </row>
    <row r="4" spans="1:11" x14ac:dyDescent="0.25">
      <c r="A4" s="19"/>
      <c r="B4" s="19"/>
      <c r="C4" s="19"/>
      <c r="D4" s="19"/>
      <c r="E4" s="28" t="s">
        <v>142</v>
      </c>
      <c r="F4" s="267">
        <f>NBRE_J_SEM</f>
        <v>0</v>
      </c>
      <c r="G4" s="19"/>
      <c r="H4" s="945"/>
      <c r="I4" s="946"/>
      <c r="J4" s="54"/>
      <c r="K4" s="54"/>
    </row>
    <row r="5" spans="1:11" x14ac:dyDescent="0.25">
      <c r="A5" s="19"/>
      <c r="B5" s="19"/>
      <c r="C5" s="19"/>
      <c r="D5" s="19"/>
      <c r="E5" s="19"/>
      <c r="F5" s="19"/>
      <c r="G5" s="19"/>
      <c r="H5" s="945"/>
      <c r="I5" s="946"/>
      <c r="J5" s="54"/>
      <c r="K5" s="54"/>
    </row>
    <row r="6" spans="1:11" x14ac:dyDescent="0.25">
      <c r="A6" s="26" t="s">
        <v>107</v>
      </c>
      <c r="B6" s="19"/>
      <c r="C6" s="19"/>
      <c r="D6" s="19"/>
      <c r="E6" s="19"/>
      <c r="F6" s="19"/>
      <c r="G6" s="19"/>
      <c r="H6" s="945"/>
      <c r="I6" s="946"/>
      <c r="J6" s="54"/>
      <c r="K6" s="54"/>
    </row>
    <row r="7" spans="1:11" x14ac:dyDescent="0.25">
      <c r="A7" s="29" t="s">
        <v>123</v>
      </c>
      <c r="B7" s="268">
        <f>D_ABS_NR</f>
        <v>0</v>
      </c>
      <c r="C7" s="27" t="s">
        <v>125</v>
      </c>
      <c r="D7" s="31">
        <f>MOIS_BULLETIN-DAY(MOIS_BULLETIN)+1</f>
        <v>1</v>
      </c>
      <c r="E7" s="19"/>
      <c r="F7" s="19"/>
      <c r="G7" s="19"/>
      <c r="H7" s="945"/>
      <c r="I7" s="946"/>
      <c r="J7" s="54"/>
      <c r="K7" s="54"/>
    </row>
    <row r="8" spans="1:11" x14ac:dyDescent="0.25">
      <c r="A8" s="30" t="s">
        <v>124</v>
      </c>
      <c r="B8" s="269">
        <f>F_ABS_NR</f>
        <v>0</v>
      </c>
      <c r="C8" s="19"/>
      <c r="D8" s="22">
        <f>EOMONTH(D7,0)</f>
        <v>31</v>
      </c>
      <c r="E8" s="19"/>
      <c r="F8" s="19"/>
      <c r="G8" s="19"/>
      <c r="H8" s="945"/>
      <c r="I8" s="946"/>
      <c r="J8" s="54"/>
      <c r="K8" s="54"/>
    </row>
    <row r="9" spans="1:11" x14ac:dyDescent="0.25">
      <c r="A9" s="19"/>
      <c r="B9" s="19"/>
      <c r="C9" s="19"/>
      <c r="D9" s="19"/>
      <c r="E9" s="19"/>
      <c r="F9" s="19"/>
      <c r="G9" s="19"/>
      <c r="H9" s="945"/>
      <c r="I9" s="946"/>
      <c r="J9" s="54"/>
      <c r="K9" s="54"/>
    </row>
    <row r="10" spans="1:11" x14ac:dyDescent="0.25">
      <c r="A10" s="19"/>
      <c r="B10" s="27" t="s">
        <v>271</v>
      </c>
      <c r="C10" s="27" t="s">
        <v>103</v>
      </c>
      <c r="D10" s="27" t="s">
        <v>104</v>
      </c>
      <c r="E10" s="27" t="s">
        <v>105</v>
      </c>
      <c r="F10" s="19"/>
      <c r="G10" s="19"/>
      <c r="H10" s="945"/>
      <c r="I10" s="946"/>
      <c r="J10" s="54"/>
      <c r="K10" s="54"/>
    </row>
    <row r="11" spans="1:11" x14ac:dyDescent="0.25">
      <c r="A11" s="27" t="s">
        <v>81</v>
      </c>
      <c r="B11" s="21">
        <f>H_ABS_NR</f>
        <v>0</v>
      </c>
      <c r="C11" s="21">
        <f>NETWORKDAYS(B7,B8,FERIES)</f>
        <v>0</v>
      </c>
      <c r="D11" s="24">
        <f>B8-B7-INT((B8-B7-IF(WEEKDAY(B8)=1,0,8-WEEKDAY(B7)))/7)</f>
        <v>1</v>
      </c>
      <c r="E11" s="25">
        <f>_xlfn.DAYS(B8,B7)+1</f>
        <v>1</v>
      </c>
      <c r="F11" s="19"/>
      <c r="G11" s="19"/>
      <c r="H11" s="945"/>
      <c r="I11" s="946"/>
      <c r="J11" s="54"/>
      <c r="K11" s="54"/>
    </row>
    <row r="12" spans="1:11" x14ac:dyDescent="0.25">
      <c r="A12" s="27" t="s">
        <v>262</v>
      </c>
      <c r="B12" s="21">
        <f>'info bulletin'!C69</f>
        <v>0</v>
      </c>
      <c r="C12" s="172">
        <f>NETWORKDAYS(D7,D8)</f>
        <v>22</v>
      </c>
      <c r="D12" s="19">
        <f>D8-D7-INT((D8-D7-IF(WEEKDAY(D7)=1,0,8-WEEKDAY(D7)))/7)</f>
        <v>26</v>
      </c>
      <c r="E12" s="25">
        <f>_xlfn.DAYS(D8,D7)+1</f>
        <v>31</v>
      </c>
      <c r="F12" s="19"/>
      <c r="G12" s="19"/>
      <c r="H12" s="945"/>
      <c r="I12" s="946"/>
      <c r="J12" s="54"/>
      <c r="K12" s="54"/>
    </row>
    <row r="13" spans="1:11" x14ac:dyDescent="0.25">
      <c r="A13" s="27" t="s">
        <v>263</v>
      </c>
      <c r="B13" s="23">
        <f>ROUND((F3*52)/12,2)</f>
        <v>0</v>
      </c>
      <c r="C13" s="23">
        <f>ROUND(F4*52,2)/12</f>
        <v>0</v>
      </c>
      <c r="D13" s="25">
        <f>(F4+1)*52/12</f>
        <v>4.333333333333333</v>
      </c>
      <c r="E13" s="25">
        <f>ROUNDDOWN(((F4+2)*52/12),0)</f>
        <v>8</v>
      </c>
      <c r="F13" s="19"/>
      <c r="G13" s="19"/>
      <c r="H13" s="945"/>
      <c r="I13" s="946"/>
      <c r="J13" s="54"/>
      <c r="K13" s="54"/>
    </row>
    <row r="14" spans="1:11" x14ac:dyDescent="0.25">
      <c r="A14" s="19"/>
      <c r="B14" s="19"/>
      <c r="C14" s="19"/>
      <c r="D14" s="19"/>
      <c r="E14" s="19"/>
      <c r="F14" s="19"/>
      <c r="G14" s="19"/>
      <c r="H14" s="945"/>
      <c r="I14" s="946"/>
      <c r="J14" s="54"/>
      <c r="K14" s="54"/>
    </row>
    <row r="15" spans="1:11" x14ac:dyDescent="0.25">
      <c r="A15" s="954" t="s">
        <v>272</v>
      </c>
      <c r="B15" s="955"/>
      <c r="C15" s="19"/>
      <c r="D15" s="19"/>
      <c r="E15" s="19"/>
      <c r="F15" s="19"/>
      <c r="G15" s="19"/>
      <c r="H15" s="945"/>
      <c r="I15" s="946"/>
      <c r="J15" s="54"/>
      <c r="K15" s="54"/>
    </row>
    <row r="16" spans="1:11" x14ac:dyDescent="0.25">
      <c r="A16" s="166" t="s">
        <v>108</v>
      </c>
      <c r="B16" s="167">
        <f>IF(B11=0,0,B11*B3/B12)</f>
        <v>0</v>
      </c>
      <c r="C16" s="19"/>
      <c r="D16" s="54"/>
      <c r="E16" s="19"/>
      <c r="F16" s="19"/>
      <c r="G16" s="19"/>
      <c r="H16" s="945"/>
      <c r="I16" s="946"/>
      <c r="J16" s="54"/>
      <c r="K16" s="54"/>
    </row>
    <row r="17" spans="1:11" x14ac:dyDescent="0.25">
      <c r="A17" s="168" t="s">
        <v>109</v>
      </c>
      <c r="B17" s="169" t="str">
        <f>IFERROR((B11/B13)*$B$3,"")</f>
        <v/>
      </c>
      <c r="C17" s="19"/>
      <c r="D17" s="956" t="s">
        <v>261</v>
      </c>
      <c r="E17" s="957"/>
      <c r="F17" s="19"/>
      <c r="G17" s="19"/>
      <c r="H17" s="945"/>
      <c r="I17" s="946"/>
      <c r="J17" s="54"/>
      <c r="K17" s="54"/>
    </row>
    <row r="18" spans="1:11" x14ac:dyDescent="0.25">
      <c r="A18" s="168" t="s">
        <v>110</v>
      </c>
      <c r="B18" s="169">
        <f>IFERROR((C11/C12)*$B$3,"")</f>
        <v>0</v>
      </c>
      <c r="C18" s="19"/>
      <c r="D18" s="958" t="str">
        <f>'info bulletin'!C63</f>
        <v>Horaire réèl</v>
      </c>
      <c r="E18" s="959"/>
      <c r="F18" s="19"/>
      <c r="G18" s="19"/>
      <c r="H18" s="945"/>
      <c r="I18" s="946"/>
      <c r="J18" s="54"/>
      <c r="K18" s="54"/>
    </row>
    <row r="19" spans="1:11" x14ac:dyDescent="0.25">
      <c r="A19" s="168" t="s">
        <v>111</v>
      </c>
      <c r="B19" s="169" t="e">
        <f>(C11/C13)*B3</f>
        <v>#DIV/0!</v>
      </c>
      <c r="C19" s="19"/>
      <c r="D19" s="949">
        <f>IF(B3=0,0,VLOOKUP(D18,A16:B23,2,FALSE))</f>
        <v>0</v>
      </c>
      <c r="E19" s="950"/>
      <c r="F19" s="19"/>
      <c r="G19" s="19"/>
      <c r="H19" s="947"/>
      <c r="I19" s="948"/>
      <c r="J19" s="54"/>
      <c r="K19" s="54"/>
    </row>
    <row r="20" spans="1:11" x14ac:dyDescent="0.25">
      <c r="A20" s="168" t="s">
        <v>112</v>
      </c>
      <c r="B20" s="169">
        <f>IFERROR((D11/D12)*$B$3,"")</f>
        <v>0</v>
      </c>
      <c r="C20" s="19"/>
      <c r="D20" s="19"/>
      <c r="E20" s="19"/>
      <c r="F20" s="19"/>
      <c r="G20" s="19"/>
      <c r="J20" s="54"/>
      <c r="K20" s="54"/>
    </row>
    <row r="21" spans="1:11" x14ac:dyDescent="0.25">
      <c r="A21" s="168" t="s">
        <v>113</v>
      </c>
      <c r="B21" s="169">
        <f>IFERROR((D11/D13)*$B$3,"")</f>
        <v>0</v>
      </c>
      <c r="C21" s="19"/>
      <c r="D21" s="19"/>
      <c r="E21" s="19"/>
      <c r="F21" s="19"/>
      <c r="G21" s="19"/>
      <c r="J21" s="54"/>
      <c r="K21" s="54"/>
    </row>
    <row r="22" spans="1:11" x14ac:dyDescent="0.25">
      <c r="A22" s="168" t="s">
        <v>114</v>
      </c>
      <c r="B22" s="169">
        <f>IFERROR((E11/E12)*$B$3,"")</f>
        <v>0</v>
      </c>
      <c r="C22" s="19"/>
      <c r="D22" s="19"/>
      <c r="E22" s="19"/>
      <c r="F22" s="19"/>
      <c r="G22" s="19"/>
      <c r="J22" s="54"/>
      <c r="K22" s="54"/>
    </row>
    <row r="23" spans="1:11" x14ac:dyDescent="0.25">
      <c r="A23" s="170" t="s">
        <v>115</v>
      </c>
      <c r="B23" s="171">
        <f>IFERROR((E11/E13)*$B$3,"")</f>
        <v>0</v>
      </c>
      <c r="C23" s="19"/>
      <c r="D23" s="19"/>
      <c r="E23" s="19"/>
      <c r="F23" s="19"/>
      <c r="G23" s="19"/>
      <c r="J23" s="54"/>
      <c r="K23" s="54"/>
    </row>
    <row r="24" spans="1:11" x14ac:dyDescent="0.25">
      <c r="A24" s="19"/>
      <c r="B24" s="19"/>
      <c r="C24" s="19"/>
      <c r="D24" s="19"/>
      <c r="E24" s="19"/>
      <c r="F24" s="19"/>
      <c r="G24" s="19"/>
      <c r="J24" s="54"/>
      <c r="K24" s="54"/>
    </row>
    <row r="25" spans="1:11" x14ac:dyDescent="0.25">
      <c r="A25" s="19"/>
      <c r="B25" s="19"/>
      <c r="C25" s="19"/>
      <c r="D25" s="19"/>
      <c r="E25" s="19"/>
      <c r="F25" s="19"/>
      <c r="G25" s="19"/>
      <c r="J25" s="54"/>
      <c r="K25" s="54"/>
    </row>
    <row r="26" spans="1:11" x14ac:dyDescent="0.25">
      <c r="A26" s="19"/>
      <c r="B26" s="19"/>
      <c r="C26" s="19"/>
      <c r="D26" s="19"/>
      <c r="E26" s="19"/>
      <c r="F26" s="19"/>
      <c r="G26" s="19"/>
      <c r="J26" s="54"/>
      <c r="K26" s="54"/>
    </row>
    <row r="27" spans="1:11" x14ac:dyDescent="0.25">
      <c r="A27" s="19"/>
      <c r="B27" s="19"/>
      <c r="C27" s="19"/>
      <c r="D27" s="19"/>
      <c r="E27" s="19"/>
      <c r="F27" s="19"/>
      <c r="G27" s="19"/>
      <c r="J27" s="54"/>
      <c r="K27" s="54"/>
    </row>
    <row r="28" spans="1:11" x14ac:dyDescent="0.25">
      <c r="A28" s="19"/>
      <c r="B28" s="19"/>
      <c r="C28" s="19"/>
      <c r="D28" s="19"/>
      <c r="E28" s="19"/>
      <c r="F28" s="19"/>
      <c r="G28" s="19"/>
      <c r="J28" s="54"/>
      <c r="K28" s="54"/>
    </row>
    <row r="29" spans="1:11" x14ac:dyDescent="0.25">
      <c r="A29" s="19"/>
      <c r="B29" s="19"/>
      <c r="C29" s="19"/>
      <c r="D29" s="19"/>
      <c r="E29" s="19"/>
      <c r="F29" s="19"/>
      <c r="G29" s="19"/>
      <c r="J29" s="54"/>
      <c r="K29" s="54"/>
    </row>
    <row r="30" spans="1:11" x14ac:dyDescent="0.25">
      <c r="A30" s="19"/>
      <c r="B30" s="19"/>
      <c r="C30" s="19"/>
      <c r="D30" s="19"/>
      <c r="E30" s="19"/>
      <c r="F30" s="19"/>
      <c r="G30" s="19"/>
      <c r="J30" s="54"/>
      <c r="K30" s="54"/>
    </row>
  </sheetData>
  <mergeCells count="6">
    <mergeCell ref="H2:I19"/>
    <mergeCell ref="D19:E19"/>
    <mergeCell ref="A1:F1"/>
    <mergeCell ref="A15:B15"/>
    <mergeCell ref="D17:E17"/>
    <mergeCell ref="D18:E18"/>
  </mergeCells>
  <conditionalFormatting sqref="B16:B23">
    <cfRule type="top10" dxfId="7" priority="1" bottom="1" rank="1"/>
  </conditionalFormatting>
  <dataValidations count="1">
    <dataValidation type="list" allowBlank="1" showInputMessage="1" showErrorMessage="1" sqref="D18" xr:uid="{00000000-0002-0000-0700-000000000000}">
      <formula1>$A$16:$A$23</formula1>
    </dataValidation>
  </dataValidation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5">
    <tabColor rgb="FFFFC000"/>
  </sheetPr>
  <dimension ref="A1:K28"/>
  <sheetViews>
    <sheetView workbookViewId="0">
      <selection activeCell="D18" sqref="D18:E18"/>
    </sheetView>
  </sheetViews>
  <sheetFormatPr baseColWidth="10" defaultColWidth="11.42578125" defaultRowHeight="15" x14ac:dyDescent="0.25"/>
  <cols>
    <col min="1" max="1" width="19.42578125" style="19" bestFit="1" customWidth="1"/>
    <col min="2" max="5" width="14.85546875" style="19" customWidth="1"/>
    <col min="6" max="6" width="11.42578125" style="19"/>
    <col min="7" max="7" width="13.42578125" style="19" bestFit="1" customWidth="1"/>
    <col min="8" max="8" width="29.28515625" style="19" bestFit="1" customWidth="1"/>
    <col min="9" max="10" width="11.42578125" style="19"/>
    <col min="11" max="11" width="18.28515625" style="19" bestFit="1" customWidth="1"/>
    <col min="12" max="16384" width="11.42578125" style="19"/>
  </cols>
  <sheetData>
    <row r="1" spans="1:11" ht="37.5" customHeight="1" thickBot="1" x14ac:dyDescent="0.3">
      <c r="A1" s="960" t="s">
        <v>344</v>
      </c>
      <c r="B1" s="961"/>
      <c r="C1" s="961"/>
      <c r="D1" s="961"/>
      <c r="E1" s="961"/>
      <c r="F1" s="962"/>
      <c r="G1" s="84" t="s">
        <v>220</v>
      </c>
      <c r="H1" s="84" t="s">
        <v>346</v>
      </c>
    </row>
    <row r="2" spans="1:11" ht="21" customHeight="1" x14ac:dyDescent="0.25">
      <c r="A2" s="83"/>
      <c r="B2" s="20"/>
      <c r="C2" s="20"/>
      <c r="D2" s="20"/>
      <c r="E2" s="20"/>
      <c r="F2" s="20"/>
    </row>
    <row r="3" spans="1:11" x14ac:dyDescent="0.25">
      <c r="A3" s="27" t="s">
        <v>106</v>
      </c>
      <c r="B3" s="317">
        <f>'info bulletin'!C75</f>
        <v>0</v>
      </c>
      <c r="E3" s="28" t="s">
        <v>141</v>
      </c>
      <c r="F3" s="267">
        <f>NBRE_H_SEM</f>
        <v>0</v>
      </c>
      <c r="H3" s="19" t="s">
        <v>417</v>
      </c>
      <c r="J3" s="54"/>
      <c r="K3" s="54"/>
    </row>
    <row r="4" spans="1:11" x14ac:dyDescent="0.25">
      <c r="E4" s="28" t="s">
        <v>142</v>
      </c>
      <c r="F4" s="267">
        <f>NBRE_J_SEM</f>
        <v>0</v>
      </c>
      <c r="H4" s="19">
        <f>D8-D7-INT((D8-D7-IF(WEEKDAY(D8)=1,0,8-WEEKDAY(D7)))/7)-SUMPRODUCT((FERIES&gt;=D7)*(FERIES&lt;=D8)*(WEEKDAY(FERIES)&lt;&gt;1))</f>
        <v>27</v>
      </c>
      <c r="J4" s="54"/>
      <c r="K4" s="54"/>
    </row>
    <row r="5" spans="1:11" x14ac:dyDescent="0.25">
      <c r="J5" s="54"/>
      <c r="K5" s="54"/>
    </row>
    <row r="6" spans="1:11" x14ac:dyDescent="0.25">
      <c r="A6" s="26" t="s">
        <v>107</v>
      </c>
      <c r="J6" s="54"/>
      <c r="K6" s="54"/>
    </row>
    <row r="7" spans="1:11" x14ac:dyDescent="0.25">
      <c r="A7" s="29" t="s">
        <v>123</v>
      </c>
      <c r="B7" s="268">
        <f>D_ABS_CP</f>
        <v>0</v>
      </c>
      <c r="C7" s="27" t="s">
        <v>125</v>
      </c>
      <c r="D7" s="31">
        <f>MOIS_BULLETIN-DAY(MOIS_BULLETIN)+1</f>
        <v>1</v>
      </c>
      <c r="J7" s="54"/>
      <c r="K7" s="54"/>
    </row>
    <row r="8" spans="1:11" x14ac:dyDescent="0.25">
      <c r="A8" s="30" t="s">
        <v>124</v>
      </c>
      <c r="B8" s="269">
        <f>F_ABS_CP</f>
        <v>0</v>
      </c>
      <c r="D8" s="22">
        <f>EOMONTH(D7,0)</f>
        <v>31</v>
      </c>
      <c r="J8" s="54"/>
      <c r="K8" s="54"/>
    </row>
    <row r="9" spans="1:11" x14ac:dyDescent="0.25">
      <c r="J9" s="54"/>
      <c r="K9" s="54"/>
    </row>
    <row r="10" spans="1:11" x14ac:dyDescent="0.25">
      <c r="B10" s="27" t="s">
        <v>103</v>
      </c>
      <c r="C10" s="27" t="s">
        <v>104</v>
      </c>
      <c r="J10" s="54"/>
      <c r="K10" s="54"/>
    </row>
    <row r="11" spans="1:11" x14ac:dyDescent="0.25">
      <c r="A11" s="27" t="s">
        <v>81</v>
      </c>
      <c r="B11" s="21">
        <f>NETWORKDAYS(B7,B8,FERIES)</f>
        <v>0</v>
      </c>
      <c r="C11" s="24">
        <f>B8-B7-INT((B8-B7-IF(WEEKDAY(B8)=1,0,8-WEEKDAY(B7)))/7)</f>
        <v>1</v>
      </c>
      <c r="E11" s="19" t="s">
        <v>527</v>
      </c>
      <c r="J11" s="54"/>
      <c r="K11" s="54"/>
    </row>
    <row r="12" spans="1:11" x14ac:dyDescent="0.25">
      <c r="A12" s="27" t="s">
        <v>262</v>
      </c>
      <c r="B12" s="172">
        <f>NETWORKDAYS(D7,D8)</f>
        <v>22</v>
      </c>
      <c r="C12" s="506">
        <f>D8-D7-INT((D8-D7-IF(WEEKDAY(D7)=1,0,8-WEEKDAY(D7)))/7)</f>
        <v>26</v>
      </c>
      <c r="E12" s="19">
        <f>IF(B3=0,0,IF(OR(D17="J ouvrables moyen",D17="J ouvrables réèls"),C11,B11))</f>
        <v>0</v>
      </c>
      <c r="J12" s="54"/>
      <c r="K12" s="54"/>
    </row>
    <row r="13" spans="1:11" x14ac:dyDescent="0.25">
      <c r="A13" s="27" t="s">
        <v>263</v>
      </c>
      <c r="B13" s="23">
        <f>ROUND(F4*52,2)/12</f>
        <v>0</v>
      </c>
      <c r="C13" s="25">
        <f>(F4+1)*52/12</f>
        <v>4.333333333333333</v>
      </c>
      <c r="J13" s="54"/>
      <c r="K13" s="54"/>
    </row>
    <row r="14" spans="1:11" x14ac:dyDescent="0.25">
      <c r="J14" s="54"/>
      <c r="K14" s="54"/>
    </row>
    <row r="15" spans="1:11" x14ac:dyDescent="0.25">
      <c r="A15" s="954" t="s">
        <v>272</v>
      </c>
      <c r="B15" s="955"/>
      <c r="D15" s="54"/>
      <c r="J15" s="54"/>
      <c r="K15" s="54"/>
    </row>
    <row r="16" spans="1:11" ht="15" customHeight="1" x14ac:dyDescent="0.25">
      <c r="A16" s="168" t="s">
        <v>110</v>
      </c>
      <c r="B16" s="169">
        <f>IFERROR((B11/B12)*$B$3,"")</f>
        <v>0</v>
      </c>
      <c r="D16" s="956" t="s">
        <v>261</v>
      </c>
      <c r="E16" s="957"/>
      <c r="H16" s="943" t="s">
        <v>299</v>
      </c>
      <c r="I16" s="944"/>
      <c r="J16" s="54"/>
      <c r="K16" s="54"/>
    </row>
    <row r="17" spans="1:11" x14ac:dyDescent="0.25">
      <c r="A17" s="168" t="s">
        <v>111</v>
      </c>
      <c r="B17" s="169" t="e">
        <f>(B11/B13)*B3</f>
        <v>#DIV/0!</v>
      </c>
      <c r="D17" s="963" t="str">
        <f>'info bulletin'!C72</f>
        <v>J ouvrables moyen</v>
      </c>
      <c r="E17" s="959"/>
      <c r="H17" s="945"/>
      <c r="I17" s="946"/>
      <c r="J17" s="54"/>
      <c r="K17" s="54"/>
    </row>
    <row r="18" spans="1:11" x14ac:dyDescent="0.25">
      <c r="A18" s="168" t="s">
        <v>112</v>
      </c>
      <c r="B18" s="169">
        <f>IFERROR((C11/C12)*$B$3,"")</f>
        <v>0</v>
      </c>
      <c r="D18" s="949">
        <f>IF(B3=0,0,VLOOKUP(D17,A16:B21,2,FALSE))</f>
        <v>0</v>
      </c>
      <c r="E18" s="950"/>
      <c r="H18" s="945"/>
      <c r="I18" s="946"/>
      <c r="J18" s="54"/>
      <c r="K18" s="54"/>
    </row>
    <row r="19" spans="1:11" x14ac:dyDescent="0.25">
      <c r="A19" s="168" t="s">
        <v>113</v>
      </c>
      <c r="B19" s="169">
        <f>IFERROR((C11/C13)*$B$3,"")</f>
        <v>0</v>
      </c>
      <c r="H19" s="945"/>
      <c r="I19" s="946"/>
      <c r="J19" s="54"/>
      <c r="K19" s="54"/>
    </row>
    <row r="20" spans="1:11" x14ac:dyDescent="0.25">
      <c r="H20" s="945"/>
      <c r="I20" s="946"/>
      <c r="J20" s="54"/>
      <c r="K20" s="54"/>
    </row>
    <row r="21" spans="1:11" x14ac:dyDescent="0.25">
      <c r="H21" s="945"/>
      <c r="I21" s="946"/>
      <c r="J21" s="54"/>
      <c r="K21" s="54"/>
    </row>
    <row r="22" spans="1:11" x14ac:dyDescent="0.25">
      <c r="H22" s="945"/>
      <c r="I22" s="946"/>
      <c r="J22" s="54"/>
      <c r="K22" s="54"/>
    </row>
    <row r="23" spans="1:11" x14ac:dyDescent="0.25">
      <c r="H23" s="945"/>
      <c r="I23" s="946"/>
      <c r="J23" s="54"/>
      <c r="K23" s="54"/>
    </row>
    <row r="24" spans="1:11" x14ac:dyDescent="0.25">
      <c r="H24" s="945"/>
      <c r="I24" s="946"/>
      <c r="J24" s="54"/>
      <c r="K24" s="54"/>
    </row>
    <row r="25" spans="1:11" x14ac:dyDescent="0.25">
      <c r="H25" s="945"/>
      <c r="I25" s="946"/>
      <c r="J25" s="54"/>
      <c r="K25" s="54"/>
    </row>
    <row r="26" spans="1:11" x14ac:dyDescent="0.25">
      <c r="H26" s="945"/>
      <c r="I26" s="946"/>
      <c r="J26" s="54"/>
      <c r="K26" s="54"/>
    </row>
    <row r="27" spans="1:11" x14ac:dyDescent="0.25">
      <c r="H27" s="945"/>
      <c r="I27" s="946"/>
      <c r="J27" s="54"/>
      <c r="K27" s="54"/>
    </row>
    <row r="28" spans="1:11" x14ac:dyDescent="0.25">
      <c r="H28" s="947"/>
      <c r="I28" s="948"/>
      <c r="J28" s="54"/>
      <c r="K28" s="54"/>
    </row>
  </sheetData>
  <mergeCells count="6">
    <mergeCell ref="A1:F1"/>
    <mergeCell ref="H16:I28"/>
    <mergeCell ref="D16:E16"/>
    <mergeCell ref="D17:E17"/>
    <mergeCell ref="D18:E18"/>
    <mergeCell ref="A15:B15"/>
  </mergeCells>
  <conditionalFormatting sqref="B16:B19">
    <cfRule type="top10" dxfId="6" priority="6" bottom="1" rank="1"/>
  </conditionalFormatting>
  <dataValidations count="1">
    <dataValidation type="list" allowBlank="1" showInputMessage="1" showErrorMessage="1" sqref="D17" xr:uid="{00000000-0002-0000-0800-000000000000}">
      <formula1>$A$16:$A$21</formula1>
    </dataValidation>
  </dataValidations>
  <hyperlinks>
    <hyperlink ref="G1" location="BULLETIN" display="BULLETIN" xr:uid="{00000000-0004-0000-0800-000000000000}"/>
    <hyperlink ref="H1" location="INFO" display="INFO" xr:uid="{00000000-0004-0000-0800-000001000000}"/>
  </hyperlink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6">
    <tabColor rgb="FFFFC000"/>
  </sheetPr>
  <dimension ref="A1:I34"/>
  <sheetViews>
    <sheetView topLeftCell="A4" workbookViewId="0">
      <selection activeCell="B20" sqref="B20"/>
    </sheetView>
  </sheetViews>
  <sheetFormatPr baseColWidth="10" defaultColWidth="11.42578125" defaultRowHeight="15" x14ac:dyDescent="0.25"/>
  <cols>
    <col min="1" max="1" width="36.140625" style="54" customWidth="1"/>
    <col min="2" max="2" width="14.7109375" style="54" bestFit="1" customWidth="1"/>
    <col min="3" max="3" width="14.28515625" style="54" customWidth="1"/>
    <col min="4" max="4" width="17.5703125" style="54" bestFit="1" customWidth="1"/>
    <col min="5" max="5" width="16.42578125" style="54" customWidth="1"/>
    <col min="6" max="12" width="11.42578125" style="54"/>
    <col min="13" max="13" width="20.28515625" style="54" customWidth="1"/>
    <col min="14" max="16384" width="11.42578125" style="54"/>
  </cols>
  <sheetData>
    <row r="1" spans="1:9" ht="37.5" customHeight="1" thickBot="1" x14ac:dyDescent="0.3">
      <c r="A1" s="965" t="s">
        <v>83</v>
      </c>
      <c r="B1" s="966"/>
      <c r="C1" s="966"/>
      <c r="D1" s="966"/>
      <c r="E1" s="966"/>
      <c r="F1" s="966"/>
      <c r="G1" s="967"/>
      <c r="H1" s="84" t="s">
        <v>220</v>
      </c>
      <c r="I1" s="84" t="s">
        <v>346</v>
      </c>
    </row>
    <row r="3" spans="1:9" x14ac:dyDescent="0.25">
      <c r="A3" s="104" t="s">
        <v>93</v>
      </c>
      <c r="B3" s="271" t="str">
        <f>CP_JOUR</f>
        <v>OUVRABLES</v>
      </c>
      <c r="D3" s="54" t="s">
        <v>138</v>
      </c>
      <c r="E3" s="56">
        <f>D_ABS_CP</f>
        <v>0</v>
      </c>
      <c r="F3" s="56">
        <f>MOIS_BULLETIN-DAY(MOIS_BULLETIN)+1</f>
        <v>1</v>
      </c>
    </row>
    <row r="4" spans="1:9" x14ac:dyDescent="0.25">
      <c r="A4" s="173" t="s">
        <v>94</v>
      </c>
      <c r="B4" s="271" t="str">
        <f>CP_R_M</f>
        <v>MOYEN</v>
      </c>
      <c r="D4" s="54" t="s">
        <v>139</v>
      </c>
      <c r="E4" s="56">
        <f>F_ABS_CP</f>
        <v>0</v>
      </c>
      <c r="F4" s="59">
        <f>EOMONTH(F3,0)</f>
        <v>31</v>
      </c>
    </row>
    <row r="5" spans="1:9" x14ac:dyDescent="0.25">
      <c r="A5" s="174" t="s">
        <v>89</v>
      </c>
      <c r="B5" s="175">
        <f>J_CP</f>
        <v>0</v>
      </c>
    </row>
    <row r="6" spans="1:9" ht="14.25" customHeight="1" x14ac:dyDescent="0.25">
      <c r="A6" s="174" t="s">
        <v>90</v>
      </c>
      <c r="B6" s="176">
        <f>'info bulletin'!C81</f>
        <v>0</v>
      </c>
    </row>
    <row r="7" spans="1:9" x14ac:dyDescent="0.25">
      <c r="A7" s="174" t="s">
        <v>91</v>
      </c>
      <c r="B7" s="176">
        <f>'info bulletin'!C82</f>
        <v>0</v>
      </c>
    </row>
    <row r="8" spans="1:9" x14ac:dyDescent="0.25">
      <c r="A8" s="88" t="s">
        <v>140</v>
      </c>
      <c r="B8" s="175">
        <f>F4-F3-INT((F4-F3-IF(WEEKDAY(F4)=1,0,8-WEEKDAY(F3)))/7)-SUMPRODUCT((FERIES&gt;=F3)*(FERIES&lt;=F4)*(WEEKDAY(FERIES)&lt;&gt;1))</f>
        <v>27</v>
      </c>
    </row>
    <row r="9" spans="1:9" x14ac:dyDescent="0.25">
      <c r="A9" s="88" t="s">
        <v>222</v>
      </c>
      <c r="B9" s="176">
        <f>NETWORKDAYS(F3,F4,FERIES)</f>
        <v>22</v>
      </c>
      <c r="D9" s="15" t="s">
        <v>88</v>
      </c>
      <c r="E9" s="16">
        <f>IF(J_CP="","",(B5/B10)*B6)</f>
        <v>0</v>
      </c>
    </row>
    <row r="10" spans="1:9" x14ac:dyDescent="0.25">
      <c r="A10" s="87" t="s">
        <v>221</v>
      </c>
      <c r="B10" s="175">
        <f>IF(AND(B3="ouvrables",B4="moyen"),26,IF(AND(B3="ouvrables",B4="réèls"),B8,IF(AND(B3="ouvrés",B4="moyen"),21.67,B9)))</f>
        <v>26</v>
      </c>
      <c r="D10" s="15" t="s">
        <v>97</v>
      </c>
      <c r="E10" s="16">
        <f>IF(J_CP="","",((B7/10)*B5)/B11)</f>
        <v>0</v>
      </c>
    </row>
    <row r="11" spans="1:9" x14ac:dyDescent="0.25">
      <c r="A11" s="87" t="s">
        <v>92</v>
      </c>
      <c r="B11" s="175">
        <f>IF(B3="ouvrables",30,25)</f>
        <v>30</v>
      </c>
      <c r="D11" s="15" t="s">
        <v>82</v>
      </c>
      <c r="E11" s="16">
        <f>MAX(E9:E10)</f>
        <v>0</v>
      </c>
    </row>
    <row r="12" spans="1:9" ht="15.75" thickBot="1" x14ac:dyDescent="0.3"/>
    <row r="13" spans="1:9" ht="37.5" customHeight="1" thickBot="1" x14ac:dyDescent="0.3">
      <c r="A13" s="965" t="s">
        <v>95</v>
      </c>
      <c r="B13" s="966"/>
      <c r="C13" s="966"/>
      <c r="D13" s="966"/>
      <c r="E13" s="966"/>
      <c r="F13" s="966"/>
      <c r="G13" s="967"/>
      <c r="H13" s="84" t="s">
        <v>220</v>
      </c>
    </row>
    <row r="14" spans="1:9" x14ac:dyDescent="0.25">
      <c r="A14" s="66"/>
    </row>
    <row r="15" spans="1:9" x14ac:dyDescent="0.25">
      <c r="A15" s="964" t="s">
        <v>187</v>
      </c>
      <c r="B15" s="964"/>
      <c r="C15" s="964"/>
      <c r="D15" s="964"/>
    </row>
    <row r="16" spans="1:9" x14ac:dyDescent="0.25">
      <c r="A16" s="62" t="s">
        <v>96</v>
      </c>
      <c r="B16" s="271">
        <f>'info bulletin'!C89</f>
        <v>0</v>
      </c>
      <c r="D16" s="174" t="s">
        <v>90</v>
      </c>
      <c r="E16" s="521">
        <f>'info bulletin'!C87</f>
        <v>0</v>
      </c>
    </row>
    <row r="17" spans="1:8" x14ac:dyDescent="0.25">
      <c r="A17" s="62" t="s">
        <v>184</v>
      </c>
      <c r="B17" s="271">
        <f>'info bulletin'!C86</f>
        <v>0</v>
      </c>
      <c r="D17" s="174" t="s">
        <v>91</v>
      </c>
      <c r="E17" s="520">
        <f>'info bulletin'!C88</f>
        <v>0</v>
      </c>
    </row>
    <row r="18" spans="1:8" x14ac:dyDescent="0.25">
      <c r="A18" s="506" t="s">
        <v>487</v>
      </c>
      <c r="B18" s="520">
        <f>(E16*B17/B10)-B16</f>
        <v>0</v>
      </c>
      <c r="D18" s="19"/>
      <c r="E18" s="105"/>
    </row>
    <row r="19" spans="1:8" x14ac:dyDescent="0.25">
      <c r="A19" s="24" t="s">
        <v>97</v>
      </c>
      <c r="B19" s="520">
        <f>(E17/10)-B16</f>
        <v>0</v>
      </c>
      <c r="D19" s="19"/>
    </row>
    <row r="20" spans="1:8" x14ac:dyDescent="0.25">
      <c r="A20" s="63" t="s">
        <v>188</v>
      </c>
      <c r="B20" s="64">
        <f>MAX(B18:B19)</f>
        <v>0</v>
      </c>
    </row>
    <row r="21" spans="1:8" x14ac:dyDescent="0.25">
      <c r="A21" s="327"/>
      <c r="B21" s="328"/>
    </row>
    <row r="22" spans="1:8" x14ac:dyDescent="0.25">
      <c r="B22" s="62" t="s">
        <v>191</v>
      </c>
      <c r="C22" s="62" t="s">
        <v>192</v>
      </c>
    </row>
    <row r="23" spans="1:8" x14ac:dyDescent="0.25">
      <c r="A23" s="62" t="s">
        <v>185</v>
      </c>
      <c r="B23" s="522"/>
      <c r="C23" s="377">
        <f>'info bulletin'!C92</f>
        <v>0</v>
      </c>
    </row>
    <row r="24" spans="1:8" x14ac:dyDescent="0.25">
      <c r="A24" s="62" t="s">
        <v>186</v>
      </c>
      <c r="B24" s="176">
        <f>'info bulletin'!C94</f>
        <v>0</v>
      </c>
      <c r="C24" s="176">
        <f>'info bulletin'!C93</f>
        <v>0</v>
      </c>
    </row>
    <row r="25" spans="1:8" x14ac:dyDescent="0.25">
      <c r="A25" s="329" t="s">
        <v>185</v>
      </c>
      <c r="B25" s="330">
        <f>B24/10</f>
        <v>0</v>
      </c>
      <c r="C25" s="330">
        <f>C24*C23/B10</f>
        <v>0</v>
      </c>
    </row>
    <row r="26" spans="1:8" x14ac:dyDescent="0.25">
      <c r="A26" s="333" t="s">
        <v>397</v>
      </c>
      <c r="B26" s="334">
        <f>'info bulletin'!C95</f>
        <v>0</v>
      </c>
    </row>
    <row r="27" spans="1:8" x14ac:dyDescent="0.25">
      <c r="A27" s="333" t="s">
        <v>398</v>
      </c>
      <c r="B27" s="334">
        <f>IF(B3="ouvrés",25,30)</f>
        <v>30</v>
      </c>
    </row>
    <row r="28" spans="1:8" x14ac:dyDescent="0.25">
      <c r="A28" s="331" t="s">
        <v>399</v>
      </c>
      <c r="B28" s="332">
        <f>B25*B26/B27</f>
        <v>0</v>
      </c>
      <c r="C28" s="332">
        <f>C25</f>
        <v>0</v>
      </c>
      <c r="G28" s="326"/>
    </row>
    <row r="29" spans="1:8" ht="15.75" thickBot="1" x14ac:dyDescent="0.3"/>
    <row r="30" spans="1:8" ht="37.5" customHeight="1" thickBot="1" x14ac:dyDescent="0.3">
      <c r="A30" s="968" t="s">
        <v>98</v>
      </c>
      <c r="B30" s="969"/>
      <c r="C30" s="969"/>
      <c r="D30" s="969"/>
      <c r="E30" s="969"/>
      <c r="F30" s="969"/>
      <c r="G30" s="970"/>
      <c r="H30" s="84" t="s">
        <v>220</v>
      </c>
    </row>
    <row r="32" spans="1:8" x14ac:dyDescent="0.25">
      <c r="A32" s="62" t="s">
        <v>99</v>
      </c>
      <c r="B32" s="271">
        <f>'info bulletin'!C98</f>
        <v>0</v>
      </c>
    </row>
    <row r="33" spans="1:5" x14ac:dyDescent="0.25">
      <c r="A33" s="62" t="s">
        <v>100</v>
      </c>
      <c r="B33" s="271">
        <f>'info bulletin'!C99</f>
        <v>0</v>
      </c>
    </row>
    <row r="34" spans="1:5" x14ac:dyDescent="0.25">
      <c r="A34" s="63" t="s">
        <v>101</v>
      </c>
      <c r="B34" s="64">
        <f>IF(B32=0,0,(B6/10)*((30+B32)/30))</f>
        <v>0</v>
      </c>
      <c r="D34" s="63" t="s">
        <v>102</v>
      </c>
      <c r="E34" s="64">
        <f>B34-B33</f>
        <v>0</v>
      </c>
    </row>
  </sheetData>
  <mergeCells count="4">
    <mergeCell ref="A15:D15"/>
    <mergeCell ref="A1:G1"/>
    <mergeCell ref="A13:G13"/>
    <mergeCell ref="A30:G30"/>
  </mergeCells>
  <hyperlinks>
    <hyperlink ref="H1" location="BULLETIN" display="BULLETIN" xr:uid="{00000000-0004-0000-0900-000000000000}"/>
    <hyperlink ref="H13" location="BULLETIN" display="BULLETIN" xr:uid="{00000000-0004-0000-0900-000001000000}"/>
    <hyperlink ref="H30" location="BULLETIN" display="BULLETIN" xr:uid="{00000000-0004-0000-0900-000002000000}"/>
    <hyperlink ref="I1" location="INFO" display="INFO" xr:uid="{00000000-0004-0000-0900-000003000000}"/>
  </hyperlink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7">
    <tabColor rgb="FF92D050"/>
  </sheetPr>
  <dimension ref="A1:J93"/>
  <sheetViews>
    <sheetView topLeftCell="A22" workbookViewId="0">
      <selection activeCell="B50" sqref="B50"/>
    </sheetView>
  </sheetViews>
  <sheetFormatPr baseColWidth="10" defaultColWidth="11.42578125" defaultRowHeight="15" x14ac:dyDescent="0.25"/>
  <cols>
    <col min="1" max="1" width="38.85546875" style="32" customWidth="1"/>
    <col min="2" max="2" width="14.28515625" style="32" customWidth="1"/>
    <col min="3" max="3" width="14.5703125" style="32" customWidth="1"/>
    <col min="4" max="4" width="29.42578125" style="32" customWidth="1"/>
    <col min="5" max="5" width="16.7109375" style="32" customWidth="1"/>
    <col min="6" max="6" width="3" style="32" customWidth="1"/>
    <col min="7" max="7" width="11.42578125" style="75"/>
    <col min="8" max="8" width="53.42578125" style="32" bestFit="1" customWidth="1"/>
    <col min="9" max="9" width="16.42578125" style="32" customWidth="1"/>
    <col min="10" max="10" width="15.28515625" style="32" bestFit="1" customWidth="1"/>
    <col min="11" max="16384" width="11.42578125" style="32"/>
  </cols>
  <sheetData>
    <row r="1" spans="1:10" ht="37.5" customHeight="1" thickBot="1" x14ac:dyDescent="0.3">
      <c r="A1" s="971" t="s">
        <v>153</v>
      </c>
      <c r="B1" s="972"/>
      <c r="C1" s="972"/>
      <c r="D1" s="972"/>
      <c r="E1" s="972"/>
      <c r="F1" s="973"/>
      <c r="G1" s="84" t="s">
        <v>220</v>
      </c>
      <c r="H1" s="943" t="s">
        <v>394</v>
      </c>
      <c r="I1" s="981"/>
      <c r="J1" s="982"/>
    </row>
    <row r="2" spans="1:10" x14ac:dyDescent="0.25">
      <c r="G2" s="84" t="s">
        <v>346</v>
      </c>
      <c r="H2" s="983"/>
      <c r="I2" s="984"/>
      <c r="J2" s="985"/>
    </row>
    <row r="3" spans="1:10" x14ac:dyDescent="0.25">
      <c r="H3" s="983"/>
      <c r="I3" s="984"/>
      <c r="J3" s="985"/>
    </row>
    <row r="4" spans="1:10" x14ac:dyDescent="0.25">
      <c r="A4" s="100" t="s">
        <v>389</v>
      </c>
      <c r="B4" s="278">
        <f>J_TR</f>
        <v>0</v>
      </c>
      <c r="H4" s="983"/>
      <c r="I4" s="984"/>
      <c r="J4" s="985"/>
    </row>
    <row r="5" spans="1:10" x14ac:dyDescent="0.25">
      <c r="A5" s="36" t="s">
        <v>148</v>
      </c>
      <c r="B5" s="278">
        <f>V_F_TR</f>
        <v>0</v>
      </c>
      <c r="H5" s="983"/>
      <c r="I5" s="984"/>
      <c r="J5" s="985"/>
    </row>
    <row r="6" spans="1:10" x14ac:dyDescent="0.25">
      <c r="A6" s="36" t="s">
        <v>151</v>
      </c>
      <c r="B6" s="278">
        <f>vMax_PP_TR</f>
        <v>5.38</v>
      </c>
      <c r="H6" s="983"/>
      <c r="I6" s="984"/>
      <c r="J6" s="985"/>
    </row>
    <row r="7" spans="1:10" x14ac:dyDescent="0.25">
      <c r="A7" s="36" t="s">
        <v>150</v>
      </c>
      <c r="B7" s="279">
        <f>PSAL_TR</f>
        <v>0</v>
      </c>
      <c r="D7" s="36" t="s">
        <v>72</v>
      </c>
      <c r="E7" s="280">
        <f>PPAT_TR</f>
        <v>1</v>
      </c>
      <c r="H7" s="983"/>
      <c r="I7" s="984"/>
      <c r="J7" s="985"/>
    </row>
    <row r="8" spans="1:10" x14ac:dyDescent="0.25">
      <c r="D8" s="100" t="s">
        <v>393</v>
      </c>
      <c r="E8" s="37">
        <f>E7*B5</f>
        <v>0</v>
      </c>
      <c r="H8" s="983"/>
      <c r="I8" s="984"/>
      <c r="J8" s="985"/>
    </row>
    <row r="9" spans="1:10" x14ac:dyDescent="0.25">
      <c r="E9" s="33"/>
      <c r="H9" s="983"/>
      <c r="I9" s="984"/>
      <c r="J9" s="985"/>
    </row>
    <row r="10" spans="1:10" x14ac:dyDescent="0.25">
      <c r="A10" s="991" t="s">
        <v>149</v>
      </c>
      <c r="B10" s="991"/>
      <c r="C10" s="991"/>
      <c r="D10" s="991"/>
      <c r="E10" s="34">
        <f>(B4*B5)*B7</f>
        <v>0</v>
      </c>
      <c r="H10" s="983"/>
      <c r="I10" s="984"/>
      <c r="J10" s="985"/>
    </row>
    <row r="11" spans="1:10" x14ac:dyDescent="0.25">
      <c r="A11" s="991" t="s">
        <v>147</v>
      </c>
      <c r="B11" s="991"/>
      <c r="C11" s="991"/>
      <c r="D11" s="991"/>
      <c r="E11" s="34">
        <f>IF(E7&gt;60%,E8*B4,IF(E8&gt;B6,(E8-B6)*B4,0))</f>
        <v>0</v>
      </c>
      <c r="H11" s="983"/>
      <c r="I11" s="984"/>
      <c r="J11" s="985"/>
    </row>
    <row r="12" spans="1:10" ht="15.75" thickBot="1" x14ac:dyDescent="0.3">
      <c r="H12" s="983"/>
      <c r="I12" s="984"/>
      <c r="J12" s="985"/>
    </row>
    <row r="13" spans="1:10" ht="37.5" customHeight="1" thickBot="1" x14ac:dyDescent="0.3">
      <c r="A13" s="971" t="s">
        <v>154</v>
      </c>
      <c r="B13" s="972"/>
      <c r="C13" s="972"/>
      <c r="D13" s="972"/>
      <c r="E13" s="972"/>
      <c r="F13" s="973"/>
      <c r="G13" s="84" t="s">
        <v>220</v>
      </c>
      <c r="H13" s="986"/>
      <c r="I13" s="987"/>
      <c r="J13" s="988"/>
    </row>
    <row r="15" spans="1:10" x14ac:dyDescent="0.25">
      <c r="A15" s="36" t="s">
        <v>155</v>
      </c>
      <c r="B15" s="278">
        <f>PSAL_EF_REPAS</f>
        <v>0</v>
      </c>
    </row>
    <row r="16" spans="1:10" x14ac:dyDescent="0.25">
      <c r="A16" s="36" t="s">
        <v>156</v>
      </c>
      <c r="B16" s="278">
        <f>EVAL_FOR_REPAS</f>
        <v>4.75</v>
      </c>
    </row>
    <row r="17" spans="1:10" x14ac:dyDescent="0.25">
      <c r="A17" s="36" t="s">
        <v>158</v>
      </c>
      <c r="B17" s="278">
        <f>J_EF</f>
        <v>0</v>
      </c>
    </row>
    <row r="19" spans="1:10" x14ac:dyDescent="0.25">
      <c r="A19" s="991" t="s">
        <v>159</v>
      </c>
      <c r="B19" s="991"/>
      <c r="C19" s="991"/>
      <c r="D19" s="991"/>
      <c r="E19" s="34">
        <f>B15*B17</f>
        <v>0</v>
      </c>
    </row>
    <row r="20" spans="1:10" x14ac:dyDescent="0.25">
      <c r="A20" s="991" t="s">
        <v>147</v>
      </c>
      <c r="B20" s="991"/>
      <c r="C20" s="991"/>
      <c r="D20" s="991"/>
      <c r="E20" s="34">
        <f>IF(B15&lt;B16/2,(B16-B15)*B17,0)</f>
        <v>0</v>
      </c>
    </row>
    <row r="22" spans="1:10" ht="15.75" thickBot="1" x14ac:dyDescent="0.3"/>
    <row r="23" spans="1:10" ht="37.5" customHeight="1" thickBot="1" x14ac:dyDescent="0.3">
      <c r="A23" s="971" t="s">
        <v>160</v>
      </c>
      <c r="B23" s="972"/>
      <c r="C23" s="972"/>
      <c r="D23" s="972"/>
      <c r="E23" s="972"/>
      <c r="F23" s="973"/>
      <c r="G23" s="84" t="s">
        <v>220</v>
      </c>
      <c r="H23" s="992" t="s">
        <v>175</v>
      </c>
      <c r="I23" s="992"/>
      <c r="J23" s="992"/>
    </row>
    <row r="24" spans="1:10" x14ac:dyDescent="0.25">
      <c r="H24" s="47" t="s">
        <v>161</v>
      </c>
      <c r="I24" s="36" t="s">
        <v>163</v>
      </c>
      <c r="J24" s="36" t="s">
        <v>164</v>
      </c>
    </row>
    <row r="25" spans="1:10" x14ac:dyDescent="0.25">
      <c r="H25" s="38" t="s">
        <v>173</v>
      </c>
      <c r="I25" s="39">
        <v>68.5</v>
      </c>
      <c r="J25" s="40">
        <v>36.6</v>
      </c>
    </row>
    <row r="26" spans="1:10" x14ac:dyDescent="0.25">
      <c r="A26" s="47" t="s">
        <v>161</v>
      </c>
      <c r="B26" s="35" t="s">
        <v>162</v>
      </c>
      <c r="C26" s="35" t="s">
        <v>163</v>
      </c>
      <c r="D26" s="35" t="s">
        <v>164</v>
      </c>
      <c r="E26" s="48" t="s">
        <v>165</v>
      </c>
      <c r="H26" s="41" t="s">
        <v>166</v>
      </c>
      <c r="I26" s="42">
        <v>80</v>
      </c>
      <c r="J26" s="43">
        <v>51.4</v>
      </c>
    </row>
    <row r="27" spans="1:10" x14ac:dyDescent="0.25">
      <c r="A27" s="36" t="str">
        <f>'info bulletin'!C121</f>
        <v>Infèrieur à 1634,50</v>
      </c>
      <c r="B27" s="37">
        <f>VLOOKUP(A27,H25:J32,2,FALSE)</f>
        <v>68.5</v>
      </c>
      <c r="C27" s="281">
        <f>+NBRE_PIECES</f>
        <v>0</v>
      </c>
      <c r="D27" s="37">
        <f>VLOOKUP(A27,H25:J32,3,FALSE)</f>
        <v>36.6</v>
      </c>
      <c r="E27" s="34">
        <f>IF(C27=1,B27,C27*D27)</f>
        <v>0</v>
      </c>
      <c r="H27" s="41" t="s">
        <v>167</v>
      </c>
      <c r="I27" s="42">
        <v>91.3</v>
      </c>
      <c r="J27" s="43">
        <v>68.5</v>
      </c>
    </row>
    <row r="28" spans="1:10" x14ac:dyDescent="0.25">
      <c r="H28" s="41" t="s">
        <v>168</v>
      </c>
      <c r="I28" s="42">
        <v>102.6</v>
      </c>
      <c r="J28" s="43">
        <v>85.5</v>
      </c>
    </row>
    <row r="29" spans="1:10" x14ac:dyDescent="0.25">
      <c r="H29" s="41" t="s">
        <v>169</v>
      </c>
      <c r="I29" s="42">
        <v>125.6</v>
      </c>
      <c r="J29" s="43">
        <v>108.4</v>
      </c>
    </row>
    <row r="30" spans="1:10" x14ac:dyDescent="0.25">
      <c r="H30" s="41" t="s">
        <v>170</v>
      </c>
      <c r="I30" s="42">
        <v>148.4</v>
      </c>
      <c r="J30" s="43">
        <v>131.1</v>
      </c>
    </row>
    <row r="31" spans="1:10" x14ac:dyDescent="0.25">
      <c r="H31" s="41" t="s">
        <v>171</v>
      </c>
      <c r="I31" s="42">
        <v>171.2</v>
      </c>
      <c r="J31" s="43">
        <v>159.69999999999999</v>
      </c>
    </row>
    <row r="32" spans="1:10" x14ac:dyDescent="0.25">
      <c r="H32" s="44" t="s">
        <v>172</v>
      </c>
      <c r="I32" s="45">
        <v>194</v>
      </c>
      <c r="J32" s="46">
        <v>182.6</v>
      </c>
    </row>
    <row r="33" spans="1:10" ht="15.75" thickBot="1" x14ac:dyDescent="0.3">
      <c r="G33" s="86"/>
      <c r="H33" s="85"/>
      <c r="I33" s="52"/>
      <c r="J33" s="53"/>
    </row>
    <row r="34" spans="1:10" ht="37.5" customHeight="1" thickBot="1" x14ac:dyDescent="0.3">
      <c r="A34" s="971" t="s">
        <v>176</v>
      </c>
      <c r="B34" s="972"/>
      <c r="C34" s="972"/>
      <c r="D34" s="972"/>
      <c r="E34" s="972"/>
      <c r="F34" s="973"/>
      <c r="G34" s="84" t="s">
        <v>220</v>
      </c>
      <c r="H34" s="989" t="s">
        <v>181</v>
      </c>
      <c r="I34" s="990"/>
    </row>
    <row r="35" spans="1:10" x14ac:dyDescent="0.25">
      <c r="H35" s="77" t="s">
        <v>194</v>
      </c>
      <c r="I35" s="71"/>
    </row>
    <row r="36" spans="1:10" x14ac:dyDescent="0.25">
      <c r="A36" s="100" t="s">
        <v>242</v>
      </c>
      <c r="B36" s="289">
        <f>'info bulletin'!C125</f>
        <v>0</v>
      </c>
      <c r="C36" s="69" t="s">
        <v>196</v>
      </c>
      <c r="D36" s="36" t="s">
        <v>180</v>
      </c>
      <c r="E36" s="289">
        <f>'info bulletin'!C136</f>
        <v>0</v>
      </c>
      <c r="F36" s="69" t="s">
        <v>197</v>
      </c>
      <c r="H36" s="76" t="s">
        <v>208</v>
      </c>
      <c r="I36" s="51">
        <v>0.2</v>
      </c>
    </row>
    <row r="37" spans="1:10" x14ac:dyDescent="0.25">
      <c r="A37" s="36" t="s">
        <v>177</v>
      </c>
      <c r="B37" s="289">
        <f>'info bulletin'!C126</f>
        <v>0</v>
      </c>
      <c r="C37" s="69" t="s">
        <v>197</v>
      </c>
      <c r="D37" s="36" t="s">
        <v>177</v>
      </c>
      <c r="E37" s="289">
        <f>'info bulletin'!C137</f>
        <v>0</v>
      </c>
      <c r="F37" s="69" t="s">
        <v>197</v>
      </c>
      <c r="H37" s="79" t="s">
        <v>209</v>
      </c>
      <c r="I37" s="49">
        <v>0.1</v>
      </c>
    </row>
    <row r="38" spans="1:10" x14ac:dyDescent="0.25">
      <c r="A38" s="36" t="s">
        <v>179</v>
      </c>
      <c r="B38" s="289">
        <f>'info bulletin'!C127</f>
        <v>0</v>
      </c>
      <c r="C38" s="69" t="s">
        <v>197</v>
      </c>
      <c r="D38" s="36" t="s">
        <v>179</v>
      </c>
      <c r="E38" s="289">
        <f>'info bulletin'!C138</f>
        <v>0</v>
      </c>
      <c r="F38" s="69" t="s">
        <v>197</v>
      </c>
      <c r="H38" s="80" t="s">
        <v>210</v>
      </c>
      <c r="I38" s="49">
        <v>0.09</v>
      </c>
    </row>
    <row r="39" spans="1:10" x14ac:dyDescent="0.25">
      <c r="A39" s="36" t="s">
        <v>178</v>
      </c>
      <c r="B39" s="289">
        <f>'info bulletin'!C128</f>
        <v>0</v>
      </c>
      <c r="C39" s="69" t="s">
        <v>197</v>
      </c>
      <c r="D39" s="36" t="s">
        <v>178</v>
      </c>
      <c r="E39" s="289">
        <f>'info bulletin'!C139</f>
        <v>0</v>
      </c>
      <c r="F39" s="69" t="s">
        <v>197</v>
      </c>
      <c r="H39" s="80" t="s">
        <v>211</v>
      </c>
      <c r="I39" s="49">
        <v>0.06</v>
      </c>
    </row>
    <row r="40" spans="1:10" x14ac:dyDescent="0.25">
      <c r="B40" s="288"/>
      <c r="H40" s="80" t="s">
        <v>212</v>
      </c>
      <c r="I40" s="49">
        <v>0.12</v>
      </c>
    </row>
    <row r="41" spans="1:10" x14ac:dyDescent="0.25">
      <c r="H41" s="81" t="s">
        <v>213</v>
      </c>
      <c r="I41" s="70">
        <v>0.09</v>
      </c>
    </row>
    <row r="42" spans="1:10" x14ac:dyDescent="0.25">
      <c r="A42" s="980" t="s">
        <v>218</v>
      </c>
      <c r="B42" s="980"/>
      <c r="D42" s="980" t="s">
        <v>198</v>
      </c>
      <c r="E42" s="980"/>
      <c r="H42" s="77" t="s">
        <v>195</v>
      </c>
      <c r="I42" s="71"/>
    </row>
    <row r="43" spans="1:10" x14ac:dyDescent="0.25">
      <c r="A43" s="32" t="str">
        <f>'info bulletin'!C134</f>
        <v>1-Réèl - 5 ans</v>
      </c>
      <c r="B43" s="72">
        <f>VLOOKUP(A43,H36:I41,2,FALSE)</f>
        <v>0.2</v>
      </c>
      <c r="D43" s="32" t="str">
        <f>'info bulletin'!C141</f>
        <v>1-Loa réèl</v>
      </c>
      <c r="E43" s="72">
        <f>VLOOKUP(D43,H43:I46,2,FALSE)</f>
        <v>1</v>
      </c>
      <c r="H43" s="76" t="s">
        <v>214</v>
      </c>
      <c r="I43" s="78">
        <v>1</v>
      </c>
    </row>
    <row r="44" spans="1:10" x14ac:dyDescent="0.25">
      <c r="H44" s="80" t="s">
        <v>215</v>
      </c>
      <c r="I44" s="49">
        <v>0.3</v>
      </c>
    </row>
    <row r="45" spans="1:10" x14ac:dyDescent="0.25">
      <c r="A45" s="69" t="s">
        <v>245</v>
      </c>
      <c r="B45" s="101">
        <f>IF(A43="1-Réèl - 5 ans",((B36*B43)+B37+B38+B39)/12,IF(A43="2-Réèl + 5 ans",((B36*B43)+B37+B38+B39)/12,(B36*B43)/12))</f>
        <v>0</v>
      </c>
      <c r="D45" s="74" t="s">
        <v>354</v>
      </c>
      <c r="E45" s="73">
        <f>(E36+E37+E38+E39)*E43/12</f>
        <v>0</v>
      </c>
      <c r="H45" s="80" t="s">
        <v>216</v>
      </c>
      <c r="I45" s="49">
        <v>0.3</v>
      </c>
    </row>
    <row r="46" spans="1:10" x14ac:dyDescent="0.25">
      <c r="H46" s="82" t="s">
        <v>217</v>
      </c>
      <c r="I46" s="50">
        <v>0.4</v>
      </c>
    </row>
    <row r="47" spans="1:10" x14ac:dyDescent="0.25">
      <c r="A47" s="69" t="s">
        <v>243</v>
      </c>
      <c r="B47" s="288">
        <f>'info bulletin'!C130</f>
        <v>0</v>
      </c>
    </row>
    <row r="48" spans="1:10" x14ac:dyDescent="0.25">
      <c r="A48" s="69" t="s">
        <v>244</v>
      </c>
      <c r="B48" s="288">
        <f>'info bulletin'!C131</f>
        <v>0</v>
      </c>
    </row>
    <row r="50" spans="1:6" x14ac:dyDescent="0.25">
      <c r="A50" s="74" t="s">
        <v>353</v>
      </c>
      <c r="B50" s="105">
        <f>IF(B48=0,B45,B47*B45/B48)</f>
        <v>0</v>
      </c>
    </row>
    <row r="52" spans="1:6" ht="15.75" thickBot="1" x14ac:dyDescent="0.3"/>
    <row r="53" spans="1:6" ht="21.75" thickBot="1" x14ac:dyDescent="0.3">
      <c r="A53" s="971" t="s">
        <v>250</v>
      </c>
      <c r="B53" s="972"/>
      <c r="C53" s="972"/>
      <c r="D53" s="972"/>
      <c r="E53" s="972"/>
      <c r="F53" s="973"/>
    </row>
    <row r="55" spans="1:6" x14ac:dyDescent="0.25">
      <c r="A55" s="69" t="s">
        <v>251</v>
      </c>
      <c r="B55" s="292">
        <f>+'info bulletin'!C151</f>
        <v>0</v>
      </c>
    </row>
    <row r="56" spans="1:6" x14ac:dyDescent="0.25">
      <c r="A56" s="69" t="s">
        <v>253</v>
      </c>
      <c r="B56" s="293">
        <f>+'info bulletin'!C152</f>
        <v>0</v>
      </c>
      <c r="C56" s="102">
        <v>0.5</v>
      </c>
    </row>
    <row r="57" spans="1:6" x14ac:dyDescent="0.25">
      <c r="A57" s="69"/>
      <c r="B57" s="293"/>
      <c r="C57" s="102"/>
    </row>
    <row r="58" spans="1:6" x14ac:dyDescent="0.25">
      <c r="A58" s="69" t="s">
        <v>252</v>
      </c>
      <c r="B58" s="32">
        <f>+B56*B55</f>
        <v>0</v>
      </c>
      <c r="C58" s="32">
        <f>+C56*B55</f>
        <v>0</v>
      </c>
    </row>
    <row r="59" spans="1:6" x14ac:dyDescent="0.25">
      <c r="A59" s="69" t="s">
        <v>254</v>
      </c>
      <c r="B59" s="32">
        <f>+B58-C58</f>
        <v>0</v>
      </c>
    </row>
    <row r="60" spans="1:6" ht="15.75" thickBot="1" x14ac:dyDescent="0.3"/>
    <row r="61" spans="1:6" ht="21.75" thickBot="1" x14ac:dyDescent="0.3">
      <c r="A61" s="971" t="s">
        <v>507</v>
      </c>
      <c r="B61" s="972"/>
      <c r="C61" s="972"/>
      <c r="D61" s="972"/>
      <c r="E61" s="972"/>
      <c r="F61" s="973"/>
    </row>
    <row r="63" spans="1:6" x14ac:dyDescent="0.25">
      <c r="A63" s="69" t="s">
        <v>508</v>
      </c>
      <c r="B63" s="557">
        <f>'info bulletin'!C155</f>
        <v>0</v>
      </c>
    </row>
    <row r="64" spans="1:6" x14ac:dyDescent="0.25">
      <c r="A64" s="69" t="s">
        <v>50</v>
      </c>
      <c r="B64" s="557">
        <f>'info bulletin'!C156</f>
        <v>0</v>
      </c>
    </row>
    <row r="65" spans="1:6" x14ac:dyDescent="0.25">
      <c r="A65" s="69" t="s">
        <v>519</v>
      </c>
      <c r="B65" s="564" t="str">
        <f>'info bulletin'!C157</f>
        <v>Chantier</v>
      </c>
    </row>
    <row r="66" spans="1:6" x14ac:dyDescent="0.25">
      <c r="A66" s="69" t="s">
        <v>509</v>
      </c>
      <c r="B66" s="553">
        <v>6.4</v>
      </c>
    </row>
    <row r="67" spans="1:6" x14ac:dyDescent="0.25">
      <c r="A67" s="69" t="s">
        <v>510</v>
      </c>
      <c r="B67" s="553">
        <v>9</v>
      </c>
    </row>
    <row r="68" spans="1:6" x14ac:dyDescent="0.25">
      <c r="A68" s="69" t="s">
        <v>511</v>
      </c>
      <c r="B68" s="553">
        <v>18.399999999999999</v>
      </c>
    </row>
    <row r="70" spans="1:6" x14ac:dyDescent="0.25">
      <c r="A70" s="558" t="s">
        <v>520</v>
      </c>
      <c r="B70" s="558">
        <f>B63*B64</f>
        <v>0</v>
      </c>
    </row>
    <row r="71" spans="1:6" x14ac:dyDescent="0.25">
      <c r="A71" s="552" t="s">
        <v>521</v>
      </c>
      <c r="B71" s="557">
        <f>IF(AND($B$65="Chantier",$B$64&gt;B66),($B$64-B66)*$B$63,0)</f>
        <v>0</v>
      </c>
    </row>
    <row r="72" spans="1:6" x14ac:dyDescent="0.25">
      <c r="A72" s="552" t="s">
        <v>522</v>
      </c>
      <c r="B72" s="557">
        <f>IF(AND($B$65="Hors locaux",$B$64&gt;B67),($B$64-B67)*$B$63,0)</f>
        <v>0</v>
      </c>
    </row>
    <row r="73" spans="1:6" x14ac:dyDescent="0.25">
      <c r="A73" s="552" t="s">
        <v>523</v>
      </c>
      <c r="B73" s="557">
        <f>IF(AND($B$65="Restaurant",$B$64&gt;B68),($B$64-B68)*$B$63,0)</f>
        <v>0</v>
      </c>
    </row>
    <row r="74" spans="1:6" x14ac:dyDescent="0.25">
      <c r="A74" s="558" t="s">
        <v>524</v>
      </c>
      <c r="B74" s="559">
        <f>SUM(B71:B73)</f>
        <v>0</v>
      </c>
    </row>
    <row r="75" spans="1:6" ht="15.75" thickBot="1" x14ac:dyDescent="0.3"/>
    <row r="76" spans="1:6" ht="21.75" thickBot="1" x14ac:dyDescent="0.3">
      <c r="A76" s="971" t="s">
        <v>309</v>
      </c>
      <c r="B76" s="972"/>
      <c r="C76" s="972"/>
      <c r="D76" s="972"/>
      <c r="E76" s="972"/>
      <c r="F76" s="973"/>
    </row>
    <row r="77" spans="1:6" x14ac:dyDescent="0.25">
      <c r="A77" s="724"/>
      <c r="B77" s="724"/>
      <c r="C77" s="724"/>
      <c r="D77" s="724"/>
      <c r="E77" s="724"/>
      <c r="F77" s="724"/>
    </row>
    <row r="78" spans="1:6" x14ac:dyDescent="0.25">
      <c r="A78" s="724"/>
      <c r="B78" s="974" t="s">
        <v>605</v>
      </c>
      <c r="C78" s="976" t="s">
        <v>606</v>
      </c>
      <c r="D78" s="977"/>
      <c r="E78" s="724"/>
      <c r="F78" s="724"/>
    </row>
    <row r="79" spans="1:6" ht="30" x14ac:dyDescent="0.25">
      <c r="A79" s="724"/>
      <c r="B79" s="975"/>
      <c r="C79" s="725" t="s">
        <v>607</v>
      </c>
      <c r="D79" s="726" t="s">
        <v>608</v>
      </c>
      <c r="E79" s="724"/>
      <c r="F79" s="724"/>
    </row>
    <row r="80" spans="1:6" x14ac:dyDescent="0.25">
      <c r="A80" s="727" t="s">
        <v>609</v>
      </c>
      <c r="B80" s="728">
        <v>18.399999999999999</v>
      </c>
      <c r="C80" s="729">
        <v>65.8</v>
      </c>
      <c r="D80" s="730">
        <v>48.9</v>
      </c>
      <c r="E80" s="724"/>
      <c r="F80" s="724"/>
    </row>
    <row r="81" spans="1:6" x14ac:dyDescent="0.25">
      <c r="A81" s="731" t="s">
        <v>610</v>
      </c>
      <c r="B81" s="732">
        <v>15.6</v>
      </c>
      <c r="C81" s="733">
        <v>55.9</v>
      </c>
      <c r="D81" s="734">
        <v>41.6</v>
      </c>
      <c r="E81" s="724"/>
      <c r="F81" s="724"/>
    </row>
    <row r="82" spans="1:6" x14ac:dyDescent="0.25">
      <c r="A82" s="735" t="s">
        <v>611</v>
      </c>
      <c r="B82" s="736">
        <v>12.9</v>
      </c>
      <c r="C82" s="737">
        <v>46.1</v>
      </c>
      <c r="D82" s="738">
        <v>34.200000000000003</v>
      </c>
      <c r="E82" s="724"/>
      <c r="F82" s="724"/>
    </row>
    <row r="83" spans="1:6" x14ac:dyDescent="0.25">
      <c r="A83" s="724"/>
      <c r="B83" s="724"/>
      <c r="C83" s="724"/>
      <c r="D83" s="724"/>
      <c r="E83" s="724"/>
      <c r="F83" s="724"/>
    </row>
    <row r="84" spans="1:6" x14ac:dyDescent="0.25">
      <c r="A84" s="739" t="s">
        <v>612</v>
      </c>
      <c r="B84" s="740">
        <f>'info bulletin'!C162</f>
        <v>0</v>
      </c>
      <c r="C84" s="724"/>
      <c r="D84" s="724"/>
      <c r="E84" s="724"/>
      <c r="F84" s="724"/>
    </row>
    <row r="85" spans="1:6" x14ac:dyDescent="0.25">
      <c r="A85" s="741" t="s">
        <v>613</v>
      </c>
      <c r="B85" s="978" t="str">
        <f>'info bulletin'!C163</f>
        <v>Durant les 3 premiers mois / Paris et hts de Seine</v>
      </c>
      <c r="C85" s="978"/>
      <c r="D85" s="979"/>
      <c r="E85" s="724"/>
      <c r="F85" s="724"/>
    </row>
    <row r="86" spans="1:6" x14ac:dyDescent="0.25">
      <c r="A86" s="741" t="s">
        <v>614</v>
      </c>
      <c r="B86" s="742">
        <f>VLOOKUP(B85,'Liste déroulante'!B65:D70,2,FALSE)</f>
        <v>65.8</v>
      </c>
      <c r="C86" s="724"/>
      <c r="D86" s="724"/>
      <c r="E86" s="724"/>
      <c r="F86" s="724"/>
    </row>
    <row r="87" spans="1:6" x14ac:dyDescent="0.25">
      <c r="A87" s="741" t="s">
        <v>615</v>
      </c>
      <c r="B87" s="742">
        <f>VLOOKUP(B85,'Liste déroulante'!B65:D70,3,FALSE)</f>
        <v>18.399999999999999</v>
      </c>
      <c r="C87" s="724"/>
      <c r="D87" s="724"/>
      <c r="E87" s="724"/>
      <c r="F87" s="724"/>
    </row>
    <row r="88" spans="1:6" x14ac:dyDescent="0.25">
      <c r="A88" s="724"/>
      <c r="B88" s="724"/>
      <c r="C88" s="724"/>
      <c r="D88" s="724"/>
      <c r="E88" s="724"/>
      <c r="F88" s="724"/>
    </row>
    <row r="89" spans="1:6" x14ac:dyDescent="0.25">
      <c r="A89" s="739" t="s">
        <v>616</v>
      </c>
      <c r="B89" s="743">
        <f>B86+2*B87</f>
        <v>102.6</v>
      </c>
      <c r="C89" s="724"/>
      <c r="D89" s="724"/>
      <c r="E89" s="724"/>
      <c r="F89" s="724"/>
    </row>
    <row r="90" spans="1:6" x14ac:dyDescent="0.25">
      <c r="A90" s="744" t="s">
        <v>617</v>
      </c>
      <c r="B90" s="745">
        <f>'info bulletin'!C164</f>
        <v>0</v>
      </c>
      <c r="C90" s="724"/>
      <c r="D90" s="724"/>
      <c r="E90" s="724"/>
      <c r="F90" s="724"/>
    </row>
    <row r="91" spans="1:6" x14ac:dyDescent="0.25">
      <c r="A91" s="724"/>
      <c r="B91" s="724"/>
      <c r="C91" s="724"/>
      <c r="D91" s="724"/>
      <c r="E91" s="724"/>
      <c r="F91" s="724"/>
    </row>
    <row r="92" spans="1:6" x14ac:dyDescent="0.25">
      <c r="A92" s="739" t="s">
        <v>618</v>
      </c>
      <c r="B92" s="743">
        <f>B89*B84</f>
        <v>0</v>
      </c>
      <c r="C92" s="724"/>
      <c r="D92" s="724"/>
      <c r="E92" s="724"/>
      <c r="F92" s="724"/>
    </row>
    <row r="93" spans="1:6" x14ac:dyDescent="0.25">
      <c r="A93" s="744" t="s">
        <v>619</v>
      </c>
      <c r="B93" s="745">
        <f>IF(B90&gt;B89,(B90-B89)*B84,0)</f>
        <v>0</v>
      </c>
      <c r="C93" s="724"/>
      <c r="D93" s="724"/>
      <c r="E93" s="724"/>
      <c r="F93" s="724"/>
    </row>
  </sheetData>
  <mergeCells count="19">
    <mergeCell ref="A53:F53"/>
    <mergeCell ref="A42:B42"/>
    <mergeCell ref="D42:E42"/>
    <mergeCell ref="H1:J13"/>
    <mergeCell ref="H34:I34"/>
    <mergeCell ref="A34:F34"/>
    <mergeCell ref="A19:D19"/>
    <mergeCell ref="A20:D20"/>
    <mergeCell ref="A23:F23"/>
    <mergeCell ref="H23:J23"/>
    <mergeCell ref="A1:F1"/>
    <mergeCell ref="A10:D10"/>
    <mergeCell ref="A11:D11"/>
    <mergeCell ref="A13:F13"/>
    <mergeCell ref="A76:F76"/>
    <mergeCell ref="B78:B79"/>
    <mergeCell ref="C78:D78"/>
    <mergeCell ref="B85:D85"/>
    <mergeCell ref="A61:F61"/>
  </mergeCells>
  <dataValidations count="1">
    <dataValidation type="list" allowBlank="1" showInputMessage="1" showErrorMessage="1" sqref="A27" xr:uid="{00000000-0002-0000-0A00-000000000000}">
      <formula1>$H$25:$H$32</formula1>
    </dataValidation>
  </dataValidations>
  <hyperlinks>
    <hyperlink ref="G1" location="BULLETIN" display="BULLETIN" xr:uid="{00000000-0004-0000-0A00-000000000000}"/>
    <hyperlink ref="G13" location="BULLETIN" display="BULLETIN" xr:uid="{00000000-0004-0000-0A00-000001000000}"/>
    <hyperlink ref="G23" location="BULLETIN" display="BULLETIN" xr:uid="{00000000-0004-0000-0A00-000002000000}"/>
    <hyperlink ref="G34" location="BULLETIN" display="BULLETIN" xr:uid="{00000000-0004-0000-0A00-000003000000}"/>
    <hyperlink ref="G2" location="INFO" display="INFO" xr:uid="{00000000-0004-0000-0A00-000004000000}"/>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228" r:id="rId4" name="Bouton 36">
              <controlPr defaultSize="0" print="0" autoFill="0" autoPict="0" macro="[0]!AN_ZERO">
                <anchor moveWithCells="1" sizeWithCells="1">
                  <from>
                    <xdr:col>7</xdr:col>
                    <xdr:colOff>0</xdr:colOff>
                    <xdr:row>48</xdr:row>
                    <xdr:rowOff>28575</xdr:rowOff>
                  </from>
                  <to>
                    <xdr:col>8</xdr:col>
                    <xdr:colOff>9525</xdr:colOff>
                    <xdr:row>50</xdr:row>
                    <xdr:rowOff>85725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8">
    <tabColor rgb="FFFF99FF"/>
  </sheetPr>
  <dimension ref="A1:M48"/>
  <sheetViews>
    <sheetView workbookViewId="0">
      <selection activeCell="E27" sqref="E27"/>
    </sheetView>
  </sheetViews>
  <sheetFormatPr baseColWidth="10" defaultColWidth="11.42578125" defaultRowHeight="12.75" x14ac:dyDescent="0.2"/>
  <cols>
    <col min="1" max="1" width="32.140625" style="94" customWidth="1"/>
    <col min="2" max="2" width="9" style="94" customWidth="1"/>
    <col min="3" max="3" width="8.28515625" style="94" customWidth="1"/>
    <col min="4" max="4" width="11.42578125" style="94"/>
    <col min="5" max="6" width="13.140625" style="94" customWidth="1"/>
    <col min="7" max="7" width="12.28515625" style="94" bestFit="1" customWidth="1"/>
    <col min="8" max="8" width="17.28515625" style="94" customWidth="1"/>
    <col min="9" max="9" width="18.7109375" style="94" customWidth="1"/>
    <col min="10" max="10" width="4.85546875" style="94" bestFit="1" customWidth="1"/>
    <col min="11" max="11" width="18.42578125" style="211" customWidth="1"/>
    <col min="12" max="12" width="7.85546875" style="94" bestFit="1" customWidth="1"/>
    <col min="13" max="13" width="12.7109375" style="94" customWidth="1"/>
    <col min="14" max="14" width="12.28515625" style="94" bestFit="1" customWidth="1"/>
    <col min="15" max="15" width="11.42578125" style="94"/>
    <col min="16" max="16" width="12.28515625" style="94" bestFit="1" customWidth="1"/>
    <col min="17" max="16384" width="11.42578125" style="94"/>
  </cols>
  <sheetData>
    <row r="1" spans="1:13" ht="35.25" customHeight="1" thickBot="1" x14ac:dyDescent="0.25">
      <c r="A1" s="996" t="s">
        <v>233</v>
      </c>
      <c r="B1" s="997"/>
      <c r="C1" s="997"/>
      <c r="D1" s="997"/>
      <c r="E1" s="997"/>
      <c r="F1" s="997"/>
      <c r="G1" s="997"/>
      <c r="H1" s="997"/>
      <c r="I1" s="998"/>
      <c r="K1" s="84" t="s">
        <v>220</v>
      </c>
      <c r="L1" s="84" t="s">
        <v>346</v>
      </c>
      <c r="M1" s="277"/>
    </row>
    <row r="2" spans="1:13" x14ac:dyDescent="0.2">
      <c r="A2" s="99"/>
      <c r="B2" s="95"/>
      <c r="C2" s="95"/>
      <c r="D2" s="206"/>
      <c r="E2" s="207"/>
      <c r="F2" s="206"/>
      <c r="G2" s="208"/>
      <c r="H2" s="206"/>
      <c r="I2" s="206"/>
    </row>
    <row r="3" spans="1:13" ht="38.25" customHeight="1" x14ac:dyDescent="0.2">
      <c r="A3" s="95"/>
      <c r="B3" s="95"/>
      <c r="C3" s="95"/>
      <c r="D3" s="993" t="s">
        <v>285</v>
      </c>
      <c r="E3" s="993"/>
      <c r="F3" s="993" t="s">
        <v>286</v>
      </c>
      <c r="G3" s="993"/>
      <c r="H3" s="204" t="s">
        <v>287</v>
      </c>
      <c r="I3" s="205" t="s">
        <v>288</v>
      </c>
      <c r="K3" s="215" t="s">
        <v>300</v>
      </c>
      <c r="L3" s="216" t="s">
        <v>301</v>
      </c>
    </row>
    <row r="4" spans="1:13" ht="12.75" customHeight="1" x14ac:dyDescent="0.2">
      <c r="A4" s="193" t="s">
        <v>240</v>
      </c>
      <c r="B4" s="290">
        <f>IF('info bulletin'!C168="NON",0,SNAR)</f>
        <v>0</v>
      </c>
      <c r="C4" s="96"/>
      <c r="D4" s="178">
        <v>0</v>
      </c>
      <c r="E4" s="179">
        <v>310.83</v>
      </c>
      <c r="F4" s="178">
        <f>D4</f>
        <v>0</v>
      </c>
      <c r="G4" s="179">
        <f>E4+$B$6*$B$12</f>
        <v>784.15</v>
      </c>
      <c r="H4" s="180">
        <v>0.05</v>
      </c>
      <c r="I4" s="181">
        <f>IF($B$4&gt;G4,G4*H4,$B$4*H4)</f>
        <v>0</v>
      </c>
      <c r="K4" s="214">
        <f>IF(I4=0,0,IF(G4&lt;salmensu,G4-F4,salmensu))</f>
        <v>0</v>
      </c>
      <c r="L4" s="217" t="s">
        <v>302</v>
      </c>
    </row>
    <row r="5" spans="1:13" x14ac:dyDescent="0.2">
      <c r="A5" s="195"/>
      <c r="B5" s="194"/>
      <c r="C5" s="96"/>
      <c r="D5" s="182">
        <f>E4</f>
        <v>310.83</v>
      </c>
      <c r="E5" s="183">
        <v>606.66999999999996</v>
      </c>
      <c r="F5" s="182">
        <f>G4</f>
        <v>784.15</v>
      </c>
      <c r="G5" s="183">
        <f>E5+$B$6*$B$12</f>
        <v>1079.99</v>
      </c>
      <c r="H5" s="184">
        <v>0.1</v>
      </c>
      <c r="I5" s="185">
        <f>IF($B$4&gt;G5,(G5-F5)*H5,IF($B$4&gt;F5,($B$4-F5)*H5,0))</f>
        <v>0</v>
      </c>
      <c r="K5" s="212">
        <f>IF($B$4&gt;G5,(G5-F5),IF($B$4&gt;F5,($B$4-F5),0))</f>
        <v>0</v>
      </c>
      <c r="L5" s="218" t="s">
        <v>303</v>
      </c>
    </row>
    <row r="6" spans="1:13" x14ac:dyDescent="0.2">
      <c r="A6" s="193" t="s">
        <v>289</v>
      </c>
      <c r="B6" s="290">
        <f>'info bulletin'!C170</f>
        <v>4</v>
      </c>
      <c r="C6" s="96"/>
      <c r="D6" s="182">
        <f t="shared" ref="D6:D10" si="0">E5</f>
        <v>606.66999999999996</v>
      </c>
      <c r="E6" s="183">
        <v>904.17</v>
      </c>
      <c r="F6" s="182">
        <f t="shared" ref="F6:F10" si="1">G5</f>
        <v>1079.99</v>
      </c>
      <c r="G6" s="183">
        <f t="shared" ref="G6:G9" si="2">E6+$B$6*$B$12</f>
        <v>1377.49</v>
      </c>
      <c r="H6" s="184">
        <v>0.2</v>
      </c>
      <c r="I6" s="185">
        <f t="shared" ref="I6:I10" si="3">IF($B$4&gt;G6,(G6-F6)*H6,IF($B$4&gt;F6,($B$4-F6)*H6,0))</f>
        <v>0</v>
      </c>
      <c r="K6" s="212">
        <f t="shared" ref="K6:K10" si="4">IF($B$4&gt;G6,(G6-F6),IF($B$4&gt;F6,($B$4-F6),0))</f>
        <v>0</v>
      </c>
      <c r="L6" s="218" t="s">
        <v>304</v>
      </c>
    </row>
    <row r="7" spans="1:13" x14ac:dyDescent="0.2">
      <c r="D7" s="182">
        <f t="shared" si="0"/>
        <v>904.17</v>
      </c>
      <c r="E7" s="183">
        <v>1200.83</v>
      </c>
      <c r="F7" s="182">
        <f t="shared" si="1"/>
        <v>1377.49</v>
      </c>
      <c r="G7" s="183">
        <f t="shared" si="2"/>
        <v>1674.1499999999999</v>
      </c>
      <c r="H7" s="184">
        <v>0.25</v>
      </c>
      <c r="I7" s="185">
        <f>IF($B$4&gt;G7,(G7-F7)*H7,IF($B$4&gt;F7,($B$4-F7)*H7,0))</f>
        <v>0</v>
      </c>
      <c r="K7" s="212">
        <f t="shared" si="4"/>
        <v>0</v>
      </c>
      <c r="L7" s="218" t="s">
        <v>305</v>
      </c>
    </row>
    <row r="8" spans="1:13" x14ac:dyDescent="0.2">
      <c r="A8" s="196" t="s">
        <v>290</v>
      </c>
      <c r="B8" s="197">
        <f>IF(salmensu-rmi&lt;=0,salmensu,rmi)</f>
        <v>0</v>
      </c>
      <c r="D8" s="182">
        <f t="shared" si="0"/>
        <v>1200.83</v>
      </c>
      <c r="E8" s="183">
        <v>1497.5</v>
      </c>
      <c r="F8" s="182">
        <f t="shared" si="1"/>
        <v>1674.1499999999999</v>
      </c>
      <c r="G8" s="183">
        <f t="shared" si="2"/>
        <v>1970.82</v>
      </c>
      <c r="H8" s="184">
        <v>0.33333333333333331</v>
      </c>
      <c r="I8" s="185">
        <f>IF($B$4&gt;G8,(G8-F8)*H8,IF($B$4&gt;F8,($B$4-F8)*H8,0))</f>
        <v>0</v>
      </c>
      <c r="K8" s="212">
        <f t="shared" si="4"/>
        <v>0</v>
      </c>
      <c r="L8" s="218" t="s">
        <v>306</v>
      </c>
    </row>
    <row r="9" spans="1:13" x14ac:dyDescent="0.2">
      <c r="A9" s="198" t="s">
        <v>291</v>
      </c>
      <c r="B9" s="199">
        <f>qsp</f>
        <v>0</v>
      </c>
      <c r="D9" s="182">
        <f t="shared" si="0"/>
        <v>1497.5</v>
      </c>
      <c r="E9" s="183">
        <v>1799.17</v>
      </c>
      <c r="F9" s="182">
        <f t="shared" si="1"/>
        <v>1970.82</v>
      </c>
      <c r="G9" s="183">
        <f t="shared" si="2"/>
        <v>2272.4900000000002</v>
      </c>
      <c r="H9" s="184">
        <v>0.66666666666666663</v>
      </c>
      <c r="I9" s="185">
        <f t="shared" si="3"/>
        <v>0</v>
      </c>
      <c r="K9" s="212">
        <f t="shared" si="4"/>
        <v>0</v>
      </c>
      <c r="L9" s="218" t="s">
        <v>307</v>
      </c>
    </row>
    <row r="10" spans="1:13" x14ac:dyDescent="0.2">
      <c r="A10" s="200" t="s">
        <v>292</v>
      </c>
      <c r="B10" s="201">
        <f>IF(salmensu-rmi-qsp&lt;0,0,salmensu-rmi-qsp)</f>
        <v>0</v>
      </c>
      <c r="D10" s="187">
        <f t="shared" si="0"/>
        <v>1799.17</v>
      </c>
      <c r="E10" s="186">
        <v>99999999</v>
      </c>
      <c r="F10" s="187">
        <f t="shared" si="1"/>
        <v>2272.4900000000002</v>
      </c>
      <c r="G10" s="188">
        <f>E10</f>
        <v>99999999</v>
      </c>
      <c r="H10" s="189">
        <v>1</v>
      </c>
      <c r="I10" s="185">
        <f t="shared" si="3"/>
        <v>0</v>
      </c>
      <c r="K10" s="213">
        <f t="shared" si="4"/>
        <v>0</v>
      </c>
      <c r="L10" s="219" t="s">
        <v>308</v>
      </c>
    </row>
    <row r="11" spans="1:13" x14ac:dyDescent="0.2">
      <c r="D11" s="177"/>
      <c r="E11" s="177"/>
      <c r="F11" s="177"/>
      <c r="G11" s="994" t="s">
        <v>295</v>
      </c>
      <c r="H11" s="995"/>
      <c r="I11" s="190">
        <f>SUM(I4:I10)</f>
        <v>0</v>
      </c>
    </row>
    <row r="12" spans="1:13" x14ac:dyDescent="0.2">
      <c r="A12" s="202" t="s">
        <v>293</v>
      </c>
      <c r="B12" s="291">
        <v>118.33</v>
      </c>
      <c r="D12" s="177"/>
      <c r="E12" s="177"/>
      <c r="F12" s="177"/>
      <c r="G12" s="1000" t="s">
        <v>296</v>
      </c>
      <c r="H12" s="1000"/>
      <c r="I12" s="191" t="str">
        <f>IF(salmensu=0,"",IF(salmensu-qs&lt;rmi,"OUI","NON"))</f>
        <v/>
      </c>
    </row>
    <row r="13" spans="1:13" ht="15" x14ac:dyDescent="0.2">
      <c r="A13" s="203" t="s">
        <v>294</v>
      </c>
      <c r="B13" s="201">
        <v>535.16999999999996</v>
      </c>
      <c r="D13" s="192"/>
      <c r="E13" s="192"/>
      <c r="F13" s="192"/>
      <c r="G13" s="1001" t="s">
        <v>297</v>
      </c>
      <c r="H13" s="1001"/>
      <c r="I13" s="190">
        <f>IF(salmensu-qs&lt;rmi,IF(salmensu-rmi&lt;0,0,salmensu-rmi),qs)</f>
        <v>0</v>
      </c>
    </row>
    <row r="15" spans="1:13" ht="15.75" x14ac:dyDescent="0.25">
      <c r="G15" s="999" t="s">
        <v>298</v>
      </c>
      <c r="H15" s="999"/>
      <c r="I15" s="209">
        <f>IF(I12="OUI",qsp,I11)</f>
        <v>0</v>
      </c>
    </row>
    <row r="17" spans="1:1" ht="15" x14ac:dyDescent="0.25">
      <c r="A17" s="93" t="s">
        <v>239</v>
      </c>
    </row>
    <row r="19" spans="1:1" ht="15" x14ac:dyDescent="0.25">
      <c r="A19" s="93" t="s">
        <v>220</v>
      </c>
    </row>
    <row r="48" spans="1:4" x14ac:dyDescent="0.2">
      <c r="A48" s="94" t="s">
        <v>235</v>
      </c>
      <c r="C48" s="94" t="s">
        <v>235</v>
      </c>
      <c r="D48" s="94" t="s">
        <v>234</v>
      </c>
    </row>
  </sheetData>
  <mergeCells count="7">
    <mergeCell ref="D3:E3"/>
    <mergeCell ref="F3:G3"/>
    <mergeCell ref="G11:H11"/>
    <mergeCell ref="A1:I1"/>
    <mergeCell ref="G15:H15"/>
    <mergeCell ref="G12:H12"/>
    <mergeCell ref="G13:H13"/>
  </mergeCells>
  <conditionalFormatting sqref="I12">
    <cfRule type="cellIs" dxfId="5" priority="1" stopIfTrue="1" operator="equal">
      <formula>"OUI"</formula>
    </cfRule>
  </conditionalFormatting>
  <hyperlinks>
    <hyperlink ref="A19" location="BULLETIN" display="BULLETIN" xr:uid="{00000000-0004-0000-0B00-000000000000}"/>
    <hyperlink ref="A17" r:id="rId1" xr:uid="{00000000-0004-0000-0B00-000001000000}"/>
    <hyperlink ref="K1" location="BULLETIN" display="BULLETIN" xr:uid="{00000000-0004-0000-0B00-000002000000}"/>
    <hyperlink ref="L1" location="INFO" display="INFO" xr:uid="{00000000-0004-0000-0B00-000003000000}"/>
  </hyperlinks>
  <pageMargins left="0.78740157499999996" right="0.78740157499999996" top="0.984251969" bottom="0.984251969" header="0.4921259845" footer="0.4921259845"/>
  <pageSetup paperSize="9" orientation="portrait" r:id="rId2"/>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tabColor rgb="FF00B0F0"/>
  </sheetPr>
  <dimension ref="A1:N71"/>
  <sheetViews>
    <sheetView workbookViewId="0">
      <selection activeCell="C10" sqref="C10"/>
    </sheetView>
  </sheetViews>
  <sheetFormatPr baseColWidth="10" defaultRowHeight="15" x14ac:dyDescent="0.25"/>
  <cols>
    <col min="1" max="2" width="14.42578125" style="523" customWidth="1"/>
    <col min="3" max="3" width="11.42578125" style="523" customWidth="1"/>
    <col min="4" max="4" width="13.85546875" style="523" customWidth="1"/>
    <col min="5" max="8" width="13.42578125" style="523" customWidth="1"/>
    <col min="9" max="9" width="11.140625" style="523" customWidth="1"/>
    <col min="10" max="10" width="14.28515625" style="523" customWidth="1"/>
    <col min="11" max="11" width="12.140625" style="523" customWidth="1"/>
    <col min="12" max="12" width="12.28515625" style="523" customWidth="1"/>
    <col min="13" max="13" width="11.42578125" style="523"/>
    <col min="14" max="14" width="17.140625" style="523" customWidth="1"/>
    <col min="15" max="16384" width="11.42578125" style="523"/>
  </cols>
  <sheetData>
    <row r="1" spans="1:11" ht="27" customHeight="1" thickBot="1" x14ac:dyDescent="0.3">
      <c r="A1" s="1002" t="s">
        <v>501</v>
      </c>
      <c r="B1" s="1003"/>
      <c r="C1" s="1003"/>
      <c r="D1" s="1003"/>
      <c r="E1" s="1003"/>
      <c r="F1" s="1003"/>
      <c r="G1" s="1003"/>
      <c r="H1" s="1003"/>
      <c r="I1" s="1003"/>
      <c r="J1" s="1003"/>
      <c r="K1" s="1004"/>
    </row>
    <row r="3" spans="1:11" x14ac:dyDescent="0.25">
      <c r="A3" s="523" t="s">
        <v>499</v>
      </c>
      <c r="B3" s="525">
        <f>SMIC_HORAIRE</f>
        <v>9.76</v>
      </c>
      <c r="C3" s="523" t="s">
        <v>496</v>
      </c>
      <c r="D3" s="524">
        <v>0.28089999999999998</v>
      </c>
      <c r="E3" s="568" t="s">
        <v>532</v>
      </c>
      <c r="F3" s="524">
        <v>1.6</v>
      </c>
    </row>
    <row r="4" spans="1:11" x14ac:dyDescent="0.25">
      <c r="A4" s="523" t="s">
        <v>500</v>
      </c>
      <c r="B4" s="526">
        <f>SMIC_M</f>
        <v>1480.2991999999999</v>
      </c>
      <c r="C4" s="523" t="s">
        <v>497</v>
      </c>
      <c r="D4" s="524">
        <v>0.28489999999999999</v>
      </c>
      <c r="H4" s="644" t="s">
        <v>220</v>
      </c>
    </row>
    <row r="6" spans="1:11" x14ac:dyDescent="0.25">
      <c r="A6" s="1009" t="s">
        <v>544</v>
      </c>
      <c r="B6" s="1009"/>
      <c r="C6" s="1009"/>
      <c r="D6" s="1009"/>
      <c r="E6" s="1009"/>
      <c r="F6" s="1009"/>
      <c r="G6" s="1009"/>
      <c r="H6" s="1009"/>
    </row>
    <row r="7" spans="1:11" x14ac:dyDescent="0.25">
      <c r="C7" s="625" t="s">
        <v>545</v>
      </c>
      <c r="D7" s="526">
        <f>SBASE</f>
        <v>0</v>
      </c>
      <c r="E7" s="90" t="s">
        <v>546</v>
      </c>
      <c r="F7" s="526">
        <f>D7*1.6</f>
        <v>0</v>
      </c>
      <c r="J7" s="749" t="s">
        <v>630</v>
      </c>
      <c r="K7" s="750">
        <f>SMIC_M</f>
        <v>1480.2991999999999</v>
      </c>
    </row>
    <row r="8" spans="1:11" x14ac:dyDescent="0.25">
      <c r="J8" s="749" t="s">
        <v>631</v>
      </c>
      <c r="K8" s="750">
        <f>K7*6</f>
        <v>8881.7952000000005</v>
      </c>
    </row>
    <row r="9" spans="1:11" ht="30" x14ac:dyDescent="0.25">
      <c r="B9" s="566" t="s">
        <v>493</v>
      </c>
      <c r="C9" s="580" t="s">
        <v>533</v>
      </c>
      <c r="D9" s="581" t="s">
        <v>106</v>
      </c>
      <c r="E9" s="581" t="s">
        <v>535</v>
      </c>
      <c r="F9" s="567" t="s">
        <v>536</v>
      </c>
      <c r="G9" s="566" t="s">
        <v>535</v>
      </c>
      <c r="H9" s="691" t="s">
        <v>247</v>
      </c>
    </row>
    <row r="10" spans="1:11" x14ac:dyDescent="0.25">
      <c r="B10" s="527" t="s">
        <v>405</v>
      </c>
      <c r="C10" s="585"/>
      <c r="D10" s="570"/>
      <c r="E10" s="570"/>
      <c r="F10" s="577"/>
      <c r="G10" s="577"/>
      <c r="H10" s="577"/>
      <c r="J10" s="568" t="s">
        <v>220</v>
      </c>
      <c r="K10" s="525">
        <f>'info bulletin'!C12</f>
        <v>0</v>
      </c>
    </row>
    <row r="11" spans="1:11" x14ac:dyDescent="0.25">
      <c r="B11" s="528" t="s">
        <v>406</v>
      </c>
      <c r="C11" s="586"/>
      <c r="D11" s="571"/>
      <c r="E11" s="571"/>
      <c r="F11" s="574"/>
      <c r="G11" s="574"/>
      <c r="H11" s="574"/>
    </row>
    <row r="12" spans="1:11" x14ac:dyDescent="0.25">
      <c r="B12" s="528" t="s">
        <v>407</v>
      </c>
      <c r="C12" s="587"/>
      <c r="D12" s="572"/>
      <c r="E12" s="572"/>
      <c r="F12" s="578"/>
      <c r="G12" s="578"/>
      <c r="H12" s="578"/>
    </row>
    <row r="13" spans="1:11" x14ac:dyDescent="0.25">
      <c r="B13" s="528" t="s">
        <v>408</v>
      </c>
      <c r="C13" s="586"/>
      <c r="D13" s="571"/>
      <c r="E13" s="571"/>
      <c r="F13" s="574"/>
      <c r="G13" s="574"/>
      <c r="H13" s="574"/>
    </row>
    <row r="14" spans="1:11" x14ac:dyDescent="0.25">
      <c r="B14" s="528" t="s">
        <v>409</v>
      </c>
      <c r="C14" s="587"/>
      <c r="D14" s="572"/>
      <c r="E14" s="572"/>
      <c r="F14" s="578"/>
      <c r="G14" s="578"/>
      <c r="H14" s="578"/>
    </row>
    <row r="15" spans="1:11" x14ac:dyDescent="0.25">
      <c r="B15" s="528" t="s">
        <v>410</v>
      </c>
      <c r="C15" s="586"/>
      <c r="D15" s="571"/>
      <c r="E15" s="571"/>
      <c r="F15" s="574"/>
      <c r="G15" s="574"/>
      <c r="H15" s="574"/>
    </row>
    <row r="16" spans="1:11" x14ac:dyDescent="0.25">
      <c r="B16" s="528" t="s">
        <v>411</v>
      </c>
      <c r="C16" s="587"/>
      <c r="D16" s="572"/>
      <c r="E16" s="572"/>
      <c r="F16" s="578"/>
      <c r="G16" s="578"/>
      <c r="H16" s="578"/>
    </row>
    <row r="17" spans="1:14" x14ac:dyDescent="0.25">
      <c r="B17" s="528" t="s">
        <v>412</v>
      </c>
      <c r="C17" s="586"/>
      <c r="D17" s="571"/>
      <c r="E17" s="571"/>
      <c r="F17" s="574"/>
      <c r="G17" s="574"/>
      <c r="H17" s="574"/>
    </row>
    <row r="18" spans="1:14" x14ac:dyDescent="0.25">
      <c r="B18" s="528" t="s">
        <v>413</v>
      </c>
      <c r="C18" s="587"/>
      <c r="D18" s="572"/>
      <c r="E18" s="572"/>
      <c r="F18" s="578"/>
      <c r="G18" s="578"/>
      <c r="H18" s="578"/>
    </row>
    <row r="19" spans="1:14" x14ac:dyDescent="0.25">
      <c r="B19" s="528" t="s">
        <v>414</v>
      </c>
      <c r="C19" s="586"/>
      <c r="D19" s="571"/>
      <c r="E19" s="571"/>
      <c r="F19" s="574"/>
      <c r="G19" s="574"/>
      <c r="H19" s="574"/>
    </row>
    <row r="20" spans="1:14" x14ac:dyDescent="0.25">
      <c r="B20" s="528" t="s">
        <v>415</v>
      </c>
      <c r="C20" s="587"/>
      <c r="D20" s="572"/>
      <c r="E20" s="572"/>
      <c r="F20" s="578"/>
      <c r="G20" s="578"/>
      <c r="H20" s="578"/>
    </row>
    <row r="21" spans="1:14" x14ac:dyDescent="0.25">
      <c r="B21" s="529" t="s">
        <v>416</v>
      </c>
      <c r="C21" s="588"/>
      <c r="D21" s="573"/>
      <c r="E21" s="573"/>
      <c r="F21" s="575"/>
      <c r="G21" s="575"/>
      <c r="H21" s="575"/>
    </row>
    <row r="22" spans="1:14" x14ac:dyDescent="0.25">
      <c r="B22" s="751" t="s">
        <v>659</v>
      </c>
      <c r="C22" s="751">
        <f>NBRE_SALARIES</f>
        <v>0</v>
      </c>
      <c r="D22" s="751">
        <f>SBRUT</f>
        <v>0</v>
      </c>
      <c r="E22" s="752">
        <f ca="1">'Modèle Cadre'!D36</f>
        <v>0</v>
      </c>
      <c r="F22" s="752" t="str">
        <f>'Modèle Cadre'!F19</f>
        <v/>
      </c>
      <c r="G22" s="752" t="str">
        <f>'Modèle Cadre'!D19</f>
        <v/>
      </c>
      <c r="H22" s="751">
        <f>'info bulletin'!F30</f>
        <v>0</v>
      </c>
    </row>
    <row r="24" spans="1:14" ht="30" x14ac:dyDescent="0.25">
      <c r="A24" s="1010" t="s">
        <v>493</v>
      </c>
      <c r="B24" s="1011"/>
      <c r="C24" s="580" t="s">
        <v>533</v>
      </c>
      <c r="D24" s="581" t="s">
        <v>106</v>
      </c>
      <c r="E24" s="581" t="s">
        <v>535</v>
      </c>
      <c r="F24" s="567" t="s">
        <v>536</v>
      </c>
      <c r="G24" s="566" t="s">
        <v>535</v>
      </c>
      <c r="H24" s="566" t="s">
        <v>247</v>
      </c>
      <c r="I24" s="566" t="s">
        <v>534</v>
      </c>
      <c r="J24" s="576" t="s">
        <v>502</v>
      </c>
      <c r="K24" s="580" t="s">
        <v>503</v>
      </c>
      <c r="L24" s="581" t="s">
        <v>537</v>
      </c>
      <c r="M24" s="567" t="s">
        <v>494</v>
      </c>
      <c r="N24" s="576" t="s">
        <v>495</v>
      </c>
    </row>
    <row r="25" spans="1:14" ht="18.75" x14ac:dyDescent="0.25">
      <c r="A25" s="1005" t="s">
        <v>405</v>
      </c>
      <c r="B25" s="582" t="s">
        <v>493</v>
      </c>
      <c r="C25" s="589">
        <f>C10</f>
        <v>0</v>
      </c>
      <c r="D25" s="623">
        <f>D10</f>
        <v>0</v>
      </c>
      <c r="E25" s="623">
        <f t="shared" ref="E25:H25" si="0">E10</f>
        <v>0</v>
      </c>
      <c r="F25" s="623">
        <f t="shared" si="0"/>
        <v>0</v>
      </c>
      <c r="G25" s="623">
        <f t="shared" si="0"/>
        <v>0</v>
      </c>
      <c r="H25" s="624">
        <f t="shared" si="0"/>
        <v>0</v>
      </c>
      <c r="I25" s="604">
        <f>IF(C25&gt;=20,Tx_FILLON_MAX,Tx_FILLON_MINI)</f>
        <v>0.28089999999999998</v>
      </c>
      <c r="J25" s="602"/>
      <c r="K25" s="608"/>
      <c r="L25" s="590"/>
      <c r="M25" s="599"/>
      <c r="N25" s="611">
        <f>M26</f>
        <v>0</v>
      </c>
    </row>
    <row r="26" spans="1:14" ht="18.75" x14ac:dyDescent="0.25">
      <c r="A26" s="1006"/>
      <c r="B26" s="583" t="s">
        <v>538</v>
      </c>
      <c r="C26" s="593"/>
      <c r="D26" s="591">
        <f>D25</f>
        <v>0</v>
      </c>
      <c r="E26" s="591">
        <f t="shared" ref="E26:H26" si="1">E25</f>
        <v>0</v>
      </c>
      <c r="F26" s="591">
        <f t="shared" si="1"/>
        <v>0</v>
      </c>
      <c r="G26" s="591">
        <f t="shared" si="1"/>
        <v>0</v>
      </c>
      <c r="H26" s="591">
        <f t="shared" si="1"/>
        <v>0</v>
      </c>
      <c r="I26" s="605"/>
      <c r="J26" s="603">
        <f>IF(F25&gt;1,(SMIC_HORAIRE*(E26+G26-H26)*D26*1.6/(D26+F26)),(SMIC_HORAIRE*E26)*1.6)</f>
        <v>0</v>
      </c>
      <c r="K26" s="609">
        <f>IFERROR((J26/D26)-1,0)</f>
        <v>0</v>
      </c>
      <c r="L26" s="595">
        <f>(I25/(LIMITE_FILLON-1))*K26</f>
        <v>0</v>
      </c>
      <c r="M26" s="592">
        <f>L26*D26</f>
        <v>0</v>
      </c>
      <c r="N26" s="612"/>
    </row>
    <row r="27" spans="1:14" ht="18.75" x14ac:dyDescent="0.25">
      <c r="A27" s="1007" t="s">
        <v>406</v>
      </c>
      <c r="B27" s="579" t="s">
        <v>493</v>
      </c>
      <c r="C27" s="589">
        <f>C11</f>
        <v>0</v>
      </c>
      <c r="D27" s="623">
        <f t="shared" ref="D27:H27" si="2">D11</f>
        <v>0</v>
      </c>
      <c r="E27" s="623">
        <f t="shared" si="2"/>
        <v>0</v>
      </c>
      <c r="F27" s="623">
        <f t="shared" si="2"/>
        <v>0</v>
      </c>
      <c r="G27" s="623">
        <f t="shared" si="2"/>
        <v>0</v>
      </c>
      <c r="H27" s="624">
        <f t="shared" si="2"/>
        <v>0</v>
      </c>
      <c r="I27" s="606">
        <f>IF(C27&gt;=20,Tx_FILLON_MAX,Tx_FILLON_MINI)</f>
        <v>0.28089999999999998</v>
      </c>
      <c r="J27" s="602"/>
      <c r="K27" s="610"/>
      <c r="L27" s="596"/>
      <c r="M27" s="600"/>
      <c r="N27" s="613">
        <f>M28-N25</f>
        <v>0</v>
      </c>
    </row>
    <row r="28" spans="1:14" ht="18.75" x14ac:dyDescent="0.25">
      <c r="A28" s="1008"/>
      <c r="B28" s="584" t="s">
        <v>538</v>
      </c>
      <c r="C28" s="593"/>
      <c r="D28" s="591">
        <f>D27+D26</f>
        <v>0</v>
      </c>
      <c r="E28" s="591">
        <f t="shared" ref="E28:H28" si="3">E27+E26</f>
        <v>0</v>
      </c>
      <c r="F28" s="591">
        <f t="shared" si="3"/>
        <v>0</v>
      </c>
      <c r="G28" s="591">
        <f t="shared" si="3"/>
        <v>0</v>
      </c>
      <c r="H28" s="591">
        <f t="shared" si="3"/>
        <v>0</v>
      </c>
      <c r="I28" s="607"/>
      <c r="J28" s="603">
        <f>IF(F27&gt;1,(SMIC_HORAIRE*(E28+G28-H28)*D28*1.6/(D28+F28)),(SMIC_HORAIRE*E28)*1.6)</f>
        <v>0</v>
      </c>
      <c r="K28" s="609">
        <f>IFERROR((J28/D28)-1,0)</f>
        <v>0</v>
      </c>
      <c r="L28" s="597">
        <f>(I27/(LIMITE_FILLON-1))*K28</f>
        <v>0</v>
      </c>
      <c r="M28" s="594">
        <f>L28*D28</f>
        <v>0</v>
      </c>
      <c r="N28" s="614"/>
    </row>
    <row r="29" spans="1:14" ht="18.75" x14ac:dyDescent="0.25">
      <c r="A29" s="1005" t="s">
        <v>407</v>
      </c>
      <c r="B29" s="582" t="s">
        <v>493</v>
      </c>
      <c r="C29" s="589">
        <f>C12</f>
        <v>0</v>
      </c>
      <c r="D29" s="623">
        <f t="shared" ref="D29:H29" si="4">D12</f>
        <v>0</v>
      </c>
      <c r="E29" s="623">
        <f t="shared" si="4"/>
        <v>0</v>
      </c>
      <c r="F29" s="623">
        <f t="shared" si="4"/>
        <v>0</v>
      </c>
      <c r="G29" s="623">
        <f t="shared" si="4"/>
        <v>0</v>
      </c>
      <c r="H29" s="624">
        <f t="shared" si="4"/>
        <v>0</v>
      </c>
      <c r="I29" s="604">
        <f>IF(C29&gt;=20,Tx_FILLON_MAX,Tx_FILLON_MINI)</f>
        <v>0.28089999999999998</v>
      </c>
      <c r="J29" s="602"/>
      <c r="K29" s="610"/>
      <c r="L29" s="598"/>
      <c r="M29" s="601"/>
      <c r="N29" s="611">
        <f>M30-M28</f>
        <v>0</v>
      </c>
    </row>
    <row r="30" spans="1:14" ht="18.75" x14ac:dyDescent="0.25">
      <c r="A30" s="1006"/>
      <c r="B30" s="583" t="s">
        <v>538</v>
      </c>
      <c r="C30" s="593"/>
      <c r="D30" s="591">
        <f>D29+D28</f>
        <v>0</v>
      </c>
      <c r="E30" s="591">
        <f t="shared" ref="E30:H30" si="5">E29+E28</f>
        <v>0</v>
      </c>
      <c r="F30" s="591">
        <f t="shared" si="5"/>
        <v>0</v>
      </c>
      <c r="G30" s="591">
        <f t="shared" si="5"/>
        <v>0</v>
      </c>
      <c r="H30" s="591">
        <f t="shared" si="5"/>
        <v>0</v>
      </c>
      <c r="I30" s="605"/>
      <c r="J30" s="603">
        <f>IF(F29&gt;1,(SMIC_HORAIRE*(E30+G30-H30)*D30*1.6/(D30+F30)),(SMIC_HORAIRE*E30)*1.6)</f>
        <v>0</v>
      </c>
      <c r="K30" s="609">
        <f>IFERROR((J30/D30)-1,0)</f>
        <v>0</v>
      </c>
      <c r="L30" s="595">
        <f>(I29/(LIMITE_FILLON-1))*K30</f>
        <v>0</v>
      </c>
      <c r="M30" s="592">
        <f>L30*D30</f>
        <v>0</v>
      </c>
      <c r="N30" s="612"/>
    </row>
    <row r="31" spans="1:14" ht="18.75" x14ac:dyDescent="0.25">
      <c r="A31" s="1007" t="s">
        <v>408</v>
      </c>
      <c r="B31" s="579" t="s">
        <v>493</v>
      </c>
      <c r="C31" s="589">
        <f>C13</f>
        <v>0</v>
      </c>
      <c r="D31" s="623">
        <f t="shared" ref="D31:H31" si="6">D13</f>
        <v>0</v>
      </c>
      <c r="E31" s="623">
        <f t="shared" si="6"/>
        <v>0</v>
      </c>
      <c r="F31" s="623">
        <f t="shared" si="6"/>
        <v>0</v>
      </c>
      <c r="G31" s="623">
        <f t="shared" si="6"/>
        <v>0</v>
      </c>
      <c r="H31" s="624">
        <f t="shared" si="6"/>
        <v>0</v>
      </c>
      <c r="I31" s="606">
        <f>IF(C31&gt;=20,Tx_FILLON_MAX,Tx_FILLON_MINI)</f>
        <v>0.28089999999999998</v>
      </c>
      <c r="J31" s="602"/>
      <c r="K31" s="610"/>
      <c r="L31" s="596"/>
      <c r="M31" s="600"/>
      <c r="N31" s="613">
        <f>M32-M30</f>
        <v>0</v>
      </c>
    </row>
    <row r="32" spans="1:14" ht="18.75" x14ac:dyDescent="0.25">
      <c r="A32" s="1008"/>
      <c r="B32" s="583" t="s">
        <v>538</v>
      </c>
      <c r="C32" s="593"/>
      <c r="D32" s="591">
        <f>D31+D30</f>
        <v>0</v>
      </c>
      <c r="E32" s="591">
        <f t="shared" ref="E32:G32" si="7">E31+E30</f>
        <v>0</v>
      </c>
      <c r="F32" s="591">
        <f t="shared" si="7"/>
        <v>0</v>
      </c>
      <c r="G32" s="591">
        <f t="shared" si="7"/>
        <v>0</v>
      </c>
      <c r="H32" s="591">
        <f>H31+H30</f>
        <v>0</v>
      </c>
      <c r="I32" s="605"/>
      <c r="J32" s="603">
        <f>IF(F31&gt;1,(SMIC_HORAIRE*(E32+G32-H32)*D32*1.6/(D32+F32)),(SMIC_HORAIRE*E32)*1.6)</f>
        <v>0</v>
      </c>
      <c r="K32" s="609">
        <f t="shared" ref="K32" si="8">IFERROR((J32/D32)-1,0)</f>
        <v>0</v>
      </c>
      <c r="L32" s="595">
        <f>(I31/(LIMITE_FILLON-1))*K32</f>
        <v>0</v>
      </c>
      <c r="M32" s="592">
        <f>L32*D32</f>
        <v>0</v>
      </c>
      <c r="N32" s="612"/>
    </row>
    <row r="33" spans="1:14" ht="18.75" x14ac:dyDescent="0.25">
      <c r="A33" s="1005" t="s">
        <v>409</v>
      </c>
      <c r="B33" s="582" t="s">
        <v>493</v>
      </c>
      <c r="C33" s="589">
        <f>C14</f>
        <v>0</v>
      </c>
      <c r="D33" s="623">
        <f t="shared" ref="D33:H33" si="9">D14</f>
        <v>0</v>
      </c>
      <c r="E33" s="623">
        <f t="shared" si="9"/>
        <v>0</v>
      </c>
      <c r="F33" s="623">
        <f t="shared" si="9"/>
        <v>0</v>
      </c>
      <c r="G33" s="623">
        <f t="shared" si="9"/>
        <v>0</v>
      </c>
      <c r="H33" s="624">
        <f t="shared" si="9"/>
        <v>0</v>
      </c>
      <c r="I33" s="604">
        <f>IF(C33&gt;=20,Tx_FILLON_MAX,Tx_FILLON_MINI)</f>
        <v>0.28089999999999998</v>
      </c>
      <c r="J33" s="602"/>
      <c r="K33" s="610"/>
      <c r="L33" s="598"/>
      <c r="M33" s="601"/>
      <c r="N33" s="611">
        <f>M34-M32</f>
        <v>0</v>
      </c>
    </row>
    <row r="34" spans="1:14" ht="18.75" x14ac:dyDescent="0.25">
      <c r="A34" s="1006"/>
      <c r="B34" s="583" t="s">
        <v>538</v>
      </c>
      <c r="C34" s="593"/>
      <c r="D34" s="591">
        <f>D33+D32</f>
        <v>0</v>
      </c>
      <c r="E34" s="591">
        <f t="shared" ref="E34:H34" si="10">E33+E32</f>
        <v>0</v>
      </c>
      <c r="F34" s="591">
        <f t="shared" si="10"/>
        <v>0</v>
      </c>
      <c r="G34" s="591">
        <f t="shared" si="10"/>
        <v>0</v>
      </c>
      <c r="H34" s="591">
        <f t="shared" si="10"/>
        <v>0</v>
      </c>
      <c r="I34" s="605"/>
      <c r="J34" s="603">
        <f>IF(F33&gt;1,(SMIC_HORAIRE*(E34+G34-H34)*D34*1.6/(D34+F34)),(SMIC_HORAIRE*E34)*1.6)</f>
        <v>0</v>
      </c>
      <c r="K34" s="609">
        <f t="shared" ref="K34" si="11">IFERROR((J34/D34)-1,0)</f>
        <v>0</v>
      </c>
      <c r="L34" s="595">
        <f>(I33/(LIMITE_FILLON-1))*K34</f>
        <v>0</v>
      </c>
      <c r="M34" s="592">
        <f>L34*D34</f>
        <v>0</v>
      </c>
      <c r="N34" s="612"/>
    </row>
    <row r="35" spans="1:14" ht="18.75" x14ac:dyDescent="0.25">
      <c r="A35" s="1007" t="s">
        <v>410</v>
      </c>
      <c r="B35" s="579" t="s">
        <v>493</v>
      </c>
      <c r="C35" s="589">
        <f>C15</f>
        <v>0</v>
      </c>
      <c r="D35" s="623">
        <f t="shared" ref="D35:H35" si="12">D15</f>
        <v>0</v>
      </c>
      <c r="E35" s="623">
        <f t="shared" si="12"/>
        <v>0</v>
      </c>
      <c r="F35" s="623">
        <f t="shared" si="12"/>
        <v>0</v>
      </c>
      <c r="G35" s="623">
        <f t="shared" si="12"/>
        <v>0</v>
      </c>
      <c r="H35" s="624">
        <f t="shared" si="12"/>
        <v>0</v>
      </c>
      <c r="I35" s="606">
        <f>IF(C35&gt;=20,Tx_FILLON_MAX,Tx_FILLON_MINI)</f>
        <v>0.28089999999999998</v>
      </c>
      <c r="J35" s="602"/>
      <c r="K35" s="610"/>
      <c r="L35" s="596"/>
      <c r="M35" s="600"/>
      <c r="N35" s="613">
        <f>M36-M34</f>
        <v>0</v>
      </c>
    </row>
    <row r="36" spans="1:14" ht="18.75" x14ac:dyDescent="0.25">
      <c r="A36" s="1008"/>
      <c r="B36" s="583" t="s">
        <v>538</v>
      </c>
      <c r="C36" s="593"/>
      <c r="D36" s="591">
        <f>D35+D34</f>
        <v>0</v>
      </c>
      <c r="E36" s="591">
        <f t="shared" ref="E36:H36" si="13">E35+E34</f>
        <v>0</v>
      </c>
      <c r="F36" s="591">
        <f t="shared" si="13"/>
        <v>0</v>
      </c>
      <c r="G36" s="591">
        <f t="shared" si="13"/>
        <v>0</v>
      </c>
      <c r="H36" s="591">
        <f t="shared" si="13"/>
        <v>0</v>
      </c>
      <c r="I36" s="605"/>
      <c r="J36" s="603">
        <f>IF(F35&gt;1,(SMIC_HORAIRE*(E36+G36-H36)*D36*1.6/(D36+F36)),(SMIC_HORAIRE*E36)*1.6)</f>
        <v>0</v>
      </c>
      <c r="K36" s="609">
        <f t="shared" ref="K36" si="14">IFERROR((J36/D36)-1,0)</f>
        <v>0</v>
      </c>
      <c r="L36" s="595">
        <f>(I35/(LIMITE_FILLON-1))*K36</f>
        <v>0</v>
      </c>
      <c r="M36" s="592">
        <f>L36*D36</f>
        <v>0</v>
      </c>
      <c r="N36" s="612"/>
    </row>
    <row r="37" spans="1:14" ht="18.75" x14ac:dyDescent="0.25">
      <c r="A37" s="1005" t="s">
        <v>411</v>
      </c>
      <c r="B37" s="582" t="s">
        <v>493</v>
      </c>
      <c r="C37" s="589">
        <f>C16</f>
        <v>0</v>
      </c>
      <c r="D37" s="623">
        <f t="shared" ref="D37:H37" si="15">D16</f>
        <v>0</v>
      </c>
      <c r="E37" s="623">
        <f t="shared" si="15"/>
        <v>0</v>
      </c>
      <c r="F37" s="623">
        <f t="shared" si="15"/>
        <v>0</v>
      </c>
      <c r="G37" s="623">
        <f t="shared" si="15"/>
        <v>0</v>
      </c>
      <c r="H37" s="624">
        <f t="shared" si="15"/>
        <v>0</v>
      </c>
      <c r="I37" s="604">
        <f>IF(C37&gt;=20,Tx_FILLON_MAX,Tx_FILLON_MINI)</f>
        <v>0.28089999999999998</v>
      </c>
      <c r="J37" s="602"/>
      <c r="K37" s="610"/>
      <c r="L37" s="598"/>
      <c r="M37" s="601"/>
      <c r="N37" s="611">
        <f>M38-M36</f>
        <v>0</v>
      </c>
    </row>
    <row r="38" spans="1:14" ht="18.75" x14ac:dyDescent="0.25">
      <c r="A38" s="1006"/>
      <c r="B38" s="583" t="s">
        <v>538</v>
      </c>
      <c r="C38" s="593"/>
      <c r="D38" s="591">
        <f>D37+D36</f>
        <v>0</v>
      </c>
      <c r="E38" s="591">
        <f t="shared" ref="E38:H38" si="16">E37+E36</f>
        <v>0</v>
      </c>
      <c r="F38" s="591">
        <f t="shared" si="16"/>
        <v>0</v>
      </c>
      <c r="G38" s="591">
        <f t="shared" si="16"/>
        <v>0</v>
      </c>
      <c r="H38" s="591">
        <f t="shared" si="16"/>
        <v>0</v>
      </c>
      <c r="I38" s="605"/>
      <c r="J38" s="603">
        <f>IF(F37&gt;1,(SMIC_HORAIRE*(E38+G38-H38)*D38*1.6/(D38+F38)),(SMIC_HORAIRE*E38)*1.6)</f>
        <v>0</v>
      </c>
      <c r="K38" s="609">
        <f t="shared" ref="K38" si="17">IFERROR((J38/D38)-1,0)</f>
        <v>0</v>
      </c>
      <c r="L38" s="595">
        <f>(I37/(LIMITE_FILLON-1))*K38</f>
        <v>0</v>
      </c>
      <c r="M38" s="592">
        <f>L38*D38</f>
        <v>0</v>
      </c>
      <c r="N38" s="612"/>
    </row>
    <row r="39" spans="1:14" ht="18.75" x14ac:dyDescent="0.25">
      <c r="A39" s="1007" t="s">
        <v>412</v>
      </c>
      <c r="B39" s="579" t="s">
        <v>493</v>
      </c>
      <c r="C39" s="589">
        <f>C17</f>
        <v>0</v>
      </c>
      <c r="D39" s="623">
        <f t="shared" ref="D39:H39" si="18">D17</f>
        <v>0</v>
      </c>
      <c r="E39" s="623">
        <f t="shared" si="18"/>
        <v>0</v>
      </c>
      <c r="F39" s="623">
        <f t="shared" si="18"/>
        <v>0</v>
      </c>
      <c r="G39" s="623">
        <f t="shared" si="18"/>
        <v>0</v>
      </c>
      <c r="H39" s="624">
        <f t="shared" si="18"/>
        <v>0</v>
      </c>
      <c r="I39" s="606">
        <f>IF(C39&gt;=20,Tx_FILLON_MAX,Tx_FILLON_MINI)</f>
        <v>0.28089999999999998</v>
      </c>
      <c r="J39" s="602"/>
      <c r="K39" s="610"/>
      <c r="L39" s="596"/>
      <c r="M39" s="600"/>
      <c r="N39" s="613">
        <f>M40-M38</f>
        <v>0</v>
      </c>
    </row>
    <row r="40" spans="1:14" ht="18.75" x14ac:dyDescent="0.25">
      <c r="A40" s="1008"/>
      <c r="B40" s="583" t="s">
        <v>538</v>
      </c>
      <c r="C40" s="593"/>
      <c r="D40" s="591">
        <f>D39+D38</f>
        <v>0</v>
      </c>
      <c r="E40" s="591">
        <f t="shared" ref="E40:H40" si="19">E39+E38</f>
        <v>0</v>
      </c>
      <c r="F40" s="591">
        <f t="shared" si="19"/>
        <v>0</v>
      </c>
      <c r="G40" s="591">
        <f t="shared" si="19"/>
        <v>0</v>
      </c>
      <c r="H40" s="591">
        <f t="shared" si="19"/>
        <v>0</v>
      </c>
      <c r="I40" s="605"/>
      <c r="J40" s="603">
        <f>IF(F39&gt;1,(SMIC_HORAIRE*(E40+G40-H40)*D40*1.6/(D40+F40)),(SMIC_HORAIRE*E40)*1.6)</f>
        <v>0</v>
      </c>
      <c r="K40" s="609">
        <f t="shared" ref="K40" si="20">IFERROR((J40/D40)-1,0)</f>
        <v>0</v>
      </c>
      <c r="L40" s="595">
        <f>(I39/(LIMITE_FILLON-1))*K40</f>
        <v>0</v>
      </c>
      <c r="M40" s="592">
        <f>L40*D40</f>
        <v>0</v>
      </c>
      <c r="N40" s="612"/>
    </row>
    <row r="41" spans="1:14" ht="18.75" x14ac:dyDescent="0.25">
      <c r="A41" s="1005" t="s">
        <v>413</v>
      </c>
      <c r="B41" s="582" t="s">
        <v>493</v>
      </c>
      <c r="C41" s="589">
        <f>C18</f>
        <v>0</v>
      </c>
      <c r="D41" s="623">
        <f t="shared" ref="D41:H41" si="21">D18</f>
        <v>0</v>
      </c>
      <c r="E41" s="623">
        <f t="shared" si="21"/>
        <v>0</v>
      </c>
      <c r="F41" s="623">
        <f t="shared" si="21"/>
        <v>0</v>
      </c>
      <c r="G41" s="623">
        <f t="shared" si="21"/>
        <v>0</v>
      </c>
      <c r="H41" s="624">
        <f t="shared" si="21"/>
        <v>0</v>
      </c>
      <c r="I41" s="604">
        <f>IF(C41&gt;=20,Tx_FILLON_MAX,Tx_FILLON_MINI)</f>
        <v>0.28089999999999998</v>
      </c>
      <c r="J41" s="602"/>
      <c r="K41" s="610"/>
      <c r="L41" s="598"/>
      <c r="M41" s="601"/>
      <c r="N41" s="611">
        <f>M42-M40</f>
        <v>0</v>
      </c>
    </row>
    <row r="42" spans="1:14" ht="18.75" x14ac:dyDescent="0.25">
      <c r="A42" s="1006"/>
      <c r="B42" s="583" t="s">
        <v>538</v>
      </c>
      <c r="C42" s="593"/>
      <c r="D42" s="591">
        <f>D41+D40</f>
        <v>0</v>
      </c>
      <c r="E42" s="591">
        <f t="shared" ref="E42:H42" si="22">E41+E40</f>
        <v>0</v>
      </c>
      <c r="F42" s="591">
        <f t="shared" si="22"/>
        <v>0</v>
      </c>
      <c r="G42" s="591">
        <f t="shared" si="22"/>
        <v>0</v>
      </c>
      <c r="H42" s="591">
        <f t="shared" si="22"/>
        <v>0</v>
      </c>
      <c r="I42" s="605"/>
      <c r="J42" s="603">
        <f>IF(F41&gt;1,(SMIC_HORAIRE*(E42+G42-H42)*D42*1.6/(D42+F42)),(SMIC_HORAIRE*E42)*1.6)</f>
        <v>0</v>
      </c>
      <c r="K42" s="609">
        <f t="shared" ref="K42" si="23">IFERROR((J42/D42)-1,0)</f>
        <v>0</v>
      </c>
      <c r="L42" s="595">
        <f>(I41/(LIMITE_FILLON-1))*K42</f>
        <v>0</v>
      </c>
      <c r="M42" s="592">
        <f>L42*D42</f>
        <v>0</v>
      </c>
      <c r="N42" s="612"/>
    </row>
    <row r="43" spans="1:14" ht="18.75" x14ac:dyDescent="0.25">
      <c r="A43" s="1007" t="s">
        <v>414</v>
      </c>
      <c r="B43" s="579" t="s">
        <v>493</v>
      </c>
      <c r="C43" s="589">
        <f>C19</f>
        <v>0</v>
      </c>
      <c r="D43" s="623">
        <f t="shared" ref="D43:H43" si="24">D19</f>
        <v>0</v>
      </c>
      <c r="E43" s="623">
        <f t="shared" si="24"/>
        <v>0</v>
      </c>
      <c r="F43" s="623">
        <f t="shared" si="24"/>
        <v>0</v>
      </c>
      <c r="G43" s="623">
        <f t="shared" si="24"/>
        <v>0</v>
      </c>
      <c r="H43" s="624">
        <f t="shared" si="24"/>
        <v>0</v>
      </c>
      <c r="I43" s="606">
        <f>IF(C43&gt;=20,Tx_FILLON_MAX,Tx_FILLON_MINI)</f>
        <v>0.28089999999999998</v>
      </c>
      <c r="J43" s="602"/>
      <c r="K43" s="610"/>
      <c r="L43" s="596"/>
      <c r="M43" s="600"/>
      <c r="N43" s="613">
        <f>M44-M42</f>
        <v>0</v>
      </c>
    </row>
    <row r="44" spans="1:14" ht="18.75" x14ac:dyDescent="0.25">
      <c r="A44" s="1008"/>
      <c r="B44" s="583" t="s">
        <v>538</v>
      </c>
      <c r="C44" s="593"/>
      <c r="D44" s="591">
        <f>D43+D42</f>
        <v>0</v>
      </c>
      <c r="E44" s="591">
        <f t="shared" ref="E44:H44" si="25">E43+E42</f>
        <v>0</v>
      </c>
      <c r="F44" s="591">
        <f t="shared" si="25"/>
        <v>0</v>
      </c>
      <c r="G44" s="591">
        <f t="shared" si="25"/>
        <v>0</v>
      </c>
      <c r="H44" s="591">
        <f t="shared" si="25"/>
        <v>0</v>
      </c>
      <c r="I44" s="605"/>
      <c r="J44" s="603">
        <f>IF(F43&gt;1,(SMIC_HORAIRE*(E44+G44-H44)*D44*1.6/(D44+F44)),(SMIC_HORAIRE*E44)*1.6)</f>
        <v>0</v>
      </c>
      <c r="K44" s="609">
        <f t="shared" ref="K44" si="26">IFERROR((J44/D44)-1,0)</f>
        <v>0</v>
      </c>
      <c r="L44" s="595">
        <f>(I43/(LIMITE_FILLON-1))*K44</f>
        <v>0</v>
      </c>
      <c r="M44" s="592">
        <f>L44*D44</f>
        <v>0</v>
      </c>
      <c r="N44" s="612"/>
    </row>
    <row r="45" spans="1:14" ht="18.75" x14ac:dyDescent="0.25">
      <c r="A45" s="1005" t="s">
        <v>415</v>
      </c>
      <c r="B45" s="582" t="s">
        <v>493</v>
      </c>
      <c r="C45" s="589">
        <f>C20</f>
        <v>0</v>
      </c>
      <c r="D45" s="623">
        <f t="shared" ref="D45:H45" si="27">D20</f>
        <v>0</v>
      </c>
      <c r="E45" s="623">
        <f t="shared" si="27"/>
        <v>0</v>
      </c>
      <c r="F45" s="623">
        <f t="shared" si="27"/>
        <v>0</v>
      </c>
      <c r="G45" s="623">
        <f t="shared" si="27"/>
        <v>0</v>
      </c>
      <c r="H45" s="624">
        <f t="shared" si="27"/>
        <v>0</v>
      </c>
      <c r="I45" s="604">
        <f>IF(C45&gt;=20,Tx_FILLON_MAX,Tx_FILLON_MINI)</f>
        <v>0.28089999999999998</v>
      </c>
      <c r="J45" s="602"/>
      <c r="K45" s="610"/>
      <c r="L45" s="598"/>
      <c r="M45" s="601"/>
      <c r="N45" s="611">
        <f>M46-M44</f>
        <v>0</v>
      </c>
    </row>
    <row r="46" spans="1:14" ht="18.75" x14ac:dyDescent="0.25">
      <c r="A46" s="1006"/>
      <c r="B46" s="583" t="s">
        <v>538</v>
      </c>
      <c r="C46" s="593"/>
      <c r="D46" s="591">
        <f>D45+D44</f>
        <v>0</v>
      </c>
      <c r="E46" s="591">
        <f t="shared" ref="E46:H46" si="28">E45+E44</f>
        <v>0</v>
      </c>
      <c r="F46" s="591">
        <f t="shared" si="28"/>
        <v>0</v>
      </c>
      <c r="G46" s="591">
        <f t="shared" si="28"/>
        <v>0</v>
      </c>
      <c r="H46" s="591">
        <f t="shared" si="28"/>
        <v>0</v>
      </c>
      <c r="I46" s="605"/>
      <c r="J46" s="603">
        <f>IF(F45&gt;1,(SMIC_HORAIRE*(E46+G46-H46)*D46*1.6/(D46+F46)),(SMIC_HORAIRE*E46)*1.6)</f>
        <v>0</v>
      </c>
      <c r="K46" s="609">
        <f t="shared" ref="K46" si="29">IFERROR((J46/D46)-1,0)</f>
        <v>0</v>
      </c>
      <c r="L46" s="595">
        <f>(I45/(LIMITE_FILLON-1))*K46</f>
        <v>0</v>
      </c>
      <c r="M46" s="592">
        <f>L46*D46</f>
        <v>0</v>
      </c>
      <c r="N46" s="612"/>
    </row>
    <row r="47" spans="1:14" ht="18.75" x14ac:dyDescent="0.25">
      <c r="A47" s="1007" t="s">
        <v>416</v>
      </c>
      <c r="B47" s="579" t="s">
        <v>493</v>
      </c>
      <c r="C47" s="589">
        <f>C21</f>
        <v>0</v>
      </c>
      <c r="D47" s="623">
        <f t="shared" ref="D47:H47" si="30">D21</f>
        <v>0</v>
      </c>
      <c r="E47" s="623">
        <f t="shared" si="30"/>
        <v>0</v>
      </c>
      <c r="F47" s="623">
        <f t="shared" si="30"/>
        <v>0</v>
      </c>
      <c r="G47" s="623">
        <f t="shared" si="30"/>
        <v>0</v>
      </c>
      <c r="H47" s="624">
        <f t="shared" si="30"/>
        <v>0</v>
      </c>
      <c r="I47" s="606">
        <f>IF(C47&gt;=20,Tx_FILLON_MAX,Tx_FILLON_MINI)</f>
        <v>0.28089999999999998</v>
      </c>
      <c r="J47" s="602"/>
      <c r="K47" s="610"/>
      <c r="L47" s="596"/>
      <c r="M47" s="600"/>
      <c r="N47" s="613">
        <f>M48-M46</f>
        <v>0</v>
      </c>
    </row>
    <row r="48" spans="1:14" ht="18.75" x14ac:dyDescent="0.25">
      <c r="A48" s="1006"/>
      <c r="B48" s="583" t="s">
        <v>538</v>
      </c>
      <c r="C48" s="593"/>
      <c r="D48" s="591">
        <f>D47+D46</f>
        <v>0</v>
      </c>
      <c r="E48" s="591">
        <f t="shared" ref="E48:H48" si="31">E47+E46</f>
        <v>0</v>
      </c>
      <c r="F48" s="591">
        <f t="shared" si="31"/>
        <v>0</v>
      </c>
      <c r="G48" s="591">
        <f t="shared" si="31"/>
        <v>0</v>
      </c>
      <c r="H48" s="591">
        <f t="shared" si="31"/>
        <v>0</v>
      </c>
      <c r="I48" s="605"/>
      <c r="J48" s="603">
        <f>IF(F47&gt;1,(SMIC_HORAIRE*(E48+G48-H48)*D48*1.6/(D48+F48)),(SMIC_HORAIRE*E48)*1.6)</f>
        <v>0</v>
      </c>
      <c r="K48" s="609">
        <f t="shared" ref="K48" si="32">IFERROR((J48/D48)-1,0)</f>
        <v>0</v>
      </c>
      <c r="L48" s="595">
        <f>(I47/(LIMITE_FILLON-1))*K48</f>
        <v>0</v>
      </c>
      <c r="M48" s="592">
        <f>L48*D48</f>
        <v>0</v>
      </c>
      <c r="N48" s="612"/>
    </row>
    <row r="49" spans="9:9" x14ac:dyDescent="0.25">
      <c r="I49" s="530"/>
    </row>
    <row r="70" spans="2:2" x14ac:dyDescent="0.25">
      <c r="B70" s="523" t="str">
        <f t="shared" ref="B70:B71" si="33">IF(A54="","",A54)</f>
        <v/>
      </c>
    </row>
    <row r="71" spans="2:2" x14ac:dyDescent="0.25">
      <c r="B71" s="523" t="str">
        <f t="shared" si="33"/>
        <v/>
      </c>
    </row>
  </sheetData>
  <mergeCells count="15">
    <mergeCell ref="A43:A44"/>
    <mergeCell ref="A45:A46"/>
    <mergeCell ref="A47:A48"/>
    <mergeCell ref="A24:B24"/>
    <mergeCell ref="A33:A34"/>
    <mergeCell ref="A35:A36"/>
    <mergeCell ref="A37:A38"/>
    <mergeCell ref="A39:A40"/>
    <mergeCell ref="A41:A42"/>
    <mergeCell ref="A1:K1"/>
    <mergeCell ref="A25:A26"/>
    <mergeCell ref="A27:A28"/>
    <mergeCell ref="A29:A30"/>
    <mergeCell ref="A31:A32"/>
    <mergeCell ref="A6:H6"/>
  </mergeCells>
  <hyperlinks>
    <hyperlink ref="H4" location="BULLETIN" display="BULLETIN" xr:uid="{00000000-0004-0000-0C00-000000000000}"/>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9633" r:id="rId4" name="Button 1">
              <controlPr defaultSize="0" print="0" autoFill="0" autoPict="0" macro="[0]!ZERO_FILLON">
                <anchor moveWithCells="1" sizeWithCells="1">
                  <from>
                    <xdr:col>9</xdr:col>
                    <xdr:colOff>28575</xdr:colOff>
                    <xdr:row>2</xdr:row>
                    <xdr:rowOff>0</xdr:rowOff>
                  </from>
                  <to>
                    <xdr:col>11</xdr:col>
                    <xdr:colOff>9525</xdr:colOff>
                    <xdr:row>4</xdr:row>
                    <xdr:rowOff>171450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6">
    <tabColor theme="9" tint="-0.249977111117893"/>
  </sheetPr>
  <dimension ref="A1:R28"/>
  <sheetViews>
    <sheetView tabSelected="1" topLeftCell="A7" zoomScale="80" zoomScaleNormal="80" workbookViewId="0">
      <selection activeCell="A28" sqref="A28"/>
    </sheetView>
  </sheetViews>
  <sheetFormatPr baseColWidth="10" defaultRowHeight="15" x14ac:dyDescent="0.25"/>
  <cols>
    <col min="1" max="2" width="11.5703125" customWidth="1"/>
    <col min="3" max="15" width="13.7109375" customWidth="1"/>
  </cols>
  <sheetData>
    <row r="1" spans="1:18" ht="21.75" thickBot="1" x14ac:dyDescent="0.3">
      <c r="A1" s="1012" t="s">
        <v>570</v>
      </c>
      <c r="B1" s="1013"/>
      <c r="C1" s="1013"/>
      <c r="D1" s="1013"/>
      <c r="E1" s="1013"/>
      <c r="F1" s="1013"/>
      <c r="G1" s="1013"/>
      <c r="H1" s="1013"/>
      <c r="I1" s="1013"/>
      <c r="J1" s="1013"/>
      <c r="K1" s="1013"/>
      <c r="L1" s="1013"/>
      <c r="M1" s="1014"/>
    </row>
    <row r="2" spans="1:18" s="838" customFormat="1" ht="21" x14ac:dyDescent="0.25">
      <c r="A2" s="1015" t="s">
        <v>346</v>
      </c>
      <c r="B2" s="1015"/>
      <c r="C2" s="837"/>
      <c r="D2" s="837"/>
      <c r="E2" s="837"/>
      <c r="F2" s="837"/>
      <c r="G2" s="837"/>
      <c r="H2" s="837"/>
      <c r="I2" s="837"/>
      <c r="J2" s="837"/>
      <c r="K2" s="837"/>
      <c r="L2" s="837"/>
      <c r="M2" s="837"/>
    </row>
    <row r="3" spans="1:18" s="838" customFormat="1" ht="21" x14ac:dyDescent="0.25">
      <c r="A3" s="685" t="s">
        <v>598</v>
      </c>
      <c r="B3" s="686">
        <f>PS</f>
        <v>3269</v>
      </c>
      <c r="D3" s="837"/>
      <c r="E3" s="837"/>
      <c r="F3" s="837"/>
      <c r="G3" s="837"/>
      <c r="H3" s="837"/>
      <c r="I3" s="837"/>
      <c r="J3" s="837"/>
      <c r="K3" s="840"/>
      <c r="L3" s="837"/>
      <c r="M3" s="837"/>
    </row>
    <row r="4" spans="1:18" s="838" customFormat="1" ht="30" x14ac:dyDescent="0.25">
      <c r="A4" s="687" t="s">
        <v>552</v>
      </c>
      <c r="B4" s="688">
        <f>'info bulletin'!C46</f>
        <v>342.48</v>
      </c>
      <c r="D4" s="841" t="s">
        <v>597</v>
      </c>
      <c r="E4" s="842" t="s">
        <v>664</v>
      </c>
      <c r="F4" s="842" t="s">
        <v>571</v>
      </c>
      <c r="G4" s="843" t="s">
        <v>572</v>
      </c>
      <c r="H4" s="844" t="s">
        <v>595</v>
      </c>
      <c r="I4" s="845" t="s">
        <v>661</v>
      </c>
      <c r="J4" s="846" t="s">
        <v>663</v>
      </c>
      <c r="K4" s="846" t="s">
        <v>662</v>
      </c>
      <c r="L4" s="847" t="s">
        <v>596</v>
      </c>
      <c r="M4" s="837"/>
    </row>
    <row r="5" spans="1:18" s="838" customFormat="1" ht="21" x14ac:dyDescent="0.25">
      <c r="A5" s="689" t="s">
        <v>599</v>
      </c>
      <c r="B5" s="690">
        <f>B3</f>
        <v>3269</v>
      </c>
      <c r="D5" s="852">
        <f>'info bulletin'!C12</f>
        <v>0</v>
      </c>
      <c r="E5" s="856">
        <f>MOIS_BULLETIN</f>
        <v>0</v>
      </c>
      <c r="F5" s="853">
        <f>SBRUT</f>
        <v>0</v>
      </c>
      <c r="G5" s="853">
        <f>PSS</f>
        <v>3269</v>
      </c>
      <c r="H5" s="854">
        <f>GMP_FORFAIT</f>
        <v>342.48</v>
      </c>
      <c r="I5" s="848" t="str">
        <f>IFERROR(VLOOKUP(D5,A10:R21,7,FALSE),"")</f>
        <v/>
      </c>
      <c r="J5" s="849" t="str">
        <f>IFERROR(VLOOKUP(D5,A10:R21,10,FALSE),"")</f>
        <v/>
      </c>
      <c r="K5" s="850" t="str">
        <f>IFERROR(VLOOKUP(D5,A10:R21,13,FALSE),"")</f>
        <v/>
      </c>
      <c r="L5" s="851" t="str">
        <f>IFERROR(VLOOKUP(D5,A10:R21,16,FALSE),"")</f>
        <v/>
      </c>
      <c r="M5" s="837"/>
    </row>
    <row r="6" spans="1:18" s="838" customFormat="1" ht="21" x14ac:dyDescent="0.25">
      <c r="A6" s="683" t="s">
        <v>600</v>
      </c>
      <c r="B6" s="684">
        <f>4*B3</f>
        <v>13076</v>
      </c>
      <c r="D6" s="837"/>
      <c r="E6" s="837"/>
      <c r="G6" s="837"/>
      <c r="H6" s="837"/>
      <c r="I6" s="837"/>
      <c r="K6" s="837"/>
      <c r="L6" s="837"/>
      <c r="M6" s="837"/>
    </row>
    <row r="7" spans="1:18" x14ac:dyDescent="0.25">
      <c r="A7" s="721" t="s">
        <v>601</v>
      </c>
      <c r="B7" s="722">
        <f>8*B3</f>
        <v>26152</v>
      </c>
    </row>
    <row r="8" spans="1:18" x14ac:dyDescent="0.25">
      <c r="G8" t="s">
        <v>583</v>
      </c>
      <c r="H8" t="s">
        <v>584</v>
      </c>
      <c r="J8" t="s">
        <v>585</v>
      </c>
      <c r="K8" t="s">
        <v>586</v>
      </c>
      <c r="M8" t="s">
        <v>587</v>
      </c>
      <c r="N8" t="s">
        <v>588</v>
      </c>
    </row>
    <row r="9" spans="1:18" ht="45" x14ac:dyDescent="0.25">
      <c r="A9" s="646" t="s">
        <v>597</v>
      </c>
      <c r="B9" s="855" t="s">
        <v>125</v>
      </c>
      <c r="C9" s="692" t="s">
        <v>571</v>
      </c>
      <c r="D9" s="693" t="s">
        <v>572</v>
      </c>
      <c r="E9" s="693" t="s">
        <v>595</v>
      </c>
      <c r="F9" s="566" t="s">
        <v>573</v>
      </c>
      <c r="G9" s="661" t="s">
        <v>574</v>
      </c>
      <c r="H9" s="694" t="s">
        <v>575</v>
      </c>
      <c r="I9" s="662" t="s">
        <v>576</v>
      </c>
      <c r="J9" s="661" t="s">
        <v>577</v>
      </c>
      <c r="K9" s="699" t="s">
        <v>578</v>
      </c>
      <c r="L9" s="662" t="s">
        <v>579</v>
      </c>
      <c r="M9" s="661" t="s">
        <v>580</v>
      </c>
      <c r="N9" s="714" t="s">
        <v>581</v>
      </c>
      <c r="O9" s="709" t="s">
        <v>582</v>
      </c>
      <c r="P9" s="691" t="s">
        <v>592</v>
      </c>
      <c r="Q9" s="703" t="s">
        <v>593</v>
      </c>
      <c r="R9" s="691" t="s">
        <v>594</v>
      </c>
    </row>
    <row r="10" spans="1:18" ht="20.25" customHeight="1" x14ac:dyDescent="0.25">
      <c r="A10" s="647"/>
      <c r="B10" s="647"/>
      <c r="C10" s="647"/>
      <c r="D10" s="647"/>
      <c r="E10" s="675"/>
      <c r="F10" s="663">
        <f>C10</f>
        <v>0</v>
      </c>
      <c r="G10" s="669">
        <f>IF(F10&gt;I10,I10,F10)</f>
        <v>0</v>
      </c>
      <c r="H10" s="695">
        <f>G10</f>
        <v>0</v>
      </c>
      <c r="I10" s="670">
        <f>D10</f>
        <v>0</v>
      </c>
      <c r="J10" s="648">
        <f>IF(F10&gt;L10,L10-I10,IF(F10&gt;I10,F10-I10,0))</f>
        <v>0</v>
      </c>
      <c r="K10" s="700">
        <f>J10</f>
        <v>0</v>
      </c>
      <c r="L10" s="655">
        <f>D10*4</f>
        <v>0</v>
      </c>
      <c r="M10" s="715">
        <f>IF(F10&gt;O10,O10-L10,IF(F10&gt;L10,F10-L10,0))</f>
        <v>0</v>
      </c>
      <c r="N10" s="716">
        <f>M10</f>
        <v>0</v>
      </c>
      <c r="O10" s="717">
        <f>8*D10</f>
        <v>0</v>
      </c>
      <c r="P10" s="679">
        <f>IF(J10&gt;R10,0,IF(J10&lt;R10,R10-J10,R10))</f>
        <v>0</v>
      </c>
      <c r="Q10" s="704">
        <f>P10</f>
        <v>0</v>
      </c>
      <c r="R10" s="710">
        <f>E10</f>
        <v>0</v>
      </c>
    </row>
    <row r="11" spans="1:18" ht="20.25" customHeight="1" x14ac:dyDescent="0.25">
      <c r="A11" s="649"/>
      <c r="B11" s="649"/>
      <c r="C11" s="649"/>
      <c r="D11" s="649"/>
      <c r="E11" s="676"/>
      <c r="F11" s="664">
        <f>F10+C11</f>
        <v>0</v>
      </c>
      <c r="G11" s="650">
        <f>IF(F11&gt;I11,I11,F11)</f>
        <v>0</v>
      </c>
      <c r="H11" s="696">
        <f>G11-G10</f>
        <v>0</v>
      </c>
      <c r="I11" s="659">
        <f>I10+D11</f>
        <v>0</v>
      </c>
      <c r="J11" s="650">
        <f>IF(F11&gt;L11,L11-I11,IF(F11&gt;I11,F11-I11,0))</f>
        <v>0</v>
      </c>
      <c r="K11" s="696">
        <f>J11-J10</f>
        <v>0</v>
      </c>
      <c r="L11" s="656">
        <f t="shared" ref="L11:L21" si="0">L10+4*D11</f>
        <v>0</v>
      </c>
      <c r="M11" s="650">
        <f t="shared" ref="M11:M21" si="1">IF(F11&gt;O11,O11-L11,IF(F11&gt;L11,F11-L11,0))</f>
        <v>0</v>
      </c>
      <c r="N11" s="696">
        <f>M11-M10</f>
        <v>0</v>
      </c>
      <c r="O11" s="656">
        <f>O10+8*D11</f>
        <v>0</v>
      </c>
      <c r="P11" s="680">
        <f t="shared" ref="P11:P21" si="2">IF(J11&gt;R11,0,IF(J11&lt;R11,R11-J11,R11))</f>
        <v>0</v>
      </c>
      <c r="Q11" s="705">
        <f>P11-P10</f>
        <v>0</v>
      </c>
      <c r="R11" s="711">
        <f>R10+E11</f>
        <v>0</v>
      </c>
    </row>
    <row r="12" spans="1:18" ht="20.25" customHeight="1" x14ac:dyDescent="0.25">
      <c r="A12" s="651"/>
      <c r="B12" s="651"/>
      <c r="C12" s="651"/>
      <c r="D12" s="651"/>
      <c r="E12" s="677"/>
      <c r="F12" s="665">
        <f>F11+C12</f>
        <v>0</v>
      </c>
      <c r="G12" s="667">
        <f t="shared" ref="G12:G21" si="3">IF(F12&gt;I12,I12,F12)</f>
        <v>0</v>
      </c>
      <c r="H12" s="697">
        <f t="shared" ref="H12:H21" si="4">G12-G11</f>
        <v>0</v>
      </c>
      <c r="I12" s="668">
        <f t="shared" ref="I12:I21" si="5">I11+D12</f>
        <v>0</v>
      </c>
      <c r="J12" s="652">
        <f t="shared" ref="J12:J21" si="6">IF(F12&gt;L12,L12-I12,IF(F12&gt;I12,F12-I12,0))</f>
        <v>0</v>
      </c>
      <c r="K12" s="701">
        <f t="shared" ref="K12:K21" si="7">J12-J11</f>
        <v>0</v>
      </c>
      <c r="L12" s="657">
        <f t="shared" si="0"/>
        <v>0</v>
      </c>
      <c r="M12" s="718">
        <f t="shared" si="1"/>
        <v>0</v>
      </c>
      <c r="N12" s="719">
        <f t="shared" ref="N12:N21" si="8">M12-M11</f>
        <v>0</v>
      </c>
      <c r="O12" s="720">
        <f t="shared" ref="O12:O21" si="9">O11+8*D12</f>
        <v>0</v>
      </c>
      <c r="P12" s="681">
        <f t="shared" si="2"/>
        <v>0</v>
      </c>
      <c r="Q12" s="706">
        <f t="shared" ref="Q12:Q21" si="10">P12-P11</f>
        <v>0</v>
      </c>
      <c r="R12" s="712">
        <f t="shared" ref="R12:R21" si="11">R11+E12</f>
        <v>0</v>
      </c>
    </row>
    <row r="13" spans="1:18" ht="20.25" customHeight="1" x14ac:dyDescent="0.25">
      <c r="A13" s="649"/>
      <c r="B13" s="649"/>
      <c r="C13" s="649"/>
      <c r="D13" s="649"/>
      <c r="E13" s="676"/>
      <c r="F13" s="664">
        <f t="shared" ref="F13:F21" si="12">F12+C13</f>
        <v>0</v>
      </c>
      <c r="G13" s="650">
        <f t="shared" si="3"/>
        <v>0</v>
      </c>
      <c r="H13" s="696">
        <f t="shared" si="4"/>
        <v>0</v>
      </c>
      <c r="I13" s="659">
        <f t="shared" si="5"/>
        <v>0</v>
      </c>
      <c r="J13" s="650">
        <f t="shared" si="6"/>
        <v>0</v>
      </c>
      <c r="K13" s="696">
        <f t="shared" si="7"/>
        <v>0</v>
      </c>
      <c r="L13" s="656">
        <f t="shared" si="0"/>
        <v>0</v>
      </c>
      <c r="M13" s="650">
        <f t="shared" si="1"/>
        <v>0</v>
      </c>
      <c r="N13" s="696">
        <f t="shared" si="8"/>
        <v>0</v>
      </c>
      <c r="O13" s="656">
        <f t="shared" si="9"/>
        <v>0</v>
      </c>
      <c r="P13" s="680">
        <f t="shared" si="2"/>
        <v>0</v>
      </c>
      <c r="Q13" s="705">
        <f t="shared" si="10"/>
        <v>0</v>
      </c>
      <c r="R13" s="711">
        <f t="shared" si="11"/>
        <v>0</v>
      </c>
    </row>
    <row r="14" spans="1:18" ht="20.25" customHeight="1" x14ac:dyDescent="0.25">
      <c r="A14" s="651"/>
      <c r="B14" s="651"/>
      <c r="C14" s="651"/>
      <c r="D14" s="651"/>
      <c r="E14" s="677"/>
      <c r="F14" s="665">
        <f t="shared" si="12"/>
        <v>0</v>
      </c>
      <c r="G14" s="667">
        <f t="shared" si="3"/>
        <v>0</v>
      </c>
      <c r="H14" s="697">
        <f t="shared" si="4"/>
        <v>0</v>
      </c>
      <c r="I14" s="668">
        <f t="shared" si="5"/>
        <v>0</v>
      </c>
      <c r="J14" s="652">
        <f t="shared" si="6"/>
        <v>0</v>
      </c>
      <c r="K14" s="701">
        <f t="shared" si="7"/>
        <v>0</v>
      </c>
      <c r="L14" s="657">
        <f t="shared" si="0"/>
        <v>0</v>
      </c>
      <c r="M14" s="718">
        <f t="shared" si="1"/>
        <v>0</v>
      </c>
      <c r="N14" s="719">
        <f t="shared" si="8"/>
        <v>0</v>
      </c>
      <c r="O14" s="720">
        <f t="shared" si="9"/>
        <v>0</v>
      </c>
      <c r="P14" s="681">
        <f t="shared" si="2"/>
        <v>0</v>
      </c>
      <c r="Q14" s="706">
        <f t="shared" si="10"/>
        <v>0</v>
      </c>
      <c r="R14" s="712">
        <f t="shared" si="11"/>
        <v>0</v>
      </c>
    </row>
    <row r="15" spans="1:18" ht="20.25" customHeight="1" x14ac:dyDescent="0.25">
      <c r="A15" s="649"/>
      <c r="B15" s="649"/>
      <c r="C15" s="649"/>
      <c r="D15" s="649"/>
      <c r="E15" s="676"/>
      <c r="F15" s="664">
        <f t="shared" si="12"/>
        <v>0</v>
      </c>
      <c r="G15" s="650">
        <f t="shared" si="3"/>
        <v>0</v>
      </c>
      <c r="H15" s="696">
        <f t="shared" si="4"/>
        <v>0</v>
      </c>
      <c r="I15" s="659">
        <f t="shared" si="5"/>
        <v>0</v>
      </c>
      <c r="J15" s="650">
        <f t="shared" si="6"/>
        <v>0</v>
      </c>
      <c r="K15" s="696">
        <f t="shared" si="7"/>
        <v>0</v>
      </c>
      <c r="L15" s="656">
        <f t="shared" si="0"/>
        <v>0</v>
      </c>
      <c r="M15" s="650">
        <f t="shared" si="1"/>
        <v>0</v>
      </c>
      <c r="N15" s="696">
        <f t="shared" si="8"/>
        <v>0</v>
      </c>
      <c r="O15" s="656">
        <f t="shared" si="9"/>
        <v>0</v>
      </c>
      <c r="P15" s="680">
        <f t="shared" si="2"/>
        <v>0</v>
      </c>
      <c r="Q15" s="705">
        <f t="shared" si="10"/>
        <v>0</v>
      </c>
      <c r="R15" s="711">
        <f t="shared" si="11"/>
        <v>0</v>
      </c>
    </row>
    <row r="16" spans="1:18" ht="20.25" customHeight="1" x14ac:dyDescent="0.25">
      <c r="A16" s="651"/>
      <c r="B16" s="651"/>
      <c r="C16" s="651"/>
      <c r="D16" s="651"/>
      <c r="E16" s="677"/>
      <c r="F16" s="665">
        <f t="shared" si="12"/>
        <v>0</v>
      </c>
      <c r="G16" s="667">
        <f t="shared" si="3"/>
        <v>0</v>
      </c>
      <c r="H16" s="697">
        <f t="shared" si="4"/>
        <v>0</v>
      </c>
      <c r="I16" s="668">
        <f t="shared" si="5"/>
        <v>0</v>
      </c>
      <c r="J16" s="652">
        <f t="shared" si="6"/>
        <v>0</v>
      </c>
      <c r="K16" s="701">
        <f t="shared" si="7"/>
        <v>0</v>
      </c>
      <c r="L16" s="657">
        <f t="shared" si="0"/>
        <v>0</v>
      </c>
      <c r="M16" s="718">
        <f t="shared" si="1"/>
        <v>0</v>
      </c>
      <c r="N16" s="719">
        <f t="shared" si="8"/>
        <v>0</v>
      </c>
      <c r="O16" s="720">
        <f t="shared" si="9"/>
        <v>0</v>
      </c>
      <c r="P16" s="681">
        <f t="shared" si="2"/>
        <v>0</v>
      </c>
      <c r="Q16" s="706">
        <f t="shared" si="10"/>
        <v>0</v>
      </c>
      <c r="R16" s="712">
        <f t="shared" si="11"/>
        <v>0</v>
      </c>
    </row>
    <row r="17" spans="1:18" ht="20.25" customHeight="1" x14ac:dyDescent="0.25">
      <c r="A17" s="649"/>
      <c r="B17" s="649"/>
      <c r="C17" s="649"/>
      <c r="D17" s="649"/>
      <c r="E17" s="676"/>
      <c r="F17" s="664">
        <f t="shared" si="12"/>
        <v>0</v>
      </c>
      <c r="G17" s="650">
        <f t="shared" si="3"/>
        <v>0</v>
      </c>
      <c r="H17" s="696">
        <f t="shared" si="4"/>
        <v>0</v>
      </c>
      <c r="I17" s="659">
        <f t="shared" si="5"/>
        <v>0</v>
      </c>
      <c r="J17" s="650">
        <f t="shared" si="6"/>
        <v>0</v>
      </c>
      <c r="K17" s="696">
        <f t="shared" si="7"/>
        <v>0</v>
      </c>
      <c r="L17" s="656">
        <f t="shared" si="0"/>
        <v>0</v>
      </c>
      <c r="M17" s="650">
        <f t="shared" si="1"/>
        <v>0</v>
      </c>
      <c r="N17" s="696">
        <f t="shared" si="8"/>
        <v>0</v>
      </c>
      <c r="O17" s="656">
        <f t="shared" si="9"/>
        <v>0</v>
      </c>
      <c r="P17" s="680">
        <f t="shared" si="2"/>
        <v>0</v>
      </c>
      <c r="Q17" s="705">
        <f t="shared" si="10"/>
        <v>0</v>
      </c>
      <c r="R17" s="711">
        <f t="shared" si="11"/>
        <v>0</v>
      </c>
    </row>
    <row r="18" spans="1:18" ht="20.25" customHeight="1" x14ac:dyDescent="0.25">
      <c r="A18" s="651"/>
      <c r="B18" s="651"/>
      <c r="C18" s="651"/>
      <c r="D18" s="651"/>
      <c r="E18" s="677"/>
      <c r="F18" s="665">
        <f t="shared" si="12"/>
        <v>0</v>
      </c>
      <c r="G18" s="667">
        <f t="shared" si="3"/>
        <v>0</v>
      </c>
      <c r="H18" s="697">
        <f t="shared" si="4"/>
        <v>0</v>
      </c>
      <c r="I18" s="668">
        <f t="shared" si="5"/>
        <v>0</v>
      </c>
      <c r="J18" s="652">
        <f t="shared" si="6"/>
        <v>0</v>
      </c>
      <c r="K18" s="701">
        <f t="shared" si="7"/>
        <v>0</v>
      </c>
      <c r="L18" s="657">
        <f t="shared" si="0"/>
        <v>0</v>
      </c>
      <c r="M18" s="718">
        <f t="shared" si="1"/>
        <v>0</v>
      </c>
      <c r="N18" s="719">
        <f t="shared" si="8"/>
        <v>0</v>
      </c>
      <c r="O18" s="720">
        <f t="shared" si="9"/>
        <v>0</v>
      </c>
      <c r="P18" s="681">
        <f t="shared" si="2"/>
        <v>0</v>
      </c>
      <c r="Q18" s="706">
        <f t="shared" si="10"/>
        <v>0</v>
      </c>
      <c r="R18" s="712">
        <f t="shared" si="11"/>
        <v>0</v>
      </c>
    </row>
    <row r="19" spans="1:18" ht="20.25" customHeight="1" x14ac:dyDescent="0.25">
      <c r="A19" s="649"/>
      <c r="B19" s="649"/>
      <c r="C19" s="649"/>
      <c r="D19" s="649"/>
      <c r="E19" s="676"/>
      <c r="F19" s="664">
        <f t="shared" si="12"/>
        <v>0</v>
      </c>
      <c r="G19" s="650">
        <f t="shared" si="3"/>
        <v>0</v>
      </c>
      <c r="H19" s="696">
        <f t="shared" si="4"/>
        <v>0</v>
      </c>
      <c r="I19" s="659">
        <f t="shared" si="5"/>
        <v>0</v>
      </c>
      <c r="J19" s="650">
        <f t="shared" si="6"/>
        <v>0</v>
      </c>
      <c r="K19" s="696">
        <f t="shared" si="7"/>
        <v>0</v>
      </c>
      <c r="L19" s="656">
        <f t="shared" si="0"/>
        <v>0</v>
      </c>
      <c r="M19" s="650">
        <f t="shared" si="1"/>
        <v>0</v>
      </c>
      <c r="N19" s="696">
        <f t="shared" si="8"/>
        <v>0</v>
      </c>
      <c r="O19" s="656">
        <f t="shared" si="9"/>
        <v>0</v>
      </c>
      <c r="P19" s="680">
        <f t="shared" si="2"/>
        <v>0</v>
      </c>
      <c r="Q19" s="705">
        <f t="shared" si="10"/>
        <v>0</v>
      </c>
      <c r="R19" s="711">
        <f t="shared" si="11"/>
        <v>0</v>
      </c>
    </row>
    <row r="20" spans="1:18" ht="20.25" customHeight="1" x14ac:dyDescent="0.25">
      <c r="A20" s="651"/>
      <c r="B20" s="651"/>
      <c r="C20" s="651"/>
      <c r="D20" s="651"/>
      <c r="E20" s="677"/>
      <c r="F20" s="665">
        <f t="shared" si="12"/>
        <v>0</v>
      </c>
      <c r="G20" s="667">
        <f t="shared" si="3"/>
        <v>0</v>
      </c>
      <c r="H20" s="697">
        <f t="shared" si="4"/>
        <v>0</v>
      </c>
      <c r="I20" s="668">
        <f t="shared" si="5"/>
        <v>0</v>
      </c>
      <c r="J20" s="652">
        <f t="shared" si="6"/>
        <v>0</v>
      </c>
      <c r="K20" s="701">
        <f t="shared" si="7"/>
        <v>0</v>
      </c>
      <c r="L20" s="657">
        <f t="shared" si="0"/>
        <v>0</v>
      </c>
      <c r="M20" s="718">
        <f t="shared" si="1"/>
        <v>0</v>
      </c>
      <c r="N20" s="719">
        <f t="shared" si="8"/>
        <v>0</v>
      </c>
      <c r="O20" s="720">
        <f t="shared" si="9"/>
        <v>0</v>
      </c>
      <c r="P20" s="681">
        <f t="shared" si="2"/>
        <v>0</v>
      </c>
      <c r="Q20" s="706">
        <f t="shared" si="10"/>
        <v>0</v>
      </c>
      <c r="R20" s="712">
        <f t="shared" si="11"/>
        <v>0</v>
      </c>
    </row>
    <row r="21" spans="1:18" ht="20.25" customHeight="1" x14ac:dyDescent="0.25">
      <c r="A21" s="653"/>
      <c r="B21" s="653"/>
      <c r="C21" s="653"/>
      <c r="D21" s="653"/>
      <c r="E21" s="678"/>
      <c r="F21" s="666">
        <f t="shared" si="12"/>
        <v>0</v>
      </c>
      <c r="G21" s="654">
        <f t="shared" si="3"/>
        <v>0</v>
      </c>
      <c r="H21" s="698">
        <f t="shared" si="4"/>
        <v>0</v>
      </c>
      <c r="I21" s="660">
        <f t="shared" si="5"/>
        <v>0</v>
      </c>
      <c r="J21" s="654">
        <f t="shared" si="6"/>
        <v>0</v>
      </c>
      <c r="K21" s="698">
        <f t="shared" si="7"/>
        <v>0</v>
      </c>
      <c r="L21" s="658">
        <f t="shared" si="0"/>
        <v>0</v>
      </c>
      <c r="M21" s="654">
        <f t="shared" si="1"/>
        <v>0</v>
      </c>
      <c r="N21" s="698">
        <f t="shared" si="8"/>
        <v>0</v>
      </c>
      <c r="O21" s="658">
        <f t="shared" si="9"/>
        <v>0</v>
      </c>
      <c r="P21" s="682">
        <f t="shared" si="2"/>
        <v>0</v>
      </c>
      <c r="Q21" s="707">
        <f t="shared" si="10"/>
        <v>0</v>
      </c>
      <c r="R21" s="713">
        <f t="shared" si="11"/>
        <v>0</v>
      </c>
    </row>
    <row r="22" spans="1:18" x14ac:dyDescent="0.25">
      <c r="H22" s="1"/>
      <c r="K22" s="702"/>
      <c r="Q22" s="702"/>
    </row>
    <row r="23" spans="1:18" x14ac:dyDescent="0.25">
      <c r="A23" s="1" t="s">
        <v>665</v>
      </c>
    </row>
    <row r="24" spans="1:18" x14ac:dyDescent="0.25">
      <c r="A24" t="s">
        <v>669</v>
      </c>
    </row>
    <row r="25" spans="1:18" x14ac:dyDescent="0.25">
      <c r="A25" t="s">
        <v>666</v>
      </c>
      <c r="I25" s="839"/>
    </row>
    <row r="26" spans="1:18" x14ac:dyDescent="0.25">
      <c r="A26" t="s">
        <v>667</v>
      </c>
    </row>
    <row r="27" spans="1:18" x14ac:dyDescent="0.25">
      <c r="A27" t="s">
        <v>670</v>
      </c>
    </row>
    <row r="28" spans="1:18" x14ac:dyDescent="0.25">
      <c r="A28" t="s">
        <v>668</v>
      </c>
    </row>
  </sheetData>
  <mergeCells count="2">
    <mergeCell ref="A1:M1"/>
    <mergeCell ref="A2:B2"/>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82" r:id="rId4" name="Bouton 2">
              <controlPr defaultSize="0" print="0" autoFill="0" autoPict="0" macro="[0]!ZERO_PLAFOND">
                <anchor moveWithCells="1" sizeWithCells="1">
                  <from>
                    <xdr:col>13</xdr:col>
                    <xdr:colOff>9525</xdr:colOff>
                    <xdr:row>3</xdr:row>
                    <xdr:rowOff>200025</xdr:rowOff>
                  </from>
                  <to>
                    <xdr:col>14</xdr:col>
                    <xdr:colOff>771525</xdr:colOff>
                    <xdr:row>5</xdr:row>
                    <xdr:rowOff>257175</xdr:rowOff>
                  </to>
                </anchor>
              </controlPr>
            </control>
          </mc:Choice>
        </mc:AlternateContent>
        <mc:AlternateContent xmlns:mc="http://schemas.openxmlformats.org/markup-compatibility/2006">
          <mc:Choice Requires="x14">
            <control shapeId="71683" r:id="rId5" name="Button 3">
              <controlPr defaultSize="0" print="0" autoFill="0" autoPict="0">
                <anchor moveWithCells="1" sizeWithCells="1">
                  <from>
                    <xdr:col>12</xdr:col>
                    <xdr:colOff>904875</xdr:colOff>
                    <xdr:row>1</xdr:row>
                    <xdr:rowOff>28575</xdr:rowOff>
                  </from>
                  <to>
                    <xdr:col>14</xdr:col>
                    <xdr:colOff>762000</xdr:colOff>
                    <xdr:row>3</xdr:row>
                    <xdr:rowOff>104775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9">
    <tabColor rgb="FF7030A0"/>
  </sheetPr>
  <dimension ref="A1:AC26"/>
  <sheetViews>
    <sheetView workbookViewId="0">
      <selection activeCell="C25" sqref="C25"/>
    </sheetView>
  </sheetViews>
  <sheetFormatPr baseColWidth="10" defaultColWidth="11.42578125" defaultRowHeight="15" x14ac:dyDescent="0.25"/>
  <cols>
    <col min="1" max="1" width="24.42578125" style="90" customWidth="1"/>
    <col min="2" max="2" width="17.7109375" style="90" customWidth="1"/>
    <col min="3" max="3" width="23.5703125" style="90" customWidth="1"/>
    <col min="4" max="4" width="17.7109375" style="90" customWidth="1"/>
    <col min="5" max="5" width="32" style="90" customWidth="1"/>
    <col min="6" max="6" width="34.28515625" style="90" customWidth="1"/>
    <col min="7" max="9" width="11.42578125" style="90"/>
    <col min="10" max="10" width="11.140625" style="90" bestFit="1" customWidth="1"/>
    <col min="11" max="11" width="16.42578125" style="90" bestFit="1" customWidth="1"/>
    <col min="12" max="16384" width="11.42578125" style="90"/>
  </cols>
  <sheetData>
    <row r="1" spans="1:29" x14ac:dyDescent="0.25">
      <c r="C1" s="27" t="s">
        <v>232</v>
      </c>
    </row>
    <row r="2" spans="1:29" x14ac:dyDescent="0.25">
      <c r="A2" s="90" t="s">
        <v>230</v>
      </c>
      <c r="B2" s="460">
        <v>42835</v>
      </c>
      <c r="C2" s="92" t="str">
        <f>DATEDIF(B2,B3,"Y")&amp;IF(DATEDIF(B2,B3,"Y")&gt;1," ans, "," an, ")&amp;DATEDIF(B2,B3,"YM")&amp;" mois et "&amp;DATEDIF(B2,B3,"MD")&amp;IF(DATEDIF(B2,B3,"MD")&gt;1," jours"," jour")</f>
        <v>0 an, 0 mois et 20 jours</v>
      </c>
      <c r="AB2" s="90" t="s">
        <v>405</v>
      </c>
      <c r="AC2" s="90">
        <v>2016</v>
      </c>
    </row>
    <row r="3" spans="1:29" x14ac:dyDescent="0.25">
      <c r="A3" s="90" t="s">
        <v>231</v>
      </c>
      <c r="B3" s="460">
        <v>42855</v>
      </c>
      <c r="C3" s="92" t="str">
        <f>TRUNC((B3-B2)/7)&amp;" semaines"</f>
        <v>2 semaines</v>
      </c>
      <c r="AB3" s="90" t="s">
        <v>406</v>
      </c>
      <c r="AC3" s="90">
        <v>2017</v>
      </c>
    </row>
    <row r="4" spans="1:29" x14ac:dyDescent="0.25">
      <c r="AB4" s="90" t="s">
        <v>407</v>
      </c>
      <c r="AC4" s="90">
        <v>2018</v>
      </c>
    </row>
    <row r="5" spans="1:29" x14ac:dyDescent="0.25">
      <c r="AB5" s="90" t="s">
        <v>408</v>
      </c>
      <c r="AC5" s="90">
        <v>2019</v>
      </c>
    </row>
    <row r="6" spans="1:29" x14ac:dyDescent="0.25">
      <c r="A6" s="1016" t="s">
        <v>225</v>
      </c>
      <c r="B6" s="1017"/>
      <c r="AB6" s="90" t="s">
        <v>409</v>
      </c>
      <c r="AC6" s="90">
        <v>2020</v>
      </c>
    </row>
    <row r="7" spans="1:29" x14ac:dyDescent="0.25">
      <c r="A7" s="97">
        <v>60</v>
      </c>
      <c r="B7" s="98">
        <v>100</v>
      </c>
      <c r="AB7" s="90" t="s">
        <v>410</v>
      </c>
      <c r="AC7" s="90">
        <v>2021</v>
      </c>
    </row>
    <row r="8" spans="1:29" x14ac:dyDescent="0.25">
      <c r="A8" s="461">
        <v>30</v>
      </c>
      <c r="B8" s="91">
        <f>A8*B7/A7</f>
        <v>50</v>
      </c>
      <c r="AB8" s="90" t="s">
        <v>411</v>
      </c>
      <c r="AC8" s="90">
        <v>2022</v>
      </c>
    </row>
    <row r="9" spans="1:29" x14ac:dyDescent="0.25">
      <c r="AB9" s="90" t="s">
        <v>412</v>
      </c>
      <c r="AC9" s="90">
        <v>2023</v>
      </c>
    </row>
    <row r="10" spans="1:29" x14ac:dyDescent="0.25">
      <c r="A10" s="1016" t="s">
        <v>226</v>
      </c>
      <c r="B10" s="1017"/>
      <c r="AB10" s="90" t="s">
        <v>413</v>
      </c>
      <c r="AC10" s="90">
        <v>2024</v>
      </c>
    </row>
    <row r="11" spans="1:29" x14ac:dyDescent="0.25">
      <c r="A11" s="97">
        <v>100</v>
      </c>
      <c r="B11" s="98">
        <v>60</v>
      </c>
      <c r="AB11" s="90" t="s">
        <v>414</v>
      </c>
      <c r="AC11" s="90">
        <v>2025</v>
      </c>
    </row>
    <row r="12" spans="1:29" x14ac:dyDescent="0.25">
      <c r="A12" s="461">
        <v>40</v>
      </c>
      <c r="B12" s="91">
        <f>A12*B11/A11</f>
        <v>24</v>
      </c>
      <c r="AB12" s="90" t="s">
        <v>415</v>
      </c>
      <c r="AC12" s="90">
        <v>2026</v>
      </c>
    </row>
    <row r="13" spans="1:29" x14ac:dyDescent="0.25">
      <c r="AB13" s="90" t="s">
        <v>416</v>
      </c>
      <c r="AC13" s="90">
        <v>2027</v>
      </c>
    </row>
    <row r="18" spans="1:6" ht="15.75" x14ac:dyDescent="0.25">
      <c r="A18" s="505" t="s">
        <v>482</v>
      </c>
      <c r="B18" s="708" t="str">
        <f>'info bulletin'!C72</f>
        <v>J ouvrables moyen</v>
      </c>
      <c r="C18" s="478"/>
    </row>
    <row r="19" spans="1:6" x14ac:dyDescent="0.25">
      <c r="C19" s="508" t="s">
        <v>477</v>
      </c>
      <c r="D19" s="479" t="s">
        <v>478</v>
      </c>
      <c r="F19" s="90" t="s">
        <v>603</v>
      </c>
    </row>
    <row r="20" spans="1:6" x14ac:dyDescent="0.25">
      <c r="A20" s="90" t="s">
        <v>483</v>
      </c>
      <c r="B20" s="509">
        <v>43024</v>
      </c>
      <c r="C20" s="90">
        <v>30</v>
      </c>
      <c r="D20" s="90">
        <v>12</v>
      </c>
      <c r="F20" s="90" t="s">
        <v>604</v>
      </c>
    </row>
    <row r="21" spans="1:6" x14ac:dyDescent="0.25">
      <c r="A21" s="90" t="s">
        <v>484</v>
      </c>
      <c r="B21" s="509">
        <v>43077</v>
      </c>
      <c r="C21" s="90">
        <f>C20*D21/D20</f>
        <v>2.5</v>
      </c>
      <c r="D21" s="480">
        <v>1</v>
      </c>
    </row>
    <row r="22" spans="1:6" x14ac:dyDescent="0.25">
      <c r="C22" s="510" t="s">
        <v>477</v>
      </c>
      <c r="D22" s="510" t="s">
        <v>479</v>
      </c>
    </row>
    <row r="23" spans="1:6" x14ac:dyDescent="0.25">
      <c r="C23" s="511">
        <v>2.5</v>
      </c>
      <c r="D23" s="512">
        <v>30</v>
      </c>
      <c r="E23" s="90" t="s">
        <v>480</v>
      </c>
    </row>
    <row r="24" spans="1:6" x14ac:dyDescent="0.25">
      <c r="A24" s="515" t="s">
        <v>486</v>
      </c>
      <c r="B24" s="516">
        <f>B21-B20-INT((B21-B20-IF(WEEKDAY(B21)=1,0,8-WEEKDAY(B20)))/7)</f>
        <v>47</v>
      </c>
      <c r="C24" s="723">
        <f>D24*C23/D23</f>
        <v>3.9166666666666665</v>
      </c>
      <c r="D24" s="513">
        <f>B24</f>
        <v>47</v>
      </c>
      <c r="E24" s="90" t="s">
        <v>480</v>
      </c>
    </row>
    <row r="25" spans="1:6" x14ac:dyDescent="0.25">
      <c r="C25" s="511">
        <v>2.5</v>
      </c>
      <c r="D25" s="512">
        <v>30</v>
      </c>
      <c r="E25" s="90" t="s">
        <v>481</v>
      </c>
    </row>
    <row r="26" spans="1:6" x14ac:dyDescent="0.25">
      <c r="A26" s="515" t="s">
        <v>485</v>
      </c>
      <c r="B26" s="516">
        <f>NETWORKDAYS(B20,B21,FERIES)</f>
        <v>40</v>
      </c>
      <c r="C26" s="514">
        <f>ROUNDUP(D26*C25/D25,0)</f>
        <v>4</v>
      </c>
      <c r="D26" s="513">
        <f>B26</f>
        <v>40</v>
      </c>
      <c r="E26" s="90" t="s">
        <v>481</v>
      </c>
    </row>
  </sheetData>
  <mergeCells count="2">
    <mergeCell ref="A6:B6"/>
    <mergeCell ref="A10:B10"/>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4"/>
  <dimension ref="A1:P34"/>
  <sheetViews>
    <sheetView zoomScale="80" zoomScaleNormal="80" workbookViewId="0">
      <selection activeCell="R11" sqref="R11"/>
    </sheetView>
  </sheetViews>
  <sheetFormatPr baseColWidth="10" defaultRowHeight="15" x14ac:dyDescent="0.25"/>
  <cols>
    <col min="15" max="15" width="32.5703125" customWidth="1"/>
    <col min="16" max="16" width="17.140625" customWidth="1"/>
  </cols>
  <sheetData>
    <row r="1" spans="1:16" ht="33" customHeight="1" x14ac:dyDescent="0.25">
      <c r="A1" s="1018" t="s">
        <v>491</v>
      </c>
      <c r="B1" s="1018"/>
      <c r="C1" s="27">
        <f>Calendrier!P3</f>
        <v>1900</v>
      </c>
    </row>
    <row r="2" spans="1:16" ht="15.75" thickBot="1" x14ac:dyDescent="0.3"/>
    <row r="3" spans="1:16" ht="18.75" x14ac:dyDescent="0.25">
      <c r="A3" s="496" t="s">
        <v>405</v>
      </c>
      <c r="B3" s="497" t="s">
        <v>406</v>
      </c>
      <c r="C3" s="497" t="s">
        <v>407</v>
      </c>
      <c r="D3" s="497" t="s">
        <v>408</v>
      </c>
      <c r="E3" s="497" t="s">
        <v>409</v>
      </c>
      <c r="F3" s="497" t="s">
        <v>410</v>
      </c>
      <c r="G3" s="497" t="s">
        <v>411</v>
      </c>
      <c r="H3" s="497" t="s">
        <v>412</v>
      </c>
      <c r="I3" s="497" t="s">
        <v>413</v>
      </c>
      <c r="J3" s="497" t="s">
        <v>414</v>
      </c>
      <c r="K3" s="497" t="s">
        <v>415</v>
      </c>
      <c r="L3" s="498" t="s">
        <v>416</v>
      </c>
      <c r="O3" s="517" t="s">
        <v>490</v>
      </c>
      <c r="P3" s="55">
        <f>YEAR('info bulletin'!C3)</f>
        <v>1900</v>
      </c>
    </row>
    <row r="4" spans="1:16" x14ac:dyDescent="0.25">
      <c r="A4" s="499">
        <f t="array" ref="A4:L34">DATE(Rèf_Année,COLUMN(1:12),ROW(1:31))</f>
        <v>1</v>
      </c>
      <c r="B4" s="500">
        <v>32</v>
      </c>
      <c r="C4" s="500">
        <v>61</v>
      </c>
      <c r="D4" s="500">
        <v>92</v>
      </c>
      <c r="E4" s="500">
        <v>122</v>
      </c>
      <c r="F4" s="500">
        <v>153</v>
      </c>
      <c r="G4" s="500">
        <v>183</v>
      </c>
      <c r="H4" s="500">
        <v>214</v>
      </c>
      <c r="I4" s="500">
        <v>245</v>
      </c>
      <c r="J4" s="500">
        <v>275</v>
      </c>
      <c r="K4" s="500">
        <v>306</v>
      </c>
      <c r="L4" s="501">
        <v>336</v>
      </c>
      <c r="O4" s="57" t="s">
        <v>126</v>
      </c>
      <c r="P4" s="58">
        <f>DATE(P3,1,1)</f>
        <v>1</v>
      </c>
    </row>
    <row r="5" spans="1:16" x14ac:dyDescent="0.25">
      <c r="A5" s="499">
        <v>2</v>
      </c>
      <c r="B5" s="500">
        <v>33</v>
      </c>
      <c r="C5" s="500">
        <v>62</v>
      </c>
      <c r="D5" s="500">
        <v>93</v>
      </c>
      <c r="E5" s="500">
        <v>123</v>
      </c>
      <c r="F5" s="500">
        <v>154</v>
      </c>
      <c r="G5" s="500">
        <v>184</v>
      </c>
      <c r="H5" s="500">
        <v>215</v>
      </c>
      <c r="I5" s="500">
        <v>246</v>
      </c>
      <c r="J5" s="500">
        <v>276</v>
      </c>
      <c r="K5" s="500">
        <v>307</v>
      </c>
      <c r="L5" s="501">
        <v>337</v>
      </c>
      <c r="O5" s="60" t="s">
        <v>136</v>
      </c>
      <c r="P5" s="61">
        <f>ROUND(DATE(P3,4,MOD(234-11*MOD(P3,19),30))/7,0)*7-6</f>
        <v>106</v>
      </c>
    </row>
    <row r="6" spans="1:16" x14ac:dyDescent="0.25">
      <c r="A6" s="499">
        <v>3</v>
      </c>
      <c r="B6" s="500">
        <v>34</v>
      </c>
      <c r="C6" s="500">
        <v>63</v>
      </c>
      <c r="D6" s="500">
        <v>94</v>
      </c>
      <c r="E6" s="500">
        <v>124</v>
      </c>
      <c r="F6" s="500">
        <v>155</v>
      </c>
      <c r="G6" s="500">
        <v>185</v>
      </c>
      <c r="H6" s="500">
        <v>216</v>
      </c>
      <c r="I6" s="500">
        <v>247</v>
      </c>
      <c r="J6" s="500">
        <v>277</v>
      </c>
      <c r="K6" s="500">
        <v>308</v>
      </c>
      <c r="L6" s="501">
        <v>338</v>
      </c>
      <c r="O6" s="60" t="s">
        <v>127</v>
      </c>
      <c r="P6" s="61">
        <f>J_PAQUES+1</f>
        <v>107</v>
      </c>
    </row>
    <row r="7" spans="1:16" x14ac:dyDescent="0.25">
      <c r="A7" s="499">
        <v>4</v>
      </c>
      <c r="B7" s="500">
        <v>35</v>
      </c>
      <c r="C7" s="500">
        <v>64</v>
      </c>
      <c r="D7" s="500">
        <v>95</v>
      </c>
      <c r="E7" s="500">
        <v>125</v>
      </c>
      <c r="F7" s="500">
        <v>156</v>
      </c>
      <c r="G7" s="500">
        <v>186</v>
      </c>
      <c r="H7" s="500">
        <v>217</v>
      </c>
      <c r="I7" s="500">
        <v>248</v>
      </c>
      <c r="J7" s="500">
        <v>278</v>
      </c>
      <c r="K7" s="500">
        <v>309</v>
      </c>
      <c r="L7" s="501">
        <v>339</v>
      </c>
      <c r="O7" s="60" t="s">
        <v>128</v>
      </c>
      <c r="P7" s="61">
        <f>DATE(P3,5,1)</f>
        <v>122</v>
      </c>
    </row>
    <row r="8" spans="1:16" x14ac:dyDescent="0.25">
      <c r="A8" s="499">
        <v>5</v>
      </c>
      <c r="B8" s="500">
        <v>36</v>
      </c>
      <c r="C8" s="500">
        <v>65</v>
      </c>
      <c r="D8" s="500">
        <v>96</v>
      </c>
      <c r="E8" s="500">
        <v>126</v>
      </c>
      <c r="F8" s="500">
        <v>157</v>
      </c>
      <c r="G8" s="500">
        <v>187</v>
      </c>
      <c r="H8" s="500">
        <v>218</v>
      </c>
      <c r="I8" s="500">
        <v>249</v>
      </c>
      <c r="J8" s="500">
        <v>279</v>
      </c>
      <c r="K8" s="500">
        <v>310</v>
      </c>
      <c r="L8" s="501">
        <v>340</v>
      </c>
      <c r="O8" s="60" t="s">
        <v>129</v>
      </c>
      <c r="P8" s="61">
        <f>DATE(P3,5,8)</f>
        <v>129</v>
      </c>
    </row>
    <row r="9" spans="1:16" x14ac:dyDescent="0.25">
      <c r="A9" s="499">
        <v>6</v>
      </c>
      <c r="B9" s="500">
        <v>37</v>
      </c>
      <c r="C9" s="500">
        <v>66</v>
      </c>
      <c r="D9" s="500">
        <v>97</v>
      </c>
      <c r="E9" s="500">
        <v>127</v>
      </c>
      <c r="F9" s="500">
        <v>158</v>
      </c>
      <c r="G9" s="500">
        <v>188</v>
      </c>
      <c r="H9" s="500">
        <v>219</v>
      </c>
      <c r="I9" s="500">
        <v>250</v>
      </c>
      <c r="J9" s="500">
        <v>280</v>
      </c>
      <c r="K9" s="500">
        <v>311</v>
      </c>
      <c r="L9" s="501">
        <v>341</v>
      </c>
      <c r="O9" s="60" t="s">
        <v>130</v>
      </c>
      <c r="P9" s="61">
        <f>J_PAQUES+39</f>
        <v>145</v>
      </c>
    </row>
    <row r="10" spans="1:16" x14ac:dyDescent="0.25">
      <c r="A10" s="499">
        <v>7</v>
      </c>
      <c r="B10" s="500">
        <v>38</v>
      </c>
      <c r="C10" s="500">
        <v>67</v>
      </c>
      <c r="D10" s="500">
        <v>98</v>
      </c>
      <c r="E10" s="500">
        <v>128</v>
      </c>
      <c r="F10" s="500">
        <v>159</v>
      </c>
      <c r="G10" s="500">
        <v>189</v>
      </c>
      <c r="H10" s="500">
        <v>220</v>
      </c>
      <c r="I10" s="500">
        <v>251</v>
      </c>
      <c r="J10" s="500">
        <v>281</v>
      </c>
      <c r="K10" s="500">
        <v>312</v>
      </c>
      <c r="L10" s="501">
        <v>342</v>
      </c>
      <c r="O10" s="60" t="s">
        <v>137</v>
      </c>
      <c r="P10" s="61">
        <f>J_PAQUES+49</f>
        <v>155</v>
      </c>
    </row>
    <row r="11" spans="1:16" x14ac:dyDescent="0.25">
      <c r="A11" s="499">
        <v>8</v>
      </c>
      <c r="B11" s="500">
        <v>39</v>
      </c>
      <c r="C11" s="500">
        <v>68</v>
      </c>
      <c r="D11" s="500">
        <v>99</v>
      </c>
      <c r="E11" s="500">
        <v>129</v>
      </c>
      <c r="F11" s="500">
        <v>160</v>
      </c>
      <c r="G11" s="500">
        <v>190</v>
      </c>
      <c r="H11" s="500">
        <v>221</v>
      </c>
      <c r="I11" s="500">
        <v>252</v>
      </c>
      <c r="J11" s="500">
        <v>282</v>
      </c>
      <c r="K11" s="500">
        <v>313</v>
      </c>
      <c r="L11" s="501">
        <v>343</v>
      </c>
      <c r="O11" s="89" t="s">
        <v>182</v>
      </c>
      <c r="P11" s="65">
        <f>IF(O11=0,"0",J_PAQUES+50)</f>
        <v>156</v>
      </c>
    </row>
    <row r="12" spans="1:16" x14ac:dyDescent="0.25">
      <c r="A12" s="499">
        <v>9</v>
      </c>
      <c r="B12" s="500">
        <v>40</v>
      </c>
      <c r="C12" s="500">
        <v>69</v>
      </c>
      <c r="D12" s="500">
        <v>100</v>
      </c>
      <c r="E12" s="500">
        <v>130</v>
      </c>
      <c r="F12" s="500">
        <v>161</v>
      </c>
      <c r="G12" s="500">
        <v>191</v>
      </c>
      <c r="H12" s="500">
        <v>222</v>
      </c>
      <c r="I12" s="500">
        <v>253</v>
      </c>
      <c r="J12" s="500">
        <v>283</v>
      </c>
      <c r="K12" s="500">
        <v>314</v>
      </c>
      <c r="L12" s="501">
        <v>344</v>
      </c>
      <c r="O12" s="60" t="s">
        <v>131</v>
      </c>
      <c r="P12" s="61">
        <f>DATE(P3,7,14)</f>
        <v>196</v>
      </c>
    </row>
    <row r="13" spans="1:16" x14ac:dyDescent="0.25">
      <c r="A13" s="499">
        <v>10</v>
      </c>
      <c r="B13" s="500">
        <v>41</v>
      </c>
      <c r="C13" s="500">
        <v>70</v>
      </c>
      <c r="D13" s="500">
        <v>101</v>
      </c>
      <c r="E13" s="500">
        <v>131</v>
      </c>
      <c r="F13" s="500">
        <v>162</v>
      </c>
      <c r="G13" s="500">
        <v>192</v>
      </c>
      <c r="H13" s="500">
        <v>223</v>
      </c>
      <c r="I13" s="500">
        <v>254</v>
      </c>
      <c r="J13" s="500">
        <v>284</v>
      </c>
      <c r="K13" s="500">
        <v>315</v>
      </c>
      <c r="L13" s="501">
        <v>345</v>
      </c>
      <c r="O13" s="60" t="s">
        <v>132</v>
      </c>
      <c r="P13" s="61">
        <f>DATE(P3,8,15)</f>
        <v>228</v>
      </c>
    </row>
    <row r="14" spans="1:16" x14ac:dyDescent="0.25">
      <c r="A14" s="499">
        <v>11</v>
      </c>
      <c r="B14" s="500">
        <v>42</v>
      </c>
      <c r="C14" s="500">
        <v>71</v>
      </c>
      <c r="D14" s="500">
        <v>102</v>
      </c>
      <c r="E14" s="500">
        <v>132</v>
      </c>
      <c r="F14" s="500">
        <v>163</v>
      </c>
      <c r="G14" s="500">
        <v>193</v>
      </c>
      <c r="H14" s="500">
        <v>224</v>
      </c>
      <c r="I14" s="500">
        <v>255</v>
      </c>
      <c r="J14" s="500">
        <v>285</v>
      </c>
      <c r="K14" s="500">
        <v>316</v>
      </c>
      <c r="L14" s="501">
        <v>346</v>
      </c>
      <c r="O14" s="60" t="s">
        <v>133</v>
      </c>
      <c r="P14" s="61">
        <f>DATE(P3,11,1)</f>
        <v>306</v>
      </c>
    </row>
    <row r="15" spans="1:16" x14ac:dyDescent="0.25">
      <c r="A15" s="499">
        <v>12</v>
      </c>
      <c r="B15" s="500">
        <v>43</v>
      </c>
      <c r="C15" s="500">
        <v>72</v>
      </c>
      <c r="D15" s="500">
        <v>103</v>
      </c>
      <c r="E15" s="500">
        <v>133</v>
      </c>
      <c r="F15" s="500">
        <v>164</v>
      </c>
      <c r="G15" s="500">
        <v>194</v>
      </c>
      <c r="H15" s="500">
        <v>225</v>
      </c>
      <c r="I15" s="500">
        <v>256</v>
      </c>
      <c r="J15" s="500">
        <v>286</v>
      </c>
      <c r="K15" s="500">
        <v>317</v>
      </c>
      <c r="L15" s="501">
        <v>347</v>
      </c>
      <c r="O15" s="60" t="s">
        <v>134</v>
      </c>
      <c r="P15" s="61">
        <f>DATE(P3,11,11)</f>
        <v>316</v>
      </c>
    </row>
    <row r="16" spans="1:16" x14ac:dyDescent="0.25">
      <c r="A16" s="499">
        <v>13</v>
      </c>
      <c r="B16" s="500">
        <v>44</v>
      </c>
      <c r="C16" s="500">
        <v>73</v>
      </c>
      <c r="D16" s="500">
        <v>104</v>
      </c>
      <c r="E16" s="500">
        <v>134</v>
      </c>
      <c r="F16" s="500">
        <v>165</v>
      </c>
      <c r="G16" s="500">
        <v>195</v>
      </c>
      <c r="H16" s="500">
        <v>226</v>
      </c>
      <c r="I16" s="500">
        <v>257</v>
      </c>
      <c r="J16" s="500">
        <v>287</v>
      </c>
      <c r="K16" s="500">
        <v>318</v>
      </c>
      <c r="L16" s="501">
        <v>348</v>
      </c>
      <c r="O16" s="67" t="s">
        <v>135</v>
      </c>
      <c r="P16" s="68">
        <f>DATE(P3,12,25)</f>
        <v>360</v>
      </c>
    </row>
    <row r="17" spans="1:12" x14ac:dyDescent="0.25">
      <c r="A17" s="499">
        <v>14</v>
      </c>
      <c r="B17" s="500">
        <v>45</v>
      </c>
      <c r="C17" s="500">
        <v>74</v>
      </c>
      <c r="D17" s="500">
        <v>105</v>
      </c>
      <c r="E17" s="500">
        <v>135</v>
      </c>
      <c r="F17" s="500">
        <v>166</v>
      </c>
      <c r="G17" s="500">
        <v>196</v>
      </c>
      <c r="H17" s="500">
        <v>227</v>
      </c>
      <c r="I17" s="500">
        <v>258</v>
      </c>
      <c r="J17" s="500">
        <v>288</v>
      </c>
      <c r="K17" s="500">
        <v>319</v>
      </c>
      <c r="L17" s="501">
        <v>349</v>
      </c>
    </row>
    <row r="18" spans="1:12" x14ac:dyDescent="0.25">
      <c r="A18" s="499">
        <v>15</v>
      </c>
      <c r="B18" s="500">
        <v>46</v>
      </c>
      <c r="C18" s="500">
        <v>75</v>
      </c>
      <c r="D18" s="500">
        <v>106</v>
      </c>
      <c r="E18" s="500">
        <v>136</v>
      </c>
      <c r="F18" s="500">
        <v>167</v>
      </c>
      <c r="G18" s="500">
        <v>197</v>
      </c>
      <c r="H18" s="500">
        <v>228</v>
      </c>
      <c r="I18" s="500">
        <v>259</v>
      </c>
      <c r="J18" s="500">
        <v>289</v>
      </c>
      <c r="K18" s="500">
        <v>320</v>
      </c>
      <c r="L18" s="501">
        <v>350</v>
      </c>
    </row>
    <row r="19" spans="1:12" x14ac:dyDescent="0.25">
      <c r="A19" s="499">
        <v>16</v>
      </c>
      <c r="B19" s="500">
        <v>47</v>
      </c>
      <c r="C19" s="500">
        <v>76</v>
      </c>
      <c r="D19" s="500">
        <v>107</v>
      </c>
      <c r="E19" s="500">
        <v>137</v>
      </c>
      <c r="F19" s="500">
        <v>168</v>
      </c>
      <c r="G19" s="500">
        <v>198</v>
      </c>
      <c r="H19" s="500">
        <v>229</v>
      </c>
      <c r="I19" s="500">
        <v>260</v>
      </c>
      <c r="J19" s="500">
        <v>290</v>
      </c>
      <c r="K19" s="500">
        <v>321</v>
      </c>
      <c r="L19" s="501">
        <v>351</v>
      </c>
    </row>
    <row r="20" spans="1:12" x14ac:dyDescent="0.25">
      <c r="A20" s="499">
        <v>17</v>
      </c>
      <c r="B20" s="500">
        <v>48</v>
      </c>
      <c r="C20" s="500">
        <v>77</v>
      </c>
      <c r="D20" s="500">
        <v>108</v>
      </c>
      <c r="E20" s="500">
        <v>138</v>
      </c>
      <c r="F20" s="500">
        <v>169</v>
      </c>
      <c r="G20" s="500">
        <v>199</v>
      </c>
      <c r="H20" s="500">
        <v>230</v>
      </c>
      <c r="I20" s="500">
        <v>261</v>
      </c>
      <c r="J20" s="500">
        <v>291</v>
      </c>
      <c r="K20" s="500">
        <v>322</v>
      </c>
      <c r="L20" s="501">
        <v>352</v>
      </c>
    </row>
    <row r="21" spans="1:12" x14ac:dyDescent="0.25">
      <c r="A21" s="499">
        <v>18</v>
      </c>
      <c r="B21" s="500">
        <v>49</v>
      </c>
      <c r="C21" s="500">
        <v>78</v>
      </c>
      <c r="D21" s="500">
        <v>109</v>
      </c>
      <c r="E21" s="500">
        <v>139</v>
      </c>
      <c r="F21" s="500">
        <v>170</v>
      </c>
      <c r="G21" s="500">
        <v>200</v>
      </c>
      <c r="H21" s="500">
        <v>231</v>
      </c>
      <c r="I21" s="500">
        <v>262</v>
      </c>
      <c r="J21" s="500">
        <v>292</v>
      </c>
      <c r="K21" s="500">
        <v>323</v>
      </c>
      <c r="L21" s="501">
        <v>353</v>
      </c>
    </row>
    <row r="22" spans="1:12" x14ac:dyDescent="0.25">
      <c r="A22" s="499">
        <v>19</v>
      </c>
      <c r="B22" s="500">
        <v>50</v>
      </c>
      <c r="C22" s="500">
        <v>79</v>
      </c>
      <c r="D22" s="500">
        <v>110</v>
      </c>
      <c r="E22" s="500">
        <v>140</v>
      </c>
      <c r="F22" s="500">
        <v>171</v>
      </c>
      <c r="G22" s="500">
        <v>201</v>
      </c>
      <c r="H22" s="500">
        <v>232</v>
      </c>
      <c r="I22" s="500">
        <v>263</v>
      </c>
      <c r="J22" s="500">
        <v>293</v>
      </c>
      <c r="K22" s="500">
        <v>324</v>
      </c>
      <c r="L22" s="501">
        <v>354</v>
      </c>
    </row>
    <row r="23" spans="1:12" x14ac:dyDescent="0.25">
      <c r="A23" s="499">
        <v>20</v>
      </c>
      <c r="B23" s="500">
        <v>51</v>
      </c>
      <c r="C23" s="500">
        <v>80</v>
      </c>
      <c r="D23" s="500">
        <v>111</v>
      </c>
      <c r="E23" s="500">
        <v>141</v>
      </c>
      <c r="F23" s="500">
        <v>172</v>
      </c>
      <c r="G23" s="500">
        <v>202</v>
      </c>
      <c r="H23" s="500">
        <v>233</v>
      </c>
      <c r="I23" s="500">
        <v>264</v>
      </c>
      <c r="J23" s="500">
        <v>294</v>
      </c>
      <c r="K23" s="500">
        <v>325</v>
      </c>
      <c r="L23" s="501">
        <v>355</v>
      </c>
    </row>
    <row r="24" spans="1:12" x14ac:dyDescent="0.25">
      <c r="A24" s="499">
        <v>21</v>
      </c>
      <c r="B24" s="500">
        <v>52</v>
      </c>
      <c r="C24" s="500">
        <v>81</v>
      </c>
      <c r="D24" s="500">
        <v>112</v>
      </c>
      <c r="E24" s="500">
        <v>142</v>
      </c>
      <c r="F24" s="500">
        <v>173</v>
      </c>
      <c r="G24" s="500">
        <v>203</v>
      </c>
      <c r="H24" s="500">
        <v>234</v>
      </c>
      <c r="I24" s="500">
        <v>265</v>
      </c>
      <c r="J24" s="500">
        <v>295</v>
      </c>
      <c r="K24" s="500">
        <v>326</v>
      </c>
      <c r="L24" s="501">
        <v>356</v>
      </c>
    </row>
    <row r="25" spans="1:12" x14ac:dyDescent="0.25">
      <c r="A25" s="499">
        <v>22</v>
      </c>
      <c r="B25" s="500">
        <v>53</v>
      </c>
      <c r="C25" s="500">
        <v>82</v>
      </c>
      <c r="D25" s="500">
        <v>113</v>
      </c>
      <c r="E25" s="500">
        <v>143</v>
      </c>
      <c r="F25" s="500">
        <v>174</v>
      </c>
      <c r="G25" s="500">
        <v>204</v>
      </c>
      <c r="H25" s="500">
        <v>235</v>
      </c>
      <c r="I25" s="500">
        <v>266</v>
      </c>
      <c r="J25" s="500">
        <v>296</v>
      </c>
      <c r="K25" s="500">
        <v>327</v>
      </c>
      <c r="L25" s="501">
        <v>357</v>
      </c>
    </row>
    <row r="26" spans="1:12" x14ac:dyDescent="0.25">
      <c r="A26" s="499">
        <v>23</v>
      </c>
      <c r="B26" s="500">
        <v>54</v>
      </c>
      <c r="C26" s="500">
        <v>83</v>
      </c>
      <c r="D26" s="500">
        <v>114</v>
      </c>
      <c r="E26" s="500">
        <v>144</v>
      </c>
      <c r="F26" s="500">
        <v>175</v>
      </c>
      <c r="G26" s="500">
        <v>205</v>
      </c>
      <c r="H26" s="500">
        <v>236</v>
      </c>
      <c r="I26" s="500">
        <v>267</v>
      </c>
      <c r="J26" s="500">
        <v>297</v>
      </c>
      <c r="K26" s="500">
        <v>328</v>
      </c>
      <c r="L26" s="501">
        <v>358</v>
      </c>
    </row>
    <row r="27" spans="1:12" x14ac:dyDescent="0.25">
      <c r="A27" s="499">
        <v>24</v>
      </c>
      <c r="B27" s="500">
        <v>55</v>
      </c>
      <c r="C27" s="500">
        <v>84</v>
      </c>
      <c r="D27" s="500">
        <v>115</v>
      </c>
      <c r="E27" s="500">
        <v>145</v>
      </c>
      <c r="F27" s="500">
        <v>176</v>
      </c>
      <c r="G27" s="500">
        <v>206</v>
      </c>
      <c r="H27" s="500">
        <v>237</v>
      </c>
      <c r="I27" s="500">
        <v>268</v>
      </c>
      <c r="J27" s="500">
        <v>298</v>
      </c>
      <c r="K27" s="500">
        <v>329</v>
      </c>
      <c r="L27" s="501">
        <v>359</v>
      </c>
    </row>
    <row r="28" spans="1:12" x14ac:dyDescent="0.25">
      <c r="A28" s="499">
        <v>25</v>
      </c>
      <c r="B28" s="500">
        <v>56</v>
      </c>
      <c r="C28" s="500">
        <v>85</v>
      </c>
      <c r="D28" s="500">
        <v>116</v>
      </c>
      <c r="E28" s="500">
        <v>146</v>
      </c>
      <c r="F28" s="500">
        <v>177</v>
      </c>
      <c r="G28" s="500">
        <v>207</v>
      </c>
      <c r="H28" s="500">
        <v>238</v>
      </c>
      <c r="I28" s="500">
        <v>269</v>
      </c>
      <c r="J28" s="500">
        <v>299</v>
      </c>
      <c r="K28" s="500">
        <v>330</v>
      </c>
      <c r="L28" s="501">
        <v>360</v>
      </c>
    </row>
    <row r="29" spans="1:12" x14ac:dyDescent="0.25">
      <c r="A29" s="499">
        <v>26</v>
      </c>
      <c r="B29" s="500">
        <v>57</v>
      </c>
      <c r="C29" s="500">
        <v>86</v>
      </c>
      <c r="D29" s="500">
        <v>117</v>
      </c>
      <c r="E29" s="500">
        <v>147</v>
      </c>
      <c r="F29" s="500">
        <v>178</v>
      </c>
      <c r="G29" s="500">
        <v>208</v>
      </c>
      <c r="H29" s="500">
        <v>239</v>
      </c>
      <c r="I29" s="500">
        <v>270</v>
      </c>
      <c r="J29" s="500">
        <v>300</v>
      </c>
      <c r="K29" s="500">
        <v>331</v>
      </c>
      <c r="L29" s="501">
        <v>361</v>
      </c>
    </row>
    <row r="30" spans="1:12" x14ac:dyDescent="0.25">
      <c r="A30" s="499">
        <v>27</v>
      </c>
      <c r="B30" s="500">
        <v>58</v>
      </c>
      <c r="C30" s="500">
        <v>87</v>
      </c>
      <c r="D30" s="500">
        <v>118</v>
      </c>
      <c r="E30" s="500">
        <v>148</v>
      </c>
      <c r="F30" s="500">
        <v>179</v>
      </c>
      <c r="G30" s="500">
        <v>209</v>
      </c>
      <c r="H30" s="500">
        <v>240</v>
      </c>
      <c r="I30" s="500">
        <v>271</v>
      </c>
      <c r="J30" s="500">
        <v>301</v>
      </c>
      <c r="K30" s="500">
        <v>332</v>
      </c>
      <c r="L30" s="501">
        <v>362</v>
      </c>
    </row>
    <row r="31" spans="1:12" x14ac:dyDescent="0.25">
      <c r="A31" s="499">
        <v>28</v>
      </c>
      <c r="B31" s="500">
        <v>59</v>
      </c>
      <c r="C31" s="500">
        <v>88</v>
      </c>
      <c r="D31" s="500">
        <v>119</v>
      </c>
      <c r="E31" s="500">
        <v>149</v>
      </c>
      <c r="F31" s="500">
        <v>180</v>
      </c>
      <c r="G31" s="500">
        <v>210</v>
      </c>
      <c r="H31" s="500">
        <v>241</v>
      </c>
      <c r="I31" s="500">
        <v>272</v>
      </c>
      <c r="J31" s="500">
        <v>302</v>
      </c>
      <c r="K31" s="500">
        <v>333</v>
      </c>
      <c r="L31" s="501">
        <v>363</v>
      </c>
    </row>
    <row r="32" spans="1:12" x14ac:dyDescent="0.25">
      <c r="A32" s="499">
        <v>29</v>
      </c>
      <c r="B32" s="500">
        <v>60</v>
      </c>
      <c r="C32" s="500">
        <v>89</v>
      </c>
      <c r="D32" s="500">
        <v>120</v>
      </c>
      <c r="E32" s="500">
        <v>150</v>
      </c>
      <c r="F32" s="500">
        <v>181</v>
      </c>
      <c r="G32" s="500">
        <v>211</v>
      </c>
      <c r="H32" s="500">
        <v>242</v>
      </c>
      <c r="I32" s="500">
        <v>273</v>
      </c>
      <c r="J32" s="500">
        <v>303</v>
      </c>
      <c r="K32" s="500">
        <v>334</v>
      </c>
      <c r="L32" s="501">
        <v>364</v>
      </c>
    </row>
    <row r="33" spans="1:12" x14ac:dyDescent="0.25">
      <c r="A33" s="499">
        <v>30</v>
      </c>
      <c r="B33" s="500">
        <v>61</v>
      </c>
      <c r="C33" s="500">
        <v>90</v>
      </c>
      <c r="D33" s="500">
        <v>121</v>
      </c>
      <c r="E33" s="500">
        <v>151</v>
      </c>
      <c r="F33" s="500">
        <v>182</v>
      </c>
      <c r="G33" s="500">
        <v>212</v>
      </c>
      <c r="H33" s="500">
        <v>243</v>
      </c>
      <c r="I33" s="500">
        <v>274</v>
      </c>
      <c r="J33" s="500">
        <v>304</v>
      </c>
      <c r="K33" s="500">
        <v>335</v>
      </c>
      <c r="L33" s="501">
        <v>365</v>
      </c>
    </row>
    <row r="34" spans="1:12" ht="15.75" thickBot="1" x14ac:dyDescent="0.3">
      <c r="A34" s="502">
        <v>31</v>
      </c>
      <c r="B34" s="503">
        <v>62</v>
      </c>
      <c r="C34" s="503">
        <v>91</v>
      </c>
      <c r="D34" s="503">
        <v>122</v>
      </c>
      <c r="E34" s="503">
        <v>152</v>
      </c>
      <c r="F34" s="503">
        <v>183</v>
      </c>
      <c r="G34" s="503">
        <v>213</v>
      </c>
      <c r="H34" s="503">
        <v>244</v>
      </c>
      <c r="I34" s="503">
        <v>275</v>
      </c>
      <c r="J34" s="503">
        <v>305</v>
      </c>
      <c r="K34" s="503">
        <v>336</v>
      </c>
      <c r="L34" s="504">
        <v>366</v>
      </c>
    </row>
  </sheetData>
  <mergeCells count="1">
    <mergeCell ref="A1:B1"/>
  </mergeCells>
  <conditionalFormatting sqref="A4:L34">
    <cfRule type="expression" dxfId="4" priority="1">
      <formula>MONTH(A4)&lt;&gt;MONTH(A$4)</formula>
    </cfRule>
    <cfRule type="timePeriod" dxfId="3" priority="2" timePeriod="today">
      <formula>FLOOR(A4,1)=TODAY()</formula>
    </cfRule>
    <cfRule type="expression" dxfId="2" priority="3">
      <formula>OR(A4=FERIES)</formula>
    </cfRule>
    <cfRule type="expression" dxfId="1" priority="4">
      <formula>WEEKDAY(A4)=7</formula>
    </cfRule>
    <cfRule type="expression" dxfId="0" priority="5">
      <formula>WEEKDAY(A4)=1</formula>
    </cfRule>
  </conditionalFormatting>
  <dataValidations count="1">
    <dataValidation type="list" allowBlank="1" showInputMessage="1" showErrorMessage="1" sqref="O11" xr:uid="{00000000-0002-0000-0F00-000000000000}">
      <formula1>"Lundi de pentecôte,0"</formula1>
    </dataValidation>
  </dataValidations>
  <pageMargins left="0.7" right="0.7" top="0.75" bottom="0.75" header="0.3" footer="0.3"/>
  <pageSetup paperSize="9"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117</vt:i4>
      </vt:variant>
    </vt:vector>
  </HeadingPairs>
  <TitlesOfParts>
    <vt:vector size="133" baseType="lpstr">
      <vt:lpstr>Liste déroulante</vt:lpstr>
      <vt:lpstr>info bulletin</vt:lpstr>
      <vt:lpstr>RECAP</vt:lpstr>
      <vt:lpstr>Modèle Cadre</vt:lpstr>
      <vt:lpstr>Modèle Simplifié</vt:lpstr>
      <vt:lpstr>COPIE</vt:lpstr>
      <vt:lpstr>H SUP</vt:lpstr>
      <vt:lpstr>Abs_NR</vt:lpstr>
      <vt:lpstr>Abs_CP</vt:lpstr>
      <vt:lpstr>CP</vt:lpstr>
      <vt:lpstr>AN</vt:lpstr>
      <vt:lpstr>SAISIE</vt:lpstr>
      <vt:lpstr>FILLON</vt:lpstr>
      <vt:lpstr>REGUL PLAFOND</vt:lpstr>
      <vt:lpstr>divers</vt:lpstr>
      <vt:lpstr>Calendrier</vt:lpstr>
      <vt:lpstr>ABO_TR</vt:lpstr>
      <vt:lpstr>ABS</vt:lpstr>
      <vt:lpstr>ABS_CP</vt:lpstr>
      <vt:lpstr>ABS_NR</vt:lpstr>
      <vt:lpstr>ABSNR</vt:lpstr>
      <vt:lpstr>ACOMPTE</vt:lpstr>
      <vt:lpstr>AN_ABO</vt:lpstr>
      <vt:lpstr>AN_EF</vt:lpstr>
      <vt:lpstr>AN_LOG</vt:lpstr>
      <vt:lpstr>AN_TECH</vt:lpstr>
      <vt:lpstr>AN_TR</vt:lpstr>
      <vt:lpstr>AN_VEH_HA</vt:lpstr>
      <vt:lpstr>AN_VEH_LOA</vt:lpstr>
      <vt:lpstr>ANLOGEMENT</vt:lpstr>
      <vt:lpstr>ANREPAS</vt:lpstr>
      <vt:lpstr>ANTR</vt:lpstr>
      <vt:lpstr>ANVEHICULE</vt:lpstr>
      <vt:lpstr>BAREMES</vt:lpstr>
      <vt:lpstr>BASE_SMIC</vt:lpstr>
      <vt:lpstr>BRUT_BULLETIN</vt:lpstr>
      <vt:lpstr>BULLETIN</vt:lpstr>
      <vt:lpstr>cODES</vt:lpstr>
      <vt:lpstr>COT_TR</vt:lpstr>
      <vt:lpstr>CP</vt:lpstr>
      <vt:lpstr>CP_JOUR</vt:lpstr>
      <vt:lpstr>CP_R_M</vt:lpstr>
      <vt:lpstr>CPLSMIC</vt:lpstr>
      <vt:lpstr>CRDSND</vt:lpstr>
      <vt:lpstr>CSGD</vt:lpstr>
      <vt:lpstr>CSGND</vt:lpstr>
      <vt:lpstr>D_ABS_CP</vt:lpstr>
      <vt:lpstr>D_ABS_NR</vt:lpstr>
      <vt:lpstr>EF_SAL</vt:lpstr>
      <vt:lpstr>EVAL_FOR_REPAS</vt:lpstr>
      <vt:lpstr>F_ABS_CP</vt:lpstr>
      <vt:lpstr>F_ABS_NR</vt:lpstr>
      <vt:lpstr>FERIES</vt:lpstr>
      <vt:lpstr>FILLON</vt:lpstr>
      <vt:lpstr>GMP_FORFAIT</vt:lpstr>
      <vt:lpstr>GMP_MOIS</vt:lpstr>
      <vt:lpstr>H_10</vt:lpstr>
      <vt:lpstr>H_25</vt:lpstr>
      <vt:lpstr>H_50</vt:lpstr>
      <vt:lpstr>H_ABS_NR</vt:lpstr>
      <vt:lpstr>H_SUP_TOTAL</vt:lpstr>
      <vt:lpstr>HS</vt:lpstr>
      <vt:lpstr>ICCP</vt:lpstr>
      <vt:lpstr>ICCPFRACT</vt:lpstr>
      <vt:lpstr>INFO</vt:lpstr>
      <vt:lpstr>J_CP</vt:lpstr>
      <vt:lpstr>J_EF</vt:lpstr>
      <vt:lpstr>J_PAQUES</vt:lpstr>
      <vt:lpstr>J_TR</vt:lpstr>
      <vt:lpstr>LIMITE_FILLON</vt:lpstr>
      <vt:lpstr>MOIS_BULLETIN</vt:lpstr>
      <vt:lpstr>MUTUELLE</vt:lpstr>
      <vt:lpstr>NAP</vt:lpstr>
      <vt:lpstr>NBRE_H_MOIS</vt:lpstr>
      <vt:lpstr>NBRE_H_SEM</vt:lpstr>
      <vt:lpstr>NBRE_J_SEM</vt:lpstr>
      <vt:lpstr>NBRE_PERS_CHAR</vt:lpstr>
      <vt:lpstr>NBRE_PIECES</vt:lpstr>
      <vt:lpstr>NBRE_SALARIES</vt:lpstr>
      <vt:lpstr>NetImposable</vt:lpstr>
      <vt:lpstr>PLF_GMP</vt:lpstr>
      <vt:lpstr>PPAT_PREV_DC</vt:lpstr>
      <vt:lpstr>PPAT_TR</vt:lpstr>
      <vt:lpstr>PPMUT</vt:lpstr>
      <vt:lpstr>PPPREVDC</vt:lpstr>
      <vt:lpstr>PS</vt:lpstr>
      <vt:lpstr>PS_MUT</vt:lpstr>
      <vt:lpstr>PSAL_EF_REPAS</vt:lpstr>
      <vt:lpstr>PSAL_MUT</vt:lpstr>
      <vt:lpstr>PSAL_PREV_DC</vt:lpstr>
      <vt:lpstr>PSAL_TR</vt:lpstr>
      <vt:lpstr>PSS</vt:lpstr>
      <vt:lpstr>qs</vt:lpstr>
      <vt:lpstr>qsp</vt:lpstr>
      <vt:lpstr>Rèf_Année</vt:lpstr>
      <vt:lpstr>rmi</vt:lpstr>
      <vt:lpstr>RSA_Calcule</vt:lpstr>
      <vt:lpstr>rsa_Insaisissable</vt:lpstr>
      <vt:lpstr>S_GMP</vt:lpstr>
      <vt:lpstr>S_RTT</vt:lpstr>
      <vt:lpstr>SAISIE</vt:lpstr>
      <vt:lpstr>SAISIE_SAL</vt:lpstr>
      <vt:lpstr>salmensu</vt:lpstr>
      <vt:lpstr>SBASE</vt:lpstr>
      <vt:lpstr>SBRUT</vt:lpstr>
      <vt:lpstr>SMIC_HORAIRE</vt:lpstr>
      <vt:lpstr>SMIC_M</vt:lpstr>
      <vt:lpstr>SNAR</vt:lpstr>
      <vt:lpstr>SoldeICCPMaintien</vt:lpstr>
      <vt:lpstr>SoldeICCPN1</vt:lpstr>
      <vt:lpstr>SoldeICCPNR10</vt:lpstr>
      <vt:lpstr>TAT</vt:lpstr>
      <vt:lpstr>TATD</vt:lpstr>
      <vt:lpstr>TATM</vt:lpstr>
      <vt:lpstr>totcotpat</vt:lpstr>
      <vt:lpstr>totcotsal</vt:lpstr>
      <vt:lpstr>TotMajo</vt:lpstr>
      <vt:lpstr>TOTRET</vt:lpstr>
      <vt:lpstr>TR_A</vt:lpstr>
      <vt:lpstr>TR_B</vt:lpstr>
      <vt:lpstr>TR_C</vt:lpstr>
      <vt:lpstr>TR_SAL</vt:lpstr>
      <vt:lpstr>TX_10</vt:lpstr>
      <vt:lpstr>TX_25</vt:lpstr>
      <vt:lpstr>TX_50</vt:lpstr>
      <vt:lpstr>TX_CHOM</vt:lpstr>
      <vt:lpstr>Tx_FILLON</vt:lpstr>
      <vt:lpstr>Tx_FILLON_MAX</vt:lpstr>
      <vt:lpstr>Tx_FILLON_MINI</vt:lpstr>
      <vt:lpstr>TX_HOR</vt:lpstr>
      <vt:lpstr>V_F_TR</vt:lpstr>
      <vt:lpstr>vMax_PP_TR</vt:lpstr>
      <vt:lpstr>'Modèle Cadre'!Zone_d_impression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Sandrine MORALES</dc:creator>
  <cp:lastModifiedBy>Sandrine MORALES</cp:lastModifiedBy>
  <cp:lastPrinted>2017-11-08T09:15:33Z</cp:lastPrinted>
  <dcterms:created xsi:type="dcterms:W3CDTF">2017-09-26T07:31:05Z</dcterms:created>
  <dcterms:modified xsi:type="dcterms:W3CDTF">2017-11-22T19:39:56Z</dcterms:modified>
</cp:coreProperties>
</file>