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openxmlformats-officedocument.spreadsheetml.printerSettings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chartsheets/sheet2.xml" ContentType="application/vnd.openxmlformats-officedocument.spreadsheetml.chart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ml.chartshapes+xml"/>
  <Override PartName="/xl/drawings/drawing3.xml" ContentType="application/vnd.openxmlformats-officedocument.drawing+xml"/>
  <Override PartName="/xl/ctrlProps/ctrlProp1.xml" ContentType="application/vnd.ms-excel.controlproperties+xml"/>
  <Override PartName="/xl/drawings/drawing4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5.xml" ContentType="application/vnd.openxmlformats-officedocument.drawingml.chartshapes+xml"/>
  <Override PartName="/xl/drawings/drawing6.xml" ContentType="application/vnd.openxmlformats-officedocument.drawing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drawings/drawing7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109" codeName="{00000000-0000-0000-0000-000000000000}"/>
  <workbookPr/>
  <mc:AlternateContent xmlns:mc="http://schemas.openxmlformats.org/markup-compatibility/2006">
    <mc:Choice Requires="x15">
      <x15ac:absPath xmlns:x15ac="http://schemas.microsoft.com/office/spreadsheetml/2010/11/ac" url="/Users/bernardpenders/Desktop/"/>
    </mc:Choice>
  </mc:AlternateContent>
  <bookViews>
    <workbookView xWindow="640" yWindow="460" windowWidth="28160" windowHeight="15960" tabRatio="500" activeTab="4"/>
  </bookViews>
  <sheets>
    <sheet name="Graphique1" sheetId="5" r:id="rId1"/>
    <sheet name="LOG NAV" sheetId="4" r:id="rId2"/>
    <sheet name="Graphique2" sheetId="3" r:id="rId3"/>
    <sheet name="Data" sheetId="2" r:id="rId4"/>
    <sheet name="PREPARATION nav" sheetId="1" r:id="rId5"/>
  </sheets>
  <externalReferences>
    <externalReference r:id="rId6"/>
    <externalReference r:id="rId7"/>
  </externalReferences>
  <definedNames>
    <definedName name="_05_10_2016" localSheetId="1">[2]!AVION[AVION]</definedName>
    <definedName name="_05_10_2016">AVION1[AVION]</definedName>
    <definedName name="Arrivee" localSheetId="3">'[1]PREPARATION nav'!$D$13</definedName>
    <definedName name="Arrivee" localSheetId="1">'[1]PREPARATION nav'!$D$13</definedName>
    <definedName name="Arrivee">'PREPARATION nav'!$D$13</definedName>
    <definedName name="Autono">'PREPARATION nav'!$I$3</definedName>
    <definedName name="Autovol">'LOG NAV'!$F$39</definedName>
    <definedName name="Choix">'PREPARATION nav'!$C$36</definedName>
    <definedName name="Conso" localSheetId="3">'[1]PREPARATION nav'!$J$3</definedName>
    <definedName name="Conso" localSheetId="1">'[1]PREPARATION nav'!$J$3</definedName>
    <definedName name="Conso">'PREPARATION nav'!$J$3</definedName>
    <definedName name="COUT" localSheetId="1">[2]!Tableau3[[#Totals],[TOTAL ]]</definedName>
    <definedName name="COUT">#REF!</definedName>
    <definedName name="derive1">'[1]LOG NAV'!$D$4</definedName>
    <definedName name="derive2">'[1]LOG NAV'!$D$10</definedName>
    <definedName name="derive3">'[1]LOG NAV'!$D$14</definedName>
    <definedName name="derive4">'[1]LOG NAV'!$D$18</definedName>
    <definedName name="derive5">'LOG NAV'!$D$22</definedName>
    <definedName name="dtg">'[1]LOG NAV'!$F$30</definedName>
    <definedName name="ETA">'PREPARATION nav'!$G$3</definedName>
    <definedName name="ETD" localSheetId="3">'[1]PREPARATION nav'!$F$3</definedName>
    <definedName name="ETD" localSheetId="1">'[1]PREPARATION nav'!$F$3</definedName>
    <definedName name="ETD">'PREPARATION nav'!$F$3</definedName>
    <definedName name="FACTURES">#REF!</definedName>
    <definedName name="fuel" localSheetId="3">'[1]PREPARATION nav'!$I$4</definedName>
    <definedName name="fuel" localSheetId="1">'[1]PREPARATION nav'!$I$4</definedName>
    <definedName name="fuel">'PREPARATION nav'!$I$4</definedName>
    <definedName name="heuredualac">[1]!Tableau11[[#Totals],[dual]]</definedName>
    <definedName name="heuresingleac">[1]!Tableau11[[#Totals],[single]]</definedName>
    <definedName name="latitude1">[1]CALCUL!$J$4</definedName>
    <definedName name="latitude10">[1]CALCUL!$J$13</definedName>
    <definedName name="latitude11">[1]CALCUL!$J$14</definedName>
    <definedName name="latitude12">[1]CALCUL!$J$15</definedName>
    <definedName name="latitude2">[1]CALCUL!$J$5</definedName>
    <definedName name="latitude3">[1]CALCUL!$J$6</definedName>
    <definedName name="latitude4">[1]CALCUL!$J$7</definedName>
    <definedName name="latitude5">[1]CALCUL!$J$8</definedName>
    <definedName name="latitude6">[1]CALCUL!$J$9</definedName>
    <definedName name="latitude7">[1]CALCUL!$J$10</definedName>
    <definedName name="latitude8">[1]CALCUL!$J$11</definedName>
    <definedName name="latitude9">[1]CALCUL!$J$12</definedName>
    <definedName name="longitude1">[1]CALCUL!$K$4</definedName>
    <definedName name="longitude10">[1]CALCUL!$K$13</definedName>
    <definedName name="longitude11">[1]CALCUL!$K$14</definedName>
    <definedName name="longitude12">[1]CALCUL!$K$15</definedName>
    <definedName name="longitude2">[1]CALCUL!$K$5</definedName>
    <definedName name="longitude3">[1]CALCUL!$K$6</definedName>
    <definedName name="longitude4">[1]CALCUL!$K$7</definedName>
    <definedName name="longitude5">[1]CALCUL!$K$8</definedName>
    <definedName name="longitude6">[1]CALCUL!$K$9</definedName>
    <definedName name="longitude7">[1]CALCUL!$K$10</definedName>
    <definedName name="longitude8">[1]CALCUL!$K$11</definedName>
    <definedName name="longitude9">[1]CALCUL!$K$12</definedName>
    <definedName name="LTC">'[1]Tableau de bord'!$H$18</definedName>
    <definedName name="Point1" localSheetId="3">'[1]PREPARATION nav'!$D$8</definedName>
    <definedName name="Point1" localSheetId="1">'[1]PREPARATION nav'!$D$8</definedName>
    <definedName name="Point1">'PREPARATION nav'!$D$8</definedName>
    <definedName name="Point2" localSheetId="3">'[1]PREPARATION nav'!$D$9</definedName>
    <definedName name="Point2" localSheetId="1">'[1]PREPARATION nav'!$D$9</definedName>
    <definedName name="Point2">'PREPARATION nav'!$D$9</definedName>
    <definedName name="Point3" localSheetId="3">'[1]PREPARATION nav'!$D$10</definedName>
    <definedName name="Point3" localSheetId="1">'[1]PREPARATION nav'!$D$10</definedName>
    <definedName name="Point3">'PREPARATION nav'!$D$10</definedName>
    <definedName name="Point4" localSheetId="3">'[1]PREPARATION nav'!$D$11</definedName>
    <definedName name="Point4" localSheetId="1">'[1]PREPARATION nav'!$D$11</definedName>
    <definedName name="Point4">'PREPARATION nav'!$D$11</definedName>
    <definedName name="Point5" localSheetId="3">'[1]PREPARATION nav'!$D$12</definedName>
    <definedName name="Point5" localSheetId="1">'[1]PREPARATION nav'!$D$12</definedName>
    <definedName name="Point5">'PREPARATION nav'!$D$12</definedName>
    <definedName name="route1">[1]CALCUL!$D$18</definedName>
    <definedName name="route2">[1]CALCUL!$I$18</definedName>
    <definedName name="route3">[1]CALCUL!$D$36</definedName>
    <definedName name="route4">[1]CALCUL!$I$36</definedName>
    <definedName name="route5">[1]CALCUL!$D$55</definedName>
    <definedName name="route6">[1]CALCUL!$I$55</definedName>
    <definedName name="seul">[1]!Tableau11[[#Totals],[single]]</definedName>
    <definedName name="SOMMETOTALE" localSheetId="1">[2]!Tableau3[[#Totals],[TOTAL ]]</definedName>
    <definedName name="SOMMETOTALE">#REF!</definedName>
    <definedName name="TANK">'PREPARATION nav'!$I$5</definedName>
    <definedName name="TAS" localSheetId="3">'[1]PREPARATION nav'!$H$6</definedName>
    <definedName name="TAS" localSheetId="1">'[1]PREPARATION nav'!$H$6</definedName>
    <definedName name="TAS">'PREPARATION nav'!$H$6</definedName>
    <definedName name="totalac">'[1]ANCIEN CV'!$G$275</definedName>
    <definedName name="totalacd">'[1]ANCIEN CV'!$L$275</definedName>
    <definedName name="totalacland">'[1]ANCIEN CV'!$I$275</definedName>
    <definedName name="totalacs">'[1]ANCIEN CV'!$K$275</definedName>
    <definedName name="totalanciencarnet">[1]!Tableau11[[#Totals],[TIME OF FLIGHT]]</definedName>
    <definedName name="totalfuel">'LOG NAV'!$G$39</definedName>
    <definedName name="totalp1d">[1]CARNET_DE_VOL!$U$23</definedName>
    <definedName name="totalp2d">[1]CARNET_DE_VOL!$U$44</definedName>
    <definedName name="totalp3d">[1]CARNET_DE_VOL!$U$65</definedName>
    <definedName name="totalp3s">[1]CARNET_DE_VOL!$T$65</definedName>
    <definedName name="totalp4d">[1]CARNET_DE_VOL!$U$86</definedName>
    <definedName name="totalp4s">[1]CARNET_DE_VOL!$T$86</definedName>
    <definedName name="totalp5d">[1]CARNET_DE_VOL!$U$107</definedName>
    <definedName name="totalp5s">[1]CARNET_DE_VOL!$T$107</definedName>
    <definedName name="totalp6d">[1]CARNET_DE_VOL!$U$128</definedName>
    <definedName name="totalp6s">[1]CARNET_DE_VOL!$T$128</definedName>
    <definedName name="totalp7d">[1]CARNET_DE_VOL!$U$149</definedName>
    <definedName name="totalp7s">[1]CARNET_DE_VOL!$T$149</definedName>
    <definedName name="totalpage1s">[1]CARNET_DE_VOL!$T$23</definedName>
    <definedName name="totalseul">[1]!Tableau11[[#Totals],[single]]</definedName>
    <definedName name="totalsingllep2">[1]CARNET_DE_VOL!$T$44</definedName>
    <definedName name="TOTSEUL">[1]!Tableau11[[#Totals],[single]]</definedName>
    <definedName name="Ttnc">'[1]Tableau de bord'!$I$7</definedName>
    <definedName name="Ttt">'[1]LOG NAV'!$G$30</definedName>
    <definedName name="Ttth" localSheetId="3">'[1]PREPARATION nav'!$I$6</definedName>
    <definedName name="Ttth" localSheetId="1">'[1]PREPARATION nav'!$I$6</definedName>
    <definedName name="Ttth">'PREPARATION nav'!$I$6</definedName>
    <definedName name="UTC">'[1]Tableau de bord'!$I$18</definedName>
    <definedName name="variable">[1]CALCUL!$P$2</definedName>
    <definedName name="Vfb">'LOG NAV'!#REF!</definedName>
    <definedName name="WINd" localSheetId="3">'[1]PREPARATION nav'!$J$6</definedName>
    <definedName name="WINd" localSheetId="1">'[1]PREPARATION nav'!$J$6</definedName>
    <definedName name="WINd">'PREPARATION nav'!$J$6</definedName>
    <definedName name="WINf" localSheetId="3">'[1]PREPARATION nav'!$K$6</definedName>
    <definedName name="WINf" localSheetId="1">'[1]PREPARATION nav'!$K$6</definedName>
    <definedName name="WINf">'PREPARATION nav'!$K$6</definedName>
    <definedName name="_xlnm.Print_Area" localSheetId="1">'LOG NAV'!$A$1:$L$40</definedName>
    <definedName name="_xlnm.Print_Area" localSheetId="4">'PREPARATION nav'!$A$16:$K$38</definedName>
  </definedName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13" i="1" l="1"/>
  <c r="F18" i="1"/>
  <c r="F19" i="1"/>
  <c r="F17" i="1"/>
  <c r="E32" i="1"/>
  <c r="E30" i="1"/>
  <c r="E28" i="1"/>
  <c r="E27" i="1"/>
  <c r="E25" i="1"/>
  <c r="E24" i="1"/>
  <c r="E23" i="1"/>
  <c r="E22" i="1"/>
  <c r="H4" i="1"/>
  <c r="H6" i="1"/>
  <c r="C36" i="1"/>
  <c r="F35" i="4"/>
  <c r="G35" i="4"/>
  <c r="G36" i="4"/>
  <c r="G37" i="4"/>
  <c r="G38" i="4"/>
  <c r="G39" i="4"/>
  <c r="G40" i="4"/>
  <c r="F40" i="4"/>
  <c r="F39" i="4"/>
  <c r="J34" i="4"/>
  <c r="I28" i="4"/>
  <c r="L31" i="4"/>
  <c r="L30" i="4"/>
  <c r="J30" i="4"/>
  <c r="F27" i="4"/>
  <c r="C29" i="4"/>
  <c r="D26" i="4"/>
  <c r="E26" i="4"/>
  <c r="G26" i="4"/>
  <c r="F23" i="4"/>
  <c r="C25" i="4"/>
  <c r="D22" i="4"/>
  <c r="E22" i="4"/>
  <c r="G22" i="4"/>
  <c r="F19" i="4"/>
  <c r="C21" i="4"/>
  <c r="D18" i="4"/>
  <c r="E18" i="4"/>
  <c r="G18" i="4"/>
  <c r="F15" i="4"/>
  <c r="C17" i="4"/>
  <c r="D14" i="4"/>
  <c r="E14" i="4"/>
  <c r="G14" i="4"/>
  <c r="F11" i="4"/>
  <c r="C13" i="4"/>
  <c r="D10" i="4"/>
  <c r="E10" i="4"/>
  <c r="G10" i="4"/>
  <c r="F5" i="4"/>
  <c r="C7" i="4"/>
  <c r="D4" i="4"/>
  <c r="E4" i="4"/>
  <c r="G4" i="4"/>
  <c r="G30" i="4"/>
  <c r="F30" i="4"/>
  <c r="J29" i="4"/>
  <c r="F7" i="4"/>
  <c r="F10" i="4"/>
  <c r="F13" i="4"/>
  <c r="F14" i="4"/>
  <c r="F17" i="4"/>
  <c r="F18" i="4"/>
  <c r="F21" i="4"/>
  <c r="F22" i="4"/>
  <c r="F25" i="4"/>
  <c r="F26" i="4"/>
  <c r="F29" i="4"/>
  <c r="B29" i="4"/>
  <c r="J28" i="4"/>
  <c r="I24" i="4"/>
  <c r="L27" i="4"/>
  <c r="C27" i="4"/>
  <c r="B27" i="4"/>
  <c r="J25" i="4"/>
  <c r="B25" i="4"/>
  <c r="J24" i="4"/>
  <c r="I20" i="4"/>
  <c r="L23" i="4"/>
  <c r="C23" i="4"/>
  <c r="B23" i="4"/>
  <c r="J21" i="4"/>
  <c r="B21" i="4"/>
  <c r="J20" i="4"/>
  <c r="I16" i="4"/>
  <c r="L19" i="4"/>
  <c r="C19" i="4"/>
  <c r="B19" i="4"/>
  <c r="J17" i="4"/>
  <c r="B17" i="4"/>
  <c r="J16" i="4"/>
  <c r="I12" i="4"/>
  <c r="L15" i="4"/>
  <c r="C15" i="4"/>
  <c r="B15" i="4"/>
  <c r="L13" i="4"/>
  <c r="J13" i="4"/>
  <c r="B13" i="4"/>
  <c r="J12" i="4"/>
  <c r="I6" i="4"/>
  <c r="L11" i="4"/>
  <c r="C11" i="4"/>
  <c r="B11" i="4"/>
  <c r="J8" i="4"/>
  <c r="I2" i="4"/>
  <c r="B7" i="4"/>
  <c r="J6" i="4"/>
  <c r="L5" i="4"/>
  <c r="C5" i="4"/>
  <c r="B5" i="4"/>
  <c r="L4" i="4"/>
  <c r="F4" i="4"/>
  <c r="J3" i="4"/>
  <c r="J2" i="4"/>
  <c r="F25" i="2"/>
  <c r="F26" i="2"/>
  <c r="F27" i="2"/>
  <c r="F28" i="2"/>
  <c r="F29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30" i="2"/>
  <c r="H1" i="2"/>
  <c r="I1" i="2"/>
  <c r="J1" i="2"/>
  <c r="K1" i="2"/>
  <c r="L1" i="2"/>
  <c r="M1" i="2"/>
  <c r="N1" i="2"/>
  <c r="O1" i="2"/>
  <c r="P1" i="2"/>
  <c r="Q1" i="2"/>
  <c r="D32" i="1"/>
  <c r="F32" i="1"/>
  <c r="D30" i="1"/>
  <c r="F30" i="1"/>
  <c r="C28" i="1"/>
  <c r="D28" i="1"/>
  <c r="F28" i="1"/>
  <c r="D25" i="1"/>
  <c r="F25" i="1"/>
  <c r="D23" i="1"/>
  <c r="F23" i="1"/>
  <c r="D24" i="1"/>
  <c r="F24" i="1"/>
  <c r="D22" i="1"/>
  <c r="F22" i="1"/>
  <c r="E33" i="1"/>
  <c r="D33" i="1"/>
  <c r="F33" i="1"/>
  <c r="F35" i="1"/>
  <c r="D35" i="1"/>
  <c r="E35" i="1"/>
  <c r="D27" i="1"/>
  <c r="F27" i="1"/>
  <c r="F34" i="1"/>
  <c r="D34" i="1"/>
  <c r="E34" i="1"/>
  <c r="A21" i="1"/>
  <c r="A20" i="1"/>
  <c r="A19" i="1"/>
  <c r="A18" i="1"/>
  <c r="A3" i="1"/>
  <c r="C17" i="1"/>
  <c r="F1" i="1"/>
  <c r="D13" i="1"/>
  <c r="E12" i="1"/>
  <c r="E11" i="1"/>
  <c r="E10" i="1"/>
  <c r="E9" i="1"/>
  <c r="E8" i="1"/>
  <c r="I7" i="1"/>
  <c r="D7" i="1"/>
  <c r="E7" i="1"/>
  <c r="I6" i="1"/>
  <c r="C4" i="1"/>
  <c r="K3" i="1"/>
  <c r="J3" i="1"/>
  <c r="I3" i="1"/>
  <c r="G3" i="1"/>
  <c r="C3" i="1"/>
  <c r="G1" i="1"/>
</calcChain>
</file>

<file path=xl/sharedStrings.xml><?xml version="1.0" encoding="utf-8"?>
<sst xmlns="http://schemas.openxmlformats.org/spreadsheetml/2006/main" count="440" uniqueCount="298">
  <si>
    <t>PREPARATION D'UNE NAVIGATION VERS</t>
  </si>
  <si>
    <t>Date:</t>
  </si>
  <si>
    <t>time</t>
  </si>
  <si>
    <t>ETD</t>
  </si>
  <si>
    <t>ETA</t>
  </si>
  <si>
    <t>AVION</t>
  </si>
  <si>
    <t>AUTONOMIE</t>
  </si>
  <si>
    <t>Consumption</t>
  </si>
  <si>
    <t>FUEL</t>
  </si>
  <si>
    <t>AERODROME</t>
  </si>
  <si>
    <t>PH-AML</t>
  </si>
  <si>
    <t>Départ</t>
  </si>
  <si>
    <t>Arrivée</t>
  </si>
  <si>
    <t>TYPE DE VOL</t>
  </si>
  <si>
    <t>EBSP</t>
  </si>
  <si>
    <t>EBCI</t>
  </si>
  <si>
    <t>ALTERNATE</t>
  </si>
  <si>
    <t>Tas/IAS kt</t>
  </si>
  <si>
    <t>Time Fly</t>
  </si>
  <si>
    <t>Win/dir</t>
  </si>
  <si>
    <t>Win/kt</t>
  </si>
  <si>
    <t>NAV</t>
  </si>
  <si>
    <t>EBLG</t>
  </si>
  <si>
    <t>ATIS</t>
  </si>
  <si>
    <t>DEPART</t>
  </si>
  <si>
    <t>Cout</t>
  </si>
  <si>
    <t>Point tournant 1</t>
  </si>
  <si>
    <t xml:space="preserve">LA SOURCE </t>
  </si>
  <si>
    <t>Point tournant 2</t>
  </si>
  <si>
    <t>SPI</t>
  </si>
  <si>
    <t>Point tournant 3</t>
  </si>
  <si>
    <t>SE</t>
  </si>
  <si>
    <t>Point tournant 4</t>
  </si>
  <si>
    <t>SA</t>
  </si>
  <si>
    <t>Point tournant 5</t>
  </si>
  <si>
    <t>ARRIVEE</t>
  </si>
  <si>
    <t>DEVIS DE CENTRAGE</t>
  </si>
  <si>
    <t>date du vol</t>
  </si>
  <si>
    <t>empty w</t>
  </si>
  <si>
    <t>PILOTE</t>
  </si>
  <si>
    <t>PENDERS Bernard</t>
  </si>
  <si>
    <t>empty cg</t>
  </si>
  <si>
    <t>Max Weight</t>
  </si>
  <si>
    <t>Item</t>
  </si>
  <si>
    <t>weight kg</t>
  </si>
  <si>
    <t>weight lbs</t>
  </si>
  <si>
    <t>arm</t>
  </si>
  <si>
    <t>moment</t>
  </si>
  <si>
    <t>Pilote</t>
  </si>
  <si>
    <t>Copilote</t>
  </si>
  <si>
    <t>Passagers</t>
  </si>
  <si>
    <t>Huile</t>
  </si>
  <si>
    <t>Fuel Takeoff</t>
  </si>
  <si>
    <t>Fuel Landing</t>
  </si>
  <si>
    <t>Bag 1</t>
  </si>
  <si>
    <t>Bag 2</t>
  </si>
  <si>
    <t>Empty Aircraft</t>
  </si>
  <si>
    <t>Total Take Off</t>
  </si>
  <si>
    <t>Total Landing</t>
  </si>
  <si>
    <t>Type</t>
  </si>
  <si>
    <t>PU</t>
  </si>
  <si>
    <t>TAS</t>
  </si>
  <si>
    <t>cgF</t>
  </si>
  <si>
    <t>cgB</t>
  </si>
  <si>
    <t>Consomation</t>
  </si>
  <si>
    <t>max weight</t>
  </si>
  <si>
    <t>arm pic</t>
  </si>
  <si>
    <t>arm oil</t>
  </si>
  <si>
    <t>oil</t>
  </si>
  <si>
    <t>arm bg 1</t>
  </si>
  <si>
    <t>arm bg 2</t>
  </si>
  <si>
    <t>arm Fuel</t>
  </si>
  <si>
    <t>arm PAX</t>
  </si>
  <si>
    <t>Graphique</t>
  </si>
  <si>
    <t>INSTRUCTEUR</t>
  </si>
  <si>
    <t>PRIX</t>
  </si>
  <si>
    <t>Colonne1</t>
  </si>
  <si>
    <t>LANDING</t>
  </si>
  <si>
    <t>Colonne2</t>
  </si>
  <si>
    <t>Date revalidation</t>
  </si>
  <si>
    <t>OO-ALD</t>
  </si>
  <si>
    <t>C150</t>
  </si>
  <si>
    <t>Graphique1</t>
  </si>
  <si>
    <t>MENDES Benoit</t>
  </si>
  <si>
    <t>Médical général</t>
  </si>
  <si>
    <t>OO-ALE</t>
  </si>
  <si>
    <t>C172M</t>
  </si>
  <si>
    <t>CLAESSEN Nicolas</t>
  </si>
  <si>
    <t>ECG</t>
  </si>
  <si>
    <t>OO-CMT</t>
  </si>
  <si>
    <t>C-172</t>
  </si>
  <si>
    <t>ELP</t>
  </si>
  <si>
    <t>OO-CNW</t>
  </si>
  <si>
    <t>CLAUDE Georges</t>
  </si>
  <si>
    <t>SEP</t>
  </si>
  <si>
    <t>OO-EHO</t>
  </si>
  <si>
    <t>ROTHEUTH Guy</t>
  </si>
  <si>
    <t>OO-JRB</t>
  </si>
  <si>
    <t>C-150</t>
  </si>
  <si>
    <t>DE COSTER Thibault</t>
  </si>
  <si>
    <t>OO-FMX</t>
  </si>
  <si>
    <t>C172N</t>
  </si>
  <si>
    <t>OO-MCT</t>
  </si>
  <si>
    <t>R22</t>
  </si>
  <si>
    <t>OO-SIW</t>
  </si>
  <si>
    <t>OO-SPA</t>
  </si>
  <si>
    <t>C-206</t>
  </si>
  <si>
    <t>OO-SPC</t>
  </si>
  <si>
    <t>OO-SPE</t>
  </si>
  <si>
    <t>OO-SPP</t>
  </si>
  <si>
    <t>C152</t>
  </si>
  <si>
    <t>IOAC</t>
  </si>
  <si>
    <t>lat</t>
  </si>
  <si>
    <t>long</t>
  </si>
  <si>
    <t>lieu</t>
  </si>
  <si>
    <t>PISTE</t>
  </si>
  <si>
    <t>ALT SECURITE</t>
  </si>
  <si>
    <t>INFO1</t>
  </si>
  <si>
    <t>INFO2</t>
  </si>
  <si>
    <t>RNAV2</t>
  </si>
  <si>
    <t>RNAV</t>
  </si>
  <si>
    <t>Colonne3</t>
  </si>
  <si>
    <t xml:space="preserve">RADIO </t>
  </si>
  <si>
    <t>Approche</t>
  </si>
  <si>
    <t>proche</t>
  </si>
  <si>
    <t>OO-SPQ</t>
  </si>
  <si>
    <t>PA28</t>
  </si>
  <si>
    <t>BUN</t>
  </si>
  <si>
    <t>VOR BUN 110.600</t>
  </si>
  <si>
    <t>BELGA 129.325</t>
  </si>
  <si>
    <t>BRU INFO 126.900</t>
  </si>
  <si>
    <t>LNO 112.800</t>
  </si>
  <si>
    <t>FLO 112.050</t>
  </si>
  <si>
    <t>110.600</t>
  </si>
  <si>
    <t>OO-SPT</t>
  </si>
  <si>
    <t>C-152</t>
  </si>
  <si>
    <t>CINEY</t>
  </si>
  <si>
    <t xml:space="preserve">Ciney </t>
  </si>
  <si>
    <t>Ville</t>
  </si>
  <si>
    <t>SPI 113.100</t>
  </si>
  <si>
    <t>HUL 117.550</t>
  </si>
  <si>
    <t>-</t>
  </si>
  <si>
    <t>EBNM</t>
  </si>
  <si>
    <t>OO-SPU</t>
  </si>
  <si>
    <t>CMB</t>
  </si>
  <si>
    <t>VOR CMB 112.600</t>
  </si>
  <si>
    <t>112.600</t>
  </si>
  <si>
    <t>C182</t>
  </si>
  <si>
    <t>Graphique2</t>
  </si>
  <si>
    <t>COO</t>
  </si>
  <si>
    <t>COO bassin</t>
  </si>
  <si>
    <t>Bassin hydroélectrique</t>
  </si>
  <si>
    <t>126.900</t>
  </si>
  <si>
    <t>DAUSSOULX</t>
  </si>
  <si>
    <t>Daussoulx ( Namur)</t>
  </si>
  <si>
    <t>Echangeur autoroutier</t>
  </si>
  <si>
    <t>E</t>
  </si>
  <si>
    <t>ECHO (EBCI)</t>
  </si>
  <si>
    <t>Spy station essence autoroute</t>
  </si>
  <si>
    <t>UNITE</t>
  </si>
  <si>
    <t>EAST HASSELT</t>
  </si>
  <si>
    <t>EAST Exit Hasselt</t>
  </si>
  <si>
    <t>EBAW</t>
  </si>
  <si>
    <t>Antwerpen/Deurne</t>
  </si>
  <si>
    <t>11/29 39 ft</t>
  </si>
  <si>
    <t>BUN 110.600</t>
  </si>
  <si>
    <t>135.200 </t>
  </si>
  <si>
    <t>121.900 </t>
  </si>
  <si>
    <t>EBST</t>
  </si>
  <si>
    <t>124.200 </t>
  </si>
  <si>
    <t>LOCAL</t>
  </si>
  <si>
    <t>EBCF</t>
  </si>
  <si>
    <t>Cerfontaine</t>
  </si>
  <si>
    <t>12/30 990 ft</t>
  </si>
  <si>
    <t>bELGA 129.325</t>
  </si>
  <si>
    <t>bRU INFO 126.900</t>
  </si>
  <si>
    <t>Aeroport de Charleroi</t>
  </si>
  <si>
    <t>25/07 614 ft</t>
  </si>
  <si>
    <t>121.800</t>
  </si>
  <si>
    <t>121.300</t>
  </si>
  <si>
    <t>133.125</t>
  </si>
  <si>
    <t>Aéroport Liège Bierset</t>
  </si>
  <si>
    <t>05R/23L 659 ft</t>
  </si>
  <si>
    <t>LGE 115.450</t>
  </si>
  <si>
    <t>118.125</t>
  </si>
  <si>
    <t>119.275</t>
  </si>
  <si>
    <t>EBTX</t>
  </si>
  <si>
    <t xml:space="preserve"> 126.250</t>
  </si>
  <si>
    <t>Aérodrome Namur/Suarlée</t>
  </si>
  <si>
    <t>06/24  594 ft</t>
  </si>
  <si>
    <t>EBOS</t>
  </si>
  <si>
    <t xml:space="preserve">Aéroport Ostende </t>
  </si>
  <si>
    <t>EBSH</t>
  </si>
  <si>
    <t>Aérodrome St Hubert</t>
  </si>
  <si>
    <t>05/23 14/32 1847 ft</t>
  </si>
  <si>
    <t>122.175</t>
  </si>
  <si>
    <t>Spa La Sauvenière</t>
  </si>
  <si>
    <t>05/23 1542 ft</t>
  </si>
  <si>
    <t>124.750</t>
  </si>
  <si>
    <t>Aérodrome Brustem</t>
  </si>
  <si>
    <t>06/24 246 ft</t>
  </si>
  <si>
    <t>119.975</t>
  </si>
  <si>
    <t>Theux Laboru</t>
  </si>
  <si>
    <t>06/24  grass 1099 ft</t>
  </si>
  <si>
    <t>119.000</t>
  </si>
  <si>
    <t>EBZH</t>
  </si>
  <si>
    <t>Aerodrome Kiewit Hasselt</t>
  </si>
  <si>
    <t>09/27 141 ft</t>
  </si>
  <si>
    <t>EBZW</t>
  </si>
  <si>
    <t>Aérodrome Genk</t>
  </si>
  <si>
    <t>03/21  278 ft</t>
  </si>
  <si>
    <t>120.400</t>
  </si>
  <si>
    <t>+32 89 38 32 73</t>
  </si>
  <si>
    <t>ECHO</t>
  </si>
  <si>
    <t>ECHO EBLG</t>
  </si>
  <si>
    <t>Point entrée CTR Bierset</t>
  </si>
  <si>
    <t>EDLN</t>
  </si>
  <si>
    <t xml:space="preserve">Moenchengladbach </t>
  </si>
  <si>
    <t>13/31 125 ft</t>
  </si>
  <si>
    <t>FLO</t>
  </si>
  <si>
    <t>VOR FLO 112.050</t>
  </si>
  <si>
    <t>VOR Florennes</t>
  </si>
  <si>
    <t>112.050</t>
  </si>
  <si>
    <t>GILEPPE</t>
  </si>
  <si>
    <t>LA GILEPPE</t>
  </si>
  <si>
    <t xml:space="preserve">Barrage </t>
  </si>
  <si>
    <t>source francorpchamps</t>
  </si>
  <si>
    <t>Circuit automobile</t>
  </si>
  <si>
    <t>LFGW</t>
  </si>
  <si>
    <t>Aérodrome Verdun</t>
  </si>
  <si>
    <t>LILLE 126.475</t>
  </si>
  <si>
    <t>LFQJ</t>
  </si>
  <si>
    <t>Aérodrome de Maubeuge</t>
  </si>
  <si>
    <t>05/23  452ft</t>
  </si>
  <si>
    <t>PARIS 125.700</t>
  </si>
  <si>
    <t>CMB 112.600</t>
  </si>
  <si>
    <t>121.000</t>
  </si>
  <si>
    <t>LNO</t>
  </si>
  <si>
    <t>VOR LNO</t>
  </si>
  <si>
    <t>.-.. -. ---</t>
  </si>
  <si>
    <t>112.800</t>
  </si>
  <si>
    <t>Mont Godinne</t>
  </si>
  <si>
    <t>Mont Godinne WP</t>
  </si>
  <si>
    <t>Antenne</t>
  </si>
  <si>
    <t>N</t>
  </si>
  <si>
    <t>NOVEM (EBCI)</t>
  </si>
  <si>
    <t>Gas Tank CARGAS</t>
  </si>
  <si>
    <t>NA</t>
  </si>
  <si>
    <t>NOVEM ALPHA (EBCI)</t>
  </si>
  <si>
    <t>Chateau d'eau E Gosselies</t>
  </si>
  <si>
    <t>NE</t>
  </si>
  <si>
    <t>NOVEM ECHO(EBCI)</t>
  </si>
  <si>
    <t>Village de Tilly</t>
  </si>
  <si>
    <t>NOVEM</t>
  </si>
  <si>
    <t>NOVEM EBLG</t>
  </si>
  <si>
    <t>NW</t>
  </si>
  <si>
    <t>NOVEM WISKY(EBCI)</t>
  </si>
  <si>
    <t>Gare de Obaix-Buzet</t>
  </si>
  <si>
    <t>OSCAR</t>
  </si>
  <si>
    <t>OSCAR (CTR EBLG)</t>
  </si>
  <si>
    <t>sPI 113.100</t>
  </si>
  <si>
    <t>ROMEO</t>
  </si>
  <si>
    <t>ROMEO (CTR EBLG)</t>
  </si>
  <si>
    <t>S</t>
  </si>
  <si>
    <t>SIERRA ( EBCI)</t>
  </si>
  <si>
    <t>Bultia intersection N5 N574</t>
  </si>
  <si>
    <t>SIERRA ALPHA (EBCI)</t>
  </si>
  <si>
    <t>Cora shopping center</t>
  </si>
  <si>
    <t>SIERRA ECHO (EBCI)</t>
  </si>
  <si>
    <t>Village de Presles</t>
  </si>
  <si>
    <t>VOR Sprimont</t>
  </si>
  <si>
    <t>... .--. ..</t>
  </si>
  <si>
    <t>113.100</t>
  </si>
  <si>
    <t>TIEGE</t>
  </si>
  <si>
    <t>ECHANGEUR Tiege</t>
  </si>
  <si>
    <t>VIDE</t>
  </si>
  <si>
    <t>Zmaxi</t>
  </si>
  <si>
    <t>Dsd</t>
  </si>
  <si>
    <t>TV</t>
  </si>
  <si>
    <t>REPORT</t>
  </si>
  <si>
    <t>Zvol</t>
  </si>
  <si>
    <t>CM</t>
  </si>
  <si>
    <t>Dérive</t>
  </si>
  <si>
    <t>GS</t>
  </si>
  <si>
    <t>Dist</t>
  </si>
  <si>
    <t>Z Mini</t>
  </si>
  <si>
    <t>RM</t>
  </si>
  <si>
    <t>Dtg</t>
  </si>
  <si>
    <t>GND</t>
  </si>
  <si>
    <t>TWR</t>
  </si>
  <si>
    <t>Total fly</t>
  </si>
  <si>
    <t>Fuel capacity</t>
  </si>
  <si>
    <t xml:space="preserve">Temps de vol: </t>
  </si>
  <si>
    <t>intégration:</t>
  </si>
  <si>
    <t>Roulage</t>
  </si>
  <si>
    <t>Sécurité</t>
  </si>
  <si>
    <t>Total</t>
  </si>
  <si>
    <t>Restera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</si>
</sst>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0">
    <numFmt numFmtId="164" formatCode="[$-F800]dddd\,\ mmmm\ dd\,\ yyyy"/>
    <numFmt numFmtId="165" formatCode="[$-F400]h:mm:ss\ AM/PM"/>
    <numFmt numFmtId="166" formatCode="h:mm:ss;@"/>
    <numFmt numFmtId="167" formatCode="[h]:mm:ss;@"/>
    <numFmt numFmtId="168" formatCode="0.00&quot;Lit/h&quot;"/>
    <numFmt numFmtId="169" formatCode="0.00\'\l\i\t"/>
    <numFmt numFmtId="170" formatCode="d/mm/yyyy;@"/>
    <numFmt numFmtId="171" formatCode="[$-F400]h:mm:ss\ AM/PM&quot;UTC&quot;"/>
    <numFmt numFmtId="172" formatCode="00&quot;Litres&quot;"/>
    <numFmt numFmtId="173" formatCode="0.00\'\l\i\t\h\r\'"/>
    <numFmt numFmtId="174" formatCode="0\°"/>
    <numFmt numFmtId="175" formatCode="0&quot;Kt&quot;"/>
    <numFmt numFmtId="176" formatCode="_-* #,##0.00\ [$€-80C]_-;\-* #,##0.00\ [$€-80C]_-;_-* &quot;-&quot;??\ [$€-80C]_-;_-@_-"/>
    <numFmt numFmtId="177" formatCode="0.00\ &quot;Lbs&quot;"/>
    <numFmt numFmtId="178" formatCode="0.00&quot;inch&quot;"/>
    <numFmt numFmtId="179" formatCode="0\ &quot;kg&quot;"/>
    <numFmt numFmtId="180" formatCode="0.0\ &quot;Lbs&quot;"/>
    <numFmt numFmtId="181" formatCode="0.0&quot;inch&quot;"/>
    <numFmt numFmtId="182" formatCode="0.0"/>
    <numFmt numFmtId="184" formatCode="#,##0.000000"/>
    <numFmt numFmtId="185" formatCode="0.000"/>
    <numFmt numFmtId="186" formatCode="0.0000000"/>
    <numFmt numFmtId="187" formatCode="#,##0.0000000"/>
    <numFmt numFmtId="188" formatCode="0.00000000"/>
    <numFmt numFmtId="189" formatCode="0.000000"/>
    <numFmt numFmtId="190" formatCode="#,##0.00000000"/>
    <numFmt numFmtId="191" formatCode="0&quot;Nm&quot;"/>
    <numFmt numFmtId="192" formatCode="0\'"/>
    <numFmt numFmtId="193" formatCode="0.0\ &quot;litres&quot;"/>
    <numFmt numFmtId="194" formatCode="[h]:mm"/>
  </numFmts>
  <fonts count="5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0000"/>
      <name val="Helvetica"/>
    </font>
    <font>
      <sz val="1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theme="1"/>
      <name val="Arial"/>
      <family val="2"/>
    </font>
    <font>
      <i/>
      <sz val="10"/>
      <color theme="1"/>
      <name val="Arial"/>
      <family val="2"/>
    </font>
    <font>
      <sz val="11"/>
      <color theme="9" tint="0.59999389629810485"/>
      <name val="Calibri"/>
      <family val="2"/>
      <scheme val="minor"/>
    </font>
    <font>
      <b/>
      <i/>
      <sz val="16"/>
      <color theme="1"/>
      <name val="Calibri"/>
      <scheme val="minor"/>
    </font>
    <font>
      <sz val="16"/>
      <color theme="1"/>
      <name val="Calibri"/>
      <family val="2"/>
      <scheme val="minor"/>
    </font>
    <font>
      <sz val="16"/>
      <color rgb="FF000000"/>
      <name val="Calibri"/>
      <scheme val="minor"/>
    </font>
    <font>
      <b/>
      <sz val="10"/>
      <color theme="1"/>
      <name val="Arial"/>
      <family val="2"/>
    </font>
    <font>
      <sz val="11"/>
      <color rgb="FF000000"/>
      <name val="Calibri"/>
      <scheme val="minor"/>
    </font>
    <font>
      <b/>
      <sz val="10"/>
      <color theme="1"/>
      <name val="Arial Unicode MS"/>
    </font>
    <font>
      <b/>
      <sz val="11"/>
      <color theme="0"/>
      <name val="Calibri"/>
      <family val="2"/>
      <scheme val="minor"/>
    </font>
    <font>
      <i/>
      <sz val="12"/>
      <color theme="1"/>
      <name val="Arial"/>
      <family val="2"/>
    </font>
    <font>
      <b/>
      <sz val="16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i/>
      <sz val="10"/>
      <color theme="1"/>
      <name val="Arial"/>
      <family val="2"/>
    </font>
    <font>
      <i/>
      <sz val="12"/>
      <color theme="1"/>
      <name val="Calibri"/>
      <scheme val="minor"/>
    </font>
    <font>
      <b/>
      <i/>
      <sz val="18"/>
      <color theme="1"/>
      <name val="Arial"/>
    </font>
    <font>
      <b/>
      <sz val="20"/>
      <color theme="1"/>
      <name val="Arial"/>
    </font>
    <font>
      <sz val="20"/>
      <color theme="1"/>
      <name val="Arial Black"/>
      <family val="2"/>
    </font>
    <font>
      <b/>
      <i/>
      <sz val="12"/>
      <color theme="1"/>
      <name val="Arial"/>
      <family val="2"/>
    </font>
    <font>
      <i/>
      <sz val="18"/>
      <color theme="1"/>
      <name val="Arial"/>
      <family val="2"/>
    </font>
    <font>
      <i/>
      <sz val="11"/>
      <color theme="1"/>
      <name val="Calibri"/>
      <scheme val="minor"/>
    </font>
    <font>
      <b/>
      <i/>
      <sz val="14"/>
      <color theme="1"/>
      <name val="Calibri"/>
      <scheme val="minor"/>
    </font>
    <font>
      <b/>
      <i/>
      <sz val="20"/>
      <color theme="1"/>
      <name val="Arial"/>
    </font>
    <font>
      <sz val="12"/>
      <color theme="1"/>
      <name val="Arial Black"/>
      <family val="2"/>
    </font>
    <font>
      <sz val="10"/>
      <color theme="1"/>
      <name val="Calibri"/>
      <family val="2"/>
      <scheme val="minor"/>
    </font>
    <font>
      <b/>
      <i/>
      <sz val="9"/>
      <color theme="1"/>
      <name val="Calibri"/>
      <scheme val="minor"/>
    </font>
    <font>
      <i/>
      <sz val="14"/>
      <color theme="1"/>
      <name val="Calibri"/>
      <scheme val="minor"/>
    </font>
    <font>
      <b/>
      <i/>
      <sz val="10"/>
      <color theme="1"/>
      <name val="Calibri"/>
      <scheme val="minor"/>
    </font>
    <font>
      <sz val="18"/>
      <color theme="1"/>
      <name val="Arial Black"/>
      <family val="2"/>
    </font>
    <font>
      <b/>
      <sz val="11"/>
      <color rgb="FF000000"/>
      <name val="Calibri"/>
      <family val="2"/>
      <scheme val="minor"/>
    </font>
    <font>
      <b/>
      <i/>
      <sz val="9"/>
      <color rgb="FF000000"/>
      <name val="Arial"/>
      <family val="2"/>
    </font>
    <font>
      <b/>
      <i/>
      <sz val="14"/>
      <color theme="1"/>
      <name val="Arial"/>
    </font>
    <font>
      <b/>
      <i/>
      <sz val="9"/>
      <color theme="1"/>
      <name val="Arial"/>
      <family val="2"/>
    </font>
    <font>
      <sz val="18"/>
      <color theme="0"/>
      <name val="Arial Black"/>
      <family val="2"/>
    </font>
    <font>
      <i/>
      <sz val="20"/>
      <color theme="1"/>
      <name val="Arial Black"/>
      <family val="2"/>
    </font>
    <font>
      <b/>
      <i/>
      <sz val="20"/>
      <color theme="1"/>
      <name val="Arial Black"/>
      <family val="2"/>
    </font>
    <font>
      <b/>
      <sz val="16"/>
      <color theme="0"/>
      <name val="Calibri"/>
      <family val="2"/>
      <scheme val="minor"/>
    </font>
    <font>
      <b/>
      <sz val="48"/>
      <color theme="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EFFBB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D9E1F2"/>
        <bgColor rgb="FFD9E1F2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rgb="FF000000"/>
      </patternFill>
    </fill>
  </fills>
  <borders count="46">
    <border>
      <left/>
      <right/>
      <top/>
      <bottom/>
      <diagonal/>
    </border>
    <border>
      <left style="medium">
        <color auto="1"/>
      </left>
      <right/>
      <top/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rgb="FF8EA9DB"/>
      </top>
      <bottom style="thin">
        <color rgb="FF8EA9DB"/>
      </bottom>
      <diagonal/>
    </border>
    <border>
      <left/>
      <right style="thin">
        <color rgb="FF8EA9DB"/>
      </right>
      <top style="thin">
        <color rgb="FF8EA9DB"/>
      </top>
      <bottom style="thin">
        <color rgb="FF8EA9DB"/>
      </bottom>
      <diagonal/>
    </border>
    <border>
      <left/>
      <right/>
      <top/>
      <bottom style="thin">
        <color theme="1"/>
      </bottom>
      <diagonal/>
    </border>
    <border>
      <left/>
      <right style="thick">
        <color theme="1"/>
      </right>
      <top/>
      <bottom/>
      <diagonal/>
    </border>
    <border>
      <left/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/>
      <right/>
      <top/>
      <bottom style="thick">
        <color theme="1"/>
      </bottom>
      <diagonal/>
    </border>
    <border>
      <left/>
      <right style="thin">
        <color theme="1"/>
      </right>
      <top/>
      <bottom/>
      <diagonal/>
    </border>
    <border>
      <left/>
      <right style="thin">
        <color theme="1"/>
      </right>
      <top/>
      <bottom style="thin">
        <color theme="1"/>
      </bottom>
      <diagonal/>
    </border>
    <border>
      <left/>
      <right/>
      <top style="thick">
        <color theme="1"/>
      </top>
      <bottom/>
      <diagonal/>
    </border>
    <border>
      <left/>
      <right style="thin">
        <color auto="1"/>
      </right>
      <top style="thin">
        <color theme="1"/>
      </top>
      <bottom/>
      <diagonal/>
    </border>
    <border>
      <left style="medium">
        <color theme="1"/>
      </left>
      <right/>
      <top style="medium">
        <color theme="1"/>
      </top>
      <bottom/>
      <diagonal/>
    </border>
    <border>
      <left style="medium">
        <color theme="1"/>
      </left>
      <right/>
      <top/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/>
      <top style="medium">
        <color theme="1"/>
      </top>
      <bottom/>
      <diagonal/>
    </border>
    <border>
      <left/>
      <right style="thick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/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23">
    <xf numFmtId="0" fontId="0" fillId="0" borderId="0" xfId="0"/>
    <xf numFmtId="0" fontId="5" fillId="2" borderId="1" xfId="0" applyFont="1" applyFill="1" applyBorder="1" applyAlignment="1">
      <alignment horizontal="right"/>
    </xf>
    <xf numFmtId="0" fontId="5" fillId="2" borderId="0" xfId="0" applyFont="1" applyFill="1" applyBorder="1" applyAlignment="1">
      <alignment horizontal="right"/>
    </xf>
    <xf numFmtId="0" fontId="5" fillId="2" borderId="2" xfId="0" applyFont="1" applyFill="1" applyBorder="1" applyAlignment="1">
      <alignment horizontal="left" vertical="center"/>
    </xf>
    <xf numFmtId="0" fontId="5" fillId="2" borderId="0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/>
    </xf>
    <xf numFmtId="0" fontId="0" fillId="3" borderId="4" xfId="0" applyFill="1" applyBorder="1"/>
    <xf numFmtId="0" fontId="7" fillId="3" borderId="5" xfId="0" applyFont="1" applyFill="1" applyBorder="1" applyAlignment="1">
      <alignment horizontal="center" vertical="center"/>
    </xf>
    <xf numFmtId="164" fontId="8" fillId="2" borderId="4" xfId="0" applyNumberFormat="1" applyFont="1" applyFill="1" applyBorder="1" applyAlignment="1">
      <alignment horizontal="center" vertical="center"/>
    </xf>
    <xf numFmtId="165" fontId="9" fillId="2" borderId="4" xfId="0" applyNumberFormat="1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165" fontId="9" fillId="2" borderId="4" xfId="0" applyNumberFormat="1" applyFont="1" applyFill="1" applyBorder="1" applyAlignment="1">
      <alignment horizontal="center" vertical="center"/>
    </xf>
    <xf numFmtId="166" fontId="9" fillId="2" borderId="4" xfId="0" applyNumberFormat="1" applyFont="1" applyFill="1" applyBorder="1" applyAlignment="1">
      <alignment horizontal="center" vertical="center"/>
    </xf>
    <xf numFmtId="0" fontId="9" fillId="2" borderId="7" xfId="0" applyFont="1" applyFill="1" applyBorder="1" applyAlignment="1">
      <alignment horizontal="center" vertical="center"/>
    </xf>
    <xf numFmtId="167" fontId="3" fillId="2" borderId="4" xfId="0" applyNumberFormat="1" applyFont="1" applyFill="1" applyBorder="1" applyAlignment="1">
      <alignment horizontal="center" vertical="center"/>
    </xf>
    <xf numFmtId="168" fontId="6" fillId="2" borderId="4" xfId="0" applyNumberFormat="1" applyFont="1" applyFill="1" applyBorder="1" applyAlignment="1">
      <alignment horizontal="center" vertical="center"/>
    </xf>
    <xf numFmtId="169" fontId="6" fillId="2" borderId="4" xfId="0" applyNumberFormat="1" applyFont="1" applyFill="1" applyBorder="1" applyAlignment="1">
      <alignment horizontal="center" vertical="center"/>
    </xf>
    <xf numFmtId="170" fontId="8" fillId="3" borderId="6" xfId="0" applyNumberFormat="1" applyFont="1" applyFill="1" applyBorder="1" applyAlignment="1">
      <alignment horizontal="center" vertical="center"/>
    </xf>
    <xf numFmtId="170" fontId="8" fillId="3" borderId="7" xfId="0" applyNumberFormat="1" applyFont="1" applyFill="1" applyBorder="1" applyAlignment="1">
      <alignment horizontal="center" vertical="center"/>
    </xf>
    <xf numFmtId="171" fontId="9" fillId="3" borderId="4" xfId="0" applyNumberFormat="1" applyFont="1" applyFill="1" applyBorder="1" applyAlignment="1">
      <alignment horizontal="center" vertical="center"/>
    </xf>
    <xf numFmtId="0" fontId="9" fillId="2" borderId="4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172" fontId="3" fillId="3" borderId="4" xfId="0" applyNumberFormat="1" applyFont="1" applyFill="1" applyBorder="1" applyAlignment="1">
      <alignment horizontal="center" vertical="center"/>
    </xf>
    <xf numFmtId="173" fontId="6" fillId="3" borderId="4" xfId="0" applyNumberFormat="1" applyFont="1" applyFill="1" applyBorder="1" applyAlignment="1">
      <alignment horizontal="center" vertical="center"/>
    </xf>
    <xf numFmtId="169" fontId="6" fillId="3" borderId="4" xfId="0" applyNumberFormat="1" applyFont="1" applyFill="1" applyBorder="1" applyAlignment="1">
      <alignment horizontal="center" vertical="center"/>
    </xf>
    <xf numFmtId="167" fontId="0" fillId="0" borderId="0" xfId="0" applyNumberFormat="1" applyFill="1" applyBorder="1" applyAlignment="1">
      <alignment vertical="center"/>
    </xf>
    <xf numFmtId="14" fontId="0" fillId="2" borderId="4" xfId="0" applyNumberFormat="1" applyFill="1" applyBorder="1" applyAlignment="1">
      <alignment horizontal="center" vertical="center"/>
    </xf>
    <xf numFmtId="0" fontId="9" fillId="3" borderId="4" xfId="0" applyFont="1" applyFill="1" applyBorder="1" applyAlignment="1">
      <alignment horizontal="center" vertical="center"/>
    </xf>
    <xf numFmtId="0" fontId="10" fillId="2" borderId="4" xfId="0" applyFont="1" applyFill="1" applyBorder="1" applyAlignment="1">
      <alignment horizontal="center" vertical="center"/>
    </xf>
    <xf numFmtId="0" fontId="11" fillId="2" borderId="4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169" fontId="6" fillId="2" borderId="5" xfId="0" applyNumberFormat="1" applyFont="1" applyFill="1" applyBorder="1" applyAlignment="1">
      <alignment horizontal="center" vertical="center"/>
    </xf>
    <xf numFmtId="0" fontId="11" fillId="3" borderId="4" xfId="0" applyFont="1" applyFill="1" applyBorder="1" applyAlignment="1">
      <alignment horizontal="center" vertical="center"/>
    </xf>
    <xf numFmtId="0" fontId="0" fillId="3" borderId="4" xfId="0" applyFill="1" applyBorder="1" applyAlignment="1">
      <alignment horizontal="center"/>
    </xf>
    <xf numFmtId="1" fontId="9" fillId="3" borderId="4" xfId="0" applyNumberFormat="1" applyFont="1" applyFill="1" applyBorder="1" applyAlignment="1">
      <alignment horizontal="center" vertical="center"/>
    </xf>
    <xf numFmtId="0" fontId="12" fillId="3" borderId="8" xfId="0" applyFont="1" applyFill="1" applyBorder="1" applyAlignment="1">
      <alignment horizontal="center" vertical="center"/>
    </xf>
    <xf numFmtId="167" fontId="9" fillId="3" borderId="9" xfId="0" applyNumberFormat="1" applyFont="1" applyFill="1" applyBorder="1" applyAlignment="1">
      <alignment horizontal="center" vertical="center"/>
    </xf>
    <xf numFmtId="174" fontId="13" fillId="3" borderId="7" xfId="0" applyNumberFormat="1" applyFont="1" applyFill="1" applyBorder="1" applyAlignment="1">
      <alignment horizontal="center" vertical="center"/>
    </xf>
    <xf numFmtId="175" fontId="13" fillId="3" borderId="4" xfId="0" applyNumberFormat="1" applyFont="1" applyFill="1" applyBorder="1" applyAlignment="1">
      <alignment horizontal="center" vertical="center"/>
    </xf>
    <xf numFmtId="0" fontId="11" fillId="2" borderId="10" xfId="0" applyFont="1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14" fillId="2" borderId="10" xfId="0" applyFont="1" applyFill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3" fillId="3" borderId="11" xfId="0" applyFont="1" applyFill="1" applyBorder="1" applyAlignment="1">
      <alignment horizontal="right" vertical="center"/>
    </xf>
    <xf numFmtId="176" fontId="3" fillId="3" borderId="12" xfId="0" applyNumberFormat="1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15" fillId="3" borderId="4" xfId="0" applyFont="1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4" xfId="0" applyFill="1" applyBorder="1" applyAlignment="1">
      <alignment horizontal="center" vertical="center"/>
    </xf>
    <xf numFmtId="0" fontId="15" fillId="2" borderId="4" xfId="0" applyFont="1" applyFill="1" applyBorder="1" applyAlignment="1">
      <alignment horizontal="center"/>
    </xf>
    <xf numFmtId="0" fontId="11" fillId="2" borderId="4" xfId="0" applyFont="1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14" fillId="2" borderId="4" xfId="0" applyFont="1" applyFill="1" applyBorder="1" applyAlignment="1">
      <alignment horizontal="center"/>
    </xf>
    <xf numFmtId="0" fontId="11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4" fillId="0" borderId="0" xfId="0" applyFont="1" applyFill="1" applyBorder="1" applyAlignment="1">
      <alignment horizontal="center"/>
    </xf>
    <xf numFmtId="0" fontId="12" fillId="0" borderId="13" xfId="0" applyFont="1" applyFill="1" applyBorder="1" applyAlignment="1">
      <alignment horizontal="center" vertical="center"/>
    </xf>
    <xf numFmtId="0" fontId="12" fillId="0" borderId="2" xfId="0" applyFont="1" applyFill="1" applyBorder="1" applyAlignment="1">
      <alignment horizontal="center" vertical="center"/>
    </xf>
    <xf numFmtId="0" fontId="12" fillId="0" borderId="14" xfId="0" applyFont="1" applyFill="1" applyBorder="1" applyAlignment="1">
      <alignment vertical="center"/>
    </xf>
    <xf numFmtId="0" fontId="12" fillId="0" borderId="0" xfId="0" applyFont="1" applyFill="1" applyBorder="1" applyAlignment="1">
      <alignment vertical="center"/>
    </xf>
    <xf numFmtId="0" fontId="12" fillId="0" borderId="15" xfId="0" applyFont="1" applyFill="1" applyBorder="1" applyAlignment="1">
      <alignment horizontal="center" vertical="center"/>
    </xf>
    <xf numFmtId="0" fontId="12" fillId="0" borderId="16" xfId="0" applyFont="1" applyFill="1" applyBorder="1" applyAlignment="1">
      <alignment horizontal="center" vertical="center"/>
    </xf>
    <xf numFmtId="0" fontId="12" fillId="0" borderId="17" xfId="0" applyFont="1" applyFill="1" applyBorder="1" applyAlignment="1">
      <alignment vertical="center"/>
    </xf>
    <xf numFmtId="0" fontId="0" fillId="0" borderId="0" xfId="0" applyBorder="1"/>
    <xf numFmtId="0" fontId="11" fillId="0" borderId="18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164" fontId="8" fillId="4" borderId="2" xfId="0" applyNumberFormat="1" applyFont="1" applyFill="1" applyBorder="1" applyAlignment="1">
      <alignment horizontal="center"/>
    </xf>
    <xf numFmtId="164" fontId="8" fillId="4" borderId="19" xfId="0" applyNumberFormat="1" applyFont="1" applyFill="1" applyBorder="1" applyAlignment="1">
      <alignment horizontal="center"/>
    </xf>
    <xf numFmtId="0" fontId="1" fillId="4" borderId="20" xfId="0" applyFont="1" applyFill="1" applyBorder="1" applyAlignment="1">
      <alignment horizontal="center" vertical="center"/>
    </xf>
    <xf numFmtId="177" fontId="8" fillId="0" borderId="20" xfId="0" applyNumberFormat="1" applyFont="1" applyBorder="1"/>
    <xf numFmtId="0" fontId="9" fillId="4" borderId="21" xfId="0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178" fontId="8" fillId="0" borderId="4" xfId="0" applyNumberFormat="1" applyFont="1" applyBorder="1"/>
    <xf numFmtId="168" fontId="9" fillId="4" borderId="22" xfId="0" applyNumberFormat="1" applyFont="1" applyFill="1" applyBorder="1" applyAlignment="1">
      <alignment horizontal="center" vertical="center"/>
    </xf>
    <xf numFmtId="0" fontId="0" fillId="4" borderId="0" xfId="0" applyFill="1"/>
    <xf numFmtId="0" fontId="1" fillId="4" borderId="4" xfId="0" applyFont="1" applyFill="1" applyBorder="1" applyAlignment="1">
      <alignment vertical="center"/>
    </xf>
    <xf numFmtId="177" fontId="8" fillId="0" borderId="4" xfId="0" applyNumberFormat="1" applyFont="1" applyBorder="1"/>
    <xf numFmtId="0" fontId="16" fillId="4" borderId="0" xfId="0" applyFont="1" applyFill="1"/>
    <xf numFmtId="0" fontId="8" fillId="4" borderId="23" xfId="0" applyFont="1" applyFill="1" applyBorder="1" applyAlignment="1">
      <alignment horizontal="center"/>
    </xf>
    <xf numFmtId="0" fontId="8" fillId="4" borderId="4" xfId="0" applyFont="1" applyFill="1" applyBorder="1" applyAlignment="1">
      <alignment horizontal="center"/>
    </xf>
    <xf numFmtId="0" fontId="0" fillId="4" borderId="1" xfId="0" applyFill="1" applyBorder="1"/>
    <xf numFmtId="0" fontId="0" fillId="4" borderId="0" xfId="0" applyFill="1" applyBorder="1"/>
    <xf numFmtId="0" fontId="0" fillId="4" borderId="21" xfId="0" applyFill="1" applyBorder="1"/>
    <xf numFmtId="179" fontId="17" fillId="0" borderId="7" xfId="0" applyNumberFormat="1" applyFont="1" applyBorder="1"/>
    <xf numFmtId="180" fontId="18" fillId="0" borderId="4" xfId="0" applyNumberFormat="1" applyFont="1" applyBorder="1"/>
    <xf numFmtId="181" fontId="19" fillId="0" borderId="4" xfId="0" applyNumberFormat="1" applyFont="1" applyBorder="1"/>
    <xf numFmtId="182" fontId="18" fillId="0" borderId="4" xfId="0" applyNumberFormat="1" applyFont="1" applyBorder="1"/>
    <xf numFmtId="0" fontId="0" fillId="4" borderId="24" xfId="0" applyFill="1" applyBorder="1"/>
    <xf numFmtId="181" fontId="18" fillId="0" borderId="4" xfId="0" applyNumberFormat="1" applyFont="1" applyBorder="1"/>
    <xf numFmtId="0" fontId="0" fillId="4" borderId="25" xfId="0" applyFill="1" applyBorder="1"/>
    <xf numFmtId="179" fontId="17" fillId="0" borderId="0" xfId="0" applyNumberFormat="1" applyFont="1" applyBorder="1"/>
    <xf numFmtId="181" fontId="18" fillId="0" borderId="0" xfId="0" applyNumberFormat="1" applyFont="1" applyBorder="1"/>
    <xf numFmtId="0" fontId="0" fillId="4" borderId="26" xfId="0" applyFill="1" applyBorder="1"/>
    <xf numFmtId="179" fontId="17" fillId="4" borderId="0" xfId="0" applyNumberFormat="1" applyFont="1" applyFill="1" applyBorder="1"/>
    <xf numFmtId="180" fontId="18" fillId="4" borderId="0" xfId="0" applyNumberFormat="1" applyFont="1" applyFill="1" applyBorder="1"/>
    <xf numFmtId="181" fontId="18" fillId="4" borderId="0" xfId="0" applyNumberFormat="1" applyFont="1" applyFill="1" applyBorder="1"/>
    <xf numFmtId="182" fontId="18" fillId="4" borderId="0" xfId="0" applyNumberFormat="1" applyFont="1" applyFill="1" applyBorder="1"/>
    <xf numFmtId="172" fontId="17" fillId="0" borderId="0" xfId="0" applyNumberFormat="1" applyFont="1" applyBorder="1"/>
    <xf numFmtId="172" fontId="17" fillId="0" borderId="7" xfId="0" applyNumberFormat="1" applyFont="1" applyBorder="1"/>
    <xf numFmtId="0" fontId="0" fillId="4" borderId="27" xfId="0" applyFill="1" applyBorder="1"/>
    <xf numFmtId="179" fontId="17" fillId="0" borderId="4" xfId="0" applyNumberFormat="1" applyFont="1" applyBorder="1"/>
    <xf numFmtId="0" fontId="0" fillId="4" borderId="18" xfId="0" applyFill="1" applyBorder="1"/>
    <xf numFmtId="0" fontId="0" fillId="0" borderId="1" xfId="0" applyBorder="1"/>
    <xf numFmtId="0" fontId="8" fillId="4" borderId="4" xfId="0" applyFont="1" applyFill="1" applyBorder="1"/>
    <xf numFmtId="180" fontId="18" fillId="0" borderId="4" xfId="0" applyNumberFormat="1" applyFont="1" applyFill="1" applyBorder="1"/>
    <xf numFmtId="181" fontId="18" fillId="0" borderId="4" xfId="0" applyNumberFormat="1" applyFont="1" applyFill="1" applyBorder="1"/>
    <xf numFmtId="181" fontId="18" fillId="0" borderId="0" xfId="0" applyNumberFormat="1" applyFont="1" applyFill="1" applyBorder="1"/>
    <xf numFmtId="182" fontId="18" fillId="0" borderId="0" xfId="0" applyNumberFormat="1" applyFont="1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1" fontId="0" fillId="0" borderId="0" xfId="0" applyNumberFormat="1"/>
    <xf numFmtId="170" fontId="0" fillId="0" borderId="0" xfId="0" applyNumberFormat="1"/>
    <xf numFmtId="182" fontId="0" fillId="0" borderId="0" xfId="0" applyNumberFormat="1"/>
    <xf numFmtId="0" fontId="0" fillId="0" borderId="0" xfId="0" applyAlignment="1">
      <alignment horizontal="center" vertical="center"/>
    </xf>
    <xf numFmtId="0" fontId="11" fillId="0" borderId="0" xfId="0" applyFont="1"/>
    <xf numFmtId="184" fontId="20" fillId="0" borderId="0" xfId="0" applyNumberFormat="1" applyFont="1" applyBorder="1" applyAlignment="1">
      <alignment wrapText="1"/>
    </xf>
    <xf numFmtId="185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4" fontId="0" fillId="0" borderId="0" xfId="0" applyNumberFormat="1"/>
    <xf numFmtId="186" fontId="21" fillId="0" borderId="0" xfId="0" applyNumberFormat="1" applyFont="1" applyBorder="1"/>
    <xf numFmtId="184" fontId="0" fillId="0" borderId="0" xfId="0" applyNumberFormat="1"/>
    <xf numFmtId="187" fontId="20" fillId="0" borderId="28" xfId="0" applyNumberFormat="1" applyFont="1" applyBorder="1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0" xfId="0" applyNumberFormat="1" applyAlignment="1">
      <alignment horizontal="center" vertical="center" wrapText="1"/>
    </xf>
    <xf numFmtId="188" fontId="0" fillId="0" borderId="0" xfId="0" applyNumberFormat="1" applyBorder="1"/>
    <xf numFmtId="49" fontId="0" fillId="0" borderId="0" xfId="0" applyNumberFormat="1" applyAlignment="1">
      <alignment horizontal="right"/>
    </xf>
    <xf numFmtId="49" fontId="0" fillId="0" borderId="0" xfId="0" applyNumberFormat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188" fontId="0" fillId="0" borderId="0" xfId="0" applyNumberFormat="1"/>
    <xf numFmtId="49" fontId="11" fillId="0" borderId="0" xfId="0" applyNumberFormat="1" applyFont="1" applyAlignment="1">
      <alignment horizontal="center" vertical="center"/>
    </xf>
    <xf numFmtId="3" fontId="21" fillId="6" borderId="29" xfId="0" applyNumberFormat="1" applyFont="1" applyFill="1" applyBorder="1" applyAlignment="1">
      <alignment horizontal="center" vertical="center"/>
    </xf>
    <xf numFmtId="185" fontId="21" fillId="6" borderId="0" xfId="0" applyNumberFormat="1" applyFont="1" applyFill="1" applyBorder="1" applyAlignment="1">
      <alignment horizontal="center" vertical="center"/>
    </xf>
    <xf numFmtId="186" fontId="0" fillId="0" borderId="0" xfId="0" applyNumberFormat="1"/>
    <xf numFmtId="0" fontId="22" fillId="0" borderId="0" xfId="0" applyFont="1"/>
    <xf numFmtId="189" fontId="0" fillId="0" borderId="0" xfId="0" applyNumberFormat="1"/>
    <xf numFmtId="190" fontId="0" fillId="0" borderId="0" xfId="0" applyNumberFormat="1"/>
    <xf numFmtId="0" fontId="0" fillId="0" borderId="0" xfId="0" applyFill="1"/>
    <xf numFmtId="0" fontId="6" fillId="3" borderId="4" xfId="0" applyFont="1" applyFill="1" applyBorder="1" applyAlignment="1">
      <alignment vertical="center"/>
    </xf>
    <xf numFmtId="0" fontId="2" fillId="3" borderId="4" xfId="0" applyFont="1" applyFill="1" applyBorder="1" applyAlignment="1">
      <alignment horizontal="center" vertical="center"/>
    </xf>
    <xf numFmtId="0" fontId="24" fillId="3" borderId="4" xfId="0" applyFont="1" applyFill="1" applyBorder="1" applyAlignment="1">
      <alignment horizontal="left" vertical="top"/>
    </xf>
    <xf numFmtId="1" fontId="3" fillId="3" borderId="0" xfId="0" applyNumberFormat="1" applyFont="1" applyFill="1" applyBorder="1" applyAlignment="1">
      <alignment horizontal="center" vertical="center"/>
    </xf>
    <xf numFmtId="0" fontId="0" fillId="3" borderId="0" xfId="0" applyFill="1" applyBorder="1"/>
    <xf numFmtId="0" fontId="25" fillId="3" borderId="30" xfId="0" applyFont="1" applyFill="1" applyBorder="1" applyAlignment="1">
      <alignment horizontal="center" vertical="center"/>
    </xf>
    <xf numFmtId="0" fontId="0" fillId="0" borderId="0" xfId="0" applyFill="1" applyBorder="1"/>
    <xf numFmtId="0" fontId="26" fillId="0" borderId="0" xfId="0" applyFont="1" applyFill="1" applyBorder="1" applyAlignment="1">
      <alignment horizontal="center" vertical="center"/>
    </xf>
    <xf numFmtId="0" fontId="23" fillId="0" borderId="0" xfId="0" applyFont="1" applyFill="1" applyBorder="1"/>
    <xf numFmtId="0" fontId="27" fillId="3" borderId="4" xfId="0" applyFont="1" applyFill="1" applyBorder="1" applyAlignment="1">
      <alignment horizontal="center" vertical="center"/>
    </xf>
    <xf numFmtId="0" fontId="28" fillId="3" borderId="4" xfId="0" applyFont="1" applyFill="1" applyBorder="1" applyAlignment="1">
      <alignment horizontal="center" vertical="center"/>
    </xf>
    <xf numFmtId="1" fontId="6" fillId="0" borderId="0" xfId="0" applyNumberFormat="1" applyFont="1" applyFill="1" applyBorder="1" applyAlignment="1">
      <alignment horizontal="center" vertical="top"/>
    </xf>
    <xf numFmtId="0" fontId="11" fillId="3" borderId="31" xfId="0" applyFont="1" applyFill="1" applyBorder="1" applyAlignment="1">
      <alignment vertical="center"/>
    </xf>
    <xf numFmtId="0" fontId="29" fillId="0" borderId="32" xfId="0" applyFont="1" applyFill="1" applyBorder="1" applyAlignment="1">
      <alignment horizontal="center" vertical="center"/>
    </xf>
    <xf numFmtId="0" fontId="0" fillId="0" borderId="33" xfId="0" applyFill="1" applyBorder="1"/>
    <xf numFmtId="0" fontId="0" fillId="0" borderId="0" xfId="0" applyFont="1" applyFill="1" applyBorder="1"/>
    <xf numFmtId="0" fontId="26" fillId="0" borderId="0" xfId="0" applyFont="1" applyFill="1" applyBorder="1" applyAlignment="1">
      <alignment horizontal="center" vertical="center"/>
    </xf>
    <xf numFmtId="0" fontId="6" fillId="3" borderId="4" xfId="0" applyFont="1" applyFill="1" applyBorder="1" applyAlignment="1">
      <alignment horizontal="right" vertical="center"/>
    </xf>
    <xf numFmtId="0" fontId="30" fillId="3" borderId="4" xfId="0" applyFont="1" applyFill="1" applyBorder="1" applyAlignment="1">
      <alignment horizontal="right" vertical="center"/>
    </xf>
    <xf numFmtId="0" fontId="24" fillId="3" borderId="4" xfId="0" applyFont="1" applyFill="1" applyBorder="1" applyAlignment="1">
      <alignment horizontal="right" vertical="center"/>
    </xf>
    <xf numFmtId="0" fontId="11" fillId="3" borderId="34" xfId="0" applyFont="1" applyFill="1" applyBorder="1" applyAlignment="1">
      <alignment vertical="center"/>
    </xf>
    <xf numFmtId="0" fontId="20" fillId="0" borderId="0" xfId="0" applyFont="1" applyFill="1" applyBorder="1" applyAlignment="1">
      <alignment horizontal="center" vertical="center"/>
    </xf>
    <xf numFmtId="2" fontId="31" fillId="0" borderId="35" xfId="0" applyNumberFormat="1" applyFont="1" applyFill="1" applyBorder="1" applyAlignment="1">
      <alignment vertical="center"/>
    </xf>
    <xf numFmtId="0" fontId="12" fillId="2" borderId="13" xfId="0" applyFont="1" applyFill="1" applyBorder="1" applyAlignment="1">
      <alignment horizontal="center" vertical="center"/>
    </xf>
    <xf numFmtId="0" fontId="0" fillId="2" borderId="4" xfId="0" applyFill="1" applyBorder="1"/>
    <xf numFmtId="174" fontId="0" fillId="2" borderId="4" xfId="0" applyNumberFormat="1" applyFill="1" applyBorder="1"/>
    <xf numFmtId="174" fontId="32" fillId="2" borderId="4" xfId="0" applyNumberFormat="1" applyFont="1" applyFill="1" applyBorder="1" applyAlignment="1">
      <alignment horizontal="center" vertical="center"/>
    </xf>
    <xf numFmtId="1" fontId="8" fillId="2" borderId="4" xfId="0" applyNumberFormat="1" applyFont="1" applyFill="1" applyBorder="1" applyAlignment="1">
      <alignment horizontal="center" vertical="center"/>
    </xf>
    <xf numFmtId="191" fontId="24" fillId="2" borderId="6" xfId="0" applyNumberFormat="1" applyFont="1" applyFill="1" applyBorder="1" applyAlignment="1">
      <alignment horizontal="left" vertical="top"/>
    </xf>
    <xf numFmtId="192" fontId="33" fillId="2" borderId="4" xfId="0" applyNumberFormat="1" applyFont="1" applyFill="1" applyBorder="1" applyAlignment="1">
      <alignment horizontal="center" vertical="center"/>
    </xf>
    <xf numFmtId="192" fontId="33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/>
    <xf numFmtId="0" fontId="34" fillId="0" borderId="0" xfId="0" applyFont="1" applyBorder="1" applyAlignment="1"/>
    <xf numFmtId="0" fontId="35" fillId="0" borderId="35" xfId="0" applyFont="1" applyBorder="1"/>
    <xf numFmtId="0" fontId="6" fillId="0" borderId="0" xfId="0" applyFont="1" applyFill="1" applyBorder="1" applyAlignment="1">
      <alignment horizontal="center"/>
    </xf>
    <xf numFmtId="0" fontId="12" fillId="2" borderId="1" xfId="0" applyFont="1" applyFill="1" applyBorder="1" applyAlignment="1">
      <alignment horizontal="center" vertical="center"/>
    </xf>
    <xf numFmtId="1" fontId="32" fillId="2" borderId="4" xfId="0" applyNumberFormat="1" applyFont="1" applyFill="1" applyBorder="1" applyAlignment="1">
      <alignment horizontal="center" vertical="center"/>
    </xf>
    <xf numFmtId="191" fontId="32" fillId="2" borderId="6" xfId="0" applyNumberFormat="1" applyFont="1" applyFill="1" applyBorder="1" applyAlignment="1">
      <alignment horizontal="center" vertical="center"/>
    </xf>
    <xf numFmtId="0" fontId="0" fillId="0" borderId="30" xfId="0" applyBorder="1" applyAlignment="1"/>
    <xf numFmtId="0" fontId="34" fillId="0" borderId="30" xfId="0" applyFont="1" applyBorder="1" applyAlignment="1"/>
    <xf numFmtId="2" fontId="35" fillId="0" borderId="36" xfId="0" applyNumberFormat="1" applyFont="1" applyFill="1" applyBorder="1" applyAlignment="1">
      <alignment horizontal="right" vertical="center"/>
    </xf>
    <xf numFmtId="0" fontId="6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11" fillId="2" borderId="37" xfId="0" applyFont="1" applyFill="1" applyBorder="1" applyAlignment="1">
      <alignment vertical="center"/>
    </xf>
    <xf numFmtId="0" fontId="29" fillId="0" borderId="0" xfId="0" applyFont="1" applyFill="1" applyBorder="1" applyAlignment="1">
      <alignment horizontal="center" vertical="center"/>
    </xf>
    <xf numFmtId="0" fontId="31" fillId="0" borderId="35" xfId="0" applyFont="1" applyBorder="1" applyAlignment="1">
      <alignment vertical="center"/>
    </xf>
    <xf numFmtId="0" fontId="12" fillId="2" borderId="15" xfId="0" applyFont="1" applyFill="1" applyBorder="1" applyAlignment="1">
      <alignment horizontal="center" vertical="center"/>
    </xf>
    <xf numFmtId="0" fontId="24" fillId="2" borderId="4" xfId="0" applyFont="1" applyFill="1" applyBorder="1" applyAlignment="1">
      <alignment horizontal="right"/>
    </xf>
    <xf numFmtId="174" fontId="24" fillId="2" borderId="4" xfId="0" applyNumberFormat="1" applyFont="1" applyFill="1" applyBorder="1" applyAlignment="1">
      <alignment horizontal="right"/>
    </xf>
    <xf numFmtId="191" fontId="24" fillId="2" borderId="6" xfId="0" applyNumberFormat="1" applyFont="1" applyFill="1" applyBorder="1" applyAlignment="1">
      <alignment horizontal="right"/>
    </xf>
    <xf numFmtId="0" fontId="11" fillId="2" borderId="34" xfId="0" applyFont="1" applyFill="1" applyBorder="1" applyAlignment="1">
      <alignment vertical="center"/>
    </xf>
    <xf numFmtId="0" fontId="36" fillId="0" borderId="0" xfId="0" applyFont="1" applyFill="1" applyBorder="1" applyAlignment="1">
      <alignment horizontal="center"/>
    </xf>
    <xf numFmtId="0" fontId="0" fillId="0" borderId="35" xfId="0" applyFill="1" applyBorder="1"/>
    <xf numFmtId="0" fontId="12" fillId="2" borderId="1" xfId="0" applyFont="1" applyFill="1" applyBorder="1" applyAlignment="1">
      <alignment horizontal="center" vertical="center"/>
    </xf>
    <xf numFmtId="174" fontId="37" fillId="2" borderId="4" xfId="0" applyNumberFormat="1" applyFont="1" applyFill="1" applyBorder="1" applyAlignment="1">
      <alignment vertical="center"/>
    </xf>
    <xf numFmtId="174" fontId="38" fillId="2" borderId="4" xfId="0" applyNumberFormat="1" applyFont="1" applyFill="1" applyBorder="1" applyAlignment="1">
      <alignment vertical="center"/>
    </xf>
    <xf numFmtId="191" fontId="8" fillId="2" borderId="4" xfId="0" applyNumberFormat="1" applyFont="1" applyFill="1" applyBorder="1" applyAlignment="1">
      <alignment vertical="center"/>
    </xf>
    <xf numFmtId="192" fontId="39" fillId="2" borderId="0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36" fillId="0" borderId="0" xfId="0" applyFont="1" applyFill="1" applyBorder="1" applyAlignment="1">
      <alignment horizontal="center" vertical="center"/>
    </xf>
    <xf numFmtId="0" fontId="27" fillId="0" borderId="0" xfId="0" applyFont="1" applyFill="1" applyBorder="1" applyAlignment="1">
      <alignment vertical="center"/>
    </xf>
    <xf numFmtId="0" fontId="0" fillId="0" borderId="35" xfId="0" applyFill="1" applyBorder="1" applyAlignment="1">
      <alignment horizontal="center" vertical="center"/>
    </xf>
    <xf numFmtId="0" fontId="12" fillId="4" borderId="1" xfId="0" applyFont="1" applyFill="1" applyBorder="1" applyAlignment="1">
      <alignment horizontal="center" vertical="center"/>
    </xf>
    <xf numFmtId="0" fontId="0" fillId="7" borderId="4" xfId="0" applyFill="1" applyBorder="1"/>
    <xf numFmtId="174" fontId="37" fillId="7" borderId="4" xfId="0" applyNumberFormat="1" applyFont="1" applyFill="1" applyBorder="1" applyAlignment="1">
      <alignment vertical="center"/>
    </xf>
    <xf numFmtId="174" fontId="38" fillId="7" borderId="4" xfId="0" applyNumberFormat="1" applyFont="1" applyFill="1" applyBorder="1" applyAlignment="1">
      <alignment vertical="center"/>
    </xf>
    <xf numFmtId="191" fontId="8" fillId="7" borderId="4" xfId="0" applyNumberFormat="1" applyFont="1" applyFill="1" applyBorder="1" applyAlignment="1">
      <alignment vertical="center"/>
    </xf>
    <xf numFmtId="192" fontId="39" fillId="7" borderId="0" xfId="0" applyNumberFormat="1" applyFont="1" applyFill="1" applyBorder="1" applyAlignment="1">
      <alignment horizontal="center" vertical="center"/>
    </xf>
    <xf numFmtId="0" fontId="36" fillId="0" borderId="0" xfId="0" applyFont="1" applyFill="1" applyBorder="1"/>
    <xf numFmtId="0" fontId="40" fillId="0" borderId="0" xfId="0" applyFont="1" applyFill="1" applyBorder="1"/>
    <xf numFmtId="0" fontId="12" fillId="3" borderId="13" xfId="0" applyFont="1" applyFill="1" applyBorder="1" applyAlignment="1">
      <alignment horizontal="center" vertical="center"/>
    </xf>
    <xf numFmtId="174" fontId="37" fillId="3" borderId="4" xfId="0" applyNumberFormat="1" applyFont="1" applyFill="1" applyBorder="1" applyAlignment="1">
      <alignment vertical="center"/>
    </xf>
    <xf numFmtId="174" fontId="32" fillId="3" borderId="4" xfId="0" applyNumberFormat="1" applyFont="1" applyFill="1" applyBorder="1" applyAlignment="1">
      <alignment horizontal="center" vertical="center"/>
    </xf>
    <xf numFmtId="1" fontId="8" fillId="3" borderId="4" xfId="0" applyNumberFormat="1" applyFont="1" applyFill="1" applyBorder="1" applyAlignment="1">
      <alignment horizontal="center" vertical="center"/>
    </xf>
    <xf numFmtId="191" fontId="24" fillId="3" borderId="4" xfId="0" applyNumberFormat="1" applyFont="1" applyFill="1" applyBorder="1" applyAlignment="1">
      <alignment horizontal="left" vertical="top"/>
    </xf>
    <xf numFmtId="192" fontId="33" fillId="3" borderId="4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35" xfId="0" applyBorder="1"/>
    <xf numFmtId="0" fontId="12" fillId="3" borderId="1" xfId="0" applyFont="1" applyFill="1" applyBorder="1" applyAlignment="1">
      <alignment horizontal="center" vertical="center"/>
    </xf>
    <xf numFmtId="1" fontId="32" fillId="3" borderId="4" xfId="0" applyNumberFormat="1" applyFont="1" applyFill="1" applyBorder="1" applyAlignment="1">
      <alignment horizontal="center" vertical="center"/>
    </xf>
    <xf numFmtId="191" fontId="32" fillId="3" borderId="4" xfId="0" applyNumberFormat="1" applyFont="1" applyFill="1" applyBorder="1" applyAlignment="1">
      <alignment horizontal="center" vertical="center"/>
    </xf>
    <xf numFmtId="0" fontId="0" fillId="0" borderId="30" xfId="0" applyBorder="1" applyAlignment="1">
      <alignment horizontal="center"/>
    </xf>
    <xf numFmtId="0" fontId="35" fillId="0" borderId="36" xfId="0" applyFont="1" applyFill="1" applyBorder="1" applyAlignment="1">
      <alignment horizontal="right" vertical="center" wrapText="1"/>
    </xf>
    <xf numFmtId="0" fontId="11" fillId="3" borderId="37" xfId="0" applyFont="1" applyFill="1" applyBorder="1" applyAlignment="1">
      <alignment vertical="center"/>
    </xf>
    <xf numFmtId="0" fontId="0" fillId="0" borderId="38" xfId="0" applyBorder="1"/>
    <xf numFmtId="0" fontId="12" fillId="3" borderId="15" xfId="0" applyFont="1" applyFill="1" applyBorder="1" applyAlignment="1">
      <alignment horizontal="center" vertical="center"/>
    </xf>
    <xf numFmtId="0" fontId="24" fillId="3" borderId="4" xfId="0" applyFont="1" applyFill="1" applyBorder="1" applyAlignment="1">
      <alignment horizontal="right"/>
    </xf>
    <xf numFmtId="174" fontId="24" fillId="3" borderId="4" xfId="0" applyNumberFormat="1" applyFont="1" applyFill="1" applyBorder="1" applyAlignment="1">
      <alignment horizontal="right"/>
    </xf>
    <xf numFmtId="191" fontId="24" fillId="3" borderId="4" xfId="0" applyNumberFormat="1" applyFont="1" applyFill="1" applyBorder="1" applyAlignment="1">
      <alignment horizontal="right"/>
    </xf>
    <xf numFmtId="0" fontId="15" fillId="0" borderId="0" xfId="0" applyFont="1" applyFill="1" applyBorder="1" applyAlignment="1">
      <alignment horizontal="center" vertical="center"/>
    </xf>
    <xf numFmtId="0" fontId="41" fillId="0" borderId="35" xfId="0" applyFont="1" applyFill="1" applyBorder="1" applyAlignment="1">
      <alignment vertical="center" wrapText="1"/>
    </xf>
    <xf numFmtId="191" fontId="24" fillId="2" borderId="4" xfId="0" applyNumberFormat="1" applyFont="1" applyFill="1" applyBorder="1" applyAlignment="1">
      <alignment horizontal="left" vertical="top"/>
    </xf>
    <xf numFmtId="0" fontId="32" fillId="2" borderId="4" xfId="0" applyFont="1" applyFill="1" applyBorder="1" applyAlignment="1">
      <alignment horizontal="center" vertical="center"/>
    </xf>
    <xf numFmtId="191" fontId="32" fillId="2" borderId="4" xfId="0" applyNumberFormat="1" applyFont="1" applyFill="1" applyBorder="1" applyAlignment="1">
      <alignment horizontal="center" vertical="center"/>
    </xf>
    <xf numFmtId="0" fontId="0" fillId="0" borderId="30" xfId="0" applyBorder="1"/>
    <xf numFmtId="0" fontId="11" fillId="2" borderId="2" xfId="0" applyFont="1" applyFill="1" applyBorder="1" applyAlignment="1">
      <alignment vertical="center"/>
    </xf>
    <xf numFmtId="0" fontId="24" fillId="2" borderId="4" xfId="0" applyFont="1" applyFill="1" applyBorder="1"/>
    <xf numFmtId="174" fontId="42" fillId="2" borderId="4" xfId="0" applyNumberFormat="1" applyFont="1" applyFill="1" applyBorder="1" applyAlignment="1"/>
    <xf numFmtId="191" fontId="1" fillId="2" borderId="4" xfId="0" applyNumberFormat="1" applyFont="1" applyFill="1" applyBorder="1"/>
    <xf numFmtId="174" fontId="0" fillId="3" borderId="4" xfId="0" applyNumberFormat="1" applyFill="1" applyBorder="1"/>
    <xf numFmtId="0" fontId="32" fillId="3" borderId="4" xfId="0" applyFont="1" applyFill="1" applyBorder="1" applyAlignment="1">
      <alignment horizontal="center" vertical="center"/>
    </xf>
    <xf numFmtId="49" fontId="35" fillId="0" borderId="36" xfId="0" applyNumberFormat="1" applyFont="1" applyBorder="1" applyAlignment="1">
      <alignment horizontal="right" vertical="center"/>
    </xf>
    <xf numFmtId="0" fontId="24" fillId="3" borderId="4" xfId="0" applyFont="1" applyFill="1" applyBorder="1"/>
    <xf numFmtId="174" fontId="42" fillId="3" borderId="4" xfId="0" applyNumberFormat="1" applyFont="1" applyFill="1" applyBorder="1" applyAlignment="1"/>
    <xf numFmtId="191" fontId="30" fillId="3" borderId="4" xfId="0" applyNumberFormat="1" applyFont="1" applyFill="1" applyBorder="1"/>
    <xf numFmtId="0" fontId="12" fillId="2" borderId="39" xfId="0" applyFont="1" applyFill="1" applyBorder="1" applyAlignment="1">
      <alignment horizontal="center" vertical="center"/>
    </xf>
    <xf numFmtId="191" fontId="24" fillId="2" borderId="4" xfId="0" applyNumberFormat="1" applyFont="1" applyFill="1" applyBorder="1" applyAlignment="1">
      <alignment horizontal="left"/>
    </xf>
    <xf numFmtId="0" fontId="43" fillId="0" borderId="0" xfId="0" applyFont="1" applyFill="1" applyBorder="1" applyAlignment="1">
      <alignment horizontal="center" vertical="center"/>
    </xf>
    <xf numFmtId="0" fontId="12" fillId="2" borderId="40" xfId="0" applyFont="1" applyFill="1" applyBorder="1" applyAlignment="1">
      <alignment horizontal="center" vertical="center"/>
    </xf>
    <xf numFmtId="174" fontId="44" fillId="2" borderId="4" xfId="0" applyNumberFormat="1" applyFont="1" applyFill="1" applyBorder="1" applyAlignment="1">
      <alignment horizontal="center" vertical="center"/>
    </xf>
    <xf numFmtId="0" fontId="35" fillId="0" borderId="36" xfId="0" applyFont="1" applyBorder="1" applyAlignment="1">
      <alignment horizontal="right"/>
    </xf>
    <xf numFmtId="0" fontId="45" fillId="8" borderId="37" xfId="0" applyFont="1" applyFill="1" applyBorder="1" applyAlignment="1">
      <alignment vertical="center"/>
    </xf>
    <xf numFmtId="0" fontId="46" fillId="0" borderId="0" xfId="0" applyFont="1" applyBorder="1" applyAlignment="1">
      <alignment horizontal="center" vertical="center"/>
    </xf>
    <xf numFmtId="0" fontId="0" fillId="0" borderId="35" xfId="0" applyFill="1" applyBorder="1" applyAlignment="1"/>
    <xf numFmtId="0" fontId="12" fillId="2" borderId="41" xfId="0" applyFont="1" applyFill="1" applyBorder="1" applyAlignment="1">
      <alignment horizontal="center" vertical="center"/>
    </xf>
    <xf numFmtId="0" fontId="24" fillId="2" borderId="4" xfId="0" applyFont="1" applyFill="1" applyBorder="1" applyAlignment="1">
      <alignment horizontal="right" vertical="center"/>
    </xf>
    <xf numFmtId="174" fontId="47" fillId="2" borderId="4" xfId="0" applyNumberFormat="1" applyFont="1" applyFill="1" applyBorder="1" applyAlignment="1">
      <alignment vertical="center"/>
    </xf>
    <xf numFmtId="191" fontId="24" fillId="2" borderId="4" xfId="0" applyNumberFormat="1" applyFont="1" applyFill="1" applyBorder="1" applyAlignment="1">
      <alignment vertical="center"/>
    </xf>
    <xf numFmtId="0" fontId="45" fillId="8" borderId="34" xfId="0" applyFont="1" applyFill="1" applyBorder="1" applyAlignment="1">
      <alignment vertical="center"/>
    </xf>
    <xf numFmtId="0" fontId="43" fillId="0" borderId="0" xfId="0" applyFont="1" applyFill="1" applyBorder="1" applyAlignment="1">
      <alignment horizontal="center" vertical="center"/>
    </xf>
    <xf numFmtId="191" fontId="24" fillId="3" borderId="4" xfId="0" applyNumberFormat="1" applyFont="1" applyFill="1" applyBorder="1" applyAlignment="1">
      <alignment horizontal="left"/>
    </xf>
    <xf numFmtId="0" fontId="40" fillId="0" borderId="0" xfId="0" applyFont="1" applyBorder="1"/>
    <xf numFmtId="174" fontId="44" fillId="3" borderId="4" xfId="0" applyNumberFormat="1" applyFont="1" applyFill="1" applyBorder="1" applyAlignment="1">
      <alignment horizontal="center" vertical="center"/>
    </xf>
    <xf numFmtId="0" fontId="35" fillId="0" borderId="36" xfId="0" applyFont="1" applyFill="1" applyBorder="1" applyAlignment="1">
      <alignment horizontal="right"/>
    </xf>
    <xf numFmtId="0" fontId="14" fillId="3" borderId="42" xfId="0" applyFont="1" applyFill="1" applyBorder="1" applyAlignment="1">
      <alignment vertical="center"/>
    </xf>
    <xf numFmtId="0" fontId="48" fillId="0" borderId="0" xfId="0" applyFont="1" applyFill="1" applyBorder="1" applyAlignment="1">
      <alignment horizontal="center" vertical="center"/>
    </xf>
    <xf numFmtId="0" fontId="31" fillId="0" borderId="35" xfId="0" applyFont="1" applyFill="1" applyBorder="1" applyAlignment="1">
      <alignment vertical="center"/>
    </xf>
    <xf numFmtId="174" fontId="47" fillId="3" borderId="4" xfId="0" applyNumberFormat="1" applyFont="1" applyFill="1" applyBorder="1" applyAlignment="1">
      <alignment vertical="center"/>
    </xf>
    <xf numFmtId="191" fontId="24" fillId="3" borderId="4" xfId="0" applyNumberFormat="1" applyFont="1" applyFill="1" applyBorder="1" applyAlignment="1">
      <alignment vertical="center"/>
    </xf>
    <xf numFmtId="0" fontId="14" fillId="3" borderId="34" xfId="0" applyFont="1" applyFill="1" applyBorder="1" applyAlignment="1">
      <alignment vertical="center"/>
    </xf>
    <xf numFmtId="1" fontId="49" fillId="0" borderId="0" xfId="0" applyNumberFormat="1" applyFont="1" applyFill="1" applyBorder="1" applyAlignment="1">
      <alignment vertical="center"/>
    </xf>
    <xf numFmtId="0" fontId="50" fillId="2" borderId="2" xfId="0" applyFont="1" applyFill="1" applyBorder="1" applyAlignment="1">
      <alignment horizontal="right" vertical="center"/>
    </xf>
    <xf numFmtId="0" fontId="50" fillId="2" borderId="0" xfId="0" applyFont="1" applyFill="1" applyBorder="1" applyAlignment="1">
      <alignment horizontal="right" vertical="center"/>
    </xf>
    <xf numFmtId="0" fontId="0" fillId="2" borderId="0" xfId="0" applyFill="1"/>
    <xf numFmtId="0" fontId="0" fillId="2" borderId="43" xfId="0" applyFill="1" applyBorder="1"/>
    <xf numFmtId="191" fontId="51" fillId="2" borderId="0" xfId="0" applyNumberFormat="1" applyFont="1" applyFill="1" applyBorder="1" applyAlignment="1">
      <alignment horizontal="left" vertical="center"/>
    </xf>
    <xf numFmtId="192" fontId="33" fillId="2" borderId="0" xfId="0" applyNumberFormat="1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left" vertical="center"/>
    </xf>
    <xf numFmtId="0" fontId="11" fillId="0" borderId="0" xfId="0" applyFont="1" applyAlignment="1">
      <alignment horizontal="center" vertical="center"/>
    </xf>
    <xf numFmtId="1" fontId="34" fillId="0" borderId="0" xfId="0" applyNumberFormat="1" applyFont="1" applyFill="1" applyBorder="1" applyAlignment="1">
      <alignment vertical="center"/>
    </xf>
    <xf numFmtId="49" fontId="35" fillId="0" borderId="44" xfId="0" applyNumberFormat="1" applyFont="1" applyFill="1" applyBorder="1" applyAlignment="1">
      <alignment horizontal="right" vertical="center"/>
    </xf>
    <xf numFmtId="1" fontId="49" fillId="0" borderId="30" xfId="0" applyNumberFormat="1" applyFont="1" applyFill="1" applyBorder="1" applyAlignment="1">
      <alignment vertical="center"/>
    </xf>
    <xf numFmtId="1" fontId="34" fillId="0" borderId="30" xfId="0" applyNumberFormat="1" applyFont="1" applyFill="1" applyBorder="1" applyAlignment="1">
      <alignment vertical="center"/>
    </xf>
    <xf numFmtId="0" fontId="35" fillId="0" borderId="36" xfId="0" applyFont="1" applyFill="1" applyBorder="1" applyAlignment="1">
      <alignment horizontal="right" vertical="center"/>
    </xf>
    <xf numFmtId="1" fontId="52" fillId="0" borderId="0" xfId="0" applyNumberFormat="1" applyFont="1" applyFill="1" applyBorder="1" applyAlignment="1">
      <alignment vertical="center"/>
    </xf>
    <xf numFmtId="0" fontId="0" fillId="2" borderId="11" xfId="0" applyFill="1" applyBorder="1" applyAlignment="1">
      <alignment horizontal="center"/>
    </xf>
    <xf numFmtId="0" fontId="0" fillId="2" borderId="45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53" fillId="0" borderId="13" xfId="0" applyFont="1" applyBorder="1" applyAlignment="1">
      <alignment horizontal="center" vertical="center"/>
    </xf>
    <xf numFmtId="0" fontId="53" fillId="0" borderId="2" xfId="0" applyFont="1" applyBorder="1" applyAlignment="1">
      <alignment horizontal="center" vertical="center"/>
    </xf>
    <xf numFmtId="0" fontId="53" fillId="0" borderId="14" xfId="0" applyFont="1" applyBorder="1" applyAlignment="1">
      <alignment horizontal="center" vertical="center"/>
    </xf>
    <xf numFmtId="0" fontId="0" fillId="2" borderId="13" xfId="0" applyFill="1" applyBorder="1"/>
    <xf numFmtId="0" fontId="0" fillId="2" borderId="14" xfId="0" applyFill="1" applyBorder="1"/>
    <xf numFmtId="192" fontId="0" fillId="2" borderId="9" xfId="0" applyNumberFormat="1" applyFill="1" applyBorder="1"/>
    <xf numFmtId="193" fontId="0" fillId="2" borderId="9" xfId="0" applyNumberFormat="1" applyFill="1" applyBorder="1"/>
    <xf numFmtId="0" fontId="53" fillId="0" borderId="1" xfId="0" applyFont="1" applyBorder="1" applyAlignment="1">
      <alignment horizontal="center" vertical="center"/>
    </xf>
    <xf numFmtId="0" fontId="53" fillId="0" borderId="0" xfId="0" applyFont="1" applyBorder="1" applyAlignment="1">
      <alignment horizontal="center" vertical="center"/>
    </xf>
    <xf numFmtId="0" fontId="53" fillId="0" borderId="3" xfId="0" applyFont="1" applyBorder="1" applyAlignment="1">
      <alignment horizontal="center" vertical="center"/>
    </xf>
    <xf numFmtId="0" fontId="0" fillId="2" borderId="1" xfId="0" applyFill="1" applyBorder="1"/>
    <xf numFmtId="0" fontId="0" fillId="2" borderId="3" xfId="0" applyFill="1" applyBorder="1"/>
    <xf numFmtId="192" fontId="0" fillId="2" borderId="25" xfId="0" applyNumberFormat="1" applyFill="1" applyBorder="1"/>
    <xf numFmtId="193" fontId="0" fillId="2" borderId="25" xfId="0" applyNumberFormat="1" applyFill="1" applyBorder="1"/>
    <xf numFmtId="0" fontId="21" fillId="2" borderId="1" xfId="0" applyFont="1" applyFill="1" applyBorder="1"/>
    <xf numFmtId="194" fontId="0" fillId="2" borderId="25" xfId="0" applyNumberFormat="1" applyFill="1" applyBorder="1"/>
    <xf numFmtId="0" fontId="21" fillId="2" borderId="11" xfId="0" applyFont="1" applyFill="1" applyBorder="1"/>
    <xf numFmtId="0" fontId="0" fillId="2" borderId="12" xfId="0" applyFill="1" applyBorder="1"/>
    <xf numFmtId="0" fontId="0" fillId="2" borderId="45" xfId="0" applyFill="1" applyBorder="1"/>
    <xf numFmtId="21" fontId="0" fillId="2" borderId="18" xfId="0" applyNumberFormat="1" applyFill="1" applyBorder="1"/>
    <xf numFmtId="193" fontId="0" fillId="2" borderId="18" xfId="0" applyNumberFormat="1" applyFill="1" applyBorder="1"/>
    <xf numFmtId="0" fontId="53" fillId="0" borderId="15" xfId="0" applyFont="1" applyBorder="1" applyAlignment="1">
      <alignment horizontal="center" vertical="center"/>
    </xf>
    <xf numFmtId="0" fontId="53" fillId="0" borderId="16" xfId="0" applyFont="1" applyBorder="1" applyAlignment="1">
      <alignment horizontal="center" vertical="center"/>
    </xf>
    <xf numFmtId="0" fontId="53" fillId="0" borderId="17" xfId="0" applyFont="1" applyBorder="1" applyAlignment="1">
      <alignment horizontal="center" vertical="center"/>
    </xf>
    <xf numFmtId="180" fontId="18" fillId="0" borderId="0" xfId="0" applyNumberFormat="1" applyFont="1" applyFill="1" applyBorder="1"/>
    <xf numFmtId="0" fontId="8" fillId="5" borderId="5" xfId="0" applyFont="1" applyFill="1" applyBorder="1"/>
    <xf numFmtId="0" fontId="8" fillId="4" borderId="9" xfId="0" applyFont="1" applyFill="1" applyBorder="1" applyAlignment="1">
      <alignment horizontal="center" vertical="center"/>
    </xf>
    <xf numFmtId="0" fontId="8" fillId="4" borderId="22" xfId="0" applyFont="1" applyFill="1" applyBorder="1" applyAlignment="1">
      <alignment horizontal="center" vertical="center"/>
    </xf>
  </cellXfs>
  <cellStyles count="1">
    <cellStyle name="Normal" xfId="0" builtinId="0"/>
  </cellStyles>
  <dxfs count="16">
    <dxf>
      <numFmt numFmtId="182" formatCode="0.0"/>
    </dxf>
    <dxf>
      <numFmt numFmtId="185" formatCode="0.000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85" formatCode="0.000"/>
      <alignment horizontal="center" vertical="center" textRotation="0" wrapText="0" indent="0" justifyLastLine="0" shrinkToFit="0" readingOrder="0"/>
    </dxf>
    <dxf>
      <numFmt numFmtId="185" formatCode="0.000"/>
      <alignment horizontal="center" vertical="center" textRotation="0" wrapText="0" indent="0" justifyLastLine="0" shrinkToFit="0" readingOrder="0"/>
    </dxf>
    <dxf>
      <numFmt numFmtId="185" formatCode="0.0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alignment horizontal="center" vertical="center" textRotation="0" wrapText="0" indent="0" justifyLastLine="0" shrinkToFit="0" readingOrder="0"/>
    </dxf>
    <dxf>
      <numFmt numFmtId="170" formatCode="d/mm/yyyy;@"/>
    </dxf>
    <dxf>
      <numFmt numFmtId="170" formatCode="d/mm/yyyy;@"/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calcChain" Target="calcChain.xml"/><Relationship Id="rId12" Type="http://schemas.microsoft.com/office/2006/relationships/vbaProject" Target="vbaProject.bin"/><Relationship Id="rId1" Type="http://schemas.openxmlformats.org/officeDocument/2006/relationships/chartsheet" Target="chartsheets/sheet1.xml"/><Relationship Id="rId2" Type="http://schemas.openxmlformats.org/officeDocument/2006/relationships/worksheet" Target="worksheets/sheet1.xml"/><Relationship Id="rId3" Type="http://schemas.openxmlformats.org/officeDocument/2006/relationships/chartsheet" Target="chartsheets/sheet2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Relationship Id="rId6" Type="http://schemas.openxmlformats.org/officeDocument/2006/relationships/externalLink" Target="externalLinks/externalLink1.xml"/><Relationship Id="rId7" Type="http://schemas.openxmlformats.org/officeDocument/2006/relationships/externalLink" Target="externalLinks/externalLink2.xml"/><Relationship Id="rId8" Type="http://schemas.openxmlformats.org/officeDocument/2006/relationships/theme" Target="theme/theme1.xml"/><Relationship Id="rId9" Type="http://schemas.openxmlformats.org/officeDocument/2006/relationships/styles" Target="styles.xml"/><Relationship Id="rId10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1" Type="http://schemas.microsoft.com/office/2011/relationships/chartStyle" Target="style1.xml"/><Relationship Id="rId2" Type="http://schemas.microsoft.com/office/2011/relationships/chartColorStyle" Target="colors1.xml"/><Relationship Id="rId3" Type="http://schemas.openxmlformats.org/officeDocument/2006/relationships/chartUserShapes" Target="../drawings/drawing2.xml"/></Relationships>
</file>

<file path=xl/charts/_rels/chart2.xml.rels><?xml version="1.0" encoding="UTF-8" standalone="yes"?>
<Relationships xmlns="http://schemas.openxmlformats.org/package/2006/relationships"><Relationship Id="rId1" Type="http://schemas.microsoft.com/office/2011/relationships/chartStyle" Target="style2.xml"/><Relationship Id="rId2" Type="http://schemas.microsoft.com/office/2011/relationships/chartColorStyle" Target="colors2.xml"/><Relationship Id="rId3" Type="http://schemas.openxmlformats.org/officeDocument/2006/relationships/chartUserShapes" Target="../drawings/drawing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CG 150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02347227575574"/>
          <c:y val="0.149869158878505"/>
          <c:w val="0.856925499697153"/>
          <c:h val="0.7578008683494"/>
        </c:manualLayout>
      </c:layout>
      <c:scatterChart>
        <c:scatterStyle val="lineMarker"/>
        <c:varyColors val="0"/>
        <c:ser>
          <c:idx val="1"/>
          <c:order val="0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rgbClr val="FF0000"/>
              </a:solidFill>
              <a:ln w="9525">
                <a:solidFill>
                  <a:schemeClr val="accent2"/>
                </a:solidFill>
              </a:ln>
              <a:effectLst/>
            </c:spPr>
          </c:marker>
          <c:dPt>
            <c:idx val="0"/>
            <c:marker>
              <c:symbol val="circle"/>
              <c:size val="5"/>
              <c:spPr>
                <a:solidFill>
                  <a:srgbClr val="00B050"/>
                </a:solidFill>
                <a:ln w="38100">
                  <a:solidFill>
                    <a:srgbClr val="00B050"/>
                  </a:solidFill>
                </a:ln>
                <a:effectLst>
                  <a:glow rad="127000">
                    <a:schemeClr val="bg1"/>
                  </a:glow>
                </a:effectLst>
              </c:spPr>
            </c:marker>
            <c:bubble3D val="0"/>
            <c:spPr>
              <a:ln w="25400" cap="rnd">
                <a:noFill/>
                <a:round/>
              </a:ln>
              <a:effectLst>
                <a:glow rad="127000">
                  <a:schemeClr val="bg1"/>
                </a:glow>
              </a:effectLst>
            </c:spPr>
          </c:dPt>
          <c:dPt>
            <c:idx val="1"/>
            <c:marker>
              <c:symbol val="circle"/>
              <c:size val="5"/>
              <c:spPr>
                <a:solidFill>
                  <a:srgbClr val="FF0000"/>
                </a:solidFill>
                <a:ln w="38100">
                  <a:solidFill>
                    <a:schemeClr val="accent2"/>
                  </a:solidFill>
                </a:ln>
                <a:effectLst/>
              </c:spPr>
            </c:marker>
            <c:bubble3D val="0"/>
          </c:dPt>
          <c:xVal>
            <c:numRef>
              <c:f>'[1]PREPARATION nav'!$E$34:$E$35</c:f>
              <c:numCache>
                <c:formatCode>0.0"inch"</c:formatCode>
                <c:ptCount val="2"/>
                <c:pt idx="0">
                  <c:v>41.06397615668811</c:v>
                </c:pt>
                <c:pt idx="1">
                  <c:v>40.46429945250907</c:v>
                </c:pt>
              </c:numCache>
            </c:numRef>
          </c:xVal>
          <c:yVal>
            <c:numRef>
              <c:f>'[1]PREPARATION nav'!$D$34:$D$35</c:f>
              <c:numCache>
                <c:formatCode>0.0\ "Lbs"</c:formatCode>
                <c:ptCount val="2"/>
                <c:pt idx="0">
                  <c:v>2915.59496</c:v>
                </c:pt>
                <c:pt idx="1">
                  <c:v>2625.916179123336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77254032"/>
        <c:axId val="477368080"/>
      </c:scatterChart>
      <c:valAx>
        <c:axId val="477254032"/>
        <c:scaling>
          <c:orientation val="minMax"/>
          <c:max val="38.0"/>
          <c:min val="31.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77368080"/>
        <c:crosses val="autoZero"/>
        <c:crossBetween val="midCat"/>
        <c:majorUnit val="0.5"/>
      </c:valAx>
      <c:valAx>
        <c:axId val="477368080"/>
        <c:scaling>
          <c:orientation val="minMax"/>
          <c:max val="1650.0"/>
          <c:min val="1050.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77254032"/>
        <c:crosses val="autoZero"/>
        <c:crossBetween val="midCat"/>
        <c:majorUnit val="50.0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bg1"/>
    </a:solidFill>
    <a:ln w="12700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fr-FR"/>
    </a:p>
  </c:txPr>
  <c:userShapes r:id="rId3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CG 182JT-H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rgbClr val="00B050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Pt>
            <c:idx val="0"/>
            <c:marker>
              <c:symbol val="circle"/>
              <c:size val="5"/>
              <c:spPr>
                <a:solidFill>
                  <a:srgbClr val="FF0000"/>
                </a:solidFill>
                <a:ln w="50800">
                  <a:solidFill>
                    <a:srgbClr val="FF0000"/>
                  </a:solidFill>
                </a:ln>
                <a:effectLst>
                  <a:glow>
                    <a:schemeClr val="accent1">
                      <a:alpha val="40000"/>
                    </a:schemeClr>
                  </a:glow>
                  <a:outerShdw blurRad="50800" dist="50800" dir="5400000" sx="1000" sy="1000" algn="ctr" rotWithShape="0">
                    <a:srgbClr val="FF0000"/>
                  </a:outerShdw>
                </a:effectLst>
              </c:spPr>
            </c:marker>
            <c:bubble3D val="0"/>
            <c:spPr>
              <a:ln w="53975" cap="rnd">
                <a:solidFill>
                  <a:schemeClr val="accent2"/>
                </a:solidFill>
                <a:round/>
              </a:ln>
              <a:effectLst>
                <a:glow>
                  <a:schemeClr val="accent1">
                    <a:alpha val="40000"/>
                  </a:schemeClr>
                </a:glow>
                <a:outerShdw blurRad="50800" dist="50800" dir="5400000" sx="1000" sy="1000" algn="ctr" rotWithShape="0">
                  <a:srgbClr val="FF0000"/>
                </a:outerShdw>
              </a:effectLst>
            </c:spPr>
          </c:dPt>
          <c:dPt>
            <c:idx val="1"/>
            <c:marker>
              <c:symbol val="circle"/>
              <c:size val="5"/>
              <c:spPr>
                <a:solidFill>
                  <a:srgbClr val="00B050"/>
                </a:solidFill>
                <a:ln w="50800">
                  <a:solidFill>
                    <a:srgbClr val="00B050"/>
                  </a:solidFill>
                </a:ln>
                <a:effectLst/>
              </c:spPr>
            </c:marker>
            <c:bubble3D val="0"/>
          </c:dPt>
          <c:xVal>
            <c:numRef>
              <c:f>'[1]PREPARATION nav'!$E$34:$E$35</c:f>
              <c:numCache>
                <c:formatCode>0.0"inch"</c:formatCode>
                <c:ptCount val="2"/>
                <c:pt idx="0">
                  <c:v>41.06397615668811</c:v>
                </c:pt>
                <c:pt idx="1">
                  <c:v>40.46429945250907</c:v>
                </c:pt>
              </c:numCache>
            </c:numRef>
          </c:xVal>
          <c:yVal>
            <c:numRef>
              <c:f>'[1]PREPARATION nav'!$D$34:$D$35</c:f>
              <c:numCache>
                <c:formatCode>0.0\ "Lbs"</c:formatCode>
                <c:ptCount val="2"/>
                <c:pt idx="0">
                  <c:v>2915.59496</c:v>
                </c:pt>
                <c:pt idx="1">
                  <c:v>2625.916179123336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51794848"/>
        <c:axId val="451797168"/>
      </c:scatterChart>
      <c:valAx>
        <c:axId val="451794848"/>
        <c:scaling>
          <c:orientation val="minMax"/>
          <c:max val="46.5"/>
          <c:min val="35.5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1797168"/>
        <c:crosses val="autoZero"/>
        <c:crossBetween val="midCat"/>
        <c:majorUnit val="0.5"/>
      </c:valAx>
      <c:valAx>
        <c:axId val="451797168"/>
        <c:scaling>
          <c:orientation val="minMax"/>
          <c:max val="3500.0"/>
          <c:min val="1600.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\ &quot;Lbs&quot;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1794848"/>
        <c:crosses val="autoZero"/>
        <c:crossBetween val="midCat"/>
        <c:majorUnit val="200.0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userShapes r:id="rId3"/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Graphique1"/>
  <sheetViews>
    <sheetView zoomScale="120" workbookViewId="0" zoomToFit="1"/>
  </sheetViews>
  <pageMargins left="0.7" right="0.7" top="0.75" bottom="0.75" header="0.3" footer="0.3"/>
  <drawing r:id="rId1"/>
</chartsheet>
</file>

<file path=xl/chartsheets/sheet2.xml><?xml version="1.0" encoding="utf-8"?>
<chartsheet xmlns="http://schemas.openxmlformats.org/spreadsheetml/2006/main" xmlns:r="http://schemas.openxmlformats.org/officeDocument/2006/relationships">
  <sheetPr codeName="Graphique2"/>
  <sheetViews>
    <sheetView zoomScale="106" workbookViewId="0"/>
  </sheetViews>
  <pageMargins left="0.7" right="0.7" top="0.75" bottom="0.75" header="0.3" footer="0.3"/>
  <drawing r:id="rId1"/>
</chartsheet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310000" cy="6070000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0.15308</cdr:x>
      <cdr:y>0.21647</cdr:y>
    </cdr:from>
    <cdr:to>
      <cdr:x>0.38245</cdr:x>
      <cdr:y>0.84825</cdr:y>
    </cdr:to>
    <cdr:cxnSp macro="">
      <cdr:nvCxnSpPr>
        <cdr:cNvPr id="3" name="Connecteur droit 2"/>
        <cdr:cNvCxnSpPr/>
      </cdr:nvCxnSpPr>
      <cdr:spPr>
        <a:xfrm xmlns:a="http://schemas.openxmlformats.org/drawingml/2006/main" flipV="1">
          <a:off x="1421502" y="1312812"/>
          <a:ext cx="2129867" cy="3831563"/>
        </a:xfrm>
        <a:prstGeom xmlns:a="http://schemas.openxmlformats.org/drawingml/2006/main" prst="line">
          <a:avLst/>
        </a:prstGeom>
        <a:ln xmlns:a="http://schemas.openxmlformats.org/drawingml/2006/main" w="12700">
          <a:tailEnd type="oval"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0.38256</cdr:x>
      <cdr:y>0.21121</cdr:y>
    </cdr:from>
    <cdr:to>
      <cdr:x>0.89371</cdr:x>
      <cdr:y>0.21244</cdr:y>
    </cdr:to>
    <cdr:cxnSp macro="">
      <cdr:nvCxnSpPr>
        <cdr:cNvPr id="6" name="Connecteur droit 5"/>
        <cdr:cNvCxnSpPr/>
      </cdr:nvCxnSpPr>
      <cdr:spPr>
        <a:xfrm xmlns:a="http://schemas.openxmlformats.org/drawingml/2006/main" flipV="1">
          <a:off x="3552319" y="1280927"/>
          <a:ext cx="4746426" cy="7479"/>
        </a:xfrm>
        <a:prstGeom xmlns:a="http://schemas.openxmlformats.org/drawingml/2006/main" prst="line">
          <a:avLst/>
        </a:prstGeom>
        <a:ln xmlns:a="http://schemas.openxmlformats.org/drawingml/2006/main" w="12700" cmpd="sng">
          <a:solidFill>
            <a:schemeClr val="accent1">
              <a:lumMod val="75000"/>
            </a:schemeClr>
          </a:solidFill>
          <a:tailEnd type="oval"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0.8947</cdr:x>
      <cdr:y>0.20596</cdr:y>
    </cdr:from>
    <cdr:to>
      <cdr:x>0.89693</cdr:x>
      <cdr:y>0.84219</cdr:y>
    </cdr:to>
    <cdr:cxnSp macro="">
      <cdr:nvCxnSpPr>
        <cdr:cNvPr id="8" name="Connecteur droit 7"/>
        <cdr:cNvCxnSpPr/>
      </cdr:nvCxnSpPr>
      <cdr:spPr>
        <a:xfrm xmlns:a="http://schemas.openxmlformats.org/drawingml/2006/main">
          <a:off x="8307948" y="1249103"/>
          <a:ext cx="20675" cy="3858506"/>
        </a:xfrm>
        <a:prstGeom xmlns:a="http://schemas.openxmlformats.org/drawingml/2006/main" prst="line">
          <a:avLst/>
        </a:prstGeom>
        <a:ln xmlns:a="http://schemas.openxmlformats.org/drawingml/2006/main" w="9525">
          <a:tailEnd type="oval"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0.15245</cdr:x>
      <cdr:y>0.8437</cdr:y>
    </cdr:from>
    <cdr:to>
      <cdr:x>0.89693</cdr:x>
      <cdr:y>0.84673</cdr:y>
    </cdr:to>
    <cdr:cxnSp macro="">
      <cdr:nvCxnSpPr>
        <cdr:cNvPr id="10" name="Connecteur droit 9"/>
        <cdr:cNvCxnSpPr/>
      </cdr:nvCxnSpPr>
      <cdr:spPr>
        <a:xfrm xmlns:a="http://schemas.openxmlformats.org/drawingml/2006/main" flipV="1">
          <a:off x="1415609" y="5116812"/>
          <a:ext cx="6913014" cy="18360"/>
        </a:xfrm>
        <a:prstGeom xmlns:a="http://schemas.openxmlformats.org/drawingml/2006/main" prst="line">
          <a:avLst/>
        </a:prstGeom>
        <a:ln xmlns:a="http://schemas.openxmlformats.org/drawingml/2006/main" w="12700">
          <a:headEnd type="oval"/>
          <a:tailEnd type="oval"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</c:userShapes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1</xdr:row>
      <xdr:rowOff>2690</xdr:rowOff>
    </xdr:from>
    <xdr:to>
      <xdr:col>7</xdr:col>
      <xdr:colOff>592094</xdr:colOff>
      <xdr:row>3</xdr:row>
      <xdr:rowOff>11234</xdr:rowOff>
    </xdr:to>
    <xdr:sp macro="" textlink="">
      <xdr:nvSpPr>
        <xdr:cNvPr id="2" name="Triangle rectangle 1">
          <a:extLst>
            <a:ext uri="{FF2B5EF4-FFF2-40B4-BE49-F238E27FC236}">
              <a16:creationId xmlns="" xmlns:a16="http://schemas.microsoft.com/office/drawing/2014/main" id="{00000000-0008-0000-0400-00000F000000}"/>
            </a:ext>
          </a:extLst>
        </xdr:cNvPr>
        <xdr:cNvSpPr/>
      </xdr:nvSpPr>
      <xdr:spPr>
        <a:xfrm flipV="1">
          <a:off x="3670300" y="256690"/>
          <a:ext cx="592094" cy="516544"/>
        </a:xfrm>
        <a:prstGeom prst="rtTriangle">
          <a:avLst/>
        </a:prstGeom>
        <a:solidFill>
          <a:srgbClr val="FEFFBB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630709</xdr:colOff>
      <xdr:row>17</xdr:row>
      <xdr:rowOff>1</xdr:rowOff>
    </xdr:from>
    <xdr:to>
      <xdr:col>7</xdr:col>
      <xdr:colOff>568388</xdr:colOff>
      <xdr:row>21</xdr:row>
      <xdr:rowOff>12872</xdr:rowOff>
    </xdr:to>
    <xdr:sp macro="" textlink="">
      <xdr:nvSpPr>
        <xdr:cNvPr id="3" name="Triangle isocèle 28">
          <a:extLst>
            <a:ext uri="{FF2B5EF4-FFF2-40B4-BE49-F238E27FC236}">
              <a16:creationId xmlns="" xmlns:a16="http://schemas.microsoft.com/office/drawing/2014/main" id="{72F03EE5-99EA-4A62-8394-0644CB4DC86A}"/>
            </a:ext>
          </a:extLst>
        </xdr:cNvPr>
        <xdr:cNvSpPr/>
      </xdr:nvSpPr>
      <xdr:spPr>
        <a:xfrm rot="5400000">
          <a:off x="3431563" y="4031747"/>
          <a:ext cx="1028871" cy="585379"/>
        </a:xfrm>
        <a:prstGeom prst="triangle">
          <a:avLst>
            <a:gd name="adj" fmla="val 48974"/>
          </a:avLst>
        </a:prstGeom>
        <a:solidFill>
          <a:srgbClr val="FEFFBB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6</xdr:col>
      <xdr:colOff>630708</xdr:colOff>
      <xdr:row>21</xdr:row>
      <xdr:rowOff>6439</xdr:rowOff>
    </xdr:from>
    <xdr:to>
      <xdr:col>7</xdr:col>
      <xdr:colOff>568387</xdr:colOff>
      <xdr:row>25</xdr:row>
      <xdr:rowOff>5296</xdr:rowOff>
    </xdr:to>
    <xdr:sp macro="" textlink="">
      <xdr:nvSpPr>
        <xdr:cNvPr id="4" name="Triangle isocèle 32">
          <a:extLst>
            <a:ext uri="{FF2B5EF4-FFF2-40B4-BE49-F238E27FC236}">
              <a16:creationId xmlns="" xmlns:a16="http://schemas.microsoft.com/office/drawing/2014/main" id="{82ADC26B-D060-44D9-9DA0-002FBC8D9841}"/>
            </a:ext>
          </a:extLst>
        </xdr:cNvPr>
        <xdr:cNvSpPr/>
      </xdr:nvSpPr>
      <xdr:spPr>
        <a:xfrm rot="5400000">
          <a:off x="3438569" y="5047178"/>
          <a:ext cx="1014857" cy="585379"/>
        </a:xfrm>
        <a:prstGeom prst="triangle">
          <a:avLst>
            <a:gd name="adj" fmla="val 48974"/>
          </a:avLst>
        </a:prstGeom>
        <a:solidFill>
          <a:schemeClr val="accent6">
            <a:lumMod val="20000"/>
            <a:lumOff val="8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7</xdr:col>
      <xdr:colOff>0</xdr:colOff>
      <xdr:row>3</xdr:row>
      <xdr:rowOff>12872</xdr:rowOff>
    </xdr:from>
    <xdr:to>
      <xdr:col>7</xdr:col>
      <xdr:colOff>568388</xdr:colOff>
      <xdr:row>7</xdr:row>
      <xdr:rowOff>0</xdr:rowOff>
    </xdr:to>
    <xdr:sp macro="" textlink="">
      <xdr:nvSpPr>
        <xdr:cNvPr id="5" name="Triangle isocèle 29">
          <a:extLst>
            <a:ext uri="{FF2B5EF4-FFF2-40B4-BE49-F238E27FC236}">
              <a16:creationId xmlns="" xmlns:a16="http://schemas.microsoft.com/office/drawing/2014/main" id="{69CF39C9-A53B-4DC1-AE6A-6C92A0265C64}"/>
            </a:ext>
          </a:extLst>
        </xdr:cNvPr>
        <xdr:cNvSpPr/>
      </xdr:nvSpPr>
      <xdr:spPr>
        <a:xfrm rot="5400000">
          <a:off x="3452930" y="992242"/>
          <a:ext cx="1003128" cy="568388"/>
        </a:xfrm>
        <a:prstGeom prst="triangle">
          <a:avLst>
            <a:gd name="adj" fmla="val 48974"/>
          </a:avLst>
        </a:prstGeom>
        <a:solidFill>
          <a:schemeClr val="accent6">
            <a:lumMod val="20000"/>
            <a:lumOff val="8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6</xdr:col>
      <xdr:colOff>637144</xdr:colOff>
      <xdr:row>9</xdr:row>
      <xdr:rowOff>10587</xdr:rowOff>
    </xdr:from>
    <xdr:to>
      <xdr:col>7</xdr:col>
      <xdr:colOff>584265</xdr:colOff>
      <xdr:row>12</xdr:row>
      <xdr:rowOff>243421</xdr:rowOff>
    </xdr:to>
    <xdr:sp macro="" textlink="">
      <xdr:nvSpPr>
        <xdr:cNvPr id="6" name="Triangle isocèle 1">
          <a:extLst>
            <a:ext uri="{FF2B5EF4-FFF2-40B4-BE49-F238E27FC236}">
              <a16:creationId xmlns="" xmlns:a16="http://schemas.microsoft.com/office/drawing/2014/main" id="{FDEE5AFC-BF9D-4167-B57C-9D7D3C562482}"/>
            </a:ext>
          </a:extLst>
        </xdr:cNvPr>
        <xdr:cNvSpPr/>
      </xdr:nvSpPr>
      <xdr:spPr>
        <a:xfrm rot="5400000">
          <a:off x="3459738" y="1988593"/>
          <a:ext cx="994834" cy="594821"/>
        </a:xfrm>
        <a:prstGeom prst="triangle">
          <a:avLst>
            <a:gd name="adj" fmla="val 48974"/>
          </a:avLst>
        </a:prstGeom>
        <a:solidFill>
          <a:srgbClr val="FEFFBB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7</xdr:col>
      <xdr:colOff>0</xdr:colOff>
      <xdr:row>25</xdr:row>
      <xdr:rowOff>1</xdr:rowOff>
    </xdr:from>
    <xdr:to>
      <xdr:col>7</xdr:col>
      <xdr:colOff>568388</xdr:colOff>
      <xdr:row>29</xdr:row>
      <xdr:rowOff>0</xdr:rowOff>
    </xdr:to>
    <xdr:sp macro="" textlink="">
      <xdr:nvSpPr>
        <xdr:cNvPr id="7" name="Triangle isocèle 26">
          <a:extLst>
            <a:ext uri="{FF2B5EF4-FFF2-40B4-BE49-F238E27FC236}">
              <a16:creationId xmlns="" xmlns:a16="http://schemas.microsoft.com/office/drawing/2014/main" id="{149F1AA0-A650-411D-AEB6-0C493AAE7876}"/>
            </a:ext>
          </a:extLst>
        </xdr:cNvPr>
        <xdr:cNvSpPr/>
      </xdr:nvSpPr>
      <xdr:spPr>
        <a:xfrm rot="5400000">
          <a:off x="3446494" y="6065807"/>
          <a:ext cx="1015999" cy="568388"/>
        </a:xfrm>
        <a:prstGeom prst="triangle">
          <a:avLst>
            <a:gd name="adj" fmla="val 48974"/>
          </a:avLst>
        </a:prstGeom>
        <a:solidFill>
          <a:srgbClr val="FEFFBB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6</xdr:col>
      <xdr:colOff>637144</xdr:colOff>
      <xdr:row>13</xdr:row>
      <xdr:rowOff>2</xdr:rowOff>
    </xdr:from>
    <xdr:to>
      <xdr:col>7</xdr:col>
      <xdr:colOff>568387</xdr:colOff>
      <xdr:row>17</xdr:row>
      <xdr:rowOff>4</xdr:rowOff>
    </xdr:to>
    <xdr:sp macro="" textlink="">
      <xdr:nvSpPr>
        <xdr:cNvPr id="8" name="Triangle isocèle 30">
          <a:extLst>
            <a:ext uri="{FF2B5EF4-FFF2-40B4-BE49-F238E27FC236}">
              <a16:creationId xmlns="" xmlns:a16="http://schemas.microsoft.com/office/drawing/2014/main" id="{C797341E-6794-4CD6-8568-81BA5178815A}"/>
            </a:ext>
          </a:extLst>
        </xdr:cNvPr>
        <xdr:cNvSpPr/>
      </xdr:nvSpPr>
      <xdr:spPr>
        <a:xfrm rot="5400000">
          <a:off x="3441215" y="3012531"/>
          <a:ext cx="1016002" cy="578943"/>
        </a:xfrm>
        <a:prstGeom prst="triangle">
          <a:avLst>
            <a:gd name="adj" fmla="val 48974"/>
          </a:avLst>
        </a:prstGeom>
        <a:solidFill>
          <a:schemeClr val="accent6">
            <a:lumMod val="20000"/>
            <a:lumOff val="8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7</xdr:col>
      <xdr:colOff>0</xdr:colOff>
      <xdr:row>29</xdr:row>
      <xdr:rowOff>1</xdr:rowOff>
    </xdr:from>
    <xdr:to>
      <xdr:col>7</xdr:col>
      <xdr:colOff>568388</xdr:colOff>
      <xdr:row>33</xdr:row>
      <xdr:rowOff>4147</xdr:rowOff>
    </xdr:to>
    <xdr:sp macro="" textlink="">
      <xdr:nvSpPr>
        <xdr:cNvPr id="9" name="Triangle isocèle 34">
          <a:extLst>
            <a:ext uri="{FF2B5EF4-FFF2-40B4-BE49-F238E27FC236}">
              <a16:creationId xmlns="" xmlns:a16="http://schemas.microsoft.com/office/drawing/2014/main" id="{0C84B158-40E9-44C5-B1BE-3EF1FC1BB739}"/>
            </a:ext>
          </a:extLst>
        </xdr:cNvPr>
        <xdr:cNvSpPr/>
      </xdr:nvSpPr>
      <xdr:spPr>
        <a:xfrm rot="5400000">
          <a:off x="3444421" y="7083880"/>
          <a:ext cx="1020146" cy="568388"/>
        </a:xfrm>
        <a:prstGeom prst="triangle">
          <a:avLst>
            <a:gd name="adj" fmla="val 48974"/>
          </a:avLst>
        </a:prstGeom>
        <a:solidFill>
          <a:schemeClr val="accent6">
            <a:lumMod val="20000"/>
            <a:lumOff val="8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101600</xdr:colOff>
          <xdr:row>41</xdr:row>
          <xdr:rowOff>215900</xdr:rowOff>
        </xdr:from>
        <xdr:to>
          <xdr:col>2</xdr:col>
          <xdr:colOff>254000</xdr:colOff>
          <xdr:row>43</xdr:row>
          <xdr:rowOff>38100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ea typeface="Helvetica"/>
                  <a:cs typeface="Helvetica"/>
                </a:rPr>
                <a:t>R</a:t>
              </a:r>
            </a:p>
          </xdr:txBody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absoluteAnchor>
    <xdr:pos x="0" y="0"/>
    <xdr:ext cx="9309340" cy="6074434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5.xml><?xml version="1.0" encoding="utf-8"?>
<c:userShapes xmlns:c="http://schemas.openxmlformats.org/drawingml/2006/chart">
  <cdr:relSizeAnchor xmlns:cdr="http://schemas.openxmlformats.org/drawingml/2006/chartDrawing">
    <cdr:from>
      <cdr:x>0.0892</cdr:x>
      <cdr:y>0.62974</cdr:y>
    </cdr:from>
    <cdr:to>
      <cdr:x>0.0892</cdr:x>
      <cdr:y>0.86039</cdr:y>
    </cdr:to>
    <cdr:cxnSp macro="">
      <cdr:nvCxnSpPr>
        <cdr:cNvPr id="3" name="Connecteur droit avec flèche 2"/>
        <cdr:cNvCxnSpPr/>
      </cdr:nvCxnSpPr>
      <cdr:spPr>
        <a:xfrm xmlns:a="http://schemas.openxmlformats.org/drawingml/2006/main" flipV="1">
          <a:off x="828261" y="3819204"/>
          <a:ext cx="0" cy="1398839"/>
        </a:xfrm>
        <a:prstGeom xmlns:a="http://schemas.openxmlformats.org/drawingml/2006/main" prst="straightConnector1">
          <a:avLst/>
        </a:prstGeom>
        <a:ln xmlns:a="http://schemas.openxmlformats.org/drawingml/2006/main">
          <a:solidFill>
            <a:srgbClr val="0070C0"/>
          </a:solidFill>
          <a:tailEnd type="oval"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0.08722</cdr:x>
      <cdr:y>0.26867</cdr:y>
    </cdr:from>
    <cdr:to>
      <cdr:x>0.38063</cdr:x>
      <cdr:y>0.62822</cdr:y>
    </cdr:to>
    <cdr:cxnSp macro="">
      <cdr:nvCxnSpPr>
        <cdr:cNvPr id="10" name="Connecteur droit avec flèche 9"/>
        <cdr:cNvCxnSpPr/>
      </cdr:nvCxnSpPr>
      <cdr:spPr>
        <a:xfrm xmlns:a="http://schemas.openxmlformats.org/drawingml/2006/main" flipV="1">
          <a:off x="809855" y="1629434"/>
          <a:ext cx="2724579" cy="2180566"/>
        </a:xfrm>
        <a:prstGeom xmlns:a="http://schemas.openxmlformats.org/drawingml/2006/main" prst="straightConnector1">
          <a:avLst/>
        </a:prstGeom>
        <a:ln xmlns:a="http://schemas.openxmlformats.org/drawingml/2006/main">
          <a:tailEnd type="oval"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0.37934</cdr:x>
      <cdr:y>0.26472</cdr:y>
    </cdr:from>
    <cdr:to>
      <cdr:x>0.92771</cdr:x>
      <cdr:y>0.26867</cdr:y>
    </cdr:to>
    <cdr:cxnSp macro="">
      <cdr:nvCxnSpPr>
        <cdr:cNvPr id="12" name="Connecteur droit avec flèche 11"/>
        <cdr:cNvCxnSpPr/>
      </cdr:nvCxnSpPr>
      <cdr:spPr>
        <a:xfrm xmlns:a="http://schemas.openxmlformats.org/drawingml/2006/main" flipV="1">
          <a:off x="3522453" y="1605472"/>
          <a:ext cx="5091981" cy="23962"/>
        </a:xfrm>
        <a:prstGeom xmlns:a="http://schemas.openxmlformats.org/drawingml/2006/main" prst="straightConnector1">
          <a:avLst/>
        </a:prstGeom>
        <a:ln xmlns:a="http://schemas.openxmlformats.org/drawingml/2006/main">
          <a:tailEnd type="oval"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0.92771</cdr:x>
      <cdr:y>0.26077</cdr:y>
    </cdr:from>
    <cdr:to>
      <cdr:x>0.929</cdr:x>
      <cdr:y>0.85541</cdr:y>
    </cdr:to>
    <cdr:cxnSp macro="">
      <cdr:nvCxnSpPr>
        <cdr:cNvPr id="14" name="Connecteur droit avec flèche 13"/>
        <cdr:cNvCxnSpPr/>
      </cdr:nvCxnSpPr>
      <cdr:spPr>
        <a:xfrm xmlns:a="http://schemas.openxmlformats.org/drawingml/2006/main">
          <a:off x="8614434" y="1581509"/>
          <a:ext cx="11981" cy="3606321"/>
        </a:xfrm>
        <a:prstGeom xmlns:a="http://schemas.openxmlformats.org/drawingml/2006/main" prst="straightConnector1">
          <a:avLst/>
        </a:prstGeom>
        <a:ln xmlns:a="http://schemas.openxmlformats.org/drawingml/2006/main">
          <a:tailEnd type="oval"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0.08821</cdr:x>
      <cdr:y>0.85541</cdr:y>
    </cdr:from>
    <cdr:to>
      <cdr:x>0.92771</cdr:x>
      <cdr:y>0.85736</cdr:y>
    </cdr:to>
    <cdr:cxnSp macro="">
      <cdr:nvCxnSpPr>
        <cdr:cNvPr id="16" name="Connecteur droit avec flèche 15"/>
        <cdr:cNvCxnSpPr/>
      </cdr:nvCxnSpPr>
      <cdr:spPr>
        <a:xfrm xmlns:a="http://schemas.openxmlformats.org/drawingml/2006/main" flipH="1">
          <a:off x="819059" y="5187830"/>
          <a:ext cx="7795375" cy="11808"/>
        </a:xfrm>
        <a:prstGeom xmlns:a="http://schemas.openxmlformats.org/drawingml/2006/main" prst="straightConnector1">
          <a:avLst/>
        </a:prstGeom>
        <a:ln xmlns:a="http://schemas.openxmlformats.org/drawingml/2006/main">
          <a:tailEnd type="oval"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</c:userShapes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444500</xdr:colOff>
          <xdr:row>29</xdr:row>
          <xdr:rowOff>38100</xdr:rowOff>
        </xdr:from>
        <xdr:to>
          <xdr:col>1</xdr:col>
          <xdr:colOff>571500</xdr:colOff>
          <xdr:row>31</xdr:row>
          <xdr:rowOff>114300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ea typeface="Helvetica"/>
                  <a:cs typeface="Helvetica"/>
                </a:rPr>
                <a:t>Retour</a:t>
              </a:r>
            </a:p>
          </xdr:txBody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647700</xdr:colOff>
          <xdr:row>8</xdr:row>
          <xdr:rowOff>12700</xdr:rowOff>
        </xdr:from>
        <xdr:to>
          <xdr:col>11</xdr:col>
          <xdr:colOff>0</xdr:colOff>
          <xdr:row>9</xdr:row>
          <xdr:rowOff>215900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ea typeface="Helvetica"/>
                  <a:cs typeface="Helvetica"/>
                </a:rPr>
                <a:t>Retour</a:t>
              </a:r>
            </a:p>
          </xdr:txBody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lyOfficeV2.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a4de20a5fbdd5ad9/aviation/Navigation%5e0logbook%20V0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CARNET_DE_VOL"/>
      <sheetName val="ANCIEN CV"/>
      <sheetName val="Feuilles de progression"/>
      <sheetName val="LOG NAV"/>
      <sheetName val="Graphique1"/>
      <sheetName val="Graphique2"/>
      <sheetName val="PREPARATION nav"/>
      <sheetName val="CALCUL"/>
      <sheetName val="Data"/>
      <sheetName val="Facture"/>
    </sheetNames>
    <definedNames>
      <definedName name="Bouton6_Cliquer"/>
    </definedNames>
    <sheetDataSet>
      <sheetData sheetId="0">
        <row r="7">
          <cell r="I7">
            <v>1.1520833333333333</v>
          </cell>
        </row>
        <row r="18">
          <cell r="H18">
            <v>43149.507413657404</v>
          </cell>
          <cell r="I18">
            <v>0.46574699073971715</v>
          </cell>
        </row>
      </sheetData>
      <sheetData sheetId="1">
        <row r="23">
          <cell r="T23">
            <v>4.1666666666666664E-2</v>
          </cell>
          <cell r="U23">
            <v>0.47013888888888888</v>
          </cell>
        </row>
        <row r="44">
          <cell r="T44">
            <v>0.11041666666666666</v>
          </cell>
          <cell r="U44">
            <v>0.46180555555555558</v>
          </cell>
        </row>
        <row r="65">
          <cell r="T65">
            <v>0</v>
          </cell>
          <cell r="U65">
            <v>6.805555555555555E-2</v>
          </cell>
        </row>
        <row r="86">
          <cell r="T86">
            <v>0</v>
          </cell>
          <cell r="U86">
            <v>0</v>
          </cell>
        </row>
        <row r="107">
          <cell r="T107">
            <v>0</v>
          </cell>
          <cell r="U107">
            <v>0</v>
          </cell>
        </row>
        <row r="128">
          <cell r="T128">
            <v>0</v>
          </cell>
          <cell r="U128">
            <v>0</v>
          </cell>
        </row>
        <row r="149">
          <cell r="T149">
            <v>0</v>
          </cell>
          <cell r="U149">
            <v>0</v>
          </cell>
        </row>
      </sheetData>
      <sheetData sheetId="2">
        <row r="275">
          <cell r="G275">
            <v>6.1652777777777787</v>
          </cell>
          <cell r="I275">
            <v>345</v>
          </cell>
          <cell r="K275">
            <v>3.7638888888888888</v>
          </cell>
          <cell r="L275">
            <v>2.401388888888889</v>
          </cell>
        </row>
      </sheetData>
      <sheetData sheetId="3"/>
      <sheetData sheetId="4">
        <row r="35">
          <cell r="G35">
            <v>20.494779193910016</v>
          </cell>
        </row>
      </sheetData>
      <sheetData sheetId="7">
        <row r="3">
          <cell r="F3">
            <v>0.46527777777777773</v>
          </cell>
          <cell r="H3" t="str">
            <v>PH-AML</v>
          </cell>
          <cell r="J3">
            <v>32.9</v>
          </cell>
        </row>
        <row r="4">
          <cell r="I4">
            <v>88</v>
          </cell>
        </row>
        <row r="5">
          <cell r="D5" t="str">
            <v>EBSP</v>
          </cell>
        </row>
        <row r="6">
          <cell r="H6">
            <v>120</v>
          </cell>
          <cell r="I6">
            <v>4.3259834502511852E-4</v>
          </cell>
          <cell r="J6">
            <v>250</v>
          </cell>
          <cell r="K6">
            <v>20</v>
          </cell>
        </row>
        <row r="8">
          <cell r="D8" t="str">
            <v xml:space="preserve">LA SOURCE </v>
          </cell>
        </row>
        <row r="9">
          <cell r="D9" t="str">
            <v>SPI</v>
          </cell>
        </row>
        <row r="10">
          <cell r="D10" t="str">
            <v>SE</v>
          </cell>
        </row>
        <row r="11">
          <cell r="D11" t="str">
            <v>SA</v>
          </cell>
        </row>
        <row r="12">
          <cell r="D12" t="str">
            <v>EBCI</v>
          </cell>
        </row>
        <row r="13">
          <cell r="D13" t="str">
            <v>EBCI</v>
          </cell>
        </row>
        <row r="34">
          <cell r="D34">
            <v>2915.5949599999999</v>
          </cell>
          <cell r="E34">
            <v>41.063976156688106</v>
          </cell>
        </row>
        <row r="35">
          <cell r="D35">
            <v>2625.916179123336</v>
          </cell>
          <cell r="E35">
            <v>40.464299452509074</v>
          </cell>
        </row>
      </sheetData>
      <sheetData sheetId="8">
        <row r="2">
          <cell r="P2">
            <v>57.295779510000003</v>
          </cell>
        </row>
        <row r="4">
          <cell r="J4">
            <v>50.478774899999998</v>
          </cell>
          <cell r="K4">
            <v>5.9099232999999396</v>
          </cell>
        </row>
        <row r="5">
          <cell r="J5">
            <v>50.445999999999998</v>
          </cell>
          <cell r="K5">
            <v>5.9630000000000001</v>
          </cell>
        </row>
        <row r="6">
          <cell r="J6">
            <v>50.445999999999998</v>
          </cell>
          <cell r="K6">
            <v>5.9630000000000001</v>
          </cell>
        </row>
        <row r="7">
          <cell r="J7">
            <v>50.514742652144001</v>
          </cell>
          <cell r="K7">
            <v>5.6234779565254396</v>
          </cell>
        </row>
        <row r="8">
          <cell r="J8">
            <v>50.514742652144001</v>
          </cell>
          <cell r="K8">
            <v>5.6234779565254396</v>
          </cell>
        </row>
        <row r="9">
          <cell r="J9">
            <v>50.38391</v>
          </cell>
          <cell r="K9">
            <v>4.5786600000000099</v>
          </cell>
        </row>
        <row r="10">
          <cell r="J10">
            <v>50.38391</v>
          </cell>
          <cell r="K10">
            <v>4.5786600000000099</v>
          </cell>
        </row>
        <row r="11">
          <cell r="J11">
            <v>50.410202281882199</v>
          </cell>
          <cell r="K11">
            <v>4.4955110549926696</v>
          </cell>
        </row>
        <row r="12">
          <cell r="J12">
            <v>50.410202281882199</v>
          </cell>
          <cell r="K12">
            <v>4.4955110549926696</v>
          </cell>
        </row>
        <row r="13">
          <cell r="J13">
            <v>50.460048</v>
          </cell>
          <cell r="K13">
            <v>4.4532290000000003</v>
          </cell>
        </row>
        <row r="14">
          <cell r="J14">
            <v>50.460048</v>
          </cell>
          <cell r="K14">
            <v>4.4532290000000003</v>
          </cell>
        </row>
        <row r="15">
          <cell r="J15">
            <v>50.460048</v>
          </cell>
          <cell r="K15">
            <v>4.4532290000000003</v>
          </cell>
        </row>
        <row r="18">
          <cell r="D18">
            <v>134.10770564793364</v>
          </cell>
          <cell r="I18">
            <v>287.78072472571176</v>
          </cell>
        </row>
        <row r="36">
          <cell r="D36">
            <v>259.27772406620107</v>
          </cell>
          <cell r="I36">
            <v>296.41525063618138</v>
          </cell>
        </row>
        <row r="55">
          <cell r="D55">
            <v>331.63396345431318</v>
          </cell>
          <cell r="I55">
            <v>0</v>
          </cell>
        </row>
      </sheetData>
      <sheetData sheetId="9"/>
      <sheetData sheetId="1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LOG NAV"/>
      <sheetName val="CALCUL"/>
      <sheetName val="Carnet de vol"/>
      <sheetName val="facture"/>
      <sheetName val="Factures mars_2017"/>
      <sheetName val="Factures février_2017"/>
      <sheetName val="Factures décembre_2016"/>
      <sheetName val="Factures novembre_2016"/>
      <sheetName val="Factures octobre_2016"/>
      <sheetName val="Factures septembre_2016"/>
      <sheetName val="Data"/>
      <sheetName val="Navigation^0logbook V01"/>
      <sheetName val="//d.docs.live.net/a4de20a5fbdd5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 refreshError="1"/>
      <sheetData sheetId="13" refreshError="1"/>
    </sheetDataSet>
  </externalBook>
</externalLink>
</file>

<file path=xl/tables/table1.xml><?xml version="1.0" encoding="utf-8"?>
<table xmlns="http://schemas.openxmlformats.org/spreadsheetml/2006/main" id="1" name="INSTRUCTEUR" displayName="INSTRUCTEUR" ref="S2:U8" totalsRowShown="0">
  <autoFilter ref="S2:U8"/>
  <tableColumns count="3">
    <tableColumn id="1" name="INSTRUCTEUR"/>
    <tableColumn id="2" name="PRIX"/>
    <tableColumn id="3" name="Colonne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LANDING" displayName="LANDING" ref="X2:X12" totalsRowShown="0">
  <autoFilter ref="X2:X12"/>
  <tableColumns count="1">
    <tableColumn id="1" name="LANDING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Z2:Z8" totalsRowShown="0">
  <autoFilter ref="Z2:Z8"/>
  <tableColumns count="1">
    <tableColumn id="1" name="Colonne2" dataDxfId="1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VALIDATION" displayName="VALIDATION" ref="AA2:AB8" totalsRowShown="0">
  <autoFilter ref="AA2:AB8"/>
  <tableColumns count="2">
    <tableColumn id="1" name="Colonne1"/>
    <tableColumn id="2" name="Date revalidation" dataDxfId="1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IOAC1" displayName="IOAC1" ref="W15:AM56" totalsRowShown="0" dataDxfId="11">
  <autoFilter ref="W15:AM56"/>
  <sortState ref="W16:AM56">
    <sortCondition ref="W15:W56"/>
  </sortState>
  <tableColumns count="17">
    <tableColumn id="1" name="IOAC" dataDxfId="10"/>
    <tableColumn id="2" name="lat"/>
    <tableColumn id="3" name="long"/>
    <tableColumn id="4" name="lieu" dataDxfId="9"/>
    <tableColumn id="15" name="Colonne1" dataDxfId="8"/>
    <tableColumn id="14" name="PISTE" dataDxfId="7"/>
    <tableColumn id="5" name="ALT SECURITE" dataDxfId="6"/>
    <tableColumn id="6" name="INFO1"/>
    <tableColumn id="7" name="INFO2"/>
    <tableColumn id="8" name="RNAV2"/>
    <tableColumn id="9" name="RNAV"/>
    <tableColumn id="17" name="Colonne3"/>
    <tableColumn id="10" name="RADIO " dataDxfId="5"/>
    <tableColumn id="11" name="Approche" dataDxfId="4"/>
    <tableColumn id="12" name="proche" dataDxfId="3"/>
    <tableColumn id="13" name="ATIS" dataDxfId="2"/>
    <tableColumn id="16" name="Colonne2" dataDxfId="1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6" name="AVION1" displayName="AVION1" ref="A2:R19" totalsRowShown="0">
  <autoFilter ref="A2:R19"/>
  <sortState ref="A3:G18">
    <sortCondition ref="A1:A17"/>
  </sortState>
  <tableColumns count="18">
    <tableColumn id="1" name="AVION"/>
    <tableColumn id="4" name="Type"/>
    <tableColumn id="5" name="PU"/>
    <tableColumn id="3" name="TAS"/>
    <tableColumn id="7" name="cgF"/>
    <tableColumn id="6" name="cgB" dataDxfId="0"/>
    <tableColumn id="2" name="Consomation"/>
    <tableColumn id="8" name="empty w"/>
    <tableColumn id="9" name="empty cg"/>
    <tableColumn id="10" name="max weight"/>
    <tableColumn id="11" name="arm pic"/>
    <tableColumn id="12" name="arm oil"/>
    <tableColumn id="13" name="oil"/>
    <tableColumn id="14" name="arm bg 1"/>
    <tableColumn id="15" name="arm bg 2"/>
    <tableColumn id="16" name="arm Fuel"/>
    <tableColumn id="19" name="arm PAX"/>
    <tableColumn id="20" name="Graphique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7" name="Tableau10" displayName="Tableau10" ref="A22:A25" totalsRowShown="0">
  <autoFilter ref="A22:A25"/>
  <tableColumns count="1">
    <tableColumn id="1" name="Colonne1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8" name="Tableau13" displayName="Tableau13" ref="F22:F75" totalsRowShown="0">
  <autoFilter ref="F22:F75"/>
  <tableColumns count="1">
    <tableColumn id="1" name="UNITE">
      <calculatedColumnFormula>F22+1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4" Type="http://schemas.openxmlformats.org/officeDocument/2006/relationships/ctrlProp" Target="../ctrlProps/ctrlProp1.xml"/><Relationship Id="rId1" Type="http://schemas.openxmlformats.org/officeDocument/2006/relationships/printerSettings" Target="../printerSettings/printerSettings1.bin"/><Relationship Id="rId2" Type="http://schemas.openxmlformats.org/officeDocument/2006/relationships/drawing" Target="../drawings/drawing3.xml"/></Relationships>
</file>

<file path=xl/worksheets/_rels/sheet2.xml.rels><?xml version="1.0" encoding="UTF-8" standalone="yes"?>
<Relationships xmlns="http://schemas.openxmlformats.org/package/2006/relationships"><Relationship Id="rId11" Type="http://schemas.openxmlformats.org/officeDocument/2006/relationships/table" Target="../tables/table7.xml"/><Relationship Id="rId12" Type="http://schemas.openxmlformats.org/officeDocument/2006/relationships/table" Target="../tables/table8.xml"/><Relationship Id="rId1" Type="http://schemas.openxmlformats.org/officeDocument/2006/relationships/printerSettings" Target="../printerSettings/printerSettings2.bin"/><Relationship Id="rId2" Type="http://schemas.openxmlformats.org/officeDocument/2006/relationships/drawing" Target="../drawings/drawing6.xml"/><Relationship Id="rId3" Type="http://schemas.openxmlformats.org/officeDocument/2006/relationships/vmlDrawing" Target="../drawings/vmlDrawing2.vml"/><Relationship Id="rId4" Type="http://schemas.openxmlformats.org/officeDocument/2006/relationships/ctrlProp" Target="../ctrlProps/ctrlProp2.xml"/><Relationship Id="rId5" Type="http://schemas.openxmlformats.org/officeDocument/2006/relationships/table" Target="../tables/table1.xml"/><Relationship Id="rId6" Type="http://schemas.openxmlformats.org/officeDocument/2006/relationships/table" Target="../tables/table2.xml"/><Relationship Id="rId7" Type="http://schemas.openxmlformats.org/officeDocument/2006/relationships/table" Target="../tables/table3.xml"/><Relationship Id="rId8" Type="http://schemas.openxmlformats.org/officeDocument/2006/relationships/table" Target="../tables/table4.xml"/><Relationship Id="rId9" Type="http://schemas.openxmlformats.org/officeDocument/2006/relationships/table" Target="../tables/table5.xml"/><Relationship Id="rId10" Type="http://schemas.openxmlformats.org/officeDocument/2006/relationships/table" Target="../tables/table6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4" Type="http://schemas.openxmlformats.org/officeDocument/2006/relationships/ctrlProp" Target="../ctrlProps/ctrlProp3.xml"/><Relationship Id="rId1" Type="http://schemas.openxmlformats.org/officeDocument/2006/relationships/printerSettings" Target="../printerSettings/printerSettings3.bin"/><Relationship Id="rId2" Type="http://schemas.openxmlformats.org/officeDocument/2006/relationships/drawing" Target="../drawings/drawing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 enableFormatConditionsCalculation="0">
    <tabColor rgb="FF00B050"/>
  </sheetPr>
  <dimension ref="A1:U53"/>
  <sheetViews>
    <sheetView topLeftCell="B24" zoomScale="111" zoomScaleNormal="111" zoomScalePageLayoutView="111" workbookViewId="0">
      <selection activeCell="H45" sqref="H45"/>
    </sheetView>
  </sheetViews>
  <sheetFormatPr baseColWidth="10" defaultColWidth="10.1640625" defaultRowHeight="15" x14ac:dyDescent="0.2"/>
  <cols>
    <col min="1" max="1" width="7.83203125" hidden="1" customWidth="1"/>
    <col min="2" max="2" width="11.1640625" bestFit="1" customWidth="1"/>
    <col min="3" max="3" width="12.33203125" customWidth="1"/>
    <col min="4" max="4" width="9.1640625" hidden="1" customWidth="1"/>
    <col min="5" max="5" width="6.6640625" hidden="1" customWidth="1"/>
    <col min="6" max="6" width="16.1640625" customWidth="1"/>
    <col min="7" max="7" width="8.5" bestFit="1" customWidth="1"/>
    <col min="8" max="8" width="8.83203125" customWidth="1"/>
    <col min="9" max="9" width="3.33203125" hidden="1" customWidth="1"/>
    <col min="10" max="10" width="23.5" customWidth="1"/>
    <col min="11" max="11" width="6.5" customWidth="1"/>
    <col min="12" max="12" width="16.1640625" customWidth="1"/>
    <col min="13" max="13" width="15.33203125" customWidth="1"/>
    <col min="16" max="16" width="19.5" customWidth="1"/>
    <col min="17" max="17" width="11.33203125" customWidth="1"/>
    <col min="18" max="18" width="13.5" customWidth="1"/>
    <col min="19" max="19" width="18.5" customWidth="1"/>
    <col min="20" max="20" width="11" customWidth="1"/>
    <col min="21" max="21" width="11.1640625" customWidth="1"/>
    <col min="22" max="22" width="4.5" customWidth="1"/>
    <col min="23" max="23" width="11" customWidth="1"/>
    <col min="24" max="24" width="11.83203125" customWidth="1"/>
    <col min="25" max="25" width="34.33203125" customWidth="1"/>
    <col min="26" max="26" width="11.1640625" customWidth="1"/>
  </cols>
  <sheetData>
    <row r="1" spans="1:16" ht="20" customHeight="1" x14ac:dyDescent="0.2">
      <c r="A1" s="145"/>
      <c r="B1" s="146" t="s">
        <v>276</v>
      </c>
      <c r="C1" s="147"/>
      <c r="D1" s="147"/>
      <c r="E1" s="147"/>
      <c r="F1" s="148" t="s">
        <v>277</v>
      </c>
      <c r="G1" s="149" t="s">
        <v>278</v>
      </c>
      <c r="H1" s="150"/>
      <c r="I1" s="151" t="s">
        <v>279</v>
      </c>
      <c r="J1" s="151"/>
      <c r="K1" s="151"/>
      <c r="L1" s="151"/>
      <c r="M1" s="152"/>
      <c r="N1" s="153"/>
      <c r="O1" s="153"/>
      <c r="P1" s="154"/>
    </row>
    <row r="2" spans="1:16" s="145" customFormat="1" ht="20" customHeight="1" x14ac:dyDescent="0.2">
      <c r="B2" s="155" t="s">
        <v>280</v>
      </c>
      <c r="C2" s="24" t="s">
        <v>281</v>
      </c>
      <c r="D2" s="24" t="s">
        <v>282</v>
      </c>
      <c r="E2" s="24" t="s">
        <v>283</v>
      </c>
      <c r="F2" s="156" t="s">
        <v>284</v>
      </c>
      <c r="G2" s="149"/>
      <c r="H2" s="157"/>
      <c r="I2" s="158" t="str">
        <f>'[1]PREPARATION nav'!D5</f>
        <v>EBSP</v>
      </c>
      <c r="J2" s="159" t="str">
        <f>IF(ISNA(VLOOKUP(I2,[1]!IOAC1[#Data],4,FALSE)),"",VLOOKUP(I2,[1]!IOAC1[#Data],4,FALSE))</f>
        <v>Spa La Sauvenière</v>
      </c>
      <c r="K2" s="159"/>
      <c r="L2" s="160"/>
      <c r="M2" s="161"/>
      <c r="N2" s="162"/>
      <c r="O2" s="162"/>
      <c r="P2" s="154"/>
    </row>
    <row r="3" spans="1:16" s="145" customFormat="1" ht="20" customHeight="1" thickBot="1" x14ac:dyDescent="0.25">
      <c r="B3" s="163" t="s">
        <v>285</v>
      </c>
      <c r="C3" s="164" t="s">
        <v>286</v>
      </c>
      <c r="D3" s="164"/>
      <c r="E3" s="164"/>
      <c r="F3" s="165" t="s">
        <v>287</v>
      </c>
      <c r="G3" s="149"/>
      <c r="H3" s="157"/>
      <c r="I3" s="166"/>
      <c r="J3" s="167" t="str">
        <f>IF(ISNA(VLOOKUP(I2,[1]!IOAC1[#Data],6,FALSE)),"",VLOOKUP(I2,[1]!IOAC1[#Data],6,FALSE))</f>
        <v>05/23 1542 ft</v>
      </c>
      <c r="K3" s="167"/>
      <c r="L3" s="168"/>
      <c r="M3" s="152"/>
      <c r="N3" s="162"/>
      <c r="O3" s="162"/>
      <c r="P3" s="154"/>
    </row>
    <row r="4" spans="1:16" ht="20" customHeight="1" thickTop="1" x14ac:dyDescent="0.25">
      <c r="A4" s="169">
        <v>1</v>
      </c>
      <c r="B4" s="170"/>
      <c r="C4" s="171"/>
      <c r="D4" s="172">
        <f>DEGREES(ASIN(WINf/TAS*SIN(RADIANS(C7-WINd))))</f>
        <v>-8.6232226666523975</v>
      </c>
      <c r="E4" s="173">
        <f>TAS*COS(RADIANS(D4))-WINf*COS(RADIANS(C7-WINd))</f>
        <v>127.37709904094426</v>
      </c>
      <c r="F4" s="174">
        <f>dtg</f>
        <v>64.092664092664094</v>
      </c>
      <c r="G4" s="175">
        <f>(F5/E4)*60</f>
        <v>1.3303189562960649</v>
      </c>
      <c r="H4" s="176"/>
      <c r="I4" s="67"/>
      <c r="J4" s="177"/>
      <c r="K4" s="178" t="s">
        <v>288</v>
      </c>
      <c r="L4" s="179">
        <f>IF(ISNA(VLOOKUP(I2,[1]!IOAC1[#Data],12,FALSE)),"",VLOOKUP(I2,[1]!IOAC1[#Data],12,FALSE))</f>
        <v>0</v>
      </c>
      <c r="M4" s="152"/>
      <c r="N4" s="180"/>
      <c r="O4" s="180"/>
      <c r="P4" s="152"/>
    </row>
    <row r="5" spans="1:16" ht="20" customHeight="1" thickBot="1" x14ac:dyDescent="0.25">
      <c r="A5" s="181"/>
      <c r="B5" s="182">
        <f>IF(ISNA(VLOOKUP(I2,[1]!IOAC1[#Data],7,FALSE)),"",VLOOKUP(I2,[1]!IOAC1[#Data],7,FALSE))</f>
        <v>2600</v>
      </c>
      <c r="C5" s="172">
        <f>IF(C7-derive1&lt;0,360+C7-derive1,IF(C7-derive1&gt;360,C7-derive1-360,C7-derive1))</f>
        <v>142.73092831458604</v>
      </c>
      <c r="D5" s="172"/>
      <c r="E5" s="173"/>
      <c r="F5" s="183">
        <f>IFERROR(TRUNC((ACOS(SIN(RADIANS(latitude1)) *SIN(RADIANS(latitude2))+COS(RADIANS(latitude1))*COS(RADIANS(latitude2))*COS(RADIANS(longitude1-longitude2)))*6371),2)/1.85185,0)</f>
        <v>2.8242028242028243</v>
      </c>
      <c r="G5" s="175"/>
      <c r="H5" s="176"/>
      <c r="J5" s="184"/>
      <c r="K5" s="185" t="s">
        <v>289</v>
      </c>
      <c r="L5" s="186" t="str">
        <f>IF(ISNA(VLOOKUP(I2,[1]!IOAC1[#Data],13,FALSE)),"",VLOOKUP(I2,[1]!IOAC1[#Data],13,FALSE))</f>
        <v>124.750</v>
      </c>
      <c r="M5" s="152"/>
      <c r="N5" s="187"/>
      <c r="O5" s="187"/>
      <c r="P5" s="188"/>
    </row>
    <row r="6" spans="1:16" ht="20" customHeight="1" thickTop="1" x14ac:dyDescent="0.2">
      <c r="A6" s="181"/>
      <c r="B6" s="182"/>
      <c r="C6" s="172"/>
      <c r="D6" s="172"/>
      <c r="E6" s="173"/>
      <c r="F6" s="183"/>
      <c r="G6" s="175"/>
      <c r="H6" s="176"/>
      <c r="I6" s="189" t="str">
        <f>Point1</f>
        <v xml:space="preserve">LA SOURCE </v>
      </c>
      <c r="J6" s="190" t="str">
        <f>IF(ISNA(VLOOKUP(I6,[1]!IOAC1[#Data],4,FALSE)),"",VLOOKUP(I6,[1]!IOAC1[#Data],4,FALSE))</f>
        <v>source francorpchamps</v>
      </c>
      <c r="K6" s="190"/>
      <c r="L6" s="191"/>
      <c r="M6" s="152"/>
      <c r="N6" s="187"/>
      <c r="O6" s="187"/>
      <c r="P6" s="188"/>
    </row>
    <row r="7" spans="1:16" ht="20" customHeight="1" thickBot="1" x14ac:dyDescent="0.25">
      <c r="A7" s="192"/>
      <c r="B7" s="193">
        <f>IF(ISNA(VLOOKUP(I2,[1]!IOAC1[#Data],5,FALSE)),"",VLOOKUP(I2,[1]!IOAC1[#Data],5,FALSE))+500</f>
        <v>2042</v>
      </c>
      <c r="C7" s="194">
        <f>IFERROR(route1,0)</f>
        <v>134.10770564793364</v>
      </c>
      <c r="D7" s="172"/>
      <c r="E7" s="173"/>
      <c r="F7" s="195">
        <f>dtg-F5</f>
        <v>61.268461268461273</v>
      </c>
      <c r="G7" s="175"/>
      <c r="H7" s="176"/>
      <c r="I7" s="196"/>
      <c r="J7" s="197"/>
      <c r="K7" s="197"/>
      <c r="L7" s="198"/>
      <c r="M7" s="152"/>
      <c r="N7" s="180"/>
      <c r="O7" s="180"/>
      <c r="P7" s="188"/>
    </row>
    <row r="8" spans="1:16" ht="14" hidden="1" customHeight="1" thickBot="1" x14ac:dyDescent="0.25">
      <c r="A8" s="199"/>
      <c r="B8" s="170"/>
      <c r="C8" s="200"/>
      <c r="D8" s="201"/>
      <c r="E8" s="173"/>
      <c r="F8" s="202"/>
      <c r="G8" s="203"/>
      <c r="H8" s="204"/>
      <c r="I8" s="205"/>
      <c r="J8" s="206" t="str">
        <f>IF(ISNA(VLOOKUP(I7,[1]!IOAC1[#Data],6,FALSE)),"",VLOOKUP(I7,[1]!IOAC1[#Data],6,FALSE))</f>
        <v/>
      </c>
      <c r="K8" s="207"/>
      <c r="L8" s="208"/>
      <c r="M8" s="152"/>
      <c r="N8" s="187"/>
      <c r="O8" s="187"/>
      <c r="P8" s="188"/>
    </row>
    <row r="9" spans="1:16" ht="14" hidden="1" customHeight="1" thickBot="1" x14ac:dyDescent="0.25">
      <c r="A9" s="209"/>
      <c r="B9" s="210"/>
      <c r="C9" s="211"/>
      <c r="D9" s="212"/>
      <c r="E9" s="212"/>
      <c r="F9" s="213"/>
      <c r="G9" s="214"/>
      <c r="H9" s="152"/>
      <c r="I9" s="152"/>
      <c r="J9" s="215"/>
      <c r="K9" s="216"/>
      <c r="L9" s="198"/>
      <c r="M9" s="152"/>
      <c r="N9" s="187"/>
      <c r="O9" s="187"/>
      <c r="P9" s="188"/>
    </row>
    <row r="10" spans="1:16" ht="20" customHeight="1" x14ac:dyDescent="0.2">
      <c r="A10" s="217">
        <v>2</v>
      </c>
      <c r="B10" s="8"/>
      <c r="C10" s="218"/>
      <c r="D10" s="219">
        <f>DEGREES(ASIN(WINf/TAS*SIN(RADIANS(C13-WINd))))</f>
        <v>5.860506161043137</v>
      </c>
      <c r="E10" s="220">
        <f>TAS*COS(RADIANS(D10))-WINf*COS(RADIANS(C13-WINd))</f>
        <v>103.56558905324806</v>
      </c>
      <c r="F10" s="221">
        <f>F7</f>
        <v>61.268461268461273</v>
      </c>
      <c r="G10" s="222">
        <f>(F11/E10)*60</f>
        <v>7.8868360067440761</v>
      </c>
      <c r="H10" s="223"/>
      <c r="I10" s="152"/>
      <c r="J10" s="197"/>
      <c r="K10" s="197"/>
      <c r="L10" s="224"/>
      <c r="M10" s="152"/>
      <c r="N10" s="187"/>
      <c r="O10" s="187"/>
      <c r="P10" s="188"/>
    </row>
    <row r="11" spans="1:16" ht="20" customHeight="1" thickBot="1" x14ac:dyDescent="0.25">
      <c r="A11" s="225"/>
      <c r="B11" s="226">
        <f>IF(ISNA(VLOOKUP(I12,[1]!IOAC1[#Data],7,FALSE)),"",VLOOKUP(I12,[1]!IOAC1[#Data],7,FALSE))</f>
        <v>2000</v>
      </c>
      <c r="C11" s="219">
        <f>IF(C13-derive2&lt;0,360+C13-derive2,IF(C13-derive2&gt;360,C13-derive2-360,C13-derive2))</f>
        <v>281.92021856466863</v>
      </c>
      <c r="D11" s="219"/>
      <c r="E11" s="220"/>
      <c r="F11" s="227">
        <f>IFERROR(TRUNC((ACOS(SIN(RADIANS(latitude3)) *SIN(RADIANS(latitude4))+COS(RADIANS(latitude3))*COS(RADIANS(latitude4))*COS(RADIANS(longitude3-longitude4)))*6371),2)/1.85185,0)</f>
        <v>13.613413613413615</v>
      </c>
      <c r="G11" s="222"/>
      <c r="H11" s="223"/>
      <c r="J11" s="228"/>
      <c r="K11" s="228"/>
      <c r="L11" s="229">
        <f>IF(ISNA(VLOOKUP(I6,[1]!IOAC1[#Data],13,FALSE)),"",VLOOKUP(I6,[1]!IOAC1[#Data],13,FALSE))</f>
        <v>0</v>
      </c>
      <c r="M11" s="152"/>
      <c r="N11" s="187"/>
      <c r="O11" s="187"/>
      <c r="P11" s="188"/>
    </row>
    <row r="12" spans="1:16" ht="20" customHeight="1" thickTop="1" x14ac:dyDescent="0.2">
      <c r="A12" s="225"/>
      <c r="B12" s="226"/>
      <c r="C12" s="219"/>
      <c r="D12" s="219"/>
      <c r="E12" s="220"/>
      <c r="F12" s="227"/>
      <c r="G12" s="222"/>
      <c r="H12" s="223"/>
      <c r="I12" s="230" t="str">
        <f>Point2</f>
        <v>SPI</v>
      </c>
      <c r="J12" s="190" t="str">
        <f>IF(ISNA(VLOOKUP(I12,[1]!IOAC1[#Data],4,FALSE)),"",VLOOKUP(I12,[1]!IOAC1[#Data],4,FALSE))</f>
        <v>VOR Sprimont</v>
      </c>
      <c r="K12" s="190"/>
      <c r="L12" s="231"/>
      <c r="M12" s="152"/>
      <c r="N12" s="187"/>
      <c r="O12" s="187"/>
      <c r="P12" s="188"/>
    </row>
    <row r="13" spans="1:16" ht="20" customHeight="1" thickBot="1" x14ac:dyDescent="0.25">
      <c r="A13" s="232"/>
      <c r="B13" s="233">
        <f>IF(ISNA(VLOOKUP(I12,[1]!IOAC1[#Data],5,FALSE)),"",VLOOKUP(I12,[1]!IOAC1[#Data],5,FALSE))+500</f>
        <v>1431</v>
      </c>
      <c r="C13" s="234">
        <f>IFERROR(route2,0)</f>
        <v>287.78072472571176</v>
      </c>
      <c r="D13" s="219"/>
      <c r="E13" s="220"/>
      <c r="F13" s="235">
        <f>F10-F11</f>
        <v>47.65504765504766</v>
      </c>
      <c r="G13" s="222"/>
      <c r="H13" s="223"/>
      <c r="I13" s="166"/>
      <c r="J13" s="236" t="str">
        <f>IF(ISNA(VLOOKUP(I12,[1]!IOAC1[#Data],6,FALSE)),"",VLOOKUP(I12,[1]!IOAC1[#Data],6,FALSE))</f>
        <v>... .--. ..</v>
      </c>
      <c r="K13" s="236"/>
      <c r="L13" s="237">
        <f>IF(ISNA(VLOOKUP(I16,[1]!IOAC1[#Data],9,FALSE)),"",VLOOKUP(I16,[1]!IOAC1[#Data],9,FALSE))</f>
        <v>0</v>
      </c>
      <c r="M13" s="152"/>
      <c r="N13" s="187"/>
      <c r="O13" s="187"/>
      <c r="P13" s="188"/>
    </row>
    <row r="14" spans="1:16" ht="20" customHeight="1" x14ac:dyDescent="0.2">
      <c r="A14" s="169">
        <v>3</v>
      </c>
      <c r="B14" s="193"/>
      <c r="C14" s="171"/>
      <c r="D14" s="172">
        <f>DEGREES(ASIN(WINf/TAS*SIN(RADIANS(C17-WINd))))</f>
        <v>1.5397241626556319</v>
      </c>
      <c r="E14" s="173">
        <f>TAS*COS(RADIANS(D14))-WINf*COS(RADIANS(C17-WINd))</f>
        <v>100.21830286344277</v>
      </c>
      <c r="F14" s="238">
        <f>F13</f>
        <v>47.65504765504766</v>
      </c>
      <c r="G14" s="175">
        <f>(F15/E14)*60</f>
        <v>24.373177082900476</v>
      </c>
      <c r="H14" s="223"/>
      <c r="I14" s="67"/>
      <c r="J14" s="215"/>
      <c r="K14" s="216"/>
      <c r="L14" s="224"/>
      <c r="M14" s="152"/>
      <c r="N14" s="187"/>
      <c r="O14" s="187"/>
      <c r="P14" s="188"/>
    </row>
    <row r="15" spans="1:16" ht="20" customHeight="1" thickBot="1" x14ac:dyDescent="0.25">
      <c r="A15" s="181"/>
      <c r="B15" s="239">
        <f>IF(ISNA(VLOOKUP(I16,[1]!IOAC1[#Data],7,FALSE)),"",VLOOKUP(I16,[1]!IOAC1[#Data],7,FALSE))</f>
        <v>443</v>
      </c>
      <c r="C15" s="172">
        <f>IF(C17-derive3&lt;0,360+C17-derive3,IF(C17-derive3&gt;360,C17-derive3-360,C17-derive3))</f>
        <v>257.73799990354541</v>
      </c>
      <c r="D15" s="172"/>
      <c r="E15" s="173"/>
      <c r="F15" s="240">
        <f>IFERROR(TRUNC((ACOS(SIN(RADIANS(latitude5)) *SIN(RADIANS(latitude6))+COS(RADIANS(latitude5))*COS(RADIANS(latitude6))*COS(RADIANS(longitude5-longitude6)))*6371),2)/1.85185,0)</f>
        <v>40.71064071064071</v>
      </c>
      <c r="G15" s="175"/>
      <c r="H15" s="223"/>
      <c r="J15" s="241"/>
      <c r="K15" s="241"/>
      <c r="L15" s="186" t="str">
        <f>IF(ISNA(VLOOKUP(I12,[1]!IOAC1[#Data],13,FALSE)),"",VLOOKUP(I12,[1]!IOAC1[#Data],13,FALSE))</f>
        <v>113.100</v>
      </c>
      <c r="M15" s="152"/>
      <c r="N15" s="187"/>
      <c r="O15" s="187"/>
      <c r="P15" s="188"/>
    </row>
    <row r="16" spans="1:16" ht="20" customHeight="1" x14ac:dyDescent="0.2">
      <c r="A16" s="181"/>
      <c r="B16" s="239"/>
      <c r="C16" s="172"/>
      <c r="D16" s="172"/>
      <c r="E16" s="173"/>
      <c r="F16" s="240"/>
      <c r="G16" s="175"/>
      <c r="H16" s="223"/>
      <c r="I16" s="242" t="str">
        <f>Point3</f>
        <v>SE</v>
      </c>
      <c r="J16" s="190" t="str">
        <f>IF(ISNA(VLOOKUP(I16,[1]!IOAC1[#Data],4,FALSE)),"",VLOOKUP(I16,[1]!IOAC1[#Data],4,FALSE))</f>
        <v>SIERRA ECHO (EBCI)</v>
      </c>
      <c r="K16" s="190"/>
      <c r="L16" s="231"/>
      <c r="M16" s="152"/>
      <c r="N16" s="187"/>
      <c r="O16" s="187"/>
      <c r="P16" s="188"/>
    </row>
    <row r="17" spans="1:21" ht="20" customHeight="1" thickBot="1" x14ac:dyDescent="0.3">
      <c r="A17" s="192"/>
      <c r="B17" s="243">
        <f>IF(ISNA(VLOOKUP(I16,[1]!IOAC1[#Data],5,FALSE)),"",VLOOKUP(I16,[1]!IOAC1[#Data],5,FALSE))+500</f>
        <v>2500</v>
      </c>
      <c r="C17" s="244">
        <f>IFERROR(route3,0)</f>
        <v>259.27772406620107</v>
      </c>
      <c r="D17" s="172"/>
      <c r="E17" s="173"/>
      <c r="F17" s="245">
        <f>F14-F15</f>
        <v>6.9444069444069498</v>
      </c>
      <c r="G17" s="175"/>
      <c r="H17" s="223"/>
      <c r="I17" s="196"/>
      <c r="J17" s="236" t="str">
        <f>IF(ISNA(VLOOKUP(I16,[1]!IOAC1[#Data],6,FALSE)),"",VLOOKUP(I16,[1]!IOAC1[#Data],6,FALSE))</f>
        <v>Village de Presles</v>
      </c>
      <c r="K17" s="236"/>
      <c r="L17" s="224"/>
      <c r="M17" s="152"/>
      <c r="N17" s="187"/>
      <c r="O17" s="187"/>
      <c r="P17" s="188"/>
    </row>
    <row r="18" spans="1:21" ht="20" customHeight="1" x14ac:dyDescent="0.2">
      <c r="A18" s="217">
        <v>4</v>
      </c>
      <c r="B18" s="233"/>
      <c r="C18" s="246"/>
      <c r="D18" s="219">
        <f>DEGREES(ASIN(WINf/TAS*SIN(RADIANS(C21-WINd))))</f>
        <v>6.9339981161349904</v>
      </c>
      <c r="E18" s="220">
        <f>TAS*COS(RADIANS(D18))-WINf*COS(RADIANS(C21-WINd))</f>
        <v>105.33377038245293</v>
      </c>
      <c r="F18" s="221">
        <f>F17</f>
        <v>6.9444069444069498</v>
      </c>
      <c r="G18" s="222">
        <f>(F19/E18)*60</f>
        <v>2.0208923699903334</v>
      </c>
      <c r="H18" s="223"/>
      <c r="I18" s="67"/>
      <c r="J18" s="215"/>
      <c r="K18" s="216"/>
      <c r="L18" s="198"/>
      <c r="M18" s="152"/>
      <c r="N18" s="187"/>
      <c r="O18" s="187"/>
      <c r="P18" s="188"/>
    </row>
    <row r="19" spans="1:21" ht="20" customHeight="1" thickBot="1" x14ac:dyDescent="0.25">
      <c r="A19" s="225"/>
      <c r="B19" s="247">
        <f>IF(ISNA(VLOOKUP(I20,[1]!IOAC1[#Data],7,FALSE)),"",VLOOKUP(I20,[1]!IOAC1[#Data],7,FALSE))</f>
        <v>413</v>
      </c>
      <c r="C19" s="219">
        <f>IF(C21-derive4&lt;0,360+C21-derive4,IF(C21-derive4&gt;360,C21-derive4-360,C21-derive4))</f>
        <v>289.48125252004638</v>
      </c>
      <c r="D19" s="219"/>
      <c r="E19" s="220"/>
      <c r="F19" s="227">
        <f>IFERROR(TRUNC((ACOS(SIN(RADIANS(latitude7)) *SIN(RADIANS(latitude8))+COS(RADIANS(latitude7))*COS(RADIANS(latitude8))*COS(RADIANS(longitude7-longitude8)))*6371),2)/1.85185,0)</f>
        <v>3.5478035478035479</v>
      </c>
      <c r="G19" s="222"/>
      <c r="H19" s="223"/>
      <c r="J19" s="241"/>
      <c r="K19" s="241"/>
      <c r="L19" s="248">
        <f>IF(ISNA(VLOOKUP(I16,[1]!IOAC1[#Data],13,FALSE)),"",VLOOKUP(I16,[1]!IOAC1[#Data],13,FALSE))</f>
        <v>133.125</v>
      </c>
      <c r="M19" s="152"/>
      <c r="N19" s="187"/>
      <c r="O19" s="187"/>
      <c r="P19" s="188"/>
    </row>
    <row r="20" spans="1:21" ht="20" customHeight="1" thickTop="1" x14ac:dyDescent="0.2">
      <c r="A20" s="225"/>
      <c r="B20" s="247"/>
      <c r="C20" s="219"/>
      <c r="D20" s="219"/>
      <c r="E20" s="220"/>
      <c r="F20" s="227"/>
      <c r="G20" s="222"/>
      <c r="H20" s="223"/>
      <c r="I20" s="230" t="str">
        <f>Point4</f>
        <v>SA</v>
      </c>
      <c r="J20" s="190" t="str">
        <f>IF(ISNA(VLOOKUP(I20,[1]!IOAC1[#Data],4,FALSE)),"",VLOOKUP(I20,[1]!IOAC1[#Data],4,FALSE))</f>
        <v>SIERRA ALPHA (EBCI)</v>
      </c>
      <c r="K20" s="190"/>
      <c r="L20" s="191"/>
      <c r="M20" s="152"/>
      <c r="N20" s="187"/>
      <c r="O20" s="187"/>
      <c r="P20" s="188"/>
    </row>
    <row r="21" spans="1:21" ht="20" customHeight="1" thickBot="1" x14ac:dyDescent="0.3">
      <c r="A21" s="225"/>
      <c r="B21" s="249">
        <f>IF(ISNA(VLOOKUP(I20,[1]!IOAC1[#Data],5,FALSE)),"",VLOOKUP(I20,[1]!IOAC1[#Data],5,FALSE))+500</f>
        <v>2500</v>
      </c>
      <c r="C21" s="250">
        <f>IFERROR(route4,0)</f>
        <v>296.41525063618138</v>
      </c>
      <c r="D21" s="219"/>
      <c r="E21" s="220"/>
      <c r="F21" s="251">
        <f>F18-F19</f>
        <v>3.3966033966034019</v>
      </c>
      <c r="G21" s="222"/>
      <c r="H21" s="223"/>
      <c r="I21" s="166"/>
      <c r="J21" s="167" t="str">
        <f>IF(ISNA(VLOOKUP(I20,[1]!IOAC1[#Data],6,FALSE)),"",VLOOKUP(I20,[1]!IOAC1[#Data],6,FALSE))</f>
        <v>Cora shopping center</v>
      </c>
      <c r="K21" s="167"/>
      <c r="L21" s="198"/>
      <c r="M21" s="152"/>
      <c r="N21" s="187"/>
      <c r="O21" s="187"/>
      <c r="P21" s="188"/>
    </row>
    <row r="22" spans="1:21" ht="20" customHeight="1" thickTop="1" x14ac:dyDescent="0.25">
      <c r="A22" s="252">
        <v>5</v>
      </c>
      <c r="B22" s="170"/>
      <c r="C22" s="244"/>
      <c r="D22" s="172">
        <f>DEGREES(ASIN(WINf/TAS*SIN(RADIANS(C25-WINd))))</f>
        <v>9.4910259736067921</v>
      </c>
      <c r="E22" s="173">
        <f>TAS*COS(RADIANS(D22))-WINf*COS(RADIANS(C25-WINd))</f>
        <v>115.44744107015721</v>
      </c>
      <c r="F22" s="253">
        <f>F21</f>
        <v>3.3966033966034019</v>
      </c>
      <c r="G22" s="175">
        <f>(F23/E22)*60</f>
        <v>1.7652725942392884</v>
      </c>
      <c r="H22" s="223"/>
      <c r="I22" s="205"/>
      <c r="J22" s="254"/>
      <c r="K22" s="216"/>
      <c r="L22" s="198"/>
      <c r="M22" s="152"/>
      <c r="N22" s="187"/>
      <c r="O22" s="187"/>
      <c r="P22" s="188"/>
    </row>
    <row r="23" spans="1:21" ht="20" customHeight="1" thickBot="1" x14ac:dyDescent="0.3">
      <c r="A23" s="255"/>
      <c r="B23" s="239">
        <f>IF(ISNA(VLOOKUP(I24,[1]!IOAC1[#Data],7,FALSE)),"",VLOOKUP(I24,[1]!IOAC1[#Data],7,FALSE))</f>
        <v>1600</v>
      </c>
      <c r="C23" s="256">
        <f>IF(C25-D22&lt;0,360+C25-D22,IF(C25-D22&gt;360,C25-D22-360,C25-D22))</f>
        <v>322.14293748070639</v>
      </c>
      <c r="D23" s="172"/>
      <c r="E23" s="173"/>
      <c r="F23" s="240">
        <f>IFERROR(TRUNC((ACOS(SIN(RADIANS(latitude9)) *SIN(RADIANS(latitude10))+COS(RADIANS(latitude9))*COS(RADIANS(latitude10))*COS(RADIANS(longitude9-longitude10)))*6371),2)/1.85185,0)</f>
        <v>3.3966033966033966</v>
      </c>
      <c r="G23" s="175"/>
      <c r="H23" s="223"/>
      <c r="J23" s="241"/>
      <c r="K23" s="241"/>
      <c r="L23" s="257">
        <f>IF(ISNA(VLOOKUP(I20,[1]!IOAC1[#Data],13,FALSE)),"",VLOOKUP(I20,[1]!IOAC1[#Data],13,FALSE))</f>
        <v>133.125</v>
      </c>
      <c r="M23" s="152"/>
      <c r="N23" s="187"/>
      <c r="O23" s="187"/>
      <c r="P23" s="188"/>
    </row>
    <row r="24" spans="1:21" ht="20" customHeight="1" thickTop="1" x14ac:dyDescent="0.2">
      <c r="A24" s="255"/>
      <c r="B24" s="239"/>
      <c r="C24" s="256"/>
      <c r="D24" s="172"/>
      <c r="E24" s="173"/>
      <c r="F24" s="240"/>
      <c r="G24" s="175"/>
      <c r="H24" s="223"/>
      <c r="I24" s="258" t="str">
        <f>Point5</f>
        <v>EBCI</v>
      </c>
      <c r="J24" s="259" t="str">
        <f>IF(ISNA(VLOOKUP(I24,[1]!IOAC1[#Data],4,FALSE)),"",VLOOKUP(I24,[1]!IOAC1[#Data],4,FALSE))</f>
        <v>Aeroport de Charleroi</v>
      </c>
      <c r="K24" s="259"/>
      <c r="L24" s="260"/>
      <c r="M24" s="152"/>
      <c r="N24" s="187"/>
      <c r="O24" s="187"/>
      <c r="P24" s="188"/>
    </row>
    <row r="25" spans="1:21" ht="20" customHeight="1" thickBot="1" x14ac:dyDescent="0.25">
      <c r="A25" s="261"/>
      <c r="B25" s="262">
        <f>IF(ISNA(VLOOKUP(I24,[1]!IOAC1[#Data],5,FALSE)),"",VLOOKUP(I24,[1]!IOAC1[#Data],5,FALSE))+500</f>
        <v>1114</v>
      </c>
      <c r="C25" s="263">
        <f>IFERROR(route5,0)</f>
        <v>331.63396345431318</v>
      </c>
      <c r="D25" s="172"/>
      <c r="E25" s="173"/>
      <c r="F25" s="264">
        <f>F22-F23</f>
        <v>5.3290705182007514E-15</v>
      </c>
      <c r="G25" s="175"/>
      <c r="H25" s="223"/>
      <c r="I25" s="265"/>
      <c r="J25" s="266" t="str">
        <f>IF(ISNA(VLOOKUP(I24,[1]!IOAC1[#Data],6,FALSE)),"",VLOOKUP(I24,[1]!IOAC1[#Data],6,FALSE))</f>
        <v>25/07 614 ft</v>
      </c>
      <c r="K25" s="266"/>
      <c r="L25" s="224"/>
      <c r="M25" s="152"/>
      <c r="N25" s="187"/>
      <c r="O25" s="187"/>
      <c r="P25" s="188"/>
    </row>
    <row r="26" spans="1:21" ht="20" customHeight="1" x14ac:dyDescent="0.25">
      <c r="A26" s="225">
        <v>6</v>
      </c>
      <c r="B26" s="8"/>
      <c r="C26" s="250"/>
      <c r="D26" s="219">
        <f>DEGREES(ASIN(WINf/TAS*SIN(RADIANS(C29-WINd))))</f>
        <v>9.0104983201709903</v>
      </c>
      <c r="E26" s="220">
        <f>TAS*COS(RADIANS(D26))-WINf*COS(RADIANS(C29-WINd))</f>
        <v>125.359562125159</v>
      </c>
      <c r="F26" s="267">
        <f>F25</f>
        <v>5.3290705182007514E-15</v>
      </c>
      <c r="G26" s="222">
        <f>(F27/E26)*60</f>
        <v>0</v>
      </c>
      <c r="H26" s="223"/>
      <c r="I26" s="205"/>
      <c r="J26" s="215"/>
      <c r="K26" s="268"/>
      <c r="L26" s="224"/>
      <c r="M26" s="152"/>
      <c r="N26" s="187"/>
      <c r="O26" s="187"/>
      <c r="P26" s="188"/>
    </row>
    <row r="27" spans="1:21" ht="20" customHeight="1" thickBot="1" x14ac:dyDescent="0.3">
      <c r="A27" s="225"/>
      <c r="B27" s="247">
        <f>IF(ISNA(VLOOKUP(I28,[1]!IOAC1[#Data],7,FALSE)),"",VLOOKUP(I28,[1]!IOAC1[#Data],7,FALSE))</f>
        <v>1600</v>
      </c>
      <c r="C27" s="269">
        <f>IF(C29-D26&lt;0,360+C29-D26,IF(C29-D26&gt;360,C29-D26-360,C29-D26))</f>
        <v>350.989501679829</v>
      </c>
      <c r="D27" s="219"/>
      <c r="E27" s="220"/>
      <c r="F27" s="227">
        <f>IFERROR(TRUNC((ACOS(SIN(RADIANS(latitude11)) *SIN(RADIANS(latitude12))+COS(RADIANS(latitude11))*COS(RADIANS(latitude12))*COS(RADIANS(longitude11-longitude12)))*6371),2)/1.85185,0)</f>
        <v>0</v>
      </c>
      <c r="G27" s="222"/>
      <c r="H27" s="223"/>
      <c r="J27" s="241"/>
      <c r="K27" s="241"/>
      <c r="L27" s="270" t="str">
        <f>IF(ISNA(VLOOKUP(I24,[1]!IOAC1[#Data],13,FALSE)),"",VLOOKUP(I24,[1]!IOAC1[#Data],13,FALSE))</f>
        <v>121.300</v>
      </c>
      <c r="M27" s="152"/>
      <c r="N27" s="180"/>
      <c r="O27" s="180"/>
      <c r="P27" s="188"/>
      <c r="S27" s="67"/>
      <c r="T27" s="67"/>
      <c r="U27" s="67"/>
    </row>
    <row r="28" spans="1:21" ht="20" customHeight="1" x14ac:dyDescent="0.2">
      <c r="A28" s="225"/>
      <c r="B28" s="247"/>
      <c r="C28" s="269"/>
      <c r="D28" s="219"/>
      <c r="E28" s="220"/>
      <c r="F28" s="227"/>
      <c r="G28" s="222"/>
      <c r="H28" s="223"/>
      <c r="I28" s="271" t="str">
        <f>Arrivee</f>
        <v>EBCI</v>
      </c>
      <c r="J28" s="272" t="str">
        <f>IF(ISNA(VLOOKUP(I28,[1]!IOAC1[#Data],4,FALSE)),"",VLOOKUP(I28,[1]!IOAC1[#Data],4,FALSE))</f>
        <v>Aeroport de Charleroi</v>
      </c>
      <c r="K28" s="272"/>
      <c r="L28" s="273"/>
      <c r="M28" s="152"/>
      <c r="N28" s="180"/>
      <c r="O28" s="180"/>
      <c r="P28" s="188"/>
      <c r="S28" s="67"/>
      <c r="T28" s="67"/>
      <c r="U28" s="67"/>
    </row>
    <row r="29" spans="1:21" ht="20" customHeight="1" thickBot="1" x14ac:dyDescent="0.25">
      <c r="A29" s="232"/>
      <c r="B29" s="165">
        <f>IF(ISNA(VLOOKUP(I28,[1]!IOAC1[#Data],5,FALSE)),"",VLOOKUP(I28,[1]!IOAC1[#Data],5,FALSE))+500</f>
        <v>1114</v>
      </c>
      <c r="C29" s="274">
        <f>IFERROR(route6,0)</f>
        <v>0</v>
      </c>
      <c r="D29" s="219"/>
      <c r="E29" s="220"/>
      <c r="F29" s="275">
        <f>F26-F27</f>
        <v>5.3290705182007514E-15</v>
      </c>
      <c r="G29" s="222"/>
      <c r="H29" s="223"/>
      <c r="I29" s="276"/>
      <c r="J29" s="167" t="str">
        <f>IF(ISNA(VLOOKUP(I28,[1]!IOAC1[#Data],6,FALSE)),"",VLOOKUP(I28,[1]!IOAC1[#Data],6,FALSE))</f>
        <v>25/07 614 ft</v>
      </c>
      <c r="K29" s="167"/>
      <c r="L29" s="198"/>
      <c r="M29" s="152"/>
      <c r="N29" s="180"/>
      <c r="O29" s="180"/>
      <c r="P29" s="188"/>
      <c r="S29" s="67"/>
      <c r="T29" s="277"/>
      <c r="U29" s="67"/>
    </row>
    <row r="30" spans="1:21" ht="20" customHeight="1" x14ac:dyDescent="0.2">
      <c r="A30" s="278" t="s">
        <v>290</v>
      </c>
      <c r="B30" s="279"/>
      <c r="C30" s="279"/>
      <c r="D30" s="280"/>
      <c r="E30" s="281"/>
      <c r="F30" s="282">
        <f>(F27+F23+F19+F15+F11+F5)</f>
        <v>64.092664092664094</v>
      </c>
      <c r="G30" s="283">
        <f>G26+G22+G18+G14+G10+G4</f>
        <v>37.37649701017024</v>
      </c>
      <c r="I30" s="284"/>
      <c r="J30" s="285">
        <f>IF(ISNA(VLOOKUP(I28,[1]!IOAC1[#Data],17,FALSE)),"",VLOOKUP(I28,[1]!IOAC1[#Data],17,FALSE))</f>
        <v>0</v>
      </c>
      <c r="K30" s="286" t="s">
        <v>288</v>
      </c>
      <c r="L30" s="287" t="str">
        <f>IF(ISNA(VLOOKUP(I28,[1]!IOAC1[#Data],12,FALSE)),"",VLOOKUP(I28,[1]!IOAC1[#Data],12,FALSE))</f>
        <v>121.800</v>
      </c>
      <c r="M30" s="67"/>
      <c r="N30" s="180"/>
      <c r="O30" s="180"/>
      <c r="P30" s="188"/>
      <c r="S30" s="67"/>
      <c r="T30" s="277"/>
      <c r="U30" s="67"/>
    </row>
    <row r="31" spans="1:21" ht="20" customHeight="1" x14ac:dyDescent="0.2">
      <c r="A31" s="279"/>
      <c r="B31" s="279"/>
      <c r="C31" s="279"/>
      <c r="D31" s="280"/>
      <c r="E31" s="281"/>
      <c r="F31" s="282"/>
      <c r="G31" s="283"/>
      <c r="I31" s="284"/>
      <c r="J31" s="288"/>
      <c r="K31" s="289" t="s">
        <v>289</v>
      </c>
      <c r="L31" s="290" t="str">
        <f>IF(ISNA(VLOOKUP(I28,[1]!IOAC1[#Data],13,FALSE)),"",VLOOKUP(I28,[1]!IOAC1[#Data],13,FALSE))</f>
        <v>121.300</v>
      </c>
      <c r="M31" s="152"/>
      <c r="N31" s="180"/>
      <c r="O31" s="180"/>
      <c r="P31" s="188"/>
      <c r="S31" s="67"/>
      <c r="T31" s="67"/>
      <c r="U31" s="67"/>
    </row>
    <row r="32" spans="1:21" ht="20" customHeight="1" x14ac:dyDescent="0.2">
      <c r="A32" s="279"/>
      <c r="B32" s="279"/>
      <c r="C32" s="279"/>
      <c r="D32" s="280"/>
      <c r="E32" s="280"/>
      <c r="F32" s="282"/>
      <c r="G32" s="283"/>
      <c r="I32" s="152"/>
      <c r="J32" s="277"/>
      <c r="K32" s="291"/>
      <c r="M32" s="152"/>
      <c r="N32" s="180"/>
      <c r="O32" s="180"/>
      <c r="P32" s="188"/>
      <c r="S32" s="67"/>
      <c r="T32" s="67"/>
      <c r="U32" s="67"/>
    </row>
    <row r="33" spans="1:12" ht="20" customHeight="1" thickBot="1" x14ac:dyDescent="0.25">
      <c r="A33" s="280"/>
      <c r="B33" s="280"/>
      <c r="C33" s="280"/>
      <c r="D33" s="280"/>
      <c r="E33" s="280"/>
      <c r="F33" s="280"/>
      <c r="G33" s="280"/>
    </row>
    <row r="34" spans="1:12" ht="20" customHeight="1" thickBot="1" x14ac:dyDescent="0.25">
      <c r="B34" s="292" t="s">
        <v>291</v>
      </c>
      <c r="C34" s="293"/>
      <c r="D34" s="293"/>
      <c r="E34" s="293"/>
      <c r="F34" s="293"/>
      <c r="G34" s="294"/>
      <c r="J34" s="295" t="str">
        <f>'[1]PREPARATION nav'!H3</f>
        <v>PH-AML</v>
      </c>
      <c r="K34" s="296"/>
      <c r="L34" s="297"/>
    </row>
    <row r="35" spans="1:12" ht="15" customHeight="1" x14ac:dyDescent="0.2">
      <c r="B35" s="298" t="s">
        <v>292</v>
      </c>
      <c r="C35" s="299"/>
      <c r="D35" s="280"/>
      <c r="E35" s="280"/>
      <c r="F35" s="300">
        <f>Ttt</f>
        <v>37.37649701017024</v>
      </c>
      <c r="G35" s="301">
        <f>(Conso/60)*F35</f>
        <v>20.494779193910016</v>
      </c>
      <c r="J35" s="302"/>
      <c r="K35" s="303"/>
      <c r="L35" s="304"/>
    </row>
    <row r="36" spans="1:12" ht="15" customHeight="1" x14ac:dyDescent="0.2">
      <c r="B36" s="305" t="s">
        <v>293</v>
      </c>
      <c r="C36" s="306"/>
      <c r="D36" s="280"/>
      <c r="E36" s="280"/>
      <c r="F36" s="307">
        <v>15</v>
      </c>
      <c r="G36" s="308">
        <f>(Conso/60)*F36</f>
        <v>8.2249999999999996</v>
      </c>
      <c r="J36" s="302"/>
      <c r="K36" s="303"/>
      <c r="L36" s="304"/>
    </row>
    <row r="37" spans="1:12" ht="15" customHeight="1" x14ac:dyDescent="0.2">
      <c r="B37" s="305" t="s">
        <v>294</v>
      </c>
      <c r="C37" s="306"/>
      <c r="D37" s="280"/>
      <c r="E37" s="280"/>
      <c r="F37" s="307">
        <v>10</v>
      </c>
      <c r="G37" s="308">
        <f>(Conso/60)*F37</f>
        <v>5.4833333333333334</v>
      </c>
      <c r="J37" s="302"/>
      <c r="K37" s="303"/>
      <c r="L37" s="304"/>
    </row>
    <row r="38" spans="1:12" ht="15" customHeight="1" x14ac:dyDescent="0.2">
      <c r="B38" s="305" t="s">
        <v>295</v>
      </c>
      <c r="C38" s="306"/>
      <c r="D38" s="280"/>
      <c r="E38" s="280"/>
      <c r="F38" s="307">
        <v>20</v>
      </c>
      <c r="G38" s="308">
        <f>(Conso/60)*F38</f>
        <v>10.966666666666667</v>
      </c>
      <c r="J38" s="302"/>
      <c r="K38" s="303"/>
      <c r="L38" s="304"/>
    </row>
    <row r="39" spans="1:12" ht="15" customHeight="1" thickBot="1" x14ac:dyDescent="0.25">
      <c r="B39" s="309" t="s">
        <v>296</v>
      </c>
      <c r="C39" s="306"/>
      <c r="D39" s="280"/>
      <c r="E39" s="280"/>
      <c r="F39" s="310">
        <f>(F38+F37+F36+F35)/24/60</f>
        <v>5.7205900701507113E-2</v>
      </c>
      <c r="G39" s="308">
        <f>SUM(G35:G38)</f>
        <v>45.169779193910017</v>
      </c>
      <c r="J39" s="302"/>
      <c r="K39" s="303"/>
      <c r="L39" s="304"/>
    </row>
    <row r="40" spans="1:12" ht="15" customHeight="1" thickBot="1" x14ac:dyDescent="0.25">
      <c r="B40" s="311" t="s">
        <v>297</v>
      </c>
      <c r="C40" s="312"/>
      <c r="D40" s="313"/>
      <c r="E40" s="313"/>
      <c r="F40" s="314">
        <f>(G40/23)/24</f>
        <v>7.7590979721177497E-2</v>
      </c>
      <c r="G40" s="315">
        <f>(fuel)-G39</f>
        <v>42.830220806089983</v>
      </c>
      <c r="J40" s="316"/>
      <c r="K40" s="317"/>
      <c r="L40" s="318"/>
    </row>
    <row r="41" spans="1:12" ht="25" customHeight="1" x14ac:dyDescent="0.2">
      <c r="J41" s="121"/>
    </row>
    <row r="42" spans="1:12" ht="25" customHeight="1" x14ac:dyDescent="0.2"/>
    <row r="43" spans="1:12" ht="25" customHeight="1" x14ac:dyDescent="0.2"/>
    <row r="44" spans="1:12" ht="25" customHeight="1" x14ac:dyDescent="0.2"/>
    <row r="45" spans="1:12" ht="25" customHeight="1" x14ac:dyDescent="0.2"/>
    <row r="46" spans="1:12" ht="25" customHeight="1" x14ac:dyDescent="0.2"/>
    <row r="47" spans="1:12" ht="25" customHeight="1" x14ac:dyDescent="0.2"/>
    <row r="48" spans="1:12" ht="25" customHeight="1" x14ac:dyDescent="0.2"/>
    <row r="49" ht="25" customHeight="1" x14ac:dyDescent="0.2"/>
    <row r="50" ht="25" customHeight="1" x14ac:dyDescent="0.2"/>
    <row r="51" ht="25" customHeight="1" x14ac:dyDescent="0.2"/>
    <row r="52" ht="25" customHeight="1" x14ac:dyDescent="0.2"/>
    <row r="53" ht="25" customHeight="1" x14ac:dyDescent="0.2"/>
  </sheetData>
  <mergeCells count="88">
    <mergeCell ref="B34:G34"/>
    <mergeCell ref="J34:L40"/>
    <mergeCell ref="A30:C32"/>
    <mergeCell ref="F30:F32"/>
    <mergeCell ref="G30:G32"/>
    <mergeCell ref="I30:I31"/>
    <mergeCell ref="N30:O30"/>
    <mergeCell ref="N31:O31"/>
    <mergeCell ref="N32:O32"/>
    <mergeCell ref="C27:C28"/>
    <mergeCell ref="F27:F28"/>
    <mergeCell ref="N27:O27"/>
    <mergeCell ref="H28:H29"/>
    <mergeCell ref="J28:K28"/>
    <mergeCell ref="N28:O28"/>
    <mergeCell ref="J29:K29"/>
    <mergeCell ref="N29:O29"/>
    <mergeCell ref="F23:F24"/>
    <mergeCell ref="H24:H25"/>
    <mergeCell ref="J24:K24"/>
    <mergeCell ref="J25:K25"/>
    <mergeCell ref="A26:A29"/>
    <mergeCell ref="D26:D29"/>
    <mergeCell ref="E26:E29"/>
    <mergeCell ref="G26:G29"/>
    <mergeCell ref="H26:H27"/>
    <mergeCell ref="B27:B28"/>
    <mergeCell ref="H20:H21"/>
    <mergeCell ref="J20:K20"/>
    <mergeCell ref="J21:K21"/>
    <mergeCell ref="A22:A25"/>
    <mergeCell ref="D22:D25"/>
    <mergeCell ref="E22:E25"/>
    <mergeCell ref="G22:G25"/>
    <mergeCell ref="H22:H23"/>
    <mergeCell ref="B23:B24"/>
    <mergeCell ref="C23:C24"/>
    <mergeCell ref="J16:K16"/>
    <mergeCell ref="J17:K17"/>
    <mergeCell ref="A18:A21"/>
    <mergeCell ref="D18:D21"/>
    <mergeCell ref="E18:E21"/>
    <mergeCell ref="G18:G21"/>
    <mergeCell ref="H18:H19"/>
    <mergeCell ref="B19:B20"/>
    <mergeCell ref="C19:C20"/>
    <mergeCell ref="F19:F20"/>
    <mergeCell ref="A14:A17"/>
    <mergeCell ref="D14:D17"/>
    <mergeCell ref="E14:E17"/>
    <mergeCell ref="G14:G17"/>
    <mergeCell ref="H14:H15"/>
    <mergeCell ref="B15:B16"/>
    <mergeCell ref="C15:C16"/>
    <mergeCell ref="F15:F16"/>
    <mergeCell ref="H16:H17"/>
    <mergeCell ref="C11:C12"/>
    <mergeCell ref="F11:F12"/>
    <mergeCell ref="J11:K11"/>
    <mergeCell ref="H12:H13"/>
    <mergeCell ref="J12:K12"/>
    <mergeCell ref="J13:K13"/>
    <mergeCell ref="J6:K6"/>
    <mergeCell ref="J7:K7"/>
    <mergeCell ref="N7:O7"/>
    <mergeCell ref="A10:A13"/>
    <mergeCell ref="D10:D13"/>
    <mergeCell ref="E10:E13"/>
    <mergeCell ref="G10:G13"/>
    <mergeCell ref="H10:H11"/>
    <mergeCell ref="J10:K10"/>
    <mergeCell ref="B11:B12"/>
    <mergeCell ref="A4:A7"/>
    <mergeCell ref="D4:D7"/>
    <mergeCell ref="E4:E8"/>
    <mergeCell ref="G4:G7"/>
    <mergeCell ref="H4:H5"/>
    <mergeCell ref="N4:O4"/>
    <mergeCell ref="B5:B6"/>
    <mergeCell ref="C5:C6"/>
    <mergeCell ref="F5:F6"/>
    <mergeCell ref="H6:H7"/>
    <mergeCell ref="G1:G3"/>
    <mergeCell ref="I1:L1"/>
    <mergeCell ref="N1:O1"/>
    <mergeCell ref="H2:H3"/>
    <mergeCell ref="J2:K2"/>
    <mergeCell ref="J3:K3"/>
  </mergeCells>
  <conditionalFormatting sqref="K31">
    <cfRule type="iconSet" priority="1">
      <iconSet iconSet="3Arrows">
        <cfvo type="percent" val="0"/>
        <cfvo type="percent" val="33"/>
        <cfvo type="percent" val="67"/>
      </iconSet>
    </cfRule>
  </conditionalFormatting>
  <pageMargins left="0.19685039370078741" right="0.23622047244094491" top="0.74803149606299213" bottom="0.74803149606299213" header="0.31496062992125984" footer="0.31496062992125984"/>
  <pageSetup paperSize="9" scale="65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autoFill="0" autoPict="0" macro="[1]!Bouton6_Cliquer">
                <anchor moveWithCells="1" sizeWithCells="1">
                  <from>
                    <xdr:col>1</xdr:col>
                    <xdr:colOff>101600</xdr:colOff>
                    <xdr:row>41</xdr:row>
                    <xdr:rowOff>215900</xdr:rowOff>
                  </from>
                  <to>
                    <xdr:col>2</xdr:col>
                    <xdr:colOff>254000</xdr:colOff>
                    <xdr:row>43</xdr:row>
                    <xdr:rowOff>38100</xdr:rowOff>
                  </to>
                </anchor>
              </controlPr>
            </control>
          </mc:Choice>
          <mc:Fallback/>
        </mc:AlternateContent>
      </controls>
    </mc:Choice>
    <mc:Fallback/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 enableFormatConditionsCalculation="0"/>
  <dimension ref="A1:AM75"/>
  <sheetViews>
    <sheetView workbookViewId="0">
      <selection activeCell="R8" sqref="R8"/>
    </sheetView>
  </sheetViews>
  <sheetFormatPr baseColWidth="10" defaultColWidth="11.5" defaultRowHeight="15" x14ac:dyDescent="0.2"/>
  <cols>
    <col min="1" max="1" width="11.5" customWidth="1"/>
    <col min="3" max="3" width="10.1640625" customWidth="1"/>
    <col min="4" max="4" width="6.6640625" bestFit="1" customWidth="1"/>
    <col min="5" max="5" width="6.6640625" customWidth="1"/>
    <col min="6" max="6" width="8.5" bestFit="1" customWidth="1"/>
    <col min="7" max="7" width="10.5" customWidth="1"/>
    <col min="8" max="17" width="8.5" customWidth="1"/>
    <col min="19" max="19" width="16.6640625" bestFit="1" customWidth="1"/>
    <col min="23" max="23" width="15.33203125" customWidth="1"/>
    <col min="24" max="24" width="11.5" customWidth="1"/>
    <col min="25" max="25" width="12.1640625" bestFit="1" customWidth="1"/>
    <col min="26" max="26" width="25.5" style="119" bestFit="1" customWidth="1"/>
    <col min="27" max="27" width="16.33203125" bestFit="1" customWidth="1"/>
    <col min="28" max="28" width="26.6640625" bestFit="1" customWidth="1"/>
    <col min="29" max="29" width="13.5" bestFit="1" customWidth="1"/>
    <col min="30" max="30" width="16.5" bestFit="1" customWidth="1"/>
    <col min="31" max="31" width="12" bestFit="1" customWidth="1"/>
    <col min="32" max="32" width="11" bestFit="1" customWidth="1"/>
    <col min="33" max="33" width="12.1640625" customWidth="1"/>
    <col min="34" max="34" width="12.83203125" customWidth="1"/>
    <col min="35" max="35" width="11.33203125" customWidth="1"/>
    <col min="36" max="36" width="11.1640625" customWidth="1"/>
    <col min="39" max="39" width="14.5" customWidth="1"/>
  </cols>
  <sheetData>
    <row r="1" spans="1:39" x14ac:dyDescent="0.2">
      <c r="A1">
        <v>1</v>
      </c>
      <c r="B1">
        <v>2</v>
      </c>
      <c r="C1">
        <v>3</v>
      </c>
      <c r="D1">
        <v>4</v>
      </c>
      <c r="E1">
        <v>5</v>
      </c>
      <c r="F1">
        <v>6</v>
      </c>
      <c r="G1">
        <v>7</v>
      </c>
      <c r="H1">
        <f>G1+1</f>
        <v>8</v>
      </c>
      <c r="I1">
        <f t="shared" ref="I1:Q1" si="0">H1+1</f>
        <v>9</v>
      </c>
      <c r="J1">
        <f t="shared" si="0"/>
        <v>10</v>
      </c>
      <c r="K1">
        <f t="shared" si="0"/>
        <v>11</v>
      </c>
      <c r="L1">
        <f t="shared" si="0"/>
        <v>12</v>
      </c>
      <c r="M1">
        <f t="shared" si="0"/>
        <v>13</v>
      </c>
      <c r="N1">
        <f>M1+1</f>
        <v>14</v>
      </c>
      <c r="O1">
        <f t="shared" si="0"/>
        <v>15</v>
      </c>
      <c r="P1">
        <f t="shared" si="0"/>
        <v>16</v>
      </c>
      <c r="Q1">
        <f t="shared" si="0"/>
        <v>17</v>
      </c>
      <c r="R1">
        <v>18</v>
      </c>
      <c r="S1">
        <v>1</v>
      </c>
      <c r="T1">
        <v>2</v>
      </c>
      <c r="U1">
        <v>3</v>
      </c>
      <c r="X1">
        <v>1</v>
      </c>
      <c r="Z1" s="118">
        <v>1</v>
      </c>
      <c r="AA1">
        <v>2</v>
      </c>
      <c r="AB1">
        <v>3</v>
      </c>
    </row>
    <row r="2" spans="1:39" x14ac:dyDescent="0.2">
      <c r="A2" t="s">
        <v>5</v>
      </c>
      <c r="B2" t="s">
        <v>59</v>
      </c>
      <c r="C2" t="s">
        <v>60</v>
      </c>
      <c r="D2" t="s">
        <v>61</v>
      </c>
      <c r="E2" t="s">
        <v>62</v>
      </c>
      <c r="F2" t="s">
        <v>63</v>
      </c>
      <c r="G2" t="s">
        <v>64</v>
      </c>
      <c r="H2" t="s">
        <v>38</v>
      </c>
      <c r="I2" t="s">
        <v>41</v>
      </c>
      <c r="J2" t="s">
        <v>65</v>
      </c>
      <c r="K2" t="s">
        <v>66</v>
      </c>
      <c r="L2" t="s">
        <v>67</v>
      </c>
      <c r="M2" t="s">
        <v>68</v>
      </c>
      <c r="N2" t="s">
        <v>69</v>
      </c>
      <c r="O2" t="s">
        <v>70</v>
      </c>
      <c r="P2" t="s">
        <v>71</v>
      </c>
      <c r="Q2" t="s">
        <v>72</v>
      </c>
      <c r="R2" t="s">
        <v>73</v>
      </c>
      <c r="S2" t="s">
        <v>74</v>
      </c>
      <c r="T2" t="s">
        <v>75</v>
      </c>
      <c r="U2" t="s">
        <v>76</v>
      </c>
      <c r="X2" t="s">
        <v>77</v>
      </c>
      <c r="Z2" s="119" t="s">
        <v>78</v>
      </c>
      <c r="AA2" t="s">
        <v>76</v>
      </c>
      <c r="AB2" s="119" t="s">
        <v>79</v>
      </c>
    </row>
    <row r="3" spans="1:39" x14ac:dyDescent="0.2">
      <c r="A3" t="s">
        <v>80</v>
      </c>
      <c r="B3" t="s">
        <v>81</v>
      </c>
      <c r="C3">
        <v>1.84</v>
      </c>
      <c r="D3">
        <v>90</v>
      </c>
      <c r="E3" s="120">
        <v>31.5</v>
      </c>
      <c r="F3" s="120">
        <v>37.5</v>
      </c>
      <c r="G3">
        <v>23</v>
      </c>
      <c r="H3">
        <v>1107.82</v>
      </c>
      <c r="I3">
        <v>32.68</v>
      </c>
      <c r="J3">
        <v>1600</v>
      </c>
      <c r="K3">
        <v>39</v>
      </c>
      <c r="L3">
        <v>-9</v>
      </c>
      <c r="M3">
        <v>9.9</v>
      </c>
      <c r="N3">
        <v>65</v>
      </c>
      <c r="O3">
        <v>80</v>
      </c>
      <c r="P3">
        <v>42</v>
      </c>
      <c r="R3" t="s">
        <v>82</v>
      </c>
      <c r="S3" t="s">
        <v>83</v>
      </c>
      <c r="T3">
        <v>0.61</v>
      </c>
      <c r="U3">
        <v>85</v>
      </c>
      <c r="X3">
        <v>1</v>
      </c>
      <c r="AA3" t="s">
        <v>84</v>
      </c>
      <c r="AB3" s="119">
        <v>43394</v>
      </c>
    </row>
    <row r="4" spans="1:39" x14ac:dyDescent="0.2">
      <c r="A4" t="s">
        <v>85</v>
      </c>
      <c r="B4" t="s">
        <v>86</v>
      </c>
      <c r="C4">
        <v>2.88</v>
      </c>
      <c r="D4">
        <v>110</v>
      </c>
      <c r="E4">
        <v>35</v>
      </c>
      <c r="F4" s="120">
        <v>47.5</v>
      </c>
      <c r="G4">
        <v>25</v>
      </c>
      <c r="S4" t="s">
        <v>87</v>
      </c>
      <c r="T4">
        <v>0.61</v>
      </c>
      <c r="U4">
        <v>80</v>
      </c>
      <c r="X4">
        <v>2</v>
      </c>
      <c r="AA4" t="s">
        <v>88</v>
      </c>
      <c r="AB4" s="119">
        <v>43394</v>
      </c>
    </row>
    <row r="5" spans="1:39" x14ac:dyDescent="0.2">
      <c r="A5" t="s">
        <v>89</v>
      </c>
      <c r="B5" t="s">
        <v>90</v>
      </c>
      <c r="F5" s="120"/>
      <c r="S5" t="s">
        <v>40</v>
      </c>
      <c r="T5">
        <v>0</v>
      </c>
      <c r="U5">
        <v>65</v>
      </c>
      <c r="X5">
        <v>3</v>
      </c>
      <c r="AA5" t="s">
        <v>91</v>
      </c>
      <c r="AB5" s="119">
        <v>44155</v>
      </c>
    </row>
    <row r="6" spans="1:39" x14ac:dyDescent="0.2">
      <c r="A6" t="s">
        <v>92</v>
      </c>
      <c r="B6" t="s">
        <v>90</v>
      </c>
      <c r="F6" s="120"/>
      <c r="S6" t="s">
        <v>93</v>
      </c>
      <c r="T6">
        <v>0</v>
      </c>
      <c r="U6">
        <v>0</v>
      </c>
      <c r="X6">
        <v>4</v>
      </c>
      <c r="AA6" t="s">
        <v>94</v>
      </c>
      <c r="AB6" s="119">
        <v>43364</v>
      </c>
    </row>
    <row r="7" spans="1:39" x14ac:dyDescent="0.2">
      <c r="A7" t="s">
        <v>95</v>
      </c>
      <c r="B7" t="s">
        <v>90</v>
      </c>
      <c r="F7" s="120"/>
      <c r="S7" t="s">
        <v>96</v>
      </c>
      <c r="T7">
        <v>0</v>
      </c>
      <c r="U7">
        <v>0</v>
      </c>
      <c r="X7">
        <v>5</v>
      </c>
      <c r="AB7" s="119"/>
    </row>
    <row r="8" spans="1:39" x14ac:dyDescent="0.2">
      <c r="A8" t="s">
        <v>97</v>
      </c>
      <c r="B8" t="s">
        <v>98</v>
      </c>
      <c r="C8">
        <v>1.84</v>
      </c>
      <c r="D8">
        <v>85</v>
      </c>
      <c r="E8" s="120">
        <v>31.5</v>
      </c>
      <c r="F8" s="120">
        <v>37.5</v>
      </c>
      <c r="G8">
        <v>22</v>
      </c>
      <c r="H8">
        <v>1107.82</v>
      </c>
      <c r="I8">
        <v>32.68</v>
      </c>
      <c r="J8">
        <v>1600</v>
      </c>
      <c r="K8">
        <v>39</v>
      </c>
      <c r="L8">
        <v>-9</v>
      </c>
      <c r="M8">
        <v>9.9</v>
      </c>
      <c r="N8">
        <v>65</v>
      </c>
      <c r="O8">
        <v>80</v>
      </c>
      <c r="P8">
        <v>42</v>
      </c>
      <c r="S8" t="s">
        <v>99</v>
      </c>
      <c r="T8">
        <v>0</v>
      </c>
      <c r="U8">
        <v>0</v>
      </c>
      <c r="X8">
        <v>6</v>
      </c>
      <c r="AB8" s="119"/>
    </row>
    <row r="9" spans="1:39" x14ac:dyDescent="0.2">
      <c r="A9" t="s">
        <v>100</v>
      </c>
      <c r="B9" t="s">
        <v>101</v>
      </c>
      <c r="C9">
        <v>2.82</v>
      </c>
      <c r="D9">
        <v>110</v>
      </c>
      <c r="E9">
        <v>35</v>
      </c>
      <c r="F9" s="120">
        <v>47.5</v>
      </c>
      <c r="G9">
        <v>25</v>
      </c>
      <c r="H9">
        <v>1447.2</v>
      </c>
      <c r="I9">
        <v>39.270000000000003</v>
      </c>
      <c r="J9">
        <v>2300</v>
      </c>
      <c r="K9">
        <v>37</v>
      </c>
      <c r="L9">
        <v>-14</v>
      </c>
      <c r="M9">
        <v>9.9</v>
      </c>
      <c r="N9">
        <v>95</v>
      </c>
      <c r="O9">
        <v>123</v>
      </c>
      <c r="P9">
        <v>48</v>
      </c>
      <c r="Q9">
        <v>73</v>
      </c>
      <c r="X9">
        <v>7</v>
      </c>
    </row>
    <row r="10" spans="1:39" x14ac:dyDescent="0.2">
      <c r="A10" t="s">
        <v>102</v>
      </c>
      <c r="B10" t="s">
        <v>103</v>
      </c>
      <c r="F10" s="120"/>
      <c r="X10">
        <v>8</v>
      </c>
    </row>
    <row r="11" spans="1:39" x14ac:dyDescent="0.2">
      <c r="A11" t="s">
        <v>104</v>
      </c>
      <c r="B11" t="s">
        <v>90</v>
      </c>
      <c r="F11" s="120"/>
      <c r="X11">
        <v>9</v>
      </c>
    </row>
    <row r="12" spans="1:39" x14ac:dyDescent="0.2">
      <c r="A12" t="s">
        <v>105</v>
      </c>
      <c r="B12" t="s">
        <v>106</v>
      </c>
      <c r="F12" s="120"/>
      <c r="X12">
        <v>10</v>
      </c>
    </row>
    <row r="13" spans="1:39" x14ac:dyDescent="0.2">
      <c r="A13" t="s">
        <v>107</v>
      </c>
      <c r="B13" t="s">
        <v>98</v>
      </c>
      <c r="F13" s="120"/>
    </row>
    <row r="14" spans="1:39" x14ac:dyDescent="0.2">
      <c r="A14" t="s">
        <v>108</v>
      </c>
      <c r="B14" t="s">
        <v>98</v>
      </c>
      <c r="F14" s="120"/>
      <c r="W14" s="121">
        <v>1</v>
      </c>
      <c r="X14" s="121">
        <v>2</v>
      </c>
      <c r="Y14" s="121">
        <v>3</v>
      </c>
      <c r="Z14" s="121">
        <v>4</v>
      </c>
      <c r="AA14" s="121">
        <v>5</v>
      </c>
      <c r="AB14" s="121">
        <v>6</v>
      </c>
      <c r="AC14" s="121">
        <v>7</v>
      </c>
      <c r="AD14" s="121">
        <v>8</v>
      </c>
      <c r="AE14" s="121">
        <v>9</v>
      </c>
      <c r="AF14" s="121">
        <v>10</v>
      </c>
      <c r="AG14" s="121">
        <v>11</v>
      </c>
      <c r="AH14" s="121">
        <v>12</v>
      </c>
      <c r="AI14" s="121">
        <v>13</v>
      </c>
      <c r="AJ14" s="121">
        <v>14</v>
      </c>
      <c r="AK14" s="121">
        <v>15</v>
      </c>
      <c r="AL14" s="121">
        <v>16</v>
      </c>
      <c r="AM14" s="121">
        <v>17</v>
      </c>
    </row>
    <row r="15" spans="1:39" x14ac:dyDescent="0.2">
      <c r="A15" t="s">
        <v>109</v>
      </c>
      <c r="B15" t="s">
        <v>110</v>
      </c>
      <c r="C15">
        <v>2.1</v>
      </c>
      <c r="D15">
        <v>95</v>
      </c>
      <c r="E15" s="120">
        <v>31.5</v>
      </c>
      <c r="F15" s="120">
        <v>37.5</v>
      </c>
      <c r="G15">
        <v>23</v>
      </c>
      <c r="H15">
        <v>1107.82</v>
      </c>
      <c r="I15">
        <v>32.68</v>
      </c>
      <c r="J15">
        <v>1600</v>
      </c>
      <c r="K15">
        <v>39</v>
      </c>
      <c r="L15">
        <v>-9</v>
      </c>
      <c r="M15">
        <v>9.9</v>
      </c>
      <c r="N15">
        <v>65</v>
      </c>
      <c r="O15">
        <v>80</v>
      </c>
      <c r="P15">
        <v>42</v>
      </c>
      <c r="W15" t="s">
        <v>111</v>
      </c>
      <c r="X15" t="s">
        <v>112</v>
      </c>
      <c r="Y15" t="s">
        <v>113</v>
      </c>
      <c r="Z15" t="s">
        <v>114</v>
      </c>
      <c r="AA15" t="s">
        <v>76</v>
      </c>
      <c r="AB15" t="s">
        <v>115</v>
      </c>
      <c r="AC15" t="s">
        <v>116</v>
      </c>
      <c r="AD15" t="s">
        <v>117</v>
      </c>
      <c r="AE15" t="s">
        <v>118</v>
      </c>
      <c r="AF15" t="s">
        <v>119</v>
      </c>
      <c r="AG15" t="s">
        <v>120</v>
      </c>
      <c r="AH15" t="s">
        <v>121</v>
      </c>
      <c r="AI15" t="s">
        <v>122</v>
      </c>
      <c r="AJ15" t="s">
        <v>123</v>
      </c>
      <c r="AK15" t="s">
        <v>124</v>
      </c>
      <c r="AL15" t="s">
        <v>23</v>
      </c>
      <c r="AM15" t="s">
        <v>78</v>
      </c>
    </row>
    <row r="16" spans="1:39" x14ac:dyDescent="0.2">
      <c r="A16" t="s">
        <v>125</v>
      </c>
      <c r="B16" t="s">
        <v>126</v>
      </c>
      <c r="C16">
        <v>2.02</v>
      </c>
      <c r="D16">
        <v>70</v>
      </c>
      <c r="F16" s="120"/>
      <c r="G16">
        <v>15</v>
      </c>
      <c r="W16" s="122" t="s">
        <v>127</v>
      </c>
      <c r="X16" s="123">
        <v>51.118653000000002</v>
      </c>
      <c r="Y16" s="123">
        <v>4.8420540000000001</v>
      </c>
      <c r="Z16" s="122" t="s">
        <v>128</v>
      </c>
      <c r="AA16" s="122"/>
      <c r="AB16" s="122"/>
      <c r="AC16" s="121">
        <v>2000</v>
      </c>
      <c r="AD16" t="s">
        <v>129</v>
      </c>
      <c r="AE16" t="s">
        <v>130</v>
      </c>
      <c r="AF16" t="s">
        <v>131</v>
      </c>
      <c r="AG16" t="s">
        <v>132</v>
      </c>
      <c r="AI16" s="124" t="s">
        <v>133</v>
      </c>
      <c r="AJ16" s="124"/>
      <c r="AK16" s="124"/>
      <c r="AL16" s="125"/>
      <c r="AM16" s="124"/>
    </row>
    <row r="17" spans="1:39" x14ac:dyDescent="0.2">
      <c r="A17" t="s">
        <v>134</v>
      </c>
      <c r="B17" t="s">
        <v>135</v>
      </c>
      <c r="F17" s="120"/>
      <c r="W17" s="122" t="s">
        <v>136</v>
      </c>
      <c r="X17">
        <v>50.295654800000001</v>
      </c>
      <c r="Y17">
        <v>5.1008263999999599</v>
      </c>
      <c r="Z17" s="122" t="s">
        <v>137</v>
      </c>
      <c r="AA17" s="122"/>
      <c r="AB17" s="122" t="s">
        <v>138</v>
      </c>
      <c r="AC17" s="121">
        <v>2000</v>
      </c>
      <c r="AD17" t="s">
        <v>129</v>
      </c>
      <c r="AE17" t="s">
        <v>130</v>
      </c>
      <c r="AF17" t="s">
        <v>139</v>
      </c>
      <c r="AG17" t="s">
        <v>140</v>
      </c>
      <c r="AI17" s="124" t="s">
        <v>141</v>
      </c>
      <c r="AJ17" s="124"/>
      <c r="AK17" s="124" t="s">
        <v>142</v>
      </c>
      <c r="AL17" s="125"/>
      <c r="AM17" s="124"/>
    </row>
    <row r="18" spans="1:39" x14ac:dyDescent="0.2">
      <c r="A18" t="s">
        <v>143</v>
      </c>
      <c r="B18" t="s">
        <v>106</v>
      </c>
      <c r="F18" s="120"/>
      <c r="W18" s="122" t="s">
        <v>144</v>
      </c>
      <c r="X18" s="123">
        <v>50.228096000000001</v>
      </c>
      <c r="Y18" s="123">
        <v>3.1514679999999999</v>
      </c>
      <c r="Z18" s="122" t="s">
        <v>145</v>
      </c>
      <c r="AA18" s="122"/>
      <c r="AB18" s="122"/>
      <c r="AC18" s="121"/>
      <c r="AI18" s="124" t="s">
        <v>146</v>
      </c>
      <c r="AJ18" s="124"/>
      <c r="AK18" s="124"/>
      <c r="AL18" s="125"/>
      <c r="AM18" s="124"/>
    </row>
    <row r="19" spans="1:39" x14ac:dyDescent="0.2">
      <c r="A19" t="s">
        <v>10</v>
      </c>
      <c r="B19" t="s">
        <v>147</v>
      </c>
      <c r="C19">
        <v>3.67</v>
      </c>
      <c r="D19">
        <v>120</v>
      </c>
      <c r="E19">
        <v>36</v>
      </c>
      <c r="F19" s="120">
        <v>46</v>
      </c>
      <c r="G19">
        <v>32.9</v>
      </c>
      <c r="H19">
        <v>2006.21</v>
      </c>
      <c r="I19">
        <v>36.96</v>
      </c>
      <c r="J19">
        <v>3099</v>
      </c>
      <c r="K19">
        <v>37</v>
      </c>
      <c r="L19">
        <v>-14</v>
      </c>
      <c r="M19">
        <v>9.9</v>
      </c>
      <c r="N19">
        <v>97</v>
      </c>
      <c r="O19">
        <v>122</v>
      </c>
      <c r="P19">
        <v>46.5</v>
      </c>
      <c r="Q19">
        <v>74</v>
      </c>
      <c r="R19" t="s">
        <v>148</v>
      </c>
      <c r="W19" s="122" t="s">
        <v>149</v>
      </c>
      <c r="X19">
        <v>50.383798632233699</v>
      </c>
      <c r="Y19">
        <v>5.8445491003417303</v>
      </c>
      <c r="Z19" s="122" t="s">
        <v>150</v>
      </c>
      <c r="AA19" s="122"/>
      <c r="AB19" s="122" t="s">
        <v>151</v>
      </c>
      <c r="AC19" s="121">
        <v>2500</v>
      </c>
      <c r="AD19" t="s">
        <v>129</v>
      </c>
      <c r="AE19" t="s">
        <v>152</v>
      </c>
      <c r="AF19" t="s">
        <v>139</v>
      </c>
      <c r="AG19" t="s">
        <v>131</v>
      </c>
      <c r="AI19" s="124" t="s">
        <v>152</v>
      </c>
      <c r="AJ19" s="124"/>
      <c r="AK19" s="124" t="s">
        <v>14</v>
      </c>
      <c r="AL19" s="125"/>
      <c r="AM19" s="124"/>
    </row>
    <row r="20" spans="1:39" x14ac:dyDescent="0.2">
      <c r="W20" s="122" t="s">
        <v>153</v>
      </c>
      <c r="X20">
        <v>50.520898035446997</v>
      </c>
      <c r="Y20">
        <v>4.8809397533813099</v>
      </c>
      <c r="Z20" s="122" t="s">
        <v>154</v>
      </c>
      <c r="AA20" s="122"/>
      <c r="AB20" s="122" t="s">
        <v>155</v>
      </c>
      <c r="AC20" s="121">
        <v>2000</v>
      </c>
      <c r="AD20" t="s">
        <v>129</v>
      </c>
      <c r="AE20" t="s">
        <v>130</v>
      </c>
      <c r="AF20" t="s">
        <v>140</v>
      </c>
      <c r="AG20" t="s">
        <v>139</v>
      </c>
      <c r="AI20" s="124" t="s">
        <v>152</v>
      </c>
      <c r="AJ20" s="124"/>
      <c r="AK20" s="124" t="s">
        <v>142</v>
      </c>
      <c r="AL20" s="125"/>
      <c r="AM20" s="124"/>
    </row>
    <row r="21" spans="1:39" x14ac:dyDescent="0.2">
      <c r="W21" s="122" t="s">
        <v>156</v>
      </c>
      <c r="Z21" s="122" t="s">
        <v>157</v>
      </c>
      <c r="AA21" s="122">
        <v>2000</v>
      </c>
      <c r="AB21" s="122" t="s">
        <v>158</v>
      </c>
      <c r="AC21" s="121"/>
      <c r="AI21" s="124">
        <v>133.125</v>
      </c>
      <c r="AJ21" s="124"/>
      <c r="AK21" s="124"/>
      <c r="AL21" s="125"/>
      <c r="AM21" s="124"/>
    </row>
    <row r="22" spans="1:39" x14ac:dyDescent="0.2">
      <c r="A22" t="s">
        <v>76</v>
      </c>
      <c r="C22" s="126">
        <v>43889</v>
      </c>
      <c r="F22" t="s">
        <v>159</v>
      </c>
      <c r="W22" s="122" t="s">
        <v>160</v>
      </c>
      <c r="X22" s="127">
        <v>50.892180000000003</v>
      </c>
      <c r="Y22" s="128">
        <v>5.4185999999999996</v>
      </c>
      <c r="Z22" s="122" t="s">
        <v>161</v>
      </c>
      <c r="AA22" s="122"/>
      <c r="AB22" s="122"/>
      <c r="AC22" s="121">
        <v>1700</v>
      </c>
      <c r="AI22" s="124"/>
      <c r="AJ22" s="124"/>
      <c r="AK22" s="124"/>
      <c r="AL22" s="125"/>
      <c r="AM22" s="124"/>
    </row>
    <row r="23" spans="1:39" x14ac:dyDescent="0.2">
      <c r="A23" t="s">
        <v>21</v>
      </c>
      <c r="F23">
        <v>0</v>
      </c>
      <c r="W23" s="122" t="s">
        <v>162</v>
      </c>
      <c r="X23" s="129">
        <v>51.188446999999996</v>
      </c>
      <c r="Y23" s="123">
        <v>4.4537969999999998</v>
      </c>
      <c r="Z23" s="122" t="s">
        <v>163</v>
      </c>
      <c r="AA23" s="122">
        <v>39</v>
      </c>
      <c r="AB23" s="122" t="s">
        <v>164</v>
      </c>
      <c r="AC23" s="121">
        <v>700</v>
      </c>
      <c r="AD23" t="s">
        <v>129</v>
      </c>
      <c r="AE23" t="s">
        <v>130</v>
      </c>
      <c r="AF23" t="s">
        <v>165</v>
      </c>
      <c r="AG23" t="s">
        <v>131</v>
      </c>
      <c r="AI23" s="130" t="s">
        <v>166</v>
      </c>
      <c r="AJ23" s="131" t="s">
        <v>167</v>
      </c>
      <c r="AK23" s="124" t="s">
        <v>168</v>
      </c>
      <c r="AL23" s="132" t="s">
        <v>169</v>
      </c>
      <c r="AM23" s="124"/>
    </row>
    <row r="24" spans="1:39" x14ac:dyDescent="0.2">
      <c r="A24" t="s">
        <v>170</v>
      </c>
      <c r="F24">
        <v>50</v>
      </c>
      <c r="W24" s="122" t="s">
        <v>171</v>
      </c>
      <c r="X24" s="133">
        <v>50.153256199999902</v>
      </c>
      <c r="Y24" s="128">
        <v>4.3841456999999702</v>
      </c>
      <c r="Z24" s="122" t="s">
        <v>172</v>
      </c>
      <c r="AA24" s="122">
        <v>990</v>
      </c>
      <c r="AB24" s="122" t="s">
        <v>173</v>
      </c>
      <c r="AC24" s="121">
        <v>1900</v>
      </c>
      <c r="AD24" t="s">
        <v>174</v>
      </c>
      <c r="AE24" t="s">
        <v>175</v>
      </c>
      <c r="AI24" s="124">
        <v>123.2</v>
      </c>
      <c r="AJ24" s="124"/>
      <c r="AK24" s="124"/>
      <c r="AL24" s="125"/>
      <c r="AM24" s="124"/>
    </row>
    <row r="25" spans="1:39" x14ac:dyDescent="0.2">
      <c r="A25" t="s">
        <v>120</v>
      </c>
      <c r="F25">
        <f>F24+1</f>
        <v>51</v>
      </c>
      <c r="W25" s="122" t="s">
        <v>15</v>
      </c>
      <c r="X25" s="123">
        <v>50.460048</v>
      </c>
      <c r="Y25" s="123">
        <v>4.4532290000000003</v>
      </c>
      <c r="Z25" s="122" t="s">
        <v>176</v>
      </c>
      <c r="AA25" s="122">
        <v>614</v>
      </c>
      <c r="AB25" s="122" t="s">
        <v>177</v>
      </c>
      <c r="AC25" s="121">
        <v>1600</v>
      </c>
      <c r="AD25" t="s">
        <v>129</v>
      </c>
      <c r="AE25" t="s">
        <v>130</v>
      </c>
      <c r="AF25" t="s">
        <v>139</v>
      </c>
      <c r="AG25" t="s">
        <v>131</v>
      </c>
      <c r="AH25" s="134" t="s">
        <v>178</v>
      </c>
      <c r="AI25" s="135" t="s">
        <v>179</v>
      </c>
      <c r="AJ25" s="135" t="s">
        <v>180</v>
      </c>
      <c r="AK25" s="124" t="s">
        <v>22</v>
      </c>
      <c r="AL25" s="136">
        <v>121000</v>
      </c>
      <c r="AM25" s="124"/>
    </row>
    <row r="26" spans="1:39" x14ac:dyDescent="0.2">
      <c r="F26">
        <f t="shared" ref="F26:F71" si="1">F25+1</f>
        <v>52</v>
      </c>
      <c r="W26" s="122" t="s">
        <v>22</v>
      </c>
      <c r="X26">
        <v>50.636126099999998</v>
      </c>
      <c r="Y26" s="137">
        <v>5.4479115999999896</v>
      </c>
      <c r="Z26" s="122" t="s">
        <v>181</v>
      </c>
      <c r="AA26" s="122">
        <v>659</v>
      </c>
      <c r="AB26" s="122" t="s">
        <v>182</v>
      </c>
      <c r="AC26" s="121">
        <v>1500</v>
      </c>
      <c r="AD26" t="s">
        <v>129</v>
      </c>
      <c r="AE26" t="s">
        <v>130</v>
      </c>
      <c r="AF26" t="s">
        <v>183</v>
      </c>
      <c r="AG26" t="s">
        <v>131</v>
      </c>
      <c r="AI26" s="124" t="s">
        <v>184</v>
      </c>
      <c r="AJ26" s="135" t="s">
        <v>185</v>
      </c>
      <c r="AK26" s="124" t="s">
        <v>186</v>
      </c>
      <c r="AL26" s="125" t="s">
        <v>187</v>
      </c>
      <c r="AM26" s="124"/>
    </row>
    <row r="27" spans="1:39" x14ac:dyDescent="0.2">
      <c r="F27">
        <f t="shared" si="1"/>
        <v>53</v>
      </c>
      <c r="W27" s="122" t="s">
        <v>142</v>
      </c>
      <c r="X27">
        <v>50.488126000000001</v>
      </c>
      <c r="Y27">
        <v>4.7697649999999996</v>
      </c>
      <c r="Z27" s="122" t="s">
        <v>188</v>
      </c>
      <c r="AA27" s="122">
        <v>594</v>
      </c>
      <c r="AB27" s="122" t="s">
        <v>189</v>
      </c>
      <c r="AC27" s="121">
        <v>1600</v>
      </c>
      <c r="AD27" t="s">
        <v>129</v>
      </c>
      <c r="AE27" t="s">
        <v>130</v>
      </c>
      <c r="AF27" t="s">
        <v>140</v>
      </c>
      <c r="AG27" t="s">
        <v>139</v>
      </c>
      <c r="AI27" s="136">
        <v>118000</v>
      </c>
      <c r="AJ27" s="124"/>
      <c r="AK27" s="124" t="s">
        <v>15</v>
      </c>
      <c r="AL27" s="125"/>
      <c r="AM27" s="124"/>
    </row>
    <row r="28" spans="1:39" x14ac:dyDescent="0.2">
      <c r="F28">
        <f t="shared" si="1"/>
        <v>54</v>
      </c>
      <c r="W28" s="122" t="s">
        <v>190</v>
      </c>
      <c r="X28">
        <v>51.204193799999999</v>
      </c>
      <c r="Y28">
        <v>2.8698127999999699</v>
      </c>
      <c r="Z28" s="122" t="s">
        <v>191</v>
      </c>
      <c r="AA28" s="122"/>
      <c r="AB28" s="122"/>
      <c r="AC28" s="121">
        <v>900</v>
      </c>
      <c r="AD28" t="s">
        <v>129</v>
      </c>
      <c r="AE28" t="s">
        <v>130</v>
      </c>
      <c r="AI28" s="124"/>
      <c r="AJ28" s="124"/>
      <c r="AK28" s="124"/>
      <c r="AL28" s="125"/>
      <c r="AM28" s="124"/>
    </row>
    <row r="29" spans="1:39" x14ac:dyDescent="0.2">
      <c r="F29">
        <f t="shared" si="1"/>
        <v>55</v>
      </c>
      <c r="W29" s="122" t="s">
        <v>192</v>
      </c>
      <c r="X29">
        <v>50.039421699999998</v>
      </c>
      <c r="Y29">
        <v>5.4056166000000303</v>
      </c>
      <c r="Z29" s="122" t="s">
        <v>193</v>
      </c>
      <c r="AA29" s="122">
        <v>1847</v>
      </c>
      <c r="AB29" s="122" t="s">
        <v>194</v>
      </c>
      <c r="AC29" s="121">
        <v>2800</v>
      </c>
      <c r="AD29" t="s">
        <v>129</v>
      </c>
      <c r="AE29" t="s">
        <v>130</v>
      </c>
      <c r="AG29" t="s">
        <v>139</v>
      </c>
      <c r="AI29" s="124" t="s">
        <v>195</v>
      </c>
      <c r="AJ29" s="124"/>
      <c r="AK29" s="124"/>
      <c r="AL29" s="125"/>
      <c r="AM29" s="124"/>
    </row>
    <row r="30" spans="1:39" x14ac:dyDescent="0.2">
      <c r="F30">
        <f>F29+1</f>
        <v>56</v>
      </c>
      <c r="W30" s="122" t="s">
        <v>14</v>
      </c>
      <c r="X30">
        <v>50.478774899999998</v>
      </c>
      <c r="Y30">
        <v>5.9099232999999396</v>
      </c>
      <c r="Z30" s="122" t="s">
        <v>196</v>
      </c>
      <c r="AA30" s="122">
        <v>1542</v>
      </c>
      <c r="AB30" s="122" t="s">
        <v>197</v>
      </c>
      <c r="AC30" s="121">
        <v>2600</v>
      </c>
      <c r="AD30" t="s">
        <v>129</v>
      </c>
      <c r="AE30" t="s">
        <v>130</v>
      </c>
      <c r="AF30" t="s">
        <v>139</v>
      </c>
      <c r="AG30" t="s">
        <v>131</v>
      </c>
      <c r="AI30" s="124" t="s">
        <v>198</v>
      </c>
      <c r="AJ30" s="124"/>
      <c r="AK30" s="124" t="s">
        <v>22</v>
      </c>
      <c r="AL30" s="125"/>
      <c r="AM30" s="124"/>
    </row>
    <row r="31" spans="1:39" x14ac:dyDescent="0.2">
      <c r="F31">
        <f>F29+1</f>
        <v>56</v>
      </c>
      <c r="W31" s="122" t="s">
        <v>168</v>
      </c>
      <c r="X31">
        <v>50.789632599999997</v>
      </c>
      <c r="Y31">
        <v>5.1972984000000197</v>
      </c>
      <c r="Z31" s="122" t="s">
        <v>199</v>
      </c>
      <c r="AA31" s="122">
        <v>246</v>
      </c>
      <c r="AB31" s="122" t="s">
        <v>200</v>
      </c>
      <c r="AC31" s="121">
        <v>1800</v>
      </c>
      <c r="AD31" t="s">
        <v>129</v>
      </c>
      <c r="AE31" t="s">
        <v>130</v>
      </c>
      <c r="AF31" t="s">
        <v>140</v>
      </c>
      <c r="AG31" t="s">
        <v>139</v>
      </c>
      <c r="AI31" s="124" t="s">
        <v>201</v>
      </c>
      <c r="AJ31" s="124"/>
      <c r="AK31" s="124" t="s">
        <v>22</v>
      </c>
      <c r="AL31" s="125"/>
      <c r="AM31" s="124"/>
    </row>
    <row r="32" spans="1:39" x14ac:dyDescent="0.2">
      <c r="F32">
        <f t="shared" si="1"/>
        <v>57</v>
      </c>
      <c r="W32" s="122" t="s">
        <v>186</v>
      </c>
      <c r="X32">
        <v>50.552692099999902</v>
      </c>
      <c r="Y32">
        <v>5.8563986999999997</v>
      </c>
      <c r="Z32" s="122" t="s">
        <v>202</v>
      </c>
      <c r="AA32" s="122">
        <v>1099</v>
      </c>
      <c r="AB32" s="122" t="s">
        <v>203</v>
      </c>
      <c r="AC32" s="121">
        <v>2100</v>
      </c>
      <c r="AD32" t="s">
        <v>129</v>
      </c>
      <c r="AE32" t="s">
        <v>130</v>
      </c>
      <c r="AF32" t="s">
        <v>131</v>
      </c>
      <c r="AG32" t="s">
        <v>139</v>
      </c>
      <c r="AI32" s="124" t="s">
        <v>204</v>
      </c>
      <c r="AJ32" s="124"/>
      <c r="AK32" s="124" t="s">
        <v>22</v>
      </c>
      <c r="AL32" s="125"/>
      <c r="AM32" s="124"/>
    </row>
    <row r="33" spans="6:39" x14ac:dyDescent="0.2">
      <c r="F33">
        <f t="shared" si="1"/>
        <v>58</v>
      </c>
      <c r="W33" s="122" t="s">
        <v>205</v>
      </c>
      <c r="X33" s="123">
        <v>50.97</v>
      </c>
      <c r="Y33" s="123">
        <v>5.375</v>
      </c>
      <c r="Z33" s="122" t="s">
        <v>206</v>
      </c>
      <c r="AA33" s="122">
        <v>141</v>
      </c>
      <c r="AB33" s="122" t="s">
        <v>207</v>
      </c>
      <c r="AC33" s="121">
        <v>1200</v>
      </c>
      <c r="AF33" t="s">
        <v>165</v>
      </c>
      <c r="AG33" t="s">
        <v>183</v>
      </c>
      <c r="AI33" s="136">
        <v>118325</v>
      </c>
      <c r="AJ33" s="124"/>
      <c r="AK33" s="124"/>
      <c r="AL33" s="125"/>
      <c r="AM33" s="124"/>
    </row>
    <row r="34" spans="6:39" x14ac:dyDescent="0.2">
      <c r="F34">
        <f t="shared" si="1"/>
        <v>59</v>
      </c>
      <c r="W34" s="122" t="s">
        <v>208</v>
      </c>
      <c r="X34">
        <v>51.014995999999996</v>
      </c>
      <c r="Y34">
        <v>5.5256080000000303</v>
      </c>
      <c r="Z34" s="122" t="s">
        <v>209</v>
      </c>
      <c r="AA34" s="122">
        <v>278</v>
      </c>
      <c r="AB34" s="122" t="s">
        <v>210</v>
      </c>
      <c r="AC34" s="121">
        <v>800</v>
      </c>
      <c r="AD34" t="s">
        <v>129</v>
      </c>
      <c r="AE34" t="s">
        <v>130</v>
      </c>
      <c r="AF34" t="s">
        <v>140</v>
      </c>
      <c r="AG34" t="s">
        <v>139</v>
      </c>
      <c r="AI34" s="138" t="s">
        <v>211</v>
      </c>
      <c r="AJ34" s="124"/>
      <c r="AK34" s="124" t="s">
        <v>22</v>
      </c>
      <c r="AL34" s="125"/>
      <c r="AM34" s="122" t="s">
        <v>212</v>
      </c>
    </row>
    <row r="35" spans="6:39" x14ac:dyDescent="0.2">
      <c r="F35">
        <f t="shared" si="1"/>
        <v>60</v>
      </c>
      <c r="W35" s="122" t="s">
        <v>213</v>
      </c>
      <c r="X35" s="127">
        <v>50.68</v>
      </c>
      <c r="Y35" s="128">
        <v>5.6589999999999998</v>
      </c>
      <c r="Z35" s="122" t="s">
        <v>214</v>
      </c>
      <c r="AA35" s="122"/>
      <c r="AB35" s="122" t="s">
        <v>215</v>
      </c>
      <c r="AC35" s="121">
        <v>2000</v>
      </c>
      <c r="AI35" s="124" t="s">
        <v>184</v>
      </c>
      <c r="AJ35" s="124"/>
      <c r="AK35" s="124"/>
      <c r="AL35" s="139">
        <v>126250</v>
      </c>
      <c r="AM35" s="140"/>
    </row>
    <row r="36" spans="6:39" x14ac:dyDescent="0.2">
      <c r="F36">
        <f t="shared" si="1"/>
        <v>61</v>
      </c>
      <c r="W36" s="122" t="s">
        <v>216</v>
      </c>
      <c r="Z36" s="122" t="s">
        <v>217</v>
      </c>
      <c r="AA36" s="122">
        <v>125</v>
      </c>
      <c r="AB36" s="122" t="s">
        <v>218</v>
      </c>
      <c r="AC36" s="121">
        <v>1200</v>
      </c>
      <c r="AI36" s="124"/>
      <c r="AJ36" s="124"/>
      <c r="AK36" s="124"/>
      <c r="AL36" s="125"/>
      <c r="AM36" s="124"/>
    </row>
    <row r="37" spans="6:39" x14ac:dyDescent="0.2">
      <c r="F37">
        <f t="shared" si="1"/>
        <v>62</v>
      </c>
      <c r="W37" s="122" t="s">
        <v>219</v>
      </c>
      <c r="X37" s="123">
        <v>50.876665000000003</v>
      </c>
      <c r="Y37" s="123">
        <v>5.134512</v>
      </c>
      <c r="Z37" s="122" t="s">
        <v>220</v>
      </c>
      <c r="AA37" s="122"/>
      <c r="AB37" s="122" t="s">
        <v>221</v>
      </c>
      <c r="AC37" s="121">
        <v>2000</v>
      </c>
      <c r="AD37" t="s">
        <v>129</v>
      </c>
      <c r="AE37" t="s">
        <v>130</v>
      </c>
      <c r="AF37" t="s">
        <v>165</v>
      </c>
      <c r="AG37" t="s">
        <v>131</v>
      </c>
      <c r="AI37" s="124" t="s">
        <v>222</v>
      </c>
      <c r="AJ37" s="124"/>
      <c r="AK37" s="124" t="s">
        <v>168</v>
      </c>
      <c r="AL37" s="125"/>
      <c r="AM37" s="124"/>
    </row>
    <row r="38" spans="6:39" x14ac:dyDescent="0.2">
      <c r="F38">
        <f t="shared" si="1"/>
        <v>63</v>
      </c>
      <c r="W38" s="122" t="s">
        <v>223</v>
      </c>
      <c r="X38">
        <v>50.589255999999999</v>
      </c>
      <c r="Y38">
        <v>5.9748079999999302</v>
      </c>
      <c r="Z38" s="122" t="s">
        <v>224</v>
      </c>
      <c r="AA38" s="122"/>
      <c r="AB38" s="122" t="s">
        <v>225</v>
      </c>
      <c r="AC38" s="121">
        <v>2500</v>
      </c>
      <c r="AD38" t="s">
        <v>129</v>
      </c>
      <c r="AE38" t="s">
        <v>130</v>
      </c>
      <c r="AF38" t="s">
        <v>131</v>
      </c>
      <c r="AG38" t="s">
        <v>139</v>
      </c>
      <c r="AI38" s="124"/>
      <c r="AJ38" s="124"/>
      <c r="AK38" s="124" t="s">
        <v>14</v>
      </c>
      <c r="AL38" s="125"/>
      <c r="AM38" s="124"/>
    </row>
    <row r="39" spans="6:39" x14ac:dyDescent="0.2">
      <c r="F39">
        <f t="shared" si="1"/>
        <v>64</v>
      </c>
      <c r="W39" s="122" t="s">
        <v>27</v>
      </c>
      <c r="X39">
        <v>50.445999999999998</v>
      </c>
      <c r="Y39" s="141">
        <v>5.9630000000000001</v>
      </c>
      <c r="Z39" s="122" t="s">
        <v>226</v>
      </c>
      <c r="AA39" s="122"/>
      <c r="AB39" s="122" t="s">
        <v>227</v>
      </c>
      <c r="AC39" s="121">
        <v>2600</v>
      </c>
      <c r="AD39" t="s">
        <v>129</v>
      </c>
      <c r="AE39" t="s">
        <v>130</v>
      </c>
      <c r="AF39" t="s">
        <v>139</v>
      </c>
      <c r="AG39" t="s">
        <v>131</v>
      </c>
      <c r="AI39" s="124"/>
      <c r="AJ39" s="124"/>
      <c r="AK39" s="124" t="s">
        <v>14</v>
      </c>
      <c r="AL39" s="125"/>
      <c r="AM39" s="124"/>
    </row>
    <row r="40" spans="6:39" x14ac:dyDescent="0.2">
      <c r="F40">
        <f t="shared" si="1"/>
        <v>65</v>
      </c>
      <c r="W40" s="122" t="s">
        <v>228</v>
      </c>
      <c r="X40">
        <v>49.122355599999999</v>
      </c>
      <c r="Y40">
        <v>5.4690471999999701</v>
      </c>
      <c r="Z40" s="122" t="s">
        <v>229</v>
      </c>
      <c r="AA40" s="122"/>
      <c r="AB40" s="122"/>
      <c r="AC40" s="121">
        <v>1600</v>
      </c>
      <c r="AD40" t="s">
        <v>129</v>
      </c>
      <c r="AE40" t="s">
        <v>230</v>
      </c>
      <c r="AI40" s="124"/>
      <c r="AJ40" s="124"/>
      <c r="AK40" s="124"/>
      <c r="AL40" s="125"/>
      <c r="AM40" s="124"/>
    </row>
    <row r="41" spans="6:39" x14ac:dyDescent="0.2">
      <c r="F41">
        <f t="shared" si="1"/>
        <v>66</v>
      </c>
      <c r="W41" s="122" t="s">
        <v>231</v>
      </c>
      <c r="X41" s="123">
        <v>50.308481</v>
      </c>
      <c r="Y41" s="123">
        <v>4.0301609999999997</v>
      </c>
      <c r="Z41" s="122" t="s">
        <v>232</v>
      </c>
      <c r="AA41" s="122">
        <v>452</v>
      </c>
      <c r="AB41" s="122" t="s">
        <v>233</v>
      </c>
      <c r="AC41" s="121">
        <v>2000</v>
      </c>
      <c r="AD41" t="s">
        <v>234</v>
      </c>
      <c r="AE41" t="s">
        <v>230</v>
      </c>
      <c r="AF41" t="s">
        <v>235</v>
      </c>
      <c r="AG41" t="s">
        <v>139</v>
      </c>
      <c r="AI41" s="124" t="s">
        <v>236</v>
      </c>
      <c r="AJ41" s="124"/>
      <c r="AK41" s="124"/>
      <c r="AL41" s="125"/>
      <c r="AM41" s="124"/>
    </row>
    <row r="42" spans="6:39" ht="16" x14ac:dyDescent="0.25">
      <c r="F42">
        <f t="shared" si="1"/>
        <v>67</v>
      </c>
      <c r="W42" s="122" t="s">
        <v>237</v>
      </c>
      <c r="X42">
        <v>50.585913200486303</v>
      </c>
      <c r="Y42">
        <v>5.7103580782988903</v>
      </c>
      <c r="Z42" s="122" t="s">
        <v>238</v>
      </c>
      <c r="AA42" s="122">
        <v>790</v>
      </c>
      <c r="AB42" s="142" t="s">
        <v>239</v>
      </c>
      <c r="AC42" s="121">
        <v>2000</v>
      </c>
      <c r="AD42" t="s">
        <v>129</v>
      </c>
      <c r="AE42" t="s">
        <v>130</v>
      </c>
      <c r="AF42" t="s">
        <v>131</v>
      </c>
      <c r="AG42" t="s">
        <v>139</v>
      </c>
      <c r="AI42" s="124" t="s">
        <v>240</v>
      </c>
      <c r="AJ42" s="124"/>
      <c r="AK42" s="124" t="s">
        <v>22</v>
      </c>
      <c r="AL42" s="125" t="s">
        <v>187</v>
      </c>
      <c r="AM42" s="124"/>
    </row>
    <row r="43" spans="6:39" x14ac:dyDescent="0.2">
      <c r="F43">
        <f t="shared" si="1"/>
        <v>68</v>
      </c>
      <c r="W43" s="122" t="s">
        <v>241</v>
      </c>
      <c r="X43" s="123">
        <v>50.358156000000001</v>
      </c>
      <c r="Y43" s="123">
        <v>4.8820680000000003</v>
      </c>
      <c r="Z43" s="122" t="s">
        <v>242</v>
      </c>
      <c r="AA43" s="122"/>
      <c r="AB43" s="122" t="s">
        <v>243</v>
      </c>
      <c r="AC43" s="121">
        <v>2000</v>
      </c>
      <c r="AD43" t="s">
        <v>129</v>
      </c>
      <c r="AE43" t="s">
        <v>130</v>
      </c>
      <c r="AF43" t="s">
        <v>139</v>
      </c>
      <c r="AG43" t="s">
        <v>235</v>
      </c>
      <c r="AI43" s="124"/>
      <c r="AJ43" s="124"/>
      <c r="AK43" s="124"/>
      <c r="AL43" s="125"/>
      <c r="AM43" s="124"/>
    </row>
    <row r="44" spans="6:39" x14ac:dyDescent="0.2">
      <c r="F44">
        <f t="shared" si="1"/>
        <v>69</v>
      </c>
      <c r="W44" s="122" t="s">
        <v>244</v>
      </c>
      <c r="Z44" s="122" t="s">
        <v>245</v>
      </c>
      <c r="AA44" s="122">
        <v>2000</v>
      </c>
      <c r="AB44" s="122" t="s">
        <v>246</v>
      </c>
      <c r="AC44" s="121"/>
      <c r="AI44" s="124">
        <v>133.125</v>
      </c>
      <c r="AJ44" s="124"/>
      <c r="AK44" s="124"/>
      <c r="AL44" s="125"/>
      <c r="AM44" s="124"/>
    </row>
    <row r="45" spans="6:39" x14ac:dyDescent="0.2">
      <c r="F45">
        <f t="shared" si="1"/>
        <v>70</v>
      </c>
      <c r="W45" s="122" t="s">
        <v>247</v>
      </c>
      <c r="Z45" s="122" t="s">
        <v>248</v>
      </c>
      <c r="AA45" s="122">
        <v>2000</v>
      </c>
      <c r="AB45" s="122" t="s">
        <v>249</v>
      </c>
      <c r="AC45" s="121"/>
      <c r="AI45" s="124">
        <v>133.125</v>
      </c>
      <c r="AJ45" s="124"/>
      <c r="AK45" s="124"/>
      <c r="AL45" s="125"/>
      <c r="AM45" s="124"/>
    </row>
    <row r="46" spans="6:39" x14ac:dyDescent="0.2">
      <c r="F46">
        <f t="shared" si="1"/>
        <v>71</v>
      </c>
      <c r="W46" s="122" t="s">
        <v>250</v>
      </c>
      <c r="Z46" s="122" t="s">
        <v>251</v>
      </c>
      <c r="AA46" s="122">
        <v>2000</v>
      </c>
      <c r="AB46" s="122" t="s">
        <v>252</v>
      </c>
      <c r="AC46" s="121"/>
      <c r="AI46" s="124">
        <v>133.125</v>
      </c>
      <c r="AJ46" s="124"/>
      <c r="AK46" s="124"/>
      <c r="AL46" s="125"/>
      <c r="AM46" s="124"/>
    </row>
    <row r="47" spans="6:39" x14ac:dyDescent="0.2">
      <c r="F47">
        <f t="shared" si="1"/>
        <v>72</v>
      </c>
      <c r="W47" s="122" t="s">
        <v>253</v>
      </c>
      <c r="X47">
        <v>50.792000000000002</v>
      </c>
      <c r="Y47">
        <v>5.5309999999999997</v>
      </c>
      <c r="Z47" s="122" t="s">
        <v>254</v>
      </c>
      <c r="AA47" s="122"/>
      <c r="AB47" s="122" t="s">
        <v>215</v>
      </c>
      <c r="AC47" s="121">
        <v>2000</v>
      </c>
      <c r="AI47" s="135" t="s">
        <v>184</v>
      </c>
      <c r="AJ47" s="124"/>
      <c r="AK47" s="124"/>
      <c r="AL47" s="125"/>
      <c r="AM47" s="124"/>
    </row>
    <row r="48" spans="6:39" x14ac:dyDescent="0.2">
      <c r="F48">
        <f t="shared" si="1"/>
        <v>73</v>
      </c>
      <c r="W48" s="122" t="s">
        <v>255</v>
      </c>
      <c r="X48" s="143">
        <v>50.5354851376132</v>
      </c>
      <c r="Y48">
        <v>4.3636751174926696</v>
      </c>
      <c r="Z48" s="122" t="s">
        <v>256</v>
      </c>
      <c r="AA48" s="122">
        <v>2000</v>
      </c>
      <c r="AB48" s="122" t="s">
        <v>257</v>
      </c>
      <c r="AC48" s="121">
        <v>459</v>
      </c>
      <c r="AI48" s="124">
        <v>133.125</v>
      </c>
      <c r="AJ48" s="124"/>
      <c r="AK48" s="124"/>
      <c r="AL48" s="125"/>
      <c r="AM48" s="124"/>
    </row>
    <row r="49" spans="6:39" x14ac:dyDescent="0.2">
      <c r="F49">
        <f t="shared" si="1"/>
        <v>74</v>
      </c>
      <c r="W49" s="122" t="s">
        <v>258</v>
      </c>
      <c r="X49" s="144">
        <v>50.566513426772701</v>
      </c>
      <c r="Y49" s="144">
        <v>5.5494689941406197</v>
      </c>
      <c r="Z49" s="122" t="s">
        <v>259</v>
      </c>
      <c r="AA49" s="122"/>
      <c r="AB49" s="122" t="s">
        <v>215</v>
      </c>
      <c r="AC49" s="121">
        <v>2000</v>
      </c>
      <c r="AD49" t="s">
        <v>174</v>
      </c>
      <c r="AE49" t="s">
        <v>175</v>
      </c>
      <c r="AF49" t="s">
        <v>131</v>
      </c>
      <c r="AG49" t="s">
        <v>260</v>
      </c>
      <c r="AI49" s="124" t="s">
        <v>184</v>
      </c>
      <c r="AJ49" s="124"/>
      <c r="AK49" s="124" t="s">
        <v>22</v>
      </c>
      <c r="AL49" s="125" t="s">
        <v>187</v>
      </c>
      <c r="AM49" s="124"/>
    </row>
    <row r="50" spans="6:39" x14ac:dyDescent="0.2">
      <c r="F50">
        <f t="shared" si="1"/>
        <v>75</v>
      </c>
      <c r="W50" s="122" t="s">
        <v>261</v>
      </c>
      <c r="X50" s="144">
        <v>50.7043294056419</v>
      </c>
      <c r="Y50" s="144">
        <v>5.2933502197265598</v>
      </c>
      <c r="Z50" s="122" t="s">
        <v>262</v>
      </c>
      <c r="AA50" s="122"/>
      <c r="AB50" s="122" t="s">
        <v>215</v>
      </c>
      <c r="AC50" s="121">
        <v>2000</v>
      </c>
      <c r="AD50" t="s">
        <v>129</v>
      </c>
      <c r="AE50" t="s">
        <v>130</v>
      </c>
      <c r="AF50" t="s">
        <v>131</v>
      </c>
      <c r="AG50" t="s">
        <v>139</v>
      </c>
      <c r="AI50" s="124" t="s">
        <v>184</v>
      </c>
      <c r="AJ50" s="124"/>
      <c r="AK50" s="124" t="s">
        <v>22</v>
      </c>
      <c r="AL50" s="125" t="s">
        <v>187</v>
      </c>
      <c r="AM50" s="124"/>
    </row>
    <row r="51" spans="6:39" x14ac:dyDescent="0.2">
      <c r="F51">
        <f t="shared" si="1"/>
        <v>76</v>
      </c>
      <c r="W51" s="122" t="s">
        <v>263</v>
      </c>
      <c r="Z51" s="122" t="s">
        <v>264</v>
      </c>
      <c r="AA51" s="122">
        <v>2000</v>
      </c>
      <c r="AB51" s="122" t="s">
        <v>265</v>
      </c>
      <c r="AC51" s="121"/>
      <c r="AI51" s="124">
        <v>133.125</v>
      </c>
      <c r="AJ51" s="124"/>
      <c r="AK51" s="124"/>
      <c r="AL51" s="125"/>
      <c r="AM51" s="124"/>
    </row>
    <row r="52" spans="6:39" x14ac:dyDescent="0.2">
      <c r="F52">
        <f t="shared" si="1"/>
        <v>77</v>
      </c>
      <c r="W52" s="122" t="s">
        <v>33</v>
      </c>
      <c r="X52">
        <v>50.410202281882199</v>
      </c>
      <c r="Y52">
        <v>4.4955110549926696</v>
      </c>
      <c r="Z52" s="122" t="s">
        <v>266</v>
      </c>
      <c r="AA52" s="122">
        <v>2000</v>
      </c>
      <c r="AB52" s="122" t="s">
        <v>267</v>
      </c>
      <c r="AC52" s="121">
        <v>413</v>
      </c>
      <c r="AI52" s="124">
        <v>133.125</v>
      </c>
      <c r="AJ52" s="124"/>
      <c r="AK52" s="124"/>
      <c r="AL52" s="125"/>
      <c r="AM52" s="124"/>
    </row>
    <row r="53" spans="6:39" x14ac:dyDescent="0.2">
      <c r="F53">
        <f t="shared" si="1"/>
        <v>78</v>
      </c>
      <c r="W53" s="122" t="s">
        <v>31</v>
      </c>
      <c r="X53">
        <v>50.38391</v>
      </c>
      <c r="Y53">
        <v>4.5786600000000099</v>
      </c>
      <c r="Z53" s="122" t="s">
        <v>268</v>
      </c>
      <c r="AA53" s="122">
        <v>2000</v>
      </c>
      <c r="AB53" s="122" t="s">
        <v>269</v>
      </c>
      <c r="AC53" s="121">
        <v>443</v>
      </c>
      <c r="AI53" s="124">
        <v>133.125</v>
      </c>
      <c r="AJ53" s="124"/>
      <c r="AK53" s="124"/>
      <c r="AL53" s="125"/>
      <c r="AM53" s="124"/>
    </row>
    <row r="54" spans="6:39" ht="16" x14ac:dyDescent="0.25">
      <c r="F54">
        <f t="shared" si="1"/>
        <v>79</v>
      </c>
      <c r="W54" s="122" t="s">
        <v>29</v>
      </c>
      <c r="X54">
        <v>50.514742652144001</v>
      </c>
      <c r="Y54">
        <v>5.6234779565254396</v>
      </c>
      <c r="Z54" s="122" t="s">
        <v>270</v>
      </c>
      <c r="AA54" s="142">
        <v>931</v>
      </c>
      <c r="AB54" s="142" t="s">
        <v>271</v>
      </c>
      <c r="AC54" s="121">
        <v>2000</v>
      </c>
      <c r="AD54" t="s">
        <v>129</v>
      </c>
      <c r="AE54" t="s">
        <v>130</v>
      </c>
      <c r="AF54" t="s">
        <v>139</v>
      </c>
      <c r="AG54" t="s">
        <v>131</v>
      </c>
      <c r="AI54" s="124" t="s">
        <v>272</v>
      </c>
      <c r="AJ54" s="124"/>
      <c r="AK54" s="124" t="s">
        <v>22</v>
      </c>
      <c r="AL54" s="125" t="s">
        <v>187</v>
      </c>
      <c r="AM54" s="124"/>
    </row>
    <row r="55" spans="6:39" x14ac:dyDescent="0.2">
      <c r="F55">
        <f t="shared" si="1"/>
        <v>80</v>
      </c>
      <c r="W55" s="122" t="s">
        <v>273</v>
      </c>
      <c r="X55">
        <v>50.528028999999997</v>
      </c>
      <c r="Y55">
        <v>5.9193990000000003</v>
      </c>
      <c r="Z55" s="122" t="s">
        <v>274</v>
      </c>
      <c r="AA55" s="122"/>
      <c r="AB55" s="122" t="s">
        <v>155</v>
      </c>
      <c r="AC55" s="121">
        <v>2600</v>
      </c>
      <c r="AI55" s="124"/>
      <c r="AJ55" s="124"/>
      <c r="AK55" s="124"/>
      <c r="AL55" s="125"/>
      <c r="AM55" s="124"/>
    </row>
    <row r="56" spans="6:39" x14ac:dyDescent="0.2">
      <c r="F56">
        <f t="shared" si="1"/>
        <v>81</v>
      </c>
      <c r="W56" s="121" t="s">
        <v>275</v>
      </c>
      <c r="X56" s="121">
        <v>0</v>
      </c>
      <c r="Y56" s="121">
        <v>0</v>
      </c>
      <c r="Z56" s="121" t="s">
        <v>275</v>
      </c>
      <c r="AA56" s="121"/>
      <c r="AB56" s="121"/>
      <c r="AC56" s="121">
        <v>0</v>
      </c>
      <c r="AD56" s="121">
        <v>0</v>
      </c>
      <c r="AE56" s="121">
        <v>0</v>
      </c>
      <c r="AF56" s="121">
        <v>0</v>
      </c>
      <c r="AG56" s="121">
        <v>0</v>
      </c>
      <c r="AH56" s="121"/>
      <c r="AI56" s="124">
        <v>0</v>
      </c>
      <c r="AJ56" s="124">
        <v>0</v>
      </c>
      <c r="AK56" s="124"/>
      <c r="AL56" s="125"/>
      <c r="AM56" s="124"/>
    </row>
    <row r="57" spans="6:39" x14ac:dyDescent="0.2">
      <c r="F57">
        <f t="shared" si="1"/>
        <v>82</v>
      </c>
      <c r="Z57"/>
      <c r="AF57" s="124"/>
      <c r="AG57" s="124"/>
      <c r="AH57" s="124"/>
    </row>
    <row r="58" spans="6:39" x14ac:dyDescent="0.2">
      <c r="F58">
        <f t="shared" si="1"/>
        <v>83</v>
      </c>
      <c r="Z58"/>
      <c r="AF58" s="124"/>
      <c r="AG58" s="124"/>
      <c r="AH58" s="124"/>
    </row>
    <row r="59" spans="6:39" x14ac:dyDescent="0.2">
      <c r="F59">
        <f t="shared" si="1"/>
        <v>84</v>
      </c>
      <c r="Z59"/>
      <c r="AF59" s="124"/>
      <c r="AG59" s="124"/>
      <c r="AH59" s="124"/>
    </row>
    <row r="60" spans="6:39" x14ac:dyDescent="0.2">
      <c r="F60">
        <f t="shared" si="1"/>
        <v>85</v>
      </c>
      <c r="Z60"/>
    </row>
    <row r="61" spans="6:39" x14ac:dyDescent="0.2">
      <c r="F61">
        <f t="shared" si="1"/>
        <v>86</v>
      </c>
    </row>
    <row r="62" spans="6:39" x14ac:dyDescent="0.2">
      <c r="F62">
        <f t="shared" si="1"/>
        <v>87</v>
      </c>
    </row>
    <row r="63" spans="6:39" x14ac:dyDescent="0.2">
      <c r="F63">
        <f t="shared" si="1"/>
        <v>88</v>
      </c>
    </row>
    <row r="64" spans="6:39" x14ac:dyDescent="0.2">
      <c r="F64">
        <f t="shared" si="1"/>
        <v>89</v>
      </c>
    </row>
    <row r="65" spans="6:6" x14ac:dyDescent="0.2">
      <c r="F65">
        <f t="shared" si="1"/>
        <v>90</v>
      </c>
    </row>
    <row r="66" spans="6:6" x14ac:dyDescent="0.2">
      <c r="F66">
        <f t="shared" si="1"/>
        <v>91</v>
      </c>
    </row>
    <row r="67" spans="6:6" x14ac:dyDescent="0.2">
      <c r="F67">
        <f t="shared" si="1"/>
        <v>92</v>
      </c>
    </row>
    <row r="68" spans="6:6" x14ac:dyDescent="0.2">
      <c r="F68">
        <f t="shared" si="1"/>
        <v>93</v>
      </c>
    </row>
    <row r="69" spans="6:6" x14ac:dyDescent="0.2">
      <c r="F69">
        <f t="shared" si="1"/>
        <v>94</v>
      </c>
    </row>
    <row r="70" spans="6:6" x14ac:dyDescent="0.2">
      <c r="F70">
        <f t="shared" si="1"/>
        <v>95</v>
      </c>
    </row>
    <row r="71" spans="6:6" x14ac:dyDescent="0.2">
      <c r="F71">
        <f t="shared" si="1"/>
        <v>96</v>
      </c>
    </row>
    <row r="72" spans="6:6" x14ac:dyDescent="0.2">
      <c r="F72">
        <f>F71+1</f>
        <v>97</v>
      </c>
    </row>
    <row r="73" spans="6:6" x14ac:dyDescent="0.2">
      <c r="F73">
        <f>F72+1</f>
        <v>98</v>
      </c>
    </row>
    <row r="74" spans="6:6" x14ac:dyDescent="0.2">
      <c r="F74">
        <f t="shared" ref="F74:F75" si="2">F73+1</f>
        <v>99</v>
      </c>
    </row>
    <row r="75" spans="6:6" x14ac:dyDescent="0.2">
      <c r="F75">
        <f t="shared" si="2"/>
        <v>100</v>
      </c>
    </row>
  </sheetData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autoFill="0" autoPict="0" macro="[1]!Bouton6_Cliquer">
                <anchor moveWithCells="1" sizeWithCells="1">
                  <from>
                    <xdr:col>0</xdr:col>
                    <xdr:colOff>444500</xdr:colOff>
                    <xdr:row>29</xdr:row>
                    <xdr:rowOff>38100</xdr:rowOff>
                  </from>
                  <to>
                    <xdr:col>1</xdr:col>
                    <xdr:colOff>571500</xdr:colOff>
                    <xdr:row>31</xdr:row>
                    <xdr:rowOff>114300</xdr:rowOff>
                  </to>
                </anchor>
              </controlPr>
            </control>
          </mc:Choice>
          <mc:Fallback/>
        </mc:AlternateContent>
      </controls>
    </mc:Choice>
    <mc:Fallback/>
  </mc:AlternateContent>
  <tableParts count="8"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 enableFormatConditionsCalculation="0">
    <tabColor rgb="FF7030A0"/>
    <pageSetUpPr fitToPage="1"/>
  </sheetPr>
  <dimension ref="A1:M39"/>
  <sheetViews>
    <sheetView tabSelected="1" topLeftCell="A21" zoomScale="88" workbookViewId="0">
      <selection activeCell="E14" sqref="E14"/>
    </sheetView>
  </sheetViews>
  <sheetFormatPr baseColWidth="10" defaultRowHeight="15" x14ac:dyDescent="0.2"/>
  <cols>
    <col min="2" max="2" width="14.6640625" customWidth="1"/>
    <col min="3" max="3" width="18.33203125" bestFit="1" customWidth="1"/>
    <col min="4" max="4" width="14" customWidth="1"/>
    <col min="5" max="5" width="12.33203125" bestFit="1" customWidth="1"/>
    <col min="6" max="6" width="16" bestFit="1" customWidth="1"/>
    <col min="7" max="7" width="19.33203125" customWidth="1"/>
    <col min="8" max="8" width="13" bestFit="1" customWidth="1"/>
    <col min="13" max="13" width="10.6640625" customWidth="1"/>
  </cols>
  <sheetData>
    <row r="1" spans="1:13" ht="24" x14ac:dyDescent="0.3">
      <c r="A1" s="1" t="s">
        <v>0</v>
      </c>
      <c r="B1" s="2"/>
      <c r="C1" s="2"/>
      <c r="D1" s="2"/>
      <c r="E1" s="2"/>
      <c r="F1" s="3" t="str">
        <f>E5</f>
        <v>EBCI</v>
      </c>
      <c r="G1" s="4" t="str">
        <f>IF(ISNA(VLOOKUP(F1,[1]!IOAC1[#Data],4,FALSE)),"",VLOOKUP(F1,[1]!IOAC1[#Data],4,FALSE))</f>
        <v>Aeroport de Charleroi</v>
      </c>
      <c r="H1" s="4"/>
      <c r="I1" s="4"/>
      <c r="J1" s="4"/>
      <c r="K1" s="5"/>
    </row>
    <row r="2" spans="1:13" ht="24" x14ac:dyDescent="0.2">
      <c r="A2" s="6" t="s">
        <v>1</v>
      </c>
      <c r="B2" s="6"/>
      <c r="C2" s="7" t="s">
        <v>2</v>
      </c>
      <c r="D2" s="8"/>
      <c r="E2" s="8"/>
      <c r="F2" s="9" t="s">
        <v>3</v>
      </c>
      <c r="G2" s="9" t="s">
        <v>4</v>
      </c>
      <c r="H2" s="7" t="s">
        <v>5</v>
      </c>
      <c r="I2" s="7" t="s">
        <v>6</v>
      </c>
      <c r="J2" s="7" t="s">
        <v>7</v>
      </c>
      <c r="K2" s="7" t="s">
        <v>8</v>
      </c>
    </row>
    <row r="3" spans="1:13" ht="24" x14ac:dyDescent="0.2">
      <c r="A3" s="10">
        <f ca="1">TODAY()</f>
        <v>43149</v>
      </c>
      <c r="B3" s="10"/>
      <c r="C3" s="11">
        <f ca="1">LTC</f>
        <v>43149.507413657404</v>
      </c>
      <c r="D3" s="12" t="s">
        <v>9</v>
      </c>
      <c r="E3" s="13"/>
      <c r="F3" s="14">
        <v>0.46527777777777773</v>
      </c>
      <c r="G3" s="15">
        <f>ETD+Ttth</f>
        <v>0.46571037612280286</v>
      </c>
      <c r="H3" s="16" t="s">
        <v>80</v>
      </c>
      <c r="I3" s="17">
        <f>(fuel/Conso)/1440</f>
        <v>2.6570048309178746E-3</v>
      </c>
      <c r="J3" s="18">
        <f>IF(ISNA(VLOOKUP(H3,[1]!AVION1[#Data],7,FALSE)),"",VLOOKUP(H3,[1]!AVION1[#Data],7,FALSE))</f>
        <v>23</v>
      </c>
      <c r="K3" s="19">
        <f>totalfuel</f>
        <v>45.169779193910017</v>
      </c>
    </row>
    <row r="4" spans="1:13" ht="19" x14ac:dyDescent="0.2">
      <c r="A4" s="20"/>
      <c r="B4" s="21"/>
      <c r="C4" s="22">
        <f ca="1">UTC</f>
        <v>0.46574699073971715</v>
      </c>
      <c r="D4" s="23" t="s">
        <v>11</v>
      </c>
      <c r="E4" s="23" t="s">
        <v>12</v>
      </c>
      <c r="F4" s="14"/>
      <c r="G4" s="15"/>
      <c r="H4" s="24">
        <f>IF(ISNA(VLOOKUP(H3,AVION1[],3,FALSE)),"",VLOOKUP(H3,AVION1[],3,FALSE))</f>
        <v>1.84</v>
      </c>
      <c r="I4" s="25">
        <v>88</v>
      </c>
      <c r="J4" s="26"/>
      <c r="K4" s="27"/>
      <c r="M4" s="28"/>
    </row>
    <row r="5" spans="1:13" ht="20" thickBot="1" x14ac:dyDescent="0.25">
      <c r="A5" s="29" t="s">
        <v>13</v>
      </c>
      <c r="B5" s="29"/>
      <c r="C5" s="29"/>
      <c r="D5" s="30" t="s">
        <v>14</v>
      </c>
      <c r="E5" s="30" t="s">
        <v>15</v>
      </c>
      <c r="F5" s="31" t="s">
        <v>16</v>
      </c>
      <c r="G5" s="32"/>
      <c r="H5" s="33" t="s">
        <v>17</v>
      </c>
      <c r="I5" s="34" t="s">
        <v>18</v>
      </c>
      <c r="J5" s="23" t="s">
        <v>19</v>
      </c>
      <c r="K5" s="32" t="s">
        <v>20</v>
      </c>
      <c r="M5" s="28"/>
    </row>
    <row r="6" spans="1:13" ht="30" thickBot="1" x14ac:dyDescent="0.25">
      <c r="A6" s="35" t="s">
        <v>21</v>
      </c>
      <c r="B6" s="35"/>
      <c r="C6" s="35"/>
      <c r="D6" s="36"/>
      <c r="E6" s="36"/>
      <c r="F6" s="37" t="s">
        <v>22</v>
      </c>
      <c r="G6" s="30" t="s">
        <v>23</v>
      </c>
      <c r="H6" s="38">
        <f>IF(ISNA(VLOOKUP(H3,AVION1[],4,FALSE)),"",VLOOKUP(H3,AVION1[],4,FALSE))</f>
        <v>90</v>
      </c>
      <c r="I6" s="39">
        <f>Ttt/86400</f>
        <v>4.3259834502511852E-4</v>
      </c>
      <c r="J6" s="40">
        <v>250</v>
      </c>
      <c r="K6" s="41">
        <v>20</v>
      </c>
      <c r="M6" s="28"/>
    </row>
    <row r="7" spans="1:13" ht="20" customHeight="1" thickBot="1" x14ac:dyDescent="0.25">
      <c r="A7" s="42" t="s">
        <v>24</v>
      </c>
      <c r="B7" s="42"/>
      <c r="C7" s="42"/>
      <c r="D7" s="43" t="str">
        <f>D5</f>
        <v>EBSP</v>
      </c>
      <c r="E7" s="44" t="str">
        <f>IF(ISNA(VLOOKUP(D7,[1]!IOAC1[#Data],4,FALSE)),"",VLOOKUP(D7,[1]!IOAC1[#Data],4,FALSE))</f>
        <v>Spa La Sauvenière</v>
      </c>
      <c r="F7" s="44"/>
      <c r="G7" s="45"/>
      <c r="H7" s="46" t="s">
        <v>25</v>
      </c>
      <c r="I7" s="47">
        <f>Ttt*H4</f>
        <v>68.77275449871324</v>
      </c>
      <c r="J7" s="48"/>
      <c r="K7" s="48"/>
    </row>
    <row r="8" spans="1:13" ht="20" customHeight="1" x14ac:dyDescent="0.2">
      <c r="A8" s="36" t="s">
        <v>26</v>
      </c>
      <c r="B8" s="36"/>
      <c r="C8" s="36"/>
      <c r="D8" s="49" t="s">
        <v>27</v>
      </c>
      <c r="E8" s="50" t="str">
        <f>IF(ISNA(VLOOKUP(D8,[1]!IOAC1[#Data],4,FALSE)),"",VLOOKUP(D8,[1]!IOAC1[#Data],4,FALSE))</f>
        <v>source francorpchamps</v>
      </c>
      <c r="F8" s="50"/>
    </row>
    <row r="9" spans="1:13" ht="20" customHeight="1" x14ac:dyDescent="0.2">
      <c r="A9" s="51" t="s">
        <v>28</v>
      </c>
      <c r="B9" s="51"/>
      <c r="C9" s="51"/>
      <c r="D9" s="52" t="s">
        <v>29</v>
      </c>
      <c r="E9" s="53" t="str">
        <f>IF(ISNA(VLOOKUP(D9,[1]!IOAC1[#Data],4,FALSE)),"",VLOOKUP(D9,[1]!IOAC1[#Data],4,FALSE))</f>
        <v>VOR Sprimont</v>
      </c>
      <c r="F9" s="53"/>
    </row>
    <row r="10" spans="1:13" ht="20" customHeight="1" x14ac:dyDescent="0.2">
      <c r="A10" s="36" t="s">
        <v>30</v>
      </c>
      <c r="B10" s="36"/>
      <c r="C10" s="36"/>
      <c r="D10" s="49" t="s">
        <v>31</v>
      </c>
      <c r="E10" s="50" t="str">
        <f>IF(ISNA(VLOOKUP(D10,[1]!IOAC1[#Data],4,FALSE)),"",VLOOKUP(D10,[1]!IOAC1[#Data],4,FALSE))</f>
        <v>SIERRA ECHO (EBCI)</v>
      </c>
      <c r="F10" s="50"/>
    </row>
    <row r="11" spans="1:13" ht="20" customHeight="1" x14ac:dyDescent="0.2">
      <c r="A11" s="51" t="s">
        <v>32</v>
      </c>
      <c r="B11" s="51"/>
      <c r="C11" s="51"/>
      <c r="D11" s="52" t="s">
        <v>33</v>
      </c>
      <c r="E11" s="53" t="str">
        <f>IF(ISNA(VLOOKUP(D11,[1]!IOAC1[#Data],4,FALSE)),"",VLOOKUP(D11,[1]!IOAC1[#Data],4,FALSE))</f>
        <v>SIERRA ALPHA (EBCI)</v>
      </c>
      <c r="F11" s="53"/>
    </row>
    <row r="12" spans="1:13" ht="20" customHeight="1" x14ac:dyDescent="0.2">
      <c r="A12" s="36" t="s">
        <v>34</v>
      </c>
      <c r="B12" s="36"/>
      <c r="C12" s="36"/>
      <c r="D12" s="49" t="s">
        <v>15</v>
      </c>
      <c r="E12" s="50" t="str">
        <f>IF(ISNA(VLOOKUP(D12,[1]!IOAC1[#Data],4,FALSE)),"",VLOOKUP(D12,[1]!IOAC1[#Data],4,FALSE))</f>
        <v>Aeroport de Charleroi</v>
      </c>
      <c r="F12" s="50"/>
    </row>
    <row r="13" spans="1:13" ht="20" customHeight="1" x14ac:dyDescent="0.2">
      <c r="A13" s="54" t="s">
        <v>35</v>
      </c>
      <c r="B13" s="54"/>
      <c r="C13" s="54"/>
      <c r="D13" s="55" t="str">
        <f>E5</f>
        <v>EBCI</v>
      </c>
      <c r="E13" s="56" t="str">
        <f>IF(ISNA(VLOOKUP(F1,IOAC1[],4,FALSE)),"",VLOOKUP(F1,IOAC1[],4,FALSE))</f>
        <v>Aeroport de Charleroi</v>
      </c>
      <c r="F13" s="56"/>
    </row>
    <row r="14" spans="1:13" ht="20" customHeight="1" thickBot="1" x14ac:dyDescent="0.25">
      <c r="A14" s="57"/>
      <c r="B14" s="57"/>
      <c r="C14" s="57"/>
      <c r="D14" s="58"/>
      <c r="E14" s="59"/>
      <c r="F14" s="59"/>
    </row>
    <row r="15" spans="1:13" ht="20" customHeight="1" x14ac:dyDescent="0.2">
      <c r="A15" s="60" t="s">
        <v>36</v>
      </c>
      <c r="B15" s="61"/>
      <c r="C15" s="61"/>
      <c r="D15" s="61"/>
      <c r="E15" s="61"/>
      <c r="F15" s="62"/>
      <c r="G15" s="63"/>
    </row>
    <row r="16" spans="1:13" ht="16" customHeight="1" thickBot="1" x14ac:dyDescent="0.25">
      <c r="A16" s="64"/>
      <c r="B16" s="65"/>
      <c r="C16" s="65"/>
      <c r="D16" s="65"/>
      <c r="E16" s="65"/>
      <c r="F16" s="66"/>
      <c r="G16" s="63"/>
      <c r="H16" s="67"/>
      <c r="I16" s="67"/>
      <c r="J16" s="67"/>
      <c r="K16" s="67"/>
    </row>
    <row r="17" spans="1:11" ht="20" customHeight="1" thickBot="1" x14ac:dyDescent="0.3">
      <c r="A17" s="68" t="s">
        <v>5</v>
      </c>
      <c r="B17" s="69" t="s">
        <v>37</v>
      </c>
      <c r="C17" s="70">
        <f ca="1">A3</f>
        <v>43149</v>
      </c>
      <c r="D17" s="71"/>
      <c r="E17" s="72" t="s">
        <v>38</v>
      </c>
      <c r="F17" s="73">
        <f>IF(ISNA(VLOOKUP(H3,AVION1[],8,FALSE)),"",VLOOKUP(H3,AVION1[],8,FALSE))</f>
        <v>1107.82</v>
      </c>
      <c r="G17" s="67"/>
      <c r="H17" s="67"/>
      <c r="I17" s="67"/>
      <c r="J17" s="67"/>
      <c r="K17" s="67"/>
    </row>
    <row r="18" spans="1:11" ht="20" customHeight="1" x14ac:dyDescent="0.25">
      <c r="A18" s="74" t="str">
        <f>H3</f>
        <v>OO-ALD</v>
      </c>
      <c r="B18" s="75" t="s">
        <v>39</v>
      </c>
      <c r="C18" s="76" t="s">
        <v>40</v>
      </c>
      <c r="D18" s="77"/>
      <c r="E18" s="78" t="s">
        <v>41</v>
      </c>
      <c r="F18" s="79">
        <f>IF(ISNA(VLOOKUP(H3,AVION1[],9,FALSE)),"",VLOOKUP(H3,AVION1[],9,FALSE))</f>
        <v>32.68</v>
      </c>
      <c r="G18" s="67"/>
      <c r="H18" s="67"/>
      <c r="I18" s="67"/>
      <c r="J18" s="67"/>
      <c r="K18" s="67"/>
    </row>
    <row r="19" spans="1:11" ht="20" customHeight="1" thickBot="1" x14ac:dyDescent="0.3">
      <c r="A19" s="80" t="str">
        <f>IF(ISNA(VLOOKUP(H3,[1]!AVION1[#Data],2,FALSE)),"",VLOOKUP(H3,[1]!AVION1[#Data],2,FALSE))</f>
        <v>C150</v>
      </c>
      <c r="B19" s="81"/>
      <c r="C19" s="81"/>
      <c r="D19" s="81"/>
      <c r="E19" s="82" t="s">
        <v>42</v>
      </c>
      <c r="F19" s="83">
        <f>IF(ISNA(VLOOKUP(H3,AVION1[],10,FALSE)),"",VLOOKUP(H3,AVION1[],10,FALSE))</f>
        <v>1600</v>
      </c>
      <c r="G19" s="67"/>
      <c r="H19" s="67"/>
      <c r="I19" s="67"/>
      <c r="J19" s="67"/>
      <c r="K19" s="67"/>
    </row>
    <row r="20" spans="1:11" ht="20" customHeight="1" x14ac:dyDescent="0.25">
      <c r="A20" s="84">
        <f>IF(ISNA(VLOOKUP(H3,[1]!AVION1[#Data],5,FALSE)),"",VLOOKUP(H3,[1]!AVION1[#Data],5,FALSE))</f>
        <v>31.5</v>
      </c>
      <c r="B20" s="85" t="s">
        <v>43</v>
      </c>
      <c r="C20" s="86" t="s">
        <v>44</v>
      </c>
      <c r="D20" s="86" t="s">
        <v>45</v>
      </c>
      <c r="E20" s="86" t="s">
        <v>46</v>
      </c>
      <c r="F20" s="86" t="s">
        <v>47</v>
      </c>
      <c r="G20" s="67"/>
      <c r="H20" s="67"/>
      <c r="I20" s="67"/>
      <c r="J20" s="67"/>
      <c r="K20" s="67"/>
    </row>
    <row r="21" spans="1:11" ht="20" customHeight="1" thickBot="1" x14ac:dyDescent="0.25">
      <c r="A21" s="84">
        <f>IF(ISNA(VLOOKUP(H3,[1]!AVION1[#Data],6,FALSE)),"",VLOOKUP(H3,[1]!AVION1[#Data],6,FALSE))</f>
        <v>37.5</v>
      </c>
      <c r="B21" s="87"/>
      <c r="C21" s="88"/>
      <c r="D21" s="88"/>
      <c r="E21" s="88"/>
      <c r="F21" s="88"/>
      <c r="G21" s="67"/>
      <c r="H21" s="67"/>
      <c r="I21" s="67"/>
      <c r="J21" s="67"/>
      <c r="K21" s="67"/>
    </row>
    <row r="22" spans="1:11" ht="20" customHeight="1" x14ac:dyDescent="0.25">
      <c r="B22" s="89" t="s">
        <v>48</v>
      </c>
      <c r="C22" s="90">
        <v>63</v>
      </c>
      <c r="D22" s="91">
        <f>C22*2.20462</f>
        <v>138.89105999999998</v>
      </c>
      <c r="E22" s="92">
        <f>IF(ISNA(VLOOKUP(H3,AVION1[],11,FALSE)),"",VLOOKUP(H3,AVION1[],11,FALSE))</f>
        <v>39</v>
      </c>
      <c r="F22" s="93">
        <f>E22*D22</f>
        <v>5416.7513399999989</v>
      </c>
      <c r="G22" s="67"/>
      <c r="H22" s="67"/>
      <c r="I22" s="67"/>
      <c r="J22" s="67"/>
      <c r="K22" s="67"/>
    </row>
    <row r="23" spans="1:11" ht="20" customHeight="1" x14ac:dyDescent="0.25">
      <c r="B23" s="94" t="s">
        <v>49</v>
      </c>
      <c r="C23" s="90">
        <v>65</v>
      </c>
      <c r="D23" s="91">
        <f>C23*2.20462</f>
        <v>143.30029999999999</v>
      </c>
      <c r="E23" s="95">
        <f>IF(ISNA(VLOOKUP(H3,AVION1[],11,FALSE)),"",VLOOKUP(H3,AVION1[],11,FALSE))</f>
        <v>39</v>
      </c>
      <c r="F23" s="93">
        <f>E23*D23</f>
        <v>5588.7116999999998</v>
      </c>
      <c r="G23" s="67"/>
      <c r="H23" s="67"/>
      <c r="I23" s="67"/>
      <c r="J23" s="67"/>
      <c r="K23" s="67"/>
    </row>
    <row r="24" spans="1:11" ht="20" customHeight="1" x14ac:dyDescent="0.25">
      <c r="B24" s="96" t="s">
        <v>50</v>
      </c>
      <c r="C24" s="97">
        <v>90</v>
      </c>
      <c r="D24" s="91">
        <f>C24*2.20462</f>
        <v>198.41579999999999</v>
      </c>
      <c r="E24" s="98">
        <f>IF(ISNA(VLOOKUP(H3,AVION1[],17,FALSE)),"",VLOOKUP(H3,AVION1[],17,FALSE))</f>
        <v>0</v>
      </c>
      <c r="F24" s="93">
        <f>E24*D24</f>
        <v>0</v>
      </c>
      <c r="G24" s="67"/>
      <c r="H24" s="67"/>
      <c r="I24" s="67"/>
      <c r="J24" s="67"/>
      <c r="K24" s="67"/>
    </row>
    <row r="25" spans="1:11" ht="20" customHeight="1" thickBot="1" x14ac:dyDescent="0.3">
      <c r="B25" s="99" t="s">
        <v>51</v>
      </c>
      <c r="C25" s="90"/>
      <c r="D25" s="91">
        <f>IF(ISNA(VLOOKUP(H3,[1]!AVION1[#Data],13,FALSE)),"",VLOOKUP(H3,[1]!AVION1[#Data],13,FALSE))</f>
        <v>9.9</v>
      </c>
      <c r="E25" s="95">
        <f>IF(ISNA(VLOOKUP(H3,AVION1[],12,FALSE)),"",VLOOKUP(H3,AVION1[],12,FALSE))</f>
        <v>-9</v>
      </c>
      <c r="F25" s="93">
        <f>E25*D25</f>
        <v>-89.100000000000009</v>
      </c>
      <c r="G25" s="67"/>
      <c r="H25" s="67"/>
      <c r="I25" s="67"/>
      <c r="J25" s="67"/>
      <c r="K25" s="67"/>
    </row>
    <row r="26" spans="1:11" ht="20" customHeight="1" thickBot="1" x14ac:dyDescent="0.3">
      <c r="B26" s="87"/>
      <c r="C26" s="100"/>
      <c r="D26" s="101"/>
      <c r="E26" s="102"/>
      <c r="F26" s="103"/>
      <c r="G26" s="67"/>
      <c r="H26" s="67"/>
      <c r="I26" s="67"/>
      <c r="J26" s="67"/>
      <c r="K26" s="67"/>
    </row>
    <row r="27" spans="1:11" ht="20" customHeight="1" x14ac:dyDescent="0.25">
      <c r="B27" s="89" t="s">
        <v>52</v>
      </c>
      <c r="C27" s="104">
        <v>250</v>
      </c>
      <c r="D27" s="91">
        <f>(C27*0.72)*2.20462</f>
        <v>396.83159999999998</v>
      </c>
      <c r="E27" s="95">
        <f>IF(ISNA(VLOOKUP(H3,AVION1[],16,FALSE)),"",VLOOKUP(H3,AVION1[],16,FALSE))</f>
        <v>42</v>
      </c>
      <c r="F27" s="93">
        <f>E27*D27</f>
        <v>16666.927199999998</v>
      </c>
      <c r="G27" s="67"/>
      <c r="H27" s="67"/>
      <c r="I27" s="67"/>
      <c r="J27" s="67"/>
      <c r="K27" s="67"/>
    </row>
    <row r="28" spans="1:11" ht="20" customHeight="1" thickBot="1" x14ac:dyDescent="0.3">
      <c r="B28" s="99" t="s">
        <v>53</v>
      </c>
      <c r="C28" s="105">
        <f>fuel-'[1]LOG NAV'!G35</f>
        <v>67.50522080608998</v>
      </c>
      <c r="D28" s="91">
        <f>(C28*0.72)*2.20462</f>
        <v>107.15281912333589</v>
      </c>
      <c r="E28" s="95">
        <f>IF(ISNA(VLOOKUP(H3,AVION1[],16,FALSE)),"",VLOOKUP(H3,AVION1[],16,FALSE))</f>
        <v>42</v>
      </c>
      <c r="F28" s="93">
        <f>E28*D28</f>
        <v>4500.4184031801069</v>
      </c>
      <c r="G28" s="67"/>
      <c r="H28" s="67"/>
      <c r="I28" s="67"/>
      <c r="J28" s="67"/>
      <c r="K28" s="67"/>
    </row>
    <row r="29" spans="1:11" ht="20" customHeight="1" x14ac:dyDescent="0.25">
      <c r="B29" s="87"/>
      <c r="C29" s="100"/>
      <c r="D29" s="101"/>
      <c r="E29" s="102"/>
      <c r="F29" s="103"/>
      <c r="G29" s="67"/>
      <c r="H29" s="67"/>
      <c r="I29" s="67"/>
      <c r="J29" s="67"/>
      <c r="K29" s="67"/>
    </row>
    <row r="30" spans="1:11" ht="20" customHeight="1" x14ac:dyDescent="0.25">
      <c r="B30" s="106" t="s">
        <v>54</v>
      </c>
      <c r="C30" s="107">
        <v>10</v>
      </c>
      <c r="D30" s="91">
        <f>C30*2.20462</f>
        <v>22.046199999999999</v>
      </c>
      <c r="E30" s="95">
        <f>IF(ISNA(VLOOKUP(H3,AVION1[],14,FALSE)),"",VLOOKUP(H3,AVION1[],14,FALSE))</f>
        <v>65</v>
      </c>
      <c r="F30" s="93">
        <f>E30*D30</f>
        <v>1433.0029999999999</v>
      </c>
      <c r="G30" s="67"/>
      <c r="H30" s="67"/>
      <c r="I30" s="67"/>
      <c r="J30" s="67"/>
      <c r="K30" s="67"/>
    </row>
    <row r="31" spans="1:11" ht="20" customHeight="1" thickBot="1" x14ac:dyDescent="0.3">
      <c r="B31" s="87"/>
      <c r="C31" s="100"/>
      <c r="D31" s="101"/>
      <c r="E31" s="102"/>
      <c r="F31" s="103"/>
      <c r="G31" s="67"/>
      <c r="H31" s="67"/>
      <c r="I31" s="67"/>
      <c r="J31" s="67"/>
      <c r="K31" s="67"/>
    </row>
    <row r="32" spans="1:11" ht="20" customHeight="1" thickBot="1" x14ac:dyDescent="0.3">
      <c r="B32" s="108" t="s">
        <v>55</v>
      </c>
      <c r="C32" s="90">
        <v>0</v>
      </c>
      <c r="D32" s="91">
        <f>C32*2.20462</f>
        <v>0</v>
      </c>
      <c r="E32" s="95">
        <f>IF(ISNA(VLOOKUP(H3,AVION1[],15,FALSE)),"",VLOOKUP(H3,AVION1[],15,FALSE))</f>
        <v>80</v>
      </c>
      <c r="F32" s="93">
        <f>E32*D32</f>
        <v>0</v>
      </c>
      <c r="G32" s="67"/>
      <c r="H32" s="67"/>
      <c r="I32" s="67"/>
      <c r="J32" s="67"/>
      <c r="K32" s="67"/>
    </row>
    <row r="33" spans="1:11" ht="20" customHeight="1" x14ac:dyDescent="0.25">
      <c r="A33" s="109"/>
      <c r="C33" s="110" t="s">
        <v>56</v>
      </c>
      <c r="D33" s="91">
        <f>F17</f>
        <v>1107.82</v>
      </c>
      <c r="E33" s="95">
        <f>F18</f>
        <v>32.68</v>
      </c>
      <c r="F33" s="93">
        <f>E33*D33</f>
        <v>36203.5576</v>
      </c>
      <c r="G33" s="67"/>
      <c r="H33" s="67"/>
      <c r="I33" s="67"/>
      <c r="J33" s="67"/>
      <c r="K33" s="67"/>
    </row>
    <row r="34" spans="1:11" ht="20" customHeight="1" x14ac:dyDescent="0.25">
      <c r="A34" s="109"/>
      <c r="C34" s="110" t="s">
        <v>57</v>
      </c>
      <c r="D34" s="111">
        <f>D32+D30+D27+D24+D25+D23+D22+D33</f>
        <v>2017.2049599999998</v>
      </c>
      <c r="E34" s="112">
        <f>F34/D34</f>
        <v>32.331791827440284</v>
      </c>
      <c r="F34" s="93">
        <f>F32+F30+F27+F25+F23+F24+F22+F33</f>
        <v>65219.850839999999</v>
      </c>
      <c r="G34" s="67"/>
      <c r="H34" s="67"/>
      <c r="I34" s="67"/>
      <c r="J34" s="67"/>
      <c r="K34" s="67"/>
    </row>
    <row r="35" spans="1:11" ht="20" customHeight="1" thickBot="1" x14ac:dyDescent="0.3">
      <c r="A35" s="109"/>
      <c r="C35" s="320" t="s">
        <v>58</v>
      </c>
      <c r="D35" s="111">
        <f>D32+D30+D28+D24+D25+D23+D22+D33</f>
        <v>1727.5261791233359</v>
      </c>
      <c r="E35" s="112">
        <f>F35/D35</f>
        <v>30.710586435282259</v>
      </c>
      <c r="F35" s="93">
        <f>F32+F30+F28+F25+F23+F24+F22+F33</f>
        <v>53053.342043180106</v>
      </c>
      <c r="G35" s="67"/>
      <c r="H35" s="67"/>
      <c r="I35" s="67"/>
      <c r="J35" s="67"/>
      <c r="K35" s="67"/>
    </row>
    <row r="36" spans="1:11" ht="20" customHeight="1" x14ac:dyDescent="0.25">
      <c r="A36" s="109"/>
      <c r="C36" s="321" t="str">
        <f>IF(ISNA(VLOOKUP(H3,AVION1[],18,FALSE)),"",VLOOKUP(H3,AVION1[],18,FALSE))</f>
        <v>Graphique1</v>
      </c>
      <c r="D36" s="319"/>
      <c r="E36" s="113"/>
      <c r="F36" s="114"/>
      <c r="G36" s="67"/>
      <c r="H36" s="67"/>
      <c r="I36" s="67"/>
      <c r="J36" s="67"/>
      <c r="K36" s="67"/>
    </row>
    <row r="37" spans="1:11" ht="20" customHeight="1" thickBot="1" x14ac:dyDescent="0.25">
      <c r="A37" s="115"/>
      <c r="B37" s="116"/>
      <c r="C37" s="322"/>
      <c r="D37" s="116"/>
      <c r="E37" s="116"/>
      <c r="F37" s="117"/>
      <c r="G37" s="67"/>
      <c r="H37" s="67"/>
      <c r="I37" s="67"/>
      <c r="J37" s="67"/>
      <c r="K37" s="67"/>
    </row>
    <row r="38" spans="1:11" x14ac:dyDescent="0.2">
      <c r="A38" s="109"/>
      <c r="B38" s="67"/>
      <c r="C38" s="67"/>
      <c r="D38" s="67"/>
      <c r="E38" s="67"/>
      <c r="F38" s="67"/>
      <c r="G38" s="67"/>
      <c r="H38" s="67"/>
      <c r="I38" s="67"/>
      <c r="J38" s="67"/>
      <c r="K38" s="67"/>
    </row>
    <row r="39" spans="1:11" x14ac:dyDescent="0.2">
      <c r="A39" s="67"/>
      <c r="B39" s="67"/>
      <c r="C39" s="67"/>
      <c r="D39" s="67"/>
      <c r="E39" s="67"/>
      <c r="F39" s="67"/>
      <c r="G39" s="67"/>
      <c r="H39" s="67"/>
      <c r="I39" s="67"/>
      <c r="J39" s="67"/>
      <c r="K39" s="67"/>
    </row>
  </sheetData>
  <mergeCells count="29">
    <mergeCell ref="C18:D18"/>
    <mergeCell ref="C36:C37"/>
    <mergeCell ref="A12:C12"/>
    <mergeCell ref="E12:F12"/>
    <mergeCell ref="A13:C13"/>
    <mergeCell ref="E13:F13"/>
    <mergeCell ref="A15:E16"/>
    <mergeCell ref="C17:D17"/>
    <mergeCell ref="A9:C9"/>
    <mergeCell ref="E9:F9"/>
    <mergeCell ref="A10:C10"/>
    <mergeCell ref="E10:F10"/>
    <mergeCell ref="A11:C11"/>
    <mergeCell ref="E11:F11"/>
    <mergeCell ref="A5:C5"/>
    <mergeCell ref="A6:C6"/>
    <mergeCell ref="D6:E6"/>
    <mergeCell ref="A7:C7"/>
    <mergeCell ref="E7:F7"/>
    <mergeCell ref="A8:C8"/>
    <mergeCell ref="E8:F8"/>
    <mergeCell ref="A1:E1"/>
    <mergeCell ref="G1:K1"/>
    <mergeCell ref="A2:B2"/>
    <mergeCell ref="A3:B3"/>
    <mergeCell ref="D3:E3"/>
    <mergeCell ref="F3:F4"/>
    <mergeCell ref="G3:G4"/>
    <mergeCell ref="A4:B4"/>
  </mergeCells>
  <conditionalFormatting sqref="G34">
    <cfRule type="iconSet" priority="4">
      <iconSet showValue="0">
        <cfvo type="percent" val="0"/>
        <cfvo type="percent" val="31"/>
        <cfvo type="percent" val="38" gte="0"/>
      </iconSet>
    </cfRule>
  </conditionalFormatting>
  <conditionalFormatting sqref="E34">
    <cfRule type="cellIs" dxfId="15" priority="3" operator="between">
      <formula>$A$20</formula>
      <formula>$A$21</formula>
    </cfRule>
  </conditionalFormatting>
  <conditionalFormatting sqref="F15">
    <cfRule type="iconSet" priority="2">
      <iconSet iconSet="3Flags">
        <cfvo type="percent" val="0"/>
        <cfvo type="percent" val="33"/>
        <cfvo type="percent" val="67"/>
      </iconSet>
    </cfRule>
  </conditionalFormatting>
  <conditionalFormatting sqref="E35:E36">
    <cfRule type="cellIs" dxfId="14" priority="1" operator="between">
      <formula>$A$20</formula>
      <formula>$A$21</formula>
    </cfRule>
  </conditionalFormatting>
  <dataValidations count="1">
    <dataValidation type="list" allowBlank="1" showInputMessage="1" showErrorMessage="1" sqref="F6">
      <formula1>$N$18:$N$59</formula1>
    </dataValidation>
  </dataValidations>
  <pageMargins left="0.25" right="0.25" top="0.75" bottom="0.75" header="0.3" footer="0.3"/>
  <pageSetup paperSize="9" scale="9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1]!Bouton6_Cliquer">
                <anchor moveWithCells="1" sizeWithCells="1">
                  <from>
                    <xdr:col>9</xdr:col>
                    <xdr:colOff>647700</xdr:colOff>
                    <xdr:row>8</xdr:row>
                    <xdr:rowOff>12700</xdr:rowOff>
                  </from>
                  <to>
                    <xdr:col>11</xdr:col>
                    <xdr:colOff>0</xdr:colOff>
                    <xdr:row>9</xdr:row>
                    <xdr:rowOff>215900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[1]Data!#REF!</xm:f>
          </x14:formula1>
          <xm:sqref>C18</xm:sqref>
        </x14:dataValidation>
        <x14:dataValidation type="list" allowBlank="1" showInputMessage="1" showErrorMessage="1">
          <x14:formula1>
            <xm:f>[1]Data!#REF!</xm:f>
          </x14:formula1>
          <xm:sqref>C22:C24</xm:sqref>
        </x14:dataValidation>
        <x14:dataValidation type="list" allowBlank="1" showInputMessage="1" showErrorMessage="1">
          <x14:formula1>
            <xm:f>[1]Data!#REF!</xm:f>
          </x14:formula1>
          <xm:sqref>D5:E5</xm:sqref>
        </x14:dataValidation>
        <x14:dataValidation type="list" allowBlank="1" showInputMessage="1" showErrorMessage="1">
          <x14:formula1>
            <xm:f>[1]Data!#REF!</xm:f>
          </x14:formula1>
          <xm:sqref>D8:D12</xm:sqref>
        </x14:dataValidation>
        <x14:dataValidation type="list" allowBlank="1" showInputMessage="1" showErrorMessage="1">
          <x14:formula1>
            <xm:f>Data!$A$3:$A$19</xm:f>
          </x14:formula1>
          <xm:sqref>H3</xm:sqref>
        </x14:dataValidation>
        <x14:dataValidation type="list" allowBlank="1" showInputMessage="1" showErrorMessage="1">
          <x14:formula1>
            <xm:f>[1]Data!#REF!</xm:f>
          </x14:formula1>
          <xm:sqref>A6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Graphiques</vt:lpstr>
      </vt:variant>
      <vt:variant>
        <vt:i4>2</vt:i4>
      </vt:variant>
    </vt:vector>
  </HeadingPairs>
  <TitlesOfParts>
    <vt:vector size="5" baseType="lpstr">
      <vt:lpstr>LOG NAV</vt:lpstr>
      <vt:lpstr>Data</vt:lpstr>
      <vt:lpstr>PREPARATION nav</vt:lpstr>
      <vt:lpstr>Graphique1</vt:lpstr>
      <vt:lpstr>Graphique2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2018-02-18T10:45:01Z</dcterms:created>
  <dcterms:modified xsi:type="dcterms:W3CDTF">2018-02-18T11:11:27Z</dcterms:modified>
</cp:coreProperties>
</file>