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rnard\Documents\aviation\"/>
    </mc:Choice>
  </mc:AlternateContent>
  <bookViews>
    <workbookView xWindow="0" yWindow="0" windowWidth="15360" windowHeight="6930"/>
  </bookViews>
  <sheets>
    <sheet name="Tableau de bord" sheetId="3" r:id="rId1"/>
    <sheet name="Carnet de vol" sheetId="1" r:id="rId2"/>
    <sheet name="Data" sheetId="2" r:id="rId3"/>
  </sheets>
  <definedNames>
    <definedName name="_05_10_2016">AVION[AVION]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1" i="1"/>
  <c r="P20" i="1"/>
  <c r="P9" i="1"/>
  <c r="O40" i="1"/>
  <c r="O32" i="1"/>
  <c r="O24" i="1"/>
  <c r="O22" i="1"/>
  <c r="O21" i="1"/>
  <c r="O19" i="1"/>
  <c r="O18" i="1"/>
  <c r="O17" i="1"/>
  <c r="O16" i="1"/>
  <c r="O15" i="1"/>
  <c r="O14" i="1"/>
  <c r="O13" i="1"/>
  <c r="O12" i="1"/>
  <c r="O11" i="1"/>
  <c r="O10" i="1"/>
  <c r="O8" i="1"/>
  <c r="O7" i="1"/>
  <c r="O6" i="1"/>
  <c r="O5" i="1"/>
  <c r="O4" i="1"/>
  <c r="O3" i="1"/>
  <c r="O2" i="1"/>
  <c r="F44" i="1"/>
  <c r="O44" i="1" s="1"/>
  <c r="F43" i="1"/>
  <c r="O43" i="1" s="1"/>
  <c r="F42" i="1"/>
  <c r="O42" i="1" s="1"/>
  <c r="F41" i="1"/>
  <c r="O41" i="1" s="1"/>
  <c r="F40" i="1"/>
  <c r="F39" i="1"/>
  <c r="O39" i="1" s="1"/>
  <c r="F38" i="1"/>
  <c r="O38" i="1" s="1"/>
  <c r="F37" i="1"/>
  <c r="F36" i="1"/>
  <c r="O36" i="1" s="1"/>
  <c r="F35" i="1"/>
  <c r="O35" i="1" s="1"/>
  <c r="F34" i="1"/>
  <c r="O34" i="1" s="1"/>
  <c r="F33" i="1"/>
  <c r="O33" i="1" s="1"/>
  <c r="F32" i="1"/>
  <c r="F31" i="1"/>
  <c r="O31" i="1" s="1"/>
  <c r="F30" i="1"/>
  <c r="O30" i="1" s="1"/>
  <c r="F29" i="1"/>
  <c r="F28" i="1"/>
  <c r="O28" i="1" s="1"/>
  <c r="F27" i="1"/>
  <c r="O27" i="1" s="1"/>
  <c r="F26" i="1"/>
  <c r="O26" i="1" s="1"/>
  <c r="F25" i="1"/>
  <c r="O25" i="1" s="1"/>
  <c r="F24" i="1"/>
  <c r="F23" i="1"/>
  <c r="O23" i="1" s="1"/>
  <c r="F22" i="1"/>
  <c r="P22" i="1" s="1"/>
  <c r="F21" i="1"/>
  <c r="K44" i="1"/>
  <c r="K43" i="1"/>
  <c r="M43" i="1" s="1"/>
  <c r="K42" i="1"/>
  <c r="K41" i="1"/>
  <c r="K40" i="1"/>
  <c r="K39" i="1"/>
  <c r="K38" i="1"/>
  <c r="K37" i="1"/>
  <c r="K36" i="1"/>
  <c r="K3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K34" i="1"/>
  <c r="M34" i="1" s="1"/>
  <c r="K33" i="1"/>
  <c r="M33" i="1" s="1"/>
  <c r="K32" i="1"/>
  <c r="K31" i="1"/>
  <c r="K30" i="1"/>
  <c r="K29" i="1"/>
  <c r="K28" i="1"/>
  <c r="M28" i="1" s="1"/>
  <c r="K27" i="1"/>
  <c r="M27" i="1" s="1"/>
  <c r="K26" i="1"/>
  <c r="K25" i="1"/>
  <c r="M25" i="1" s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M22" i="1" l="1"/>
  <c r="M31" i="1"/>
  <c r="M32" i="1"/>
  <c r="M23" i="1"/>
  <c r="M29" i="1"/>
  <c r="M37" i="1"/>
  <c r="M40" i="1"/>
  <c r="O29" i="1"/>
  <c r="O37" i="1"/>
  <c r="M21" i="1"/>
  <c r="M41" i="1"/>
  <c r="M42" i="1"/>
  <c r="M35" i="1"/>
  <c r="M36" i="1"/>
  <c r="M44" i="1"/>
  <c r="M30" i="1"/>
  <c r="M24" i="1"/>
  <c r="M38" i="1"/>
  <c r="M39" i="1"/>
  <c r="M26" i="1"/>
  <c r="H3" i="1"/>
  <c r="H20" i="1"/>
  <c r="H19" i="1"/>
  <c r="H18" i="1"/>
  <c r="H17" i="1"/>
  <c r="H16" i="1"/>
  <c r="M16" i="1" s="1"/>
  <c r="H15" i="1"/>
  <c r="H14" i="1"/>
  <c r="H13" i="1"/>
  <c r="H12" i="1"/>
  <c r="H11" i="1"/>
  <c r="H10" i="1"/>
  <c r="H9" i="1"/>
  <c r="H8" i="1"/>
  <c r="H7" i="1"/>
  <c r="H6" i="1"/>
  <c r="H5" i="1"/>
  <c r="H4" i="1"/>
  <c r="H2" i="1"/>
  <c r="D10" i="3"/>
  <c r="F20" i="1"/>
  <c r="F19" i="1"/>
  <c r="P19" i="1" s="1"/>
  <c r="F18" i="1"/>
  <c r="F17" i="1"/>
  <c r="F16" i="1"/>
  <c r="F15" i="1"/>
  <c r="P15" i="1" s="1"/>
  <c r="F14" i="1"/>
  <c r="F13" i="1"/>
  <c r="F12" i="1"/>
  <c r="F11" i="1"/>
  <c r="P11" i="1" s="1"/>
  <c r="F10" i="1"/>
  <c r="F9" i="1"/>
  <c r="F8" i="1"/>
  <c r="F7" i="1"/>
  <c r="P7" i="1" s="1"/>
  <c r="F6" i="1"/>
  <c r="F5" i="1"/>
  <c r="F4" i="1"/>
  <c r="F3" i="1"/>
  <c r="F2" i="1"/>
  <c r="P2" i="1" s="1"/>
  <c r="L19" i="1"/>
  <c r="M17" i="1" l="1"/>
  <c r="P17" i="1"/>
  <c r="M4" i="1"/>
  <c r="P4" i="1"/>
  <c r="I12" i="1"/>
  <c r="P12" i="1"/>
  <c r="M20" i="1"/>
  <c r="O20" i="1"/>
  <c r="I7" i="1"/>
  <c r="L9" i="1"/>
  <c r="O9" i="1"/>
  <c r="M18" i="1"/>
  <c r="P18" i="1"/>
  <c r="M10" i="1"/>
  <c r="P10" i="1"/>
  <c r="L5" i="1"/>
  <c r="P5" i="1"/>
  <c r="M13" i="1"/>
  <c r="Q14" i="1" s="1"/>
  <c r="P13" i="1"/>
  <c r="M6" i="1"/>
  <c r="P6" i="1"/>
  <c r="L11" i="1"/>
  <c r="L3" i="1"/>
  <c r="P3" i="1"/>
  <c r="G8" i="3" s="1"/>
  <c r="G10" i="3" s="1"/>
  <c r="M14" i="1"/>
  <c r="P14" i="1"/>
  <c r="L15" i="1"/>
  <c r="L8" i="1"/>
  <c r="P8" i="1"/>
  <c r="L16" i="1"/>
  <c r="P16" i="1"/>
  <c r="L20" i="1"/>
  <c r="M7" i="1"/>
  <c r="M15" i="1"/>
  <c r="I10" i="1"/>
  <c r="M2" i="1"/>
  <c r="M66550" i="1" s="1"/>
  <c r="I20" i="1"/>
  <c r="M11" i="1"/>
  <c r="M19" i="1"/>
  <c r="M5" i="1"/>
  <c r="I11" i="1"/>
  <c r="I19" i="1"/>
  <c r="M12" i="1"/>
  <c r="M8" i="1"/>
  <c r="L13" i="1"/>
  <c r="I15" i="1"/>
  <c r="I5" i="1"/>
  <c r="L10" i="1"/>
  <c r="I6" i="1"/>
  <c r="I14" i="1"/>
  <c r="M3" i="1"/>
  <c r="M9" i="1"/>
  <c r="I17" i="1"/>
  <c r="I13" i="1"/>
  <c r="I4" i="1"/>
  <c r="I2" i="1"/>
  <c r="I18" i="1"/>
  <c r="L18" i="1"/>
  <c r="I8" i="1"/>
  <c r="I9" i="1"/>
  <c r="L2" i="1"/>
  <c r="I3" i="1"/>
  <c r="L17" i="1"/>
  <c r="I16" i="1"/>
  <c r="L4" i="1"/>
  <c r="L6" i="1"/>
  <c r="L14" i="1"/>
  <c r="L12" i="1"/>
  <c r="L7" i="1"/>
  <c r="Q9" i="1" l="1"/>
  <c r="E8" i="3"/>
  <c r="E10" i="3" s="1"/>
  <c r="Q20" i="1"/>
  <c r="Q12" i="1"/>
  <c r="Q5" i="1"/>
  <c r="B6" i="3" l="1"/>
</calcChain>
</file>

<file path=xl/sharedStrings.xml><?xml version="1.0" encoding="utf-8"?>
<sst xmlns="http://schemas.openxmlformats.org/spreadsheetml/2006/main" count="122" uniqueCount="38">
  <si>
    <t>AVION</t>
  </si>
  <si>
    <t>PRIX UNIT</t>
  </si>
  <si>
    <t>OO-ALD</t>
  </si>
  <si>
    <t>OO-SPP</t>
  </si>
  <si>
    <t>INSTRUCTEUR</t>
  </si>
  <si>
    <t>PRIX</t>
  </si>
  <si>
    <t>MENDES B</t>
  </si>
  <si>
    <t>CLAESSEN N</t>
  </si>
  <si>
    <t>DATE</t>
  </si>
  <si>
    <t>PU</t>
  </si>
  <si>
    <t>TOTAL</t>
  </si>
  <si>
    <t>TEMPS VOL</t>
  </si>
  <si>
    <t>PU2</t>
  </si>
  <si>
    <t>TOTAL3</t>
  </si>
  <si>
    <t>LANDING</t>
  </si>
  <si>
    <t>Colonne1</t>
  </si>
  <si>
    <t>ARRIVAL</t>
  </si>
  <si>
    <t>EBSP</t>
  </si>
  <si>
    <t>time</t>
  </si>
  <si>
    <t>time2</t>
  </si>
  <si>
    <t>EBST</t>
  </si>
  <si>
    <t>EBZW</t>
  </si>
  <si>
    <t>PIC</t>
  </si>
  <si>
    <t>dual</t>
  </si>
  <si>
    <t>DUAL</t>
  </si>
  <si>
    <t>minutes</t>
  </si>
  <si>
    <t>H:min</t>
  </si>
  <si>
    <t>TABLEAU DE BORD</t>
  </si>
  <si>
    <t>COUT</t>
  </si>
  <si>
    <t>EBTX</t>
  </si>
  <si>
    <t>EBSH</t>
  </si>
  <si>
    <t>EBBR</t>
  </si>
  <si>
    <t>EBLG</t>
  </si>
  <si>
    <t>IOAC</t>
  </si>
  <si>
    <t>SELF</t>
  </si>
  <si>
    <t>PENDERS</t>
  </si>
  <si>
    <t>DEPART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</si>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</sst>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164" fontId="2" fillId="3" borderId="1" xfId="0" applyNumberFormat="1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4" borderId="0" xfId="0" applyFill="1"/>
    <xf numFmtId="14" fontId="0" fillId="0" borderId="0" xfId="0" applyNumberFormat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1" fillId="2" borderId="10" xfId="0" applyNumberFormat="1" applyFont="1" applyFill="1" applyBorder="1" applyAlignment="1">
      <alignment horizontal="center"/>
    </xf>
    <xf numFmtId="165" fontId="1" fillId="2" borderId="11" xfId="0" applyNumberFormat="1" applyFont="1" applyFill="1" applyBorder="1" applyAlignment="1">
      <alignment horizontal="center"/>
    </xf>
  </cellXfs>
  <cellStyles count="1">
    <cellStyle name="Normal" xfId="0" builtinId="0"/>
  </cellStyles>
  <dxfs count="16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2</xdr:col>
      <xdr:colOff>152400</xdr:colOff>
      <xdr:row>16</xdr:row>
      <xdr:rowOff>152400</xdr:rowOff>
    </xdr:to>
    <xdr:pic macro="[0]!Ouvre_le_formulaire_de_saisie">
      <xdr:nvPicPr>
        <xdr:cNvPr id="3" name="Graphique 2" descr="Avion">
          <a:extLst>
            <a:ext uri="{FF2B5EF4-FFF2-40B4-BE49-F238E27FC236}">
              <a16:creationId xmlns:a16="http://schemas.microsoft.com/office/drawing/2014/main" id="{7C781B0D-492E-40B3-A322-1EDF37DC1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62000" y="3171825"/>
          <a:ext cx="914400" cy="914400"/>
        </a:xfrm>
        <a:prstGeom prst="rect">
          <a:avLst/>
        </a:prstGeom>
      </xdr:spPr>
    </xdr:pic>
    <xdr:clientData/>
  </xdr:twoCellAnchor>
  <xdr:oneCellAnchor>
    <xdr:from>
      <xdr:col>2</xdr:col>
      <xdr:colOff>717861</xdr:colOff>
      <xdr:row>12</xdr:row>
      <xdr:rowOff>26485</xdr:rowOff>
    </xdr:from>
    <xdr:ext cx="4755534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EA24EF1-1B03-4619-BF34-8A228B468533}"/>
            </a:ext>
          </a:extLst>
        </xdr:cNvPr>
        <xdr:cNvSpPr/>
      </xdr:nvSpPr>
      <xdr:spPr>
        <a:xfrm>
          <a:off x="2241861" y="3198310"/>
          <a:ext cx="475553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CARNET DE VOL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3" name="Tableau3" displayName="Tableau3" ref="A1:Q44" totalsRowShown="0" headerRowDxfId="15">
  <autoFilter ref="A1:Q44"/>
  <tableColumns count="17">
    <tableColumn id="1" name="DATE"/>
    <tableColumn id="12" name="DEPART" dataDxfId="14"/>
    <tableColumn id="14" name="time" dataDxfId="13"/>
    <tableColumn id="13" name="ARRIVAL" dataDxfId="12"/>
    <tableColumn id="15" name="time2" dataDxfId="11"/>
    <tableColumn id="2" name="TEMPS VOL" dataDxfId="10"/>
    <tableColumn id="3" name="AVION" dataDxfId="9"/>
    <tableColumn id="4" name="PU" dataDxfId="8"/>
    <tableColumn id="5" name="TOTAL" dataDxfId="7">
      <calculatedColumnFormula>F2*H2</calculatedColumnFormula>
    </tableColumn>
    <tableColumn id="6" name="INSTRUCTEUR" dataDxfId="6"/>
    <tableColumn id="7" name="PU2" dataDxfId="5"/>
    <tableColumn id="8" name="TOTAL3" dataDxfId="4">
      <calculatedColumnFormula>F2*K2</calculatedColumnFormula>
    </tableColumn>
    <tableColumn id="9" name="TOTAL " dataDxfId="3">
      <calculatedColumnFormula>(K2*F2)+(H2*F2)</calculatedColumnFormula>
    </tableColumn>
    <tableColumn id="10" name="LANDING" dataDxfId="2"/>
    <tableColumn id="17" name="PIC" dataDxfId="1"/>
    <tableColumn id="16" name="dual" dataDxfId="0">
      <calculatedColumnFormula>IF(Tableau3[[#This Row],[INSTRUCTEUR]]="PENDERS",0,Tableau3[[#This Row],[TEMPS VOL]])</calculatedColumnFormula>
    </tableColumn>
    <tableColumn id="1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AVION" displayName="AVION" ref="A1:B6" totalsRowShown="0">
  <autoFilter ref="A1:B6"/>
  <tableColumns count="2">
    <tableColumn id="1" name="AVION"/>
    <tableColumn id="2" name="PRIX UNI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INSTRUCTEUR" displayName="INSTRUCTEUR" ref="D1:E6" totalsRowShown="0">
  <autoFilter ref="D1:E6"/>
  <tableColumns count="2">
    <tableColumn id="1" name="INSTRUCTEUR"/>
    <tableColumn id="2" name="PRIX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IOAC" displayName="IOAC" ref="G1:G35" totalsRowShown="0">
  <autoFilter ref="G1:G35"/>
  <tableColumns count="1">
    <tableColumn id="1" name="IOAC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PIC" displayName="PIC" ref="I1:I13" totalsRowShown="0">
  <autoFilter ref="I1:I13"/>
  <tableColumns count="1">
    <tableColumn id="1" name="PIC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LANDING" displayName="LANDING" ref="K1:K11" totalsRowShown="0">
  <autoFilter ref="K1:K11"/>
  <tableColumns count="1">
    <tableColumn id="1" name="LANDI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"/>
  <sheetViews>
    <sheetView tabSelected="1" workbookViewId="0">
      <selection activeCell="C19" sqref="C19"/>
    </sheetView>
  </sheetViews>
  <sheetFormatPr baseColWidth="10" defaultRowHeight="15" x14ac:dyDescent="0.25"/>
  <cols>
    <col min="4" max="4" width="17.42578125" bestFit="1" customWidth="1"/>
    <col min="5" max="5" width="15.140625" bestFit="1" customWidth="1"/>
    <col min="7" max="7" width="15.140625" bestFit="1" customWidth="1"/>
  </cols>
  <sheetData>
    <row r="1" spans="1:9" x14ac:dyDescent="0.25">
      <c r="A1" s="9"/>
      <c r="B1" s="9"/>
      <c r="C1" s="9"/>
      <c r="D1" s="9"/>
      <c r="E1" s="9"/>
      <c r="F1" s="9"/>
      <c r="G1" s="9"/>
      <c r="H1" s="9"/>
      <c r="I1" s="9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ht="15.75" thickBot="1" x14ac:dyDescent="0.3">
      <c r="A3" s="9"/>
      <c r="B3" s="9"/>
      <c r="C3" s="9"/>
      <c r="D3" s="9"/>
      <c r="E3" s="9"/>
      <c r="F3" s="9"/>
      <c r="G3" s="9"/>
      <c r="H3" s="9"/>
      <c r="I3" s="9"/>
    </row>
    <row r="4" spans="1:9" x14ac:dyDescent="0.25">
      <c r="A4" s="9"/>
      <c r="B4" s="17" t="s">
        <v>28</v>
      </c>
      <c r="C4" s="18"/>
      <c r="D4" s="11" t="s">
        <v>27</v>
      </c>
      <c r="E4" s="12"/>
      <c r="F4" s="12"/>
      <c r="G4" s="13"/>
      <c r="H4" s="9"/>
      <c r="I4" s="9"/>
    </row>
    <row r="5" spans="1:9" ht="15.75" thickBot="1" x14ac:dyDescent="0.3">
      <c r="A5" s="9"/>
      <c r="B5" s="19"/>
      <c r="C5" s="20"/>
      <c r="D5" s="14"/>
      <c r="E5" s="15"/>
      <c r="F5" s="15"/>
      <c r="G5" s="16"/>
      <c r="H5" s="9"/>
      <c r="I5" s="9"/>
    </row>
    <row r="6" spans="1:9" ht="29.25" thickBot="1" x14ac:dyDescent="0.5">
      <c r="A6" s="9"/>
      <c r="B6" s="21">
        <f>SUM('Carnet de vol'!Q:Q)</f>
        <v>2035.1499999999996</v>
      </c>
      <c r="C6" s="22"/>
      <c r="D6" s="8" t="s">
        <v>14</v>
      </c>
      <c r="E6" s="4" t="s">
        <v>22</v>
      </c>
      <c r="F6" s="4"/>
      <c r="G6" s="4" t="s">
        <v>24</v>
      </c>
      <c r="H6" s="9"/>
      <c r="I6" s="9"/>
    </row>
    <row r="7" spans="1:9" ht="28.5" x14ac:dyDescent="0.45">
      <c r="A7" s="9"/>
      <c r="B7" s="9"/>
      <c r="C7" s="9"/>
      <c r="D7" s="5"/>
      <c r="E7" s="5" t="s">
        <v>25</v>
      </c>
      <c r="F7" s="5"/>
      <c r="G7" s="5" t="s">
        <v>25</v>
      </c>
      <c r="H7" s="9"/>
      <c r="I7" s="9"/>
    </row>
    <row r="8" spans="1:9" ht="28.5" x14ac:dyDescent="0.45">
      <c r="A8" s="9"/>
      <c r="B8" s="9"/>
      <c r="C8" s="9"/>
      <c r="D8" s="6"/>
      <c r="E8" s="5">
        <f>SUM(Tableau3[PIC])</f>
        <v>59.99999999999995</v>
      </c>
      <c r="F8" s="5"/>
      <c r="G8" s="5">
        <f>SUM(Tableau3[dual])</f>
        <v>722.99999999999977</v>
      </c>
      <c r="H8" s="9"/>
      <c r="I8" s="9"/>
    </row>
    <row r="9" spans="1:9" ht="28.5" x14ac:dyDescent="0.45">
      <c r="A9" s="9"/>
      <c r="B9" s="9"/>
      <c r="C9" s="9"/>
      <c r="D9" s="6"/>
      <c r="E9" s="5" t="s">
        <v>26</v>
      </c>
      <c r="F9" s="6"/>
      <c r="G9" s="5" t="s">
        <v>26</v>
      </c>
      <c r="H9" s="9"/>
      <c r="I9" s="9"/>
    </row>
    <row r="10" spans="1:9" ht="28.5" x14ac:dyDescent="0.45">
      <c r="A10" s="9"/>
      <c r="B10" s="9"/>
      <c r="C10" s="9"/>
      <c r="D10" s="5">
        <f>SUM('Carnet de vol'!N:N)</f>
        <v>63</v>
      </c>
      <c r="E10" s="7">
        <f>E8/1440</f>
        <v>4.166666666666663E-2</v>
      </c>
      <c r="F10" s="5"/>
      <c r="G10" s="7">
        <f>G8/1440</f>
        <v>0.50208333333333321</v>
      </c>
      <c r="H10" s="9"/>
      <c r="I10" s="9"/>
    </row>
    <row r="11" spans="1:9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</sheetData>
  <mergeCells count="3">
    <mergeCell ref="D4:G5"/>
    <mergeCell ref="B4:C5"/>
    <mergeCell ref="B6:C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6550"/>
  <sheetViews>
    <sheetView topLeftCell="A4" workbookViewId="0">
      <selection activeCell="A5" sqref="A5"/>
    </sheetView>
  </sheetViews>
  <sheetFormatPr baseColWidth="10" defaultRowHeight="15" x14ac:dyDescent="0.25"/>
  <cols>
    <col min="2" max="2" width="12.42578125" style="1" bestFit="1" customWidth="1"/>
    <col min="3" max="3" width="9.7109375" style="3" bestFit="1" customWidth="1"/>
    <col min="4" max="4" width="13.140625" style="1" bestFit="1" customWidth="1"/>
    <col min="5" max="5" width="10.7109375" style="3" bestFit="1" customWidth="1"/>
    <col min="6" max="6" width="13.140625" style="1" customWidth="1"/>
    <col min="7" max="9" width="11.42578125" style="1"/>
    <col min="10" max="10" width="15.42578125" style="1" customWidth="1"/>
    <col min="11" max="12" width="11.42578125" style="1"/>
    <col min="13" max="13" width="13.140625" style="1" customWidth="1"/>
    <col min="14" max="14" width="13.85546875" style="1" bestFit="1" customWidth="1"/>
    <col min="15" max="15" width="8.42578125" style="1" bestFit="1" customWidth="1"/>
    <col min="16" max="16" width="9.42578125" style="1" bestFit="1" customWidth="1"/>
    <col min="17" max="17" width="14" bestFit="1" customWidth="1"/>
  </cols>
  <sheetData>
    <row r="1" spans="1:18" x14ac:dyDescent="0.25">
      <c r="A1" s="1" t="s">
        <v>8</v>
      </c>
      <c r="B1" s="1" t="s">
        <v>36</v>
      </c>
      <c r="C1" s="3" t="s">
        <v>18</v>
      </c>
      <c r="D1" s="1" t="s">
        <v>16</v>
      </c>
      <c r="E1" s="3" t="s">
        <v>19</v>
      </c>
      <c r="F1" s="1" t="s">
        <v>11</v>
      </c>
      <c r="G1" s="1" t="s">
        <v>0</v>
      </c>
      <c r="H1" s="1" t="s">
        <v>9</v>
      </c>
      <c r="I1" s="1" t="s">
        <v>10</v>
      </c>
      <c r="J1" s="1" t="s">
        <v>4</v>
      </c>
      <c r="K1" s="1" t="s">
        <v>12</v>
      </c>
      <c r="L1" s="1" t="s">
        <v>13</v>
      </c>
      <c r="M1" s="1" t="s">
        <v>37</v>
      </c>
      <c r="N1" s="1" t="s">
        <v>14</v>
      </c>
      <c r="O1" s="1" t="s">
        <v>22</v>
      </c>
      <c r="P1" s="1" t="s">
        <v>23</v>
      </c>
      <c r="Q1" s="1" t="s">
        <v>15</v>
      </c>
      <c r="R1" s="1"/>
    </row>
    <row r="2" spans="1:18" x14ac:dyDescent="0.25">
      <c r="A2" s="2">
        <v>42648</v>
      </c>
      <c r="B2" s="10" t="s">
        <v>17</v>
      </c>
      <c r="C2" s="3">
        <v>0.41666666666666669</v>
      </c>
      <c r="D2" s="10" t="s">
        <v>17</v>
      </c>
      <c r="E2" s="3">
        <v>0.45</v>
      </c>
      <c r="F2" s="1">
        <f>(Tableau3[[#This Row],[time2]]-Tableau3[[#This Row],[time]])*1440</f>
        <v>47.999999999999986</v>
      </c>
      <c r="G2" s="1" t="s">
        <v>3</v>
      </c>
      <c r="H2" s="1">
        <f>VLOOKUP(G2,Data!A2:B3,2,0)</f>
        <v>2.1</v>
      </c>
      <c r="I2" s="1">
        <f>F2*H2</f>
        <v>100.79999999999997</v>
      </c>
      <c r="J2" s="1" t="s">
        <v>6</v>
      </c>
      <c r="K2" s="1">
        <f>VLOOKUP(J2,INSTRUCTEUR[],2,0)</f>
        <v>0.61</v>
      </c>
      <c r="L2" s="1">
        <f>F2*K2</f>
        <v>29.27999999999999</v>
      </c>
      <c r="M2" s="1">
        <f>(K2*F2)+(H2*F2)</f>
        <v>130.07999999999996</v>
      </c>
      <c r="N2" s="1">
        <v>5</v>
      </c>
      <c r="O2" s="1">
        <f>IF(J2="PENDERS",Tableau3[[#This Row],[TEMPS VOL]],0)</f>
        <v>0</v>
      </c>
      <c r="P2" s="1">
        <f>IF(Tableau3[[#This Row],[INSTRUCTEUR]]="PENDERS",0,Tableau3[[#This Row],[TEMPS VOL]])</f>
        <v>47.999999999999986</v>
      </c>
    </row>
    <row r="3" spans="1:18" x14ac:dyDescent="0.25">
      <c r="A3" s="2">
        <v>42657</v>
      </c>
      <c r="B3" s="10" t="s">
        <v>17</v>
      </c>
      <c r="C3" s="3">
        <v>0.40972222222222227</v>
      </c>
      <c r="D3" s="10" t="s">
        <v>17</v>
      </c>
      <c r="E3" s="3">
        <v>0.44305555555555554</v>
      </c>
      <c r="F3" s="1">
        <f>(Tableau3[[#This Row],[time2]]-Tableau3[[#This Row],[time]])*1440</f>
        <v>47.999999999999908</v>
      </c>
      <c r="G3" s="1" t="s">
        <v>3</v>
      </c>
      <c r="H3" s="1">
        <f>VLOOKUP(G3,AVION[],2,0)</f>
        <v>2.1</v>
      </c>
      <c r="I3" s="1">
        <f t="shared" ref="I3:I20" si="0">F3*H3</f>
        <v>100.79999999999981</v>
      </c>
      <c r="J3" s="1" t="s">
        <v>6</v>
      </c>
      <c r="K3" s="1">
        <f>VLOOKUP(J3,INSTRUCTEUR[],2,0)</f>
        <v>0.61</v>
      </c>
      <c r="L3" s="1">
        <f t="shared" ref="L3:L20" si="1">F3*K3</f>
        <v>29.279999999999944</v>
      </c>
      <c r="M3" s="1">
        <f t="shared" ref="M3:M44" si="2">(K3*F3)+(H3*F3)</f>
        <v>130.07999999999976</v>
      </c>
      <c r="N3" s="1">
        <v>5</v>
      </c>
      <c r="O3" s="1">
        <f>IF(J3="PENDERS",Tableau3[[#This Row],[TEMPS VOL]],0)</f>
        <v>0</v>
      </c>
      <c r="P3" s="1">
        <f>IF(Tableau3[[#This Row],[INSTRUCTEUR]]="PENDERS",0,Tableau3[[#This Row],[TEMPS VOL]])</f>
        <v>47.999999999999908</v>
      </c>
    </row>
    <row r="4" spans="1:18" x14ac:dyDescent="0.25">
      <c r="A4" s="2">
        <v>42675</v>
      </c>
      <c r="B4" s="10" t="s">
        <v>17</v>
      </c>
      <c r="C4" s="3">
        <v>0.53125</v>
      </c>
      <c r="D4" s="10" t="s">
        <v>17</v>
      </c>
      <c r="E4" s="3">
        <v>0.55208333333333337</v>
      </c>
      <c r="F4" s="1">
        <f>(Tableau3[[#This Row],[time2]]-Tableau3[[#This Row],[time]])*1440</f>
        <v>30.000000000000053</v>
      </c>
      <c r="G4" s="1" t="s">
        <v>3</v>
      </c>
      <c r="H4" s="1">
        <f>VLOOKUP(G4,AVION[],2,0)</f>
        <v>2.1</v>
      </c>
      <c r="I4" s="1">
        <f t="shared" si="0"/>
        <v>63.000000000000114</v>
      </c>
      <c r="J4" s="1" t="s">
        <v>6</v>
      </c>
      <c r="K4" s="1">
        <f>VLOOKUP(J4,INSTRUCTEUR[],2,0)</f>
        <v>0.61</v>
      </c>
      <c r="L4" s="1">
        <f t="shared" si="1"/>
        <v>18.300000000000033</v>
      </c>
      <c r="M4" s="1">
        <f t="shared" si="2"/>
        <v>81.300000000000153</v>
      </c>
      <c r="N4" s="1">
        <v>3</v>
      </c>
      <c r="O4" s="1">
        <f>IF(J4="PENDERS",Tableau3[[#This Row],[TEMPS VOL]],0)</f>
        <v>0</v>
      </c>
      <c r="P4" s="1">
        <f>IF(Tableau3[[#This Row],[INSTRUCTEUR]]="PENDERS",0,Tableau3[[#This Row],[TEMPS VOL]])</f>
        <v>30.000000000000053</v>
      </c>
    </row>
    <row r="5" spans="1:18" x14ac:dyDescent="0.25">
      <c r="A5" s="2">
        <v>42697</v>
      </c>
      <c r="B5" s="10" t="s">
        <v>17</v>
      </c>
      <c r="C5" s="3">
        <v>0.41666666666666669</v>
      </c>
      <c r="D5" s="10" t="s">
        <v>17</v>
      </c>
      <c r="E5" s="3">
        <v>0.4458333333333333</v>
      </c>
      <c r="F5" s="1">
        <f>(Tableau3[[#This Row],[time2]]-Tableau3[[#This Row],[time]])*1440</f>
        <v>41.999999999999929</v>
      </c>
      <c r="G5" s="1" t="s">
        <v>3</v>
      </c>
      <c r="H5" s="1">
        <f>VLOOKUP(G5,AVION[],2,0)</f>
        <v>2.1</v>
      </c>
      <c r="I5" s="1">
        <f t="shared" si="0"/>
        <v>88.199999999999861</v>
      </c>
      <c r="J5" s="1" t="s">
        <v>6</v>
      </c>
      <c r="K5" s="1">
        <f>VLOOKUP(J5,INSTRUCTEUR[],2,0)</f>
        <v>0.61</v>
      </c>
      <c r="L5" s="1">
        <f t="shared" si="1"/>
        <v>25.619999999999955</v>
      </c>
      <c r="M5" s="1">
        <f t="shared" si="2"/>
        <v>113.81999999999982</v>
      </c>
      <c r="N5" s="1">
        <v>5</v>
      </c>
      <c r="O5" s="1">
        <f>IF(J5="PENDERS",Tableau3[[#This Row],[TEMPS VOL]],0)</f>
        <v>0</v>
      </c>
      <c r="P5" s="1">
        <f>IF(Tableau3[[#This Row],[INSTRUCTEUR]]="PENDERS",0,Tableau3[[#This Row],[TEMPS VOL]])</f>
        <v>41.999999999999929</v>
      </c>
      <c r="Q5">
        <f>SUM(M2:M5)</f>
        <v>455.27999999999975</v>
      </c>
    </row>
    <row r="6" spans="1:18" x14ac:dyDescent="0.25">
      <c r="A6" s="2">
        <v>42712</v>
      </c>
      <c r="B6" s="10" t="s">
        <v>17</v>
      </c>
      <c r="C6" s="3">
        <v>0.4236111111111111</v>
      </c>
      <c r="D6" s="10" t="s">
        <v>17</v>
      </c>
      <c r="E6" s="3">
        <v>0.45694444444444443</v>
      </c>
      <c r="F6" s="1">
        <f>(Tableau3[[#This Row],[time2]]-Tableau3[[#This Row],[time]])*1440</f>
        <v>47.999999999999986</v>
      </c>
      <c r="G6" s="1" t="s">
        <v>3</v>
      </c>
      <c r="H6" s="1">
        <f>VLOOKUP(G6,AVION[],2,0)</f>
        <v>2.1</v>
      </c>
      <c r="I6" s="1">
        <f t="shared" si="0"/>
        <v>100.79999999999997</v>
      </c>
      <c r="J6" s="1" t="s">
        <v>6</v>
      </c>
      <c r="K6" s="1">
        <f>VLOOKUP(J6,INSTRUCTEUR[],2,0)</f>
        <v>0.61</v>
      </c>
      <c r="L6" s="1">
        <f t="shared" si="1"/>
        <v>29.27999999999999</v>
      </c>
      <c r="M6" s="1">
        <f t="shared" si="2"/>
        <v>130.07999999999996</v>
      </c>
      <c r="N6" s="1">
        <v>6</v>
      </c>
      <c r="O6" s="1">
        <f>IF(J6="PENDERS",Tableau3[[#This Row],[TEMPS VOL]],0)</f>
        <v>0</v>
      </c>
      <c r="P6" s="1">
        <f>IF(Tableau3[[#This Row],[INSTRUCTEUR]]="PENDERS",0,Tableau3[[#This Row],[TEMPS VOL]])</f>
        <v>47.999999999999986</v>
      </c>
    </row>
    <row r="7" spans="1:18" x14ac:dyDescent="0.25">
      <c r="A7" s="2">
        <v>42724</v>
      </c>
      <c r="B7" s="10" t="s">
        <v>17</v>
      </c>
      <c r="C7" s="3">
        <v>0.43055555555555558</v>
      </c>
      <c r="D7" s="10" t="s">
        <v>17</v>
      </c>
      <c r="E7" s="3">
        <v>0.4597222222222222</v>
      </c>
      <c r="F7" s="1">
        <f>(Tableau3[[#This Row],[time2]]-Tableau3[[#This Row],[time]])*1440</f>
        <v>41.999999999999929</v>
      </c>
      <c r="G7" s="1" t="s">
        <v>3</v>
      </c>
      <c r="H7" s="1">
        <f>VLOOKUP(G7,AVION[],2,0)</f>
        <v>2.1</v>
      </c>
      <c r="I7" s="1">
        <f t="shared" si="0"/>
        <v>88.199999999999861</v>
      </c>
      <c r="J7" s="1" t="s">
        <v>6</v>
      </c>
      <c r="K7" s="1">
        <f>VLOOKUP(J7,INSTRUCTEUR[],2,0)</f>
        <v>0.61</v>
      </c>
      <c r="L7" s="1">
        <f t="shared" si="1"/>
        <v>25.619999999999955</v>
      </c>
      <c r="M7" s="1">
        <f t="shared" si="2"/>
        <v>113.81999999999982</v>
      </c>
      <c r="N7" s="1">
        <v>6</v>
      </c>
      <c r="O7" s="1">
        <f>IF(J7="PENDERS",Tableau3[[#This Row],[TEMPS VOL]],0)</f>
        <v>0</v>
      </c>
      <c r="P7" s="1">
        <f>IF(Tableau3[[#This Row],[INSTRUCTEUR]]="PENDERS",0,Tableau3[[#This Row],[TEMPS VOL]])</f>
        <v>41.999999999999929</v>
      </c>
    </row>
    <row r="8" spans="1:18" x14ac:dyDescent="0.25">
      <c r="A8" s="2">
        <v>42735</v>
      </c>
      <c r="B8" s="10" t="s">
        <v>17</v>
      </c>
      <c r="C8" s="3">
        <v>0.44444444444444442</v>
      </c>
      <c r="D8" s="10" t="s">
        <v>17</v>
      </c>
      <c r="E8" s="3">
        <v>0.4694444444444445</v>
      </c>
      <c r="F8" s="1">
        <f>(Tableau3[[#This Row],[time2]]-Tableau3[[#This Row],[time]])*1440</f>
        <v>36.000000000000114</v>
      </c>
      <c r="G8" s="1" t="s">
        <v>3</v>
      </c>
      <c r="H8" s="1">
        <f>VLOOKUP(G8,AVION[],2,0)</f>
        <v>2.1</v>
      </c>
      <c r="I8" s="1">
        <f t="shared" si="0"/>
        <v>75.600000000000236</v>
      </c>
      <c r="J8" s="1" t="s">
        <v>6</v>
      </c>
      <c r="K8" s="1">
        <f>VLOOKUP(J8,INSTRUCTEUR[],2,0)</f>
        <v>0.61</v>
      </c>
      <c r="L8" s="1">
        <f t="shared" si="1"/>
        <v>21.960000000000068</v>
      </c>
      <c r="M8" s="1">
        <f t="shared" si="2"/>
        <v>97.560000000000301</v>
      </c>
      <c r="N8" s="1">
        <v>4</v>
      </c>
      <c r="O8" s="1">
        <f>IF(J8="PENDERS",Tableau3[[#This Row],[TEMPS VOL]],0)</f>
        <v>0</v>
      </c>
      <c r="P8" s="1">
        <f>IF(Tableau3[[#This Row],[INSTRUCTEUR]]="PENDERS",0,Tableau3[[#This Row],[TEMPS VOL]])</f>
        <v>36.000000000000114</v>
      </c>
    </row>
    <row r="9" spans="1:18" x14ac:dyDescent="0.25">
      <c r="A9" s="2">
        <v>42735</v>
      </c>
      <c r="B9" s="10" t="s">
        <v>17</v>
      </c>
      <c r="C9" s="3">
        <v>0.4694444444444445</v>
      </c>
      <c r="D9" s="10" t="s">
        <v>17</v>
      </c>
      <c r="E9" s="3">
        <v>0.48194444444444445</v>
      </c>
      <c r="F9" s="1">
        <f>(Tableau3[[#This Row],[time2]]-Tableau3[[#This Row],[time]])*1440</f>
        <v>17.999999999999936</v>
      </c>
      <c r="G9" s="1" t="s">
        <v>3</v>
      </c>
      <c r="H9" s="1">
        <f>VLOOKUP(G9,AVION[],2,0)</f>
        <v>2.1</v>
      </c>
      <c r="I9" s="1">
        <f t="shared" si="0"/>
        <v>37.799999999999869</v>
      </c>
      <c r="J9" s="1" t="s">
        <v>35</v>
      </c>
      <c r="K9" s="1">
        <f>VLOOKUP(J9,INSTRUCTEUR[],2,0)</f>
        <v>0</v>
      </c>
      <c r="L9" s="1">
        <f t="shared" si="1"/>
        <v>0</v>
      </c>
      <c r="M9" s="1">
        <f t="shared" si="2"/>
        <v>37.799999999999869</v>
      </c>
      <c r="N9" s="1">
        <v>2</v>
      </c>
      <c r="O9" s="1">
        <f>IF(J9="PENDERS",Tableau3[[#This Row],[TEMPS VOL]],0)</f>
        <v>17.999999999999936</v>
      </c>
      <c r="P9" s="1">
        <f>IF(Tableau3[[#This Row],[INSTRUCTEUR]]="PENDERS",0,Tableau3[[#This Row],[TEMPS VOL]])</f>
        <v>0</v>
      </c>
      <c r="Q9">
        <f>SUM(M6:M9)</f>
        <v>379.26</v>
      </c>
    </row>
    <row r="10" spans="1:18" x14ac:dyDescent="0.25">
      <c r="A10" s="2">
        <v>42740</v>
      </c>
      <c r="B10" s="10" t="s">
        <v>17</v>
      </c>
      <c r="C10" s="3">
        <v>0.52777777777777779</v>
      </c>
      <c r="D10" s="10" t="s">
        <v>17</v>
      </c>
      <c r="E10" s="3">
        <v>0.55694444444444446</v>
      </c>
      <c r="F10" s="1">
        <f>(Tableau3[[#This Row],[time2]]-Tableau3[[#This Row],[time]])*1440</f>
        <v>42.000000000000014</v>
      </c>
      <c r="G10" s="1" t="s">
        <v>3</v>
      </c>
      <c r="H10" s="1">
        <f>VLOOKUP(G10,AVION[],2,0)</f>
        <v>2.1</v>
      </c>
      <c r="I10" s="1">
        <f t="shared" si="0"/>
        <v>88.200000000000031</v>
      </c>
      <c r="J10" s="1" t="s">
        <v>6</v>
      </c>
      <c r="K10" s="1">
        <f>VLOOKUP(J10,INSTRUCTEUR[],2,0)</f>
        <v>0.61</v>
      </c>
      <c r="L10" s="1">
        <f t="shared" si="1"/>
        <v>25.620000000000008</v>
      </c>
      <c r="M10" s="1">
        <f t="shared" si="2"/>
        <v>113.82000000000004</v>
      </c>
      <c r="N10" s="1">
        <v>3</v>
      </c>
      <c r="O10" s="1">
        <f>IF(J10="PENDERS",Tableau3[[#This Row],[TEMPS VOL]],0)</f>
        <v>0</v>
      </c>
      <c r="P10" s="1">
        <f>IF(Tableau3[[#This Row],[INSTRUCTEUR]]="PENDERS",0,Tableau3[[#This Row],[TEMPS VOL]])</f>
        <v>42.000000000000014</v>
      </c>
    </row>
    <row r="11" spans="1:18" x14ac:dyDescent="0.25">
      <c r="A11" s="2">
        <v>42741</v>
      </c>
      <c r="B11" s="10" t="s">
        <v>17</v>
      </c>
      <c r="C11" s="3">
        <v>0.5</v>
      </c>
      <c r="D11" s="10" t="s">
        <v>17</v>
      </c>
      <c r="E11" s="3">
        <v>0.51666666666666672</v>
      </c>
      <c r="F11" s="1">
        <f>(Tableau3[[#This Row],[time2]]-Tableau3[[#This Row],[time]])*1440</f>
        <v>24.000000000000075</v>
      </c>
      <c r="G11" s="1" t="s">
        <v>3</v>
      </c>
      <c r="H11" s="1">
        <f>VLOOKUP(G11,AVION[],2,0)</f>
        <v>2.1</v>
      </c>
      <c r="I11" s="1">
        <f t="shared" si="0"/>
        <v>50.400000000000162</v>
      </c>
      <c r="J11" s="1" t="s">
        <v>6</v>
      </c>
      <c r="K11" s="1">
        <f>VLOOKUP(J11,INSTRUCTEUR[],2,0)</f>
        <v>0.61</v>
      </c>
      <c r="L11" s="1">
        <f t="shared" si="1"/>
        <v>14.640000000000045</v>
      </c>
      <c r="M11" s="1">
        <f t="shared" si="2"/>
        <v>65.040000000000205</v>
      </c>
      <c r="N11" s="1">
        <v>2</v>
      </c>
      <c r="O11" s="1">
        <f>IF(J11="PENDERS",Tableau3[[#This Row],[TEMPS VOL]],0)</f>
        <v>0</v>
      </c>
      <c r="P11" s="1">
        <f>IF(Tableau3[[#This Row],[INSTRUCTEUR]]="PENDERS",0,Tableau3[[#This Row],[TEMPS VOL]])</f>
        <v>24.000000000000075</v>
      </c>
    </row>
    <row r="12" spans="1:18" x14ac:dyDescent="0.25">
      <c r="A12" s="2">
        <v>42741</v>
      </c>
      <c r="B12" s="10" t="s">
        <v>17</v>
      </c>
      <c r="C12" s="3">
        <v>0.52083333333333337</v>
      </c>
      <c r="D12" s="10" t="s">
        <v>17</v>
      </c>
      <c r="E12" s="3">
        <v>0.53749999999999998</v>
      </c>
      <c r="F12" s="1">
        <f>(Tableau3[[#This Row],[time2]]-Tableau3[[#This Row],[time]])*1440</f>
        <v>23.999999999999915</v>
      </c>
      <c r="G12" s="1" t="s">
        <v>3</v>
      </c>
      <c r="H12" s="1">
        <f>VLOOKUP(G12,AVION[],2,0)</f>
        <v>2.1</v>
      </c>
      <c r="I12" s="1">
        <f t="shared" si="0"/>
        <v>50.399999999999821</v>
      </c>
      <c r="J12" s="1" t="s">
        <v>6</v>
      </c>
      <c r="K12" s="1">
        <f>VLOOKUP(J12,INSTRUCTEUR[],2,0)</f>
        <v>0.61</v>
      </c>
      <c r="L12" s="1">
        <f t="shared" si="1"/>
        <v>14.639999999999947</v>
      </c>
      <c r="M12" s="1">
        <f t="shared" si="2"/>
        <v>65.039999999999765</v>
      </c>
      <c r="N12" s="1">
        <v>1</v>
      </c>
      <c r="O12" s="1">
        <f>IF(J12="PENDERS",Tableau3[[#This Row],[TEMPS VOL]],0)</f>
        <v>0</v>
      </c>
      <c r="P12" s="1">
        <f>IF(Tableau3[[#This Row],[INSTRUCTEUR]]="PENDERS",0,Tableau3[[#This Row],[TEMPS VOL]])</f>
        <v>23.999999999999915</v>
      </c>
      <c r="Q12">
        <f>SUM(M10:M12)</f>
        <v>243.9</v>
      </c>
    </row>
    <row r="13" spans="1:18" x14ac:dyDescent="0.25">
      <c r="A13" s="2">
        <v>42784</v>
      </c>
      <c r="B13" s="10" t="s">
        <v>17</v>
      </c>
      <c r="C13" s="3">
        <v>0.55208333333333337</v>
      </c>
      <c r="D13" s="10" t="s">
        <v>17</v>
      </c>
      <c r="E13" s="3">
        <v>0.58888888888888891</v>
      </c>
      <c r="F13" s="1">
        <f>(Tableau3[[#This Row],[time2]]-Tableau3[[#This Row],[time]])*1440</f>
        <v>52.999999999999972</v>
      </c>
      <c r="G13" s="1" t="s">
        <v>2</v>
      </c>
      <c r="H13" s="1">
        <f>VLOOKUP(G13,AVION[],2,0)</f>
        <v>1.84</v>
      </c>
      <c r="I13" s="1">
        <f t="shared" si="0"/>
        <v>97.519999999999953</v>
      </c>
      <c r="J13" s="1" t="s">
        <v>7</v>
      </c>
      <c r="K13" s="1">
        <f>VLOOKUP(J13,INSTRUCTEUR[],2,0)</f>
        <v>0.61</v>
      </c>
      <c r="L13" s="1">
        <f t="shared" si="1"/>
        <v>32.329999999999984</v>
      </c>
      <c r="M13" s="1">
        <f t="shared" si="2"/>
        <v>129.84999999999994</v>
      </c>
      <c r="N13" s="1">
        <v>5</v>
      </c>
      <c r="O13" s="1">
        <f>IF(J13="PENDERS",Tableau3[[#This Row],[TEMPS VOL]],0)</f>
        <v>0</v>
      </c>
      <c r="P13" s="1">
        <f>IF(Tableau3[[#This Row],[INSTRUCTEUR]]="PENDERS",0,Tableau3[[#This Row],[TEMPS VOL]])</f>
        <v>52.999999999999972</v>
      </c>
    </row>
    <row r="14" spans="1:18" x14ac:dyDescent="0.25">
      <c r="A14" s="2">
        <v>42790</v>
      </c>
      <c r="B14" s="10" t="s">
        <v>17</v>
      </c>
      <c r="C14" s="3">
        <v>0.67013888888888884</v>
      </c>
      <c r="D14" s="10" t="s">
        <v>17</v>
      </c>
      <c r="E14" s="3">
        <v>0.69652777777777775</v>
      </c>
      <c r="F14" s="1">
        <f>(Tableau3[[#This Row],[time2]]-Tableau3[[#This Row],[time]])*1440</f>
        <v>38.000000000000028</v>
      </c>
      <c r="G14" s="1" t="s">
        <v>2</v>
      </c>
      <c r="H14" s="1">
        <f>VLOOKUP(G14,AVION[],2,0)</f>
        <v>1.84</v>
      </c>
      <c r="I14" s="1">
        <f t="shared" si="0"/>
        <v>69.920000000000059</v>
      </c>
      <c r="J14" s="1" t="s">
        <v>7</v>
      </c>
      <c r="K14" s="1">
        <f>VLOOKUP(J14,INSTRUCTEUR[],2,0)</f>
        <v>0.61</v>
      </c>
      <c r="L14" s="1">
        <f t="shared" si="1"/>
        <v>23.180000000000017</v>
      </c>
      <c r="M14" s="1">
        <f t="shared" si="2"/>
        <v>93.10000000000008</v>
      </c>
      <c r="N14" s="1">
        <v>1</v>
      </c>
      <c r="O14" s="1">
        <f>IF(J14="PENDERS",Tableau3[[#This Row],[TEMPS VOL]],0)</f>
        <v>0</v>
      </c>
      <c r="P14" s="1">
        <f>IF(Tableau3[[#This Row],[INSTRUCTEUR]]="PENDERS",0,Tableau3[[#This Row],[TEMPS VOL]])</f>
        <v>38.000000000000028</v>
      </c>
      <c r="Q14">
        <f>SUM(M13:M14)</f>
        <v>222.95000000000002</v>
      </c>
    </row>
    <row r="15" spans="1:18" x14ac:dyDescent="0.25">
      <c r="A15" s="2">
        <v>42798</v>
      </c>
      <c r="B15" s="10" t="s">
        <v>17</v>
      </c>
      <c r="C15" s="3">
        <v>0.34861111111111115</v>
      </c>
      <c r="D15" s="10" t="s">
        <v>20</v>
      </c>
      <c r="E15" s="3">
        <v>0.38750000000000001</v>
      </c>
      <c r="F15" s="1">
        <f>(Tableau3[[#This Row],[time2]]-Tableau3[[#This Row],[time]])*1440</f>
        <v>55.999999999999957</v>
      </c>
      <c r="G15" s="1" t="s">
        <v>3</v>
      </c>
      <c r="H15" s="1">
        <f>VLOOKUP(G15,AVION[],2,0)</f>
        <v>2.1</v>
      </c>
      <c r="I15" s="1">
        <f t="shared" si="0"/>
        <v>117.59999999999991</v>
      </c>
      <c r="J15" s="1" t="s">
        <v>6</v>
      </c>
      <c r="K15" s="1">
        <f>VLOOKUP(J15,INSTRUCTEUR[],2,0)</f>
        <v>0.61</v>
      </c>
      <c r="L15" s="1">
        <f t="shared" si="1"/>
        <v>34.159999999999975</v>
      </c>
      <c r="M15" s="1">
        <f t="shared" si="2"/>
        <v>151.75999999999988</v>
      </c>
      <c r="N15" s="1">
        <v>1</v>
      </c>
      <c r="O15" s="1">
        <f>IF(J15="PENDERS",Tableau3[[#This Row],[TEMPS VOL]],0)</f>
        <v>0</v>
      </c>
      <c r="P15" s="1">
        <f>IF(Tableau3[[#This Row],[INSTRUCTEUR]]="PENDERS",0,Tableau3[[#This Row],[TEMPS VOL]])</f>
        <v>55.999999999999957</v>
      </c>
    </row>
    <row r="16" spans="1:18" x14ac:dyDescent="0.25">
      <c r="A16" s="2">
        <v>42798</v>
      </c>
      <c r="B16" s="10" t="s">
        <v>20</v>
      </c>
      <c r="C16" s="3">
        <v>0.40972222222222227</v>
      </c>
      <c r="D16" s="10" t="s">
        <v>17</v>
      </c>
      <c r="E16" s="3">
        <v>0.44305555555555554</v>
      </c>
      <c r="F16" s="1">
        <f>(Tableau3[[#This Row],[time2]]-Tableau3[[#This Row],[time]])*1440</f>
        <v>47.999999999999908</v>
      </c>
      <c r="G16" s="1" t="s">
        <v>3</v>
      </c>
      <c r="H16" s="1">
        <f>VLOOKUP(G16,AVION[],2,0)</f>
        <v>2.1</v>
      </c>
      <c r="I16" s="1">
        <f t="shared" si="0"/>
        <v>100.79999999999981</v>
      </c>
      <c r="J16" s="1" t="s">
        <v>6</v>
      </c>
      <c r="K16" s="1">
        <f>VLOOKUP(J16,INSTRUCTEUR[],2,0)</f>
        <v>0.61</v>
      </c>
      <c r="L16" s="1">
        <f t="shared" si="1"/>
        <v>29.279999999999944</v>
      </c>
      <c r="M16" s="1">
        <f t="shared" si="2"/>
        <v>130.07999999999976</v>
      </c>
      <c r="N16" s="1">
        <v>2</v>
      </c>
      <c r="O16" s="1">
        <f>IF(J16="PENDERS",Tableau3[[#This Row],[TEMPS VOL]],0)</f>
        <v>0</v>
      </c>
      <c r="P16" s="1">
        <f>IF(Tableau3[[#This Row],[INSTRUCTEUR]]="PENDERS",0,Tableau3[[#This Row],[TEMPS VOL]])</f>
        <v>47.999999999999908</v>
      </c>
    </row>
    <row r="17" spans="1:17" x14ac:dyDescent="0.25">
      <c r="A17" s="2">
        <v>42804</v>
      </c>
      <c r="B17" s="10" t="s">
        <v>17</v>
      </c>
      <c r="C17" s="3">
        <v>0.53819444444444442</v>
      </c>
      <c r="D17" s="10" t="s">
        <v>21</v>
      </c>
      <c r="E17" s="3">
        <v>0.57291666666666663</v>
      </c>
      <c r="F17" s="1">
        <f>(Tableau3[[#This Row],[time2]]-Tableau3[[#This Row],[time]])*1440</f>
        <v>49.999999999999986</v>
      </c>
      <c r="G17" s="1" t="s">
        <v>2</v>
      </c>
      <c r="H17" s="1">
        <f>VLOOKUP(G17,AVION[],2,0)</f>
        <v>1.84</v>
      </c>
      <c r="I17" s="1">
        <f t="shared" si="0"/>
        <v>91.999999999999972</v>
      </c>
      <c r="J17" s="1" t="s">
        <v>6</v>
      </c>
      <c r="K17" s="1">
        <f>VLOOKUP(J17,INSTRUCTEUR[],2,0)</f>
        <v>0.61</v>
      </c>
      <c r="L17" s="1">
        <f t="shared" si="1"/>
        <v>30.499999999999989</v>
      </c>
      <c r="M17" s="1">
        <f t="shared" si="2"/>
        <v>122.49999999999996</v>
      </c>
      <c r="N17" s="1">
        <v>2</v>
      </c>
      <c r="O17" s="1">
        <f>IF(J17="PENDERS",Tableau3[[#This Row],[TEMPS VOL]],0)</f>
        <v>0</v>
      </c>
      <c r="P17" s="1">
        <f>IF(Tableau3[[#This Row],[INSTRUCTEUR]]="PENDERS",0,Tableau3[[#This Row],[TEMPS VOL]])</f>
        <v>49.999999999999986</v>
      </c>
    </row>
    <row r="18" spans="1:17" x14ac:dyDescent="0.25">
      <c r="A18" s="2">
        <v>42804</v>
      </c>
      <c r="B18" s="10" t="s">
        <v>21</v>
      </c>
      <c r="C18" s="3">
        <v>0.58333333333333337</v>
      </c>
      <c r="D18" s="10" t="s">
        <v>17</v>
      </c>
      <c r="E18" s="3">
        <v>0.61944444444444446</v>
      </c>
      <c r="F18" s="1">
        <f>(Tableau3[[#This Row],[time2]]-Tableau3[[#This Row],[time]])*1440</f>
        <v>51.999999999999972</v>
      </c>
      <c r="G18" s="1" t="s">
        <v>2</v>
      </c>
      <c r="H18" s="1">
        <f>VLOOKUP(G18,AVION[],2,0)</f>
        <v>1.84</v>
      </c>
      <c r="I18" s="1">
        <f t="shared" si="0"/>
        <v>95.67999999999995</v>
      </c>
      <c r="J18" s="1" t="s">
        <v>6</v>
      </c>
      <c r="K18" s="1">
        <f>VLOOKUP(J18,INSTRUCTEUR[],2,0)</f>
        <v>0.61</v>
      </c>
      <c r="L18" s="1">
        <f t="shared" si="1"/>
        <v>31.719999999999981</v>
      </c>
      <c r="M18" s="1">
        <f t="shared" si="2"/>
        <v>127.39999999999993</v>
      </c>
      <c r="N18" s="1">
        <v>1</v>
      </c>
      <c r="O18" s="1">
        <f>IF(J18="PENDERS",Tableau3[[#This Row],[TEMPS VOL]],0)</f>
        <v>0</v>
      </c>
      <c r="P18" s="1">
        <f>IF(Tableau3[[#This Row],[INSTRUCTEUR]]="PENDERS",0,Tableau3[[#This Row],[TEMPS VOL]])</f>
        <v>51.999999999999972</v>
      </c>
    </row>
    <row r="19" spans="1:17" x14ac:dyDescent="0.25">
      <c r="A19" s="2">
        <v>42807</v>
      </c>
      <c r="B19" s="10" t="s">
        <v>17</v>
      </c>
      <c r="C19" s="3">
        <v>0.54166666666666663</v>
      </c>
      <c r="D19" s="10" t="s">
        <v>17</v>
      </c>
      <c r="E19" s="3">
        <v>0.5708333333333333</v>
      </c>
      <c r="F19" s="1">
        <f>(Tableau3[[#This Row],[time2]]-Tableau3[[#This Row],[time]])*1440</f>
        <v>42.000000000000014</v>
      </c>
      <c r="G19" s="1" t="s">
        <v>3</v>
      </c>
      <c r="H19" s="1">
        <f>VLOOKUP(G19,AVION[],2,0)</f>
        <v>2.1</v>
      </c>
      <c r="I19" s="1">
        <f t="shared" si="0"/>
        <v>88.200000000000031</v>
      </c>
      <c r="J19" s="1" t="s">
        <v>6</v>
      </c>
      <c r="K19" s="1">
        <f>VLOOKUP(J19,INSTRUCTEUR[],2,0)</f>
        <v>0.61</v>
      </c>
      <c r="L19" s="1">
        <f t="shared" si="1"/>
        <v>25.620000000000008</v>
      </c>
      <c r="M19" s="1">
        <f t="shared" si="2"/>
        <v>113.82000000000004</v>
      </c>
      <c r="N19" s="1">
        <v>3</v>
      </c>
      <c r="O19" s="1">
        <f>IF(J19="PENDERS",Tableau3[[#This Row],[TEMPS VOL]],0)</f>
        <v>0</v>
      </c>
      <c r="P19" s="1">
        <f>IF(Tableau3[[#This Row],[INSTRUCTEUR]]="PENDERS",0,Tableau3[[#This Row],[TEMPS VOL]])</f>
        <v>42.000000000000014</v>
      </c>
    </row>
    <row r="20" spans="1:17" x14ac:dyDescent="0.25">
      <c r="A20" s="2">
        <v>42807</v>
      </c>
      <c r="B20" s="10" t="s">
        <v>17</v>
      </c>
      <c r="C20" s="3">
        <v>0.59027777777777779</v>
      </c>
      <c r="D20" s="10" t="s">
        <v>17</v>
      </c>
      <c r="E20" s="3">
        <v>0.61944444444444446</v>
      </c>
      <c r="F20" s="1">
        <f>(Tableau3[[#This Row],[time2]]-Tableau3[[#This Row],[time]])*1440</f>
        <v>42.000000000000014</v>
      </c>
      <c r="G20" s="1" t="s">
        <v>3</v>
      </c>
      <c r="H20" s="1">
        <f>VLOOKUP(G20,AVION[],2,0)</f>
        <v>2.1</v>
      </c>
      <c r="I20" s="1">
        <f t="shared" si="0"/>
        <v>88.200000000000031</v>
      </c>
      <c r="J20" s="1" t="s">
        <v>35</v>
      </c>
      <c r="K20" s="1">
        <f>VLOOKUP(J20,INSTRUCTEUR[],2,0)</f>
        <v>0</v>
      </c>
      <c r="L20" s="1">
        <f t="shared" si="1"/>
        <v>0</v>
      </c>
      <c r="M20" s="1">
        <f t="shared" si="2"/>
        <v>88.200000000000031</v>
      </c>
      <c r="N20" s="1">
        <v>6</v>
      </c>
      <c r="O20" s="1">
        <f>IF(J20="PENDERS",Tableau3[[#This Row],[TEMPS VOL]],0)</f>
        <v>42.000000000000014</v>
      </c>
      <c r="P20" s="1">
        <f>IF(Tableau3[[#This Row],[INSTRUCTEUR]]="PENDERS",0,Tableau3[[#This Row],[TEMPS VOL]])</f>
        <v>0</v>
      </c>
      <c r="Q20">
        <f>SUM(M15:M20)</f>
        <v>733.75999999999965</v>
      </c>
    </row>
    <row r="21" spans="1:17" x14ac:dyDescent="0.25">
      <c r="F21" s="1">
        <f>(Tableau3[[#This Row],[time2]]-Tableau3[[#This Row],[time]])*1440</f>
        <v>0</v>
      </c>
      <c r="H21" s="1" t="e">
        <f>VLOOKUP(G21,AVION[],2,0)</f>
        <v>#N/A</v>
      </c>
      <c r="K21" s="1" t="e">
        <f>VLOOKUP(J21,INSTRUCTEUR[],2,0)</f>
        <v>#N/A</v>
      </c>
      <c r="M21" s="1" t="e">
        <f t="shared" si="2"/>
        <v>#N/A</v>
      </c>
      <c r="O21" s="1">
        <f>IF(J21="PENDERS",Tableau3[[#This Row],[TEMPS VOL]],0)</f>
        <v>0</v>
      </c>
      <c r="P21" s="1">
        <f>IF(Tableau3[[#This Row],[INSTRUCTEUR]]="PENDERS",0,Tableau3[[#This Row],[TEMPS VOL]])</f>
        <v>0</v>
      </c>
    </row>
    <row r="22" spans="1:17" x14ac:dyDescent="0.25">
      <c r="F22" s="1">
        <f>(Tableau3[[#This Row],[time2]]-Tableau3[[#This Row],[time]])*1440</f>
        <v>0</v>
      </c>
      <c r="H22" s="1" t="e">
        <f>VLOOKUP(G22,AVION[],2,0)</f>
        <v>#N/A</v>
      </c>
      <c r="K22" s="1" t="e">
        <f>VLOOKUP(J22,INSTRUCTEUR[],2,0)</f>
        <v>#N/A</v>
      </c>
      <c r="M22" s="1" t="e">
        <f t="shared" si="2"/>
        <v>#N/A</v>
      </c>
      <c r="O22" s="1">
        <f>IF(J22="PENDERS",Tableau3[[#This Row],[TEMPS VOL]],0)</f>
        <v>0</v>
      </c>
      <c r="P22" s="1">
        <f>IF(Tableau3[[#This Row],[INSTRUCTEUR]]="PENDERS",0,Tableau3[[#This Row],[TEMPS VOL]])</f>
        <v>0</v>
      </c>
    </row>
    <row r="23" spans="1:17" x14ac:dyDescent="0.25">
      <c r="F23" s="1">
        <f>(Tableau3[[#This Row],[time2]]-Tableau3[[#This Row],[time]])*1440</f>
        <v>0</v>
      </c>
      <c r="H23" s="1" t="e">
        <f>VLOOKUP(G23,AVION[],2,0)</f>
        <v>#N/A</v>
      </c>
      <c r="K23" s="1" t="e">
        <f>VLOOKUP(J23,INSTRUCTEUR[],2,0)</f>
        <v>#N/A</v>
      </c>
      <c r="M23" s="1" t="e">
        <f t="shared" si="2"/>
        <v>#N/A</v>
      </c>
      <c r="O23" s="1">
        <f>IF(J23="PENDERS",Tableau3[[#This Row],[TEMPS VOL]],0)</f>
        <v>0</v>
      </c>
      <c r="P23" s="1">
        <f>IF(Tableau3[[#This Row],[INSTRUCTEUR]]="PENDERS",0,Tableau3[[#This Row],[TEMPS VOL]])</f>
        <v>0</v>
      </c>
    </row>
    <row r="24" spans="1:17" x14ac:dyDescent="0.25">
      <c r="F24" s="1">
        <f>(Tableau3[[#This Row],[time2]]-Tableau3[[#This Row],[time]])*1440</f>
        <v>0</v>
      </c>
      <c r="H24" s="1" t="e">
        <f>VLOOKUP(G24,AVION[],2,0)</f>
        <v>#N/A</v>
      </c>
      <c r="K24" s="1" t="e">
        <f>VLOOKUP(J24,INSTRUCTEUR[],2,0)</f>
        <v>#N/A</v>
      </c>
      <c r="M24" s="1" t="e">
        <f t="shared" si="2"/>
        <v>#N/A</v>
      </c>
      <c r="O24" s="1">
        <f>IF(J24="PENDERS",Tableau3[[#This Row],[TEMPS VOL]],0)</f>
        <v>0</v>
      </c>
      <c r="P24" s="1">
        <f>IF(Tableau3[[#This Row],[INSTRUCTEUR]]="PENDERS",0,Tableau3[[#This Row],[TEMPS VOL]])</f>
        <v>0</v>
      </c>
    </row>
    <row r="25" spans="1:17" x14ac:dyDescent="0.25">
      <c r="F25" s="1">
        <f>(Tableau3[[#This Row],[time2]]-Tableau3[[#This Row],[time]])*1440</f>
        <v>0</v>
      </c>
      <c r="H25" s="1" t="e">
        <f>VLOOKUP(G25,AVION[],2,0)</f>
        <v>#N/A</v>
      </c>
      <c r="K25" s="1" t="e">
        <f>VLOOKUP(J25,INSTRUCTEUR[],2,0)</f>
        <v>#N/A</v>
      </c>
      <c r="M25" s="1" t="e">
        <f t="shared" si="2"/>
        <v>#N/A</v>
      </c>
      <c r="O25" s="1">
        <f>IF(J25="PENDERS",Tableau3[[#This Row],[TEMPS VOL]],0)</f>
        <v>0</v>
      </c>
      <c r="P25" s="1">
        <f>IF(Tableau3[[#This Row],[INSTRUCTEUR]]="PENDERS",0,Tableau3[[#This Row],[TEMPS VOL]])</f>
        <v>0</v>
      </c>
    </row>
    <row r="26" spans="1:17" x14ac:dyDescent="0.25">
      <c r="F26" s="1">
        <f>(Tableau3[[#This Row],[time2]]-Tableau3[[#This Row],[time]])*1440</f>
        <v>0</v>
      </c>
      <c r="H26" s="1" t="e">
        <f>VLOOKUP(G26,AVION[],2,0)</f>
        <v>#N/A</v>
      </c>
      <c r="K26" s="1" t="e">
        <f>VLOOKUP(J26,INSTRUCTEUR[],2,0)</f>
        <v>#N/A</v>
      </c>
      <c r="M26" s="1" t="e">
        <f t="shared" si="2"/>
        <v>#N/A</v>
      </c>
      <c r="O26" s="1">
        <f>IF(J26="PENDERS",Tableau3[[#This Row],[TEMPS VOL]],0)</f>
        <v>0</v>
      </c>
      <c r="P26" s="1">
        <f>IF(Tableau3[[#This Row],[INSTRUCTEUR]]="PENDERS",0,Tableau3[[#This Row],[TEMPS VOL]])</f>
        <v>0</v>
      </c>
    </row>
    <row r="27" spans="1:17" x14ac:dyDescent="0.25">
      <c r="F27" s="1">
        <f>(Tableau3[[#This Row],[time2]]-Tableau3[[#This Row],[time]])*1440</f>
        <v>0</v>
      </c>
      <c r="H27" s="1" t="e">
        <f>VLOOKUP(G27,AVION[],2,0)</f>
        <v>#N/A</v>
      </c>
      <c r="K27" s="1" t="e">
        <f>VLOOKUP(J27,INSTRUCTEUR[],2,0)</f>
        <v>#N/A</v>
      </c>
      <c r="M27" s="1" t="e">
        <f t="shared" si="2"/>
        <v>#N/A</v>
      </c>
      <c r="O27" s="1">
        <f>IF(J27="PENDERS",Tableau3[[#This Row],[TEMPS VOL]],0)</f>
        <v>0</v>
      </c>
      <c r="P27" s="1">
        <f>IF(Tableau3[[#This Row],[INSTRUCTEUR]]="PENDERS",0,Tableau3[[#This Row],[TEMPS VOL]])</f>
        <v>0</v>
      </c>
    </row>
    <row r="28" spans="1:17" x14ac:dyDescent="0.25">
      <c r="F28" s="1">
        <f>(Tableau3[[#This Row],[time2]]-Tableau3[[#This Row],[time]])*1440</f>
        <v>0</v>
      </c>
      <c r="H28" s="1" t="e">
        <f>VLOOKUP(G28,AVION[],2,0)</f>
        <v>#N/A</v>
      </c>
      <c r="K28" s="1" t="e">
        <f>VLOOKUP(J28,INSTRUCTEUR[],2,0)</f>
        <v>#N/A</v>
      </c>
      <c r="M28" s="1" t="e">
        <f t="shared" si="2"/>
        <v>#N/A</v>
      </c>
      <c r="O28" s="1">
        <f>IF(J28="PENDERS",Tableau3[[#This Row],[TEMPS VOL]],0)</f>
        <v>0</v>
      </c>
      <c r="P28" s="1">
        <f>IF(Tableau3[[#This Row],[INSTRUCTEUR]]="PENDERS",0,Tableau3[[#This Row],[TEMPS VOL]])</f>
        <v>0</v>
      </c>
    </row>
    <row r="29" spans="1:17" x14ac:dyDescent="0.25">
      <c r="F29" s="1">
        <f>(Tableau3[[#This Row],[time2]]-Tableau3[[#This Row],[time]])*1440</f>
        <v>0</v>
      </c>
      <c r="H29" s="1" t="e">
        <f>VLOOKUP(G29,AVION[],2,0)</f>
        <v>#N/A</v>
      </c>
      <c r="K29" s="1" t="e">
        <f>VLOOKUP(J29,INSTRUCTEUR[],2,0)</f>
        <v>#N/A</v>
      </c>
      <c r="M29" s="1" t="e">
        <f t="shared" si="2"/>
        <v>#N/A</v>
      </c>
      <c r="O29" s="1">
        <f>IF(J29="PENDERS",Tableau3[[#This Row],[TEMPS VOL]],0)</f>
        <v>0</v>
      </c>
      <c r="P29" s="1">
        <f>IF(Tableau3[[#This Row],[INSTRUCTEUR]]="PENDERS",0,Tableau3[[#This Row],[TEMPS VOL]])</f>
        <v>0</v>
      </c>
    </row>
    <row r="30" spans="1:17" x14ac:dyDescent="0.25">
      <c r="F30" s="1">
        <f>(Tableau3[[#This Row],[time2]]-Tableau3[[#This Row],[time]])*1440</f>
        <v>0</v>
      </c>
      <c r="H30" s="1" t="e">
        <f>VLOOKUP(G30,AVION[],2,0)</f>
        <v>#N/A</v>
      </c>
      <c r="K30" s="1" t="e">
        <f>VLOOKUP(J30,INSTRUCTEUR[],2,0)</f>
        <v>#N/A</v>
      </c>
      <c r="M30" s="1" t="e">
        <f t="shared" si="2"/>
        <v>#N/A</v>
      </c>
      <c r="O30" s="1">
        <f>IF(J30="PENDERS",Tableau3[[#This Row],[TEMPS VOL]],0)</f>
        <v>0</v>
      </c>
      <c r="P30" s="1">
        <f>IF(Tableau3[[#This Row],[INSTRUCTEUR]]="PENDERS",0,Tableau3[[#This Row],[TEMPS VOL]])</f>
        <v>0</v>
      </c>
    </row>
    <row r="31" spans="1:17" x14ac:dyDescent="0.25">
      <c r="F31" s="1">
        <f>(Tableau3[[#This Row],[time2]]-Tableau3[[#This Row],[time]])*1440</f>
        <v>0</v>
      </c>
      <c r="H31" s="1" t="e">
        <f>VLOOKUP(G31,AVION[],2,0)</f>
        <v>#N/A</v>
      </c>
      <c r="K31" s="1" t="e">
        <f>VLOOKUP(J31,INSTRUCTEUR[],2,0)</f>
        <v>#N/A</v>
      </c>
      <c r="M31" s="1" t="e">
        <f t="shared" si="2"/>
        <v>#N/A</v>
      </c>
      <c r="O31" s="1">
        <f>IF(J31="PENDERS",Tableau3[[#This Row],[TEMPS VOL]],0)</f>
        <v>0</v>
      </c>
      <c r="P31" s="1">
        <f>IF(Tableau3[[#This Row],[INSTRUCTEUR]]="PENDERS",0,Tableau3[[#This Row],[TEMPS VOL]])</f>
        <v>0</v>
      </c>
    </row>
    <row r="32" spans="1:17" x14ac:dyDescent="0.25">
      <c r="F32" s="1">
        <f>(Tableau3[[#This Row],[time2]]-Tableau3[[#This Row],[time]])*1440</f>
        <v>0</v>
      </c>
      <c r="H32" s="1" t="e">
        <f>VLOOKUP(G32,AVION[],2,0)</f>
        <v>#N/A</v>
      </c>
      <c r="K32" s="1" t="e">
        <f>VLOOKUP(J32,INSTRUCTEUR[],2,0)</f>
        <v>#N/A</v>
      </c>
      <c r="M32" s="1" t="e">
        <f t="shared" si="2"/>
        <v>#N/A</v>
      </c>
      <c r="O32" s="1">
        <f>IF(J32="PENDERS",Tableau3[[#This Row],[TEMPS VOL]],0)</f>
        <v>0</v>
      </c>
      <c r="P32" s="1">
        <f>IF(Tableau3[[#This Row],[INSTRUCTEUR]]="PENDERS",0,Tableau3[[#This Row],[TEMPS VOL]])</f>
        <v>0</v>
      </c>
    </row>
    <row r="33" spans="6:16" x14ac:dyDescent="0.25">
      <c r="F33" s="1">
        <f>(Tableau3[[#This Row],[time2]]-Tableau3[[#This Row],[time]])*1440</f>
        <v>0</v>
      </c>
      <c r="H33" s="1" t="e">
        <f>VLOOKUP(G33,AVION[],2,0)</f>
        <v>#N/A</v>
      </c>
      <c r="K33" s="1" t="e">
        <f>VLOOKUP(J33,INSTRUCTEUR[],2,0)</f>
        <v>#N/A</v>
      </c>
      <c r="M33" s="1" t="e">
        <f t="shared" si="2"/>
        <v>#N/A</v>
      </c>
      <c r="O33" s="1">
        <f>IF(J33="PENDERS",Tableau3[[#This Row],[TEMPS VOL]],0)</f>
        <v>0</v>
      </c>
      <c r="P33" s="1">
        <f>IF(Tableau3[[#This Row],[INSTRUCTEUR]]="PENDERS",0,Tableau3[[#This Row],[TEMPS VOL]])</f>
        <v>0</v>
      </c>
    </row>
    <row r="34" spans="6:16" x14ac:dyDescent="0.25">
      <c r="F34" s="1">
        <f>(Tableau3[[#This Row],[time2]]-Tableau3[[#This Row],[time]])*1440</f>
        <v>0</v>
      </c>
      <c r="H34" s="1" t="e">
        <f>VLOOKUP(G34,AVION[],2,0)</f>
        <v>#N/A</v>
      </c>
      <c r="K34" s="1" t="e">
        <f>VLOOKUP(J34,INSTRUCTEUR[],2,0)</f>
        <v>#N/A</v>
      </c>
      <c r="M34" s="1" t="e">
        <f t="shared" si="2"/>
        <v>#N/A</v>
      </c>
      <c r="O34" s="1">
        <f>IF(J34="PENDERS",Tableau3[[#This Row],[TEMPS VOL]],0)</f>
        <v>0</v>
      </c>
      <c r="P34" s="1">
        <f>IF(Tableau3[[#This Row],[INSTRUCTEUR]]="PENDERS",0,Tableau3[[#This Row],[TEMPS VOL]])</f>
        <v>0</v>
      </c>
    </row>
    <row r="35" spans="6:16" x14ac:dyDescent="0.25">
      <c r="F35" s="1">
        <f>(Tableau3[[#This Row],[time2]]-Tableau3[[#This Row],[time]])*1440</f>
        <v>0</v>
      </c>
      <c r="H35" s="1" t="e">
        <f>VLOOKUP(G35,AVION[],2,0)</f>
        <v>#N/A</v>
      </c>
      <c r="K35" s="1" t="e">
        <f>VLOOKUP(J35,INSTRUCTEUR[],2,0)</f>
        <v>#N/A</v>
      </c>
      <c r="M35" s="1" t="e">
        <f t="shared" si="2"/>
        <v>#N/A</v>
      </c>
      <c r="O35" s="1">
        <f>IF(J35="PENDERS",Tableau3[[#This Row],[TEMPS VOL]],0)</f>
        <v>0</v>
      </c>
      <c r="P35" s="1">
        <f>IF(Tableau3[[#This Row],[INSTRUCTEUR]]="PENDERS",0,Tableau3[[#This Row],[TEMPS VOL]])</f>
        <v>0</v>
      </c>
    </row>
    <row r="36" spans="6:16" x14ac:dyDescent="0.25">
      <c r="F36" s="1">
        <f>(Tableau3[[#This Row],[time2]]-Tableau3[[#This Row],[time]])*1440</f>
        <v>0</v>
      </c>
      <c r="H36" s="1" t="e">
        <f>VLOOKUP(G36,AVION[],2,0)</f>
        <v>#N/A</v>
      </c>
      <c r="K36" s="1" t="e">
        <f>VLOOKUP(J36,INSTRUCTEUR[],2,0)</f>
        <v>#N/A</v>
      </c>
      <c r="M36" s="1" t="e">
        <f t="shared" si="2"/>
        <v>#N/A</v>
      </c>
      <c r="O36" s="1">
        <f>IF(J36="PENDERS",Tableau3[[#This Row],[TEMPS VOL]],0)</f>
        <v>0</v>
      </c>
      <c r="P36" s="1">
        <f>IF(Tableau3[[#This Row],[INSTRUCTEUR]]="PENDERS",0,Tableau3[[#This Row],[TEMPS VOL]])</f>
        <v>0</v>
      </c>
    </row>
    <row r="37" spans="6:16" x14ac:dyDescent="0.25">
      <c r="F37" s="1">
        <f>(Tableau3[[#This Row],[time2]]-Tableau3[[#This Row],[time]])*1440</f>
        <v>0</v>
      </c>
      <c r="H37" s="1" t="e">
        <f>VLOOKUP(G37,AVION[],2,0)</f>
        <v>#N/A</v>
      </c>
      <c r="K37" s="1" t="e">
        <f>VLOOKUP(J37,INSTRUCTEUR[],2,0)</f>
        <v>#N/A</v>
      </c>
      <c r="M37" s="1" t="e">
        <f t="shared" si="2"/>
        <v>#N/A</v>
      </c>
      <c r="O37" s="1">
        <f>IF(J37="PENDERS",Tableau3[[#This Row],[TEMPS VOL]],0)</f>
        <v>0</v>
      </c>
      <c r="P37" s="1">
        <f>IF(Tableau3[[#This Row],[INSTRUCTEUR]]="PENDERS",0,Tableau3[[#This Row],[TEMPS VOL]])</f>
        <v>0</v>
      </c>
    </row>
    <row r="38" spans="6:16" x14ac:dyDescent="0.25">
      <c r="F38" s="1">
        <f>(Tableau3[[#This Row],[time2]]-Tableau3[[#This Row],[time]])*1440</f>
        <v>0</v>
      </c>
      <c r="H38" s="1" t="e">
        <f>VLOOKUP(G38,AVION[],2,0)</f>
        <v>#N/A</v>
      </c>
      <c r="K38" s="1" t="e">
        <f>VLOOKUP(J38,INSTRUCTEUR[],2,0)</f>
        <v>#N/A</v>
      </c>
      <c r="M38" s="1" t="e">
        <f t="shared" si="2"/>
        <v>#N/A</v>
      </c>
      <c r="O38" s="1">
        <f>IF(J38="PENDERS",Tableau3[[#This Row],[TEMPS VOL]],0)</f>
        <v>0</v>
      </c>
      <c r="P38" s="1">
        <f>IF(Tableau3[[#This Row],[INSTRUCTEUR]]="PENDERS",0,Tableau3[[#This Row],[TEMPS VOL]])</f>
        <v>0</v>
      </c>
    </row>
    <row r="39" spans="6:16" x14ac:dyDescent="0.25">
      <c r="F39" s="1">
        <f>(Tableau3[[#This Row],[time2]]-Tableau3[[#This Row],[time]])*1440</f>
        <v>0</v>
      </c>
      <c r="H39" s="1" t="e">
        <f>VLOOKUP(G39,AVION[],2,0)</f>
        <v>#N/A</v>
      </c>
      <c r="K39" s="1" t="e">
        <f>VLOOKUP(J39,INSTRUCTEUR[],2,0)</f>
        <v>#N/A</v>
      </c>
      <c r="M39" s="1" t="e">
        <f t="shared" si="2"/>
        <v>#N/A</v>
      </c>
      <c r="O39" s="1">
        <f>IF(J39="PENDERS",Tableau3[[#This Row],[TEMPS VOL]],0)</f>
        <v>0</v>
      </c>
      <c r="P39" s="1">
        <f>IF(Tableau3[[#This Row],[INSTRUCTEUR]]="PENDERS",0,Tableau3[[#This Row],[TEMPS VOL]])</f>
        <v>0</v>
      </c>
    </row>
    <row r="40" spans="6:16" x14ac:dyDescent="0.25">
      <c r="F40" s="1">
        <f>(Tableau3[[#This Row],[time2]]-Tableau3[[#This Row],[time]])*1440</f>
        <v>0</v>
      </c>
      <c r="H40" s="1" t="e">
        <f>VLOOKUP(G40,AVION[],2,0)</f>
        <v>#N/A</v>
      </c>
      <c r="K40" s="1" t="e">
        <f>VLOOKUP(J40,INSTRUCTEUR[],2,0)</f>
        <v>#N/A</v>
      </c>
      <c r="M40" s="1" t="e">
        <f t="shared" si="2"/>
        <v>#N/A</v>
      </c>
      <c r="O40" s="1">
        <f>IF(J40="PENDERS",Tableau3[[#This Row],[TEMPS VOL]],0)</f>
        <v>0</v>
      </c>
      <c r="P40" s="1">
        <f>IF(Tableau3[[#This Row],[INSTRUCTEUR]]="PENDERS",0,Tableau3[[#This Row],[TEMPS VOL]])</f>
        <v>0</v>
      </c>
    </row>
    <row r="41" spans="6:16" x14ac:dyDescent="0.25">
      <c r="F41" s="1">
        <f>(Tableau3[[#This Row],[time2]]-Tableau3[[#This Row],[time]])*1440</f>
        <v>0</v>
      </c>
      <c r="H41" s="1" t="e">
        <f>VLOOKUP(G41,AVION[],2,0)</f>
        <v>#N/A</v>
      </c>
      <c r="K41" s="1" t="e">
        <f>VLOOKUP(J41,INSTRUCTEUR[],2,0)</f>
        <v>#N/A</v>
      </c>
      <c r="M41" s="1" t="e">
        <f t="shared" si="2"/>
        <v>#N/A</v>
      </c>
      <c r="O41" s="1">
        <f>IF(J41="PENDERS",Tableau3[[#This Row],[TEMPS VOL]],0)</f>
        <v>0</v>
      </c>
      <c r="P41" s="1">
        <f>IF(Tableau3[[#This Row],[INSTRUCTEUR]]="PENDERS",0,Tableau3[[#This Row],[TEMPS VOL]])</f>
        <v>0</v>
      </c>
    </row>
    <row r="42" spans="6:16" x14ac:dyDescent="0.25">
      <c r="F42" s="1">
        <f>(Tableau3[[#This Row],[time2]]-Tableau3[[#This Row],[time]])*1440</f>
        <v>0</v>
      </c>
      <c r="H42" s="1" t="e">
        <f>VLOOKUP(G42,AVION[],2,0)</f>
        <v>#N/A</v>
      </c>
      <c r="K42" s="1" t="e">
        <f>VLOOKUP(J42,INSTRUCTEUR[],2,0)</f>
        <v>#N/A</v>
      </c>
      <c r="M42" s="1" t="e">
        <f t="shared" si="2"/>
        <v>#N/A</v>
      </c>
      <c r="O42" s="1">
        <f>IF(J42="PENDERS",Tableau3[[#This Row],[TEMPS VOL]],0)</f>
        <v>0</v>
      </c>
      <c r="P42" s="1">
        <f>IF(Tableau3[[#This Row],[INSTRUCTEUR]]="PENDERS",0,Tableau3[[#This Row],[TEMPS VOL]])</f>
        <v>0</v>
      </c>
    </row>
    <row r="43" spans="6:16" x14ac:dyDescent="0.25">
      <c r="F43" s="1">
        <f>(Tableau3[[#This Row],[time2]]-Tableau3[[#This Row],[time]])*1440</f>
        <v>0</v>
      </c>
      <c r="H43" s="1" t="e">
        <f>VLOOKUP(G43,AVION[],2,0)</f>
        <v>#N/A</v>
      </c>
      <c r="K43" s="1" t="e">
        <f>VLOOKUP(J43,INSTRUCTEUR[],2,0)</f>
        <v>#N/A</v>
      </c>
      <c r="M43" s="1" t="e">
        <f t="shared" si="2"/>
        <v>#N/A</v>
      </c>
      <c r="O43" s="1">
        <f>IF(J43="PENDERS",Tableau3[[#This Row],[TEMPS VOL]],0)</f>
        <v>0</v>
      </c>
      <c r="P43" s="1">
        <f>IF(Tableau3[[#This Row],[INSTRUCTEUR]]="PENDERS",0,Tableau3[[#This Row],[TEMPS VOL]])</f>
        <v>0</v>
      </c>
    </row>
    <row r="44" spans="6:16" x14ac:dyDescent="0.25">
      <c r="F44" s="1">
        <f>(Tableau3[[#This Row],[time2]]-Tableau3[[#This Row],[time]])*1440</f>
        <v>0</v>
      </c>
      <c r="H44" s="1" t="e">
        <f>VLOOKUP(G44,AVION[],2,0)</f>
        <v>#N/A</v>
      </c>
      <c r="K44" s="1" t="e">
        <f>VLOOKUP(J44,INSTRUCTEUR[],2,0)</f>
        <v>#N/A</v>
      </c>
      <c r="M44" s="1" t="e">
        <f t="shared" si="2"/>
        <v>#N/A</v>
      </c>
      <c r="O44" s="1">
        <f>IF(J44="PENDERS",Tableau3[[#This Row],[TEMPS VOL]],0)</f>
        <v>0</v>
      </c>
      <c r="P44" s="1">
        <f>IF(Tableau3[[#This Row],[INSTRUCTEUR]]="PENDERS",0,Tableau3[[#This Row],[TEMPS VOL]])</f>
        <v>0</v>
      </c>
    </row>
    <row r="66550" spans="13:13" x14ac:dyDescent="0.25">
      <c r="M66550" s="1" t="e">
        <f>SUM(M:M)</f>
        <v>#N/A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Data!$D$2:$D$6</xm:f>
          </x14:formula1>
          <xm:sqref>J2:J44</xm:sqref>
        </x14:dataValidation>
        <x14:dataValidation type="list" allowBlank="1" showInputMessage="1" showErrorMessage="1">
          <x14:formula1>
            <xm:f>Data!$A$2:$A$3</xm:f>
          </x14:formula1>
          <xm:sqref>G2:G5</xm:sqref>
        </x14:dataValidation>
        <x14:dataValidation type="list" showInputMessage="1" showErrorMessage="1" promptTitle="AVION" prompt="saisir l'avion utilisé.">
          <x14:formula1>
            <xm:f>Data!$A$2:$A$3</xm:f>
          </x14:formula1>
          <xm:sqref>G6:G44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workbookViewId="0">
      <selection activeCell="C4" sqref="C4"/>
    </sheetView>
  </sheetViews>
  <sheetFormatPr baseColWidth="10" defaultRowHeight="15" x14ac:dyDescent="0.25"/>
  <cols>
    <col min="2" max="2" width="12" customWidth="1"/>
    <col min="4" max="4" width="15.42578125" customWidth="1"/>
    <col min="9" max="9" width="11.5703125" customWidth="1"/>
    <col min="11" max="11" width="11.5703125" customWidth="1"/>
  </cols>
  <sheetData>
    <row r="1" spans="1:11" x14ac:dyDescent="0.25">
      <c r="A1" t="s">
        <v>0</v>
      </c>
      <c r="B1" t="s">
        <v>1</v>
      </c>
      <c r="D1" t="s">
        <v>4</v>
      </c>
      <c r="E1" t="s">
        <v>5</v>
      </c>
      <c r="G1" t="s">
        <v>33</v>
      </c>
      <c r="I1" t="s">
        <v>22</v>
      </c>
      <c r="K1" t="s">
        <v>14</v>
      </c>
    </row>
    <row r="2" spans="1:11" x14ac:dyDescent="0.25">
      <c r="A2" t="s">
        <v>2</v>
      </c>
      <c r="B2">
        <v>1.84</v>
      </c>
      <c r="D2" t="s">
        <v>6</v>
      </c>
      <c r="E2">
        <v>0.61</v>
      </c>
      <c r="G2" t="s">
        <v>17</v>
      </c>
      <c r="I2" t="s">
        <v>34</v>
      </c>
      <c r="K2">
        <v>1</v>
      </c>
    </row>
    <row r="3" spans="1:11" x14ac:dyDescent="0.25">
      <c r="A3" t="s">
        <v>3</v>
      </c>
      <c r="B3">
        <v>2.1</v>
      </c>
      <c r="D3" t="s">
        <v>7</v>
      </c>
      <c r="E3">
        <v>0.61</v>
      </c>
      <c r="G3" t="s">
        <v>29</v>
      </c>
      <c r="K3">
        <v>2</v>
      </c>
    </row>
    <row r="4" spans="1:11" x14ac:dyDescent="0.25">
      <c r="D4" t="s">
        <v>35</v>
      </c>
      <c r="E4">
        <v>0</v>
      </c>
      <c r="G4" t="s">
        <v>21</v>
      </c>
      <c r="K4">
        <v>3</v>
      </c>
    </row>
    <row r="5" spans="1:11" x14ac:dyDescent="0.25">
      <c r="G5" t="s">
        <v>20</v>
      </c>
      <c r="K5">
        <v>4</v>
      </c>
    </row>
    <row r="6" spans="1:11" x14ac:dyDescent="0.25">
      <c r="G6" t="s">
        <v>30</v>
      </c>
      <c r="K6">
        <v>5</v>
      </c>
    </row>
    <row r="7" spans="1:11" x14ac:dyDescent="0.25">
      <c r="G7" t="s">
        <v>31</v>
      </c>
      <c r="K7">
        <v>6</v>
      </c>
    </row>
    <row r="8" spans="1:11" x14ac:dyDescent="0.25">
      <c r="G8" t="s">
        <v>32</v>
      </c>
      <c r="K8">
        <v>7</v>
      </c>
    </row>
    <row r="9" spans="1:11" x14ac:dyDescent="0.25">
      <c r="K9">
        <v>8</v>
      </c>
    </row>
    <row r="10" spans="1:11" x14ac:dyDescent="0.25">
      <c r="K10">
        <v>9</v>
      </c>
    </row>
    <row r="11" spans="1:11" x14ac:dyDescent="0.25">
      <c r="K11">
        <v>10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de bord</vt:lpstr>
      <vt:lpstr>Carnet de vol</vt:lpstr>
      <vt:lpstr>Data</vt:lpstr>
      <vt:lpstr>_05_10_2016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2017-03-14T15:11:54Z</dcterms:created>
  <dcterms:modified xsi:type="dcterms:W3CDTF">2017-03-17T12:57:04Z</dcterms:modified>
</cp:coreProperties>
</file>