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 activeTab="1"/>
  </bookViews>
  <sheets>
    <sheet name="Stock" sheetId="3" r:id="rId1"/>
    <sheet name="Conso machine" sheetId="9" r:id="rId2"/>
    <sheet name="Données" sheetId="8" r:id="rId3"/>
  </sheets>
  <definedNames>
    <definedName name="Client">OFFSET(Données!$F$2,0,0,COUNTA(Données!$F:$F)-1)</definedName>
    <definedName name="Consommable">OFFSET(Données!$K$2,0,0,COUNTA(Données!$K:$K)-1)</definedName>
    <definedName name="Model">OFFSET(Données!$A$2,0,0,COUNTA(Données!$A:$A)-1)</definedName>
    <definedName name="Support">OFFSET(Données!$C$2,0,0,COUNTA(Données!$C:$C)-1)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7" i="3" l="1"/>
  <c r="E9" i="3" l="1"/>
  <c r="L13" i="8" l="1"/>
  <c r="F10" i="9" s="1"/>
  <c r="L12" i="8"/>
  <c r="L11" i="8"/>
  <c r="F19" i="9" s="1"/>
  <c r="L10" i="8"/>
  <c r="L9" i="8"/>
  <c r="F24" i="9" s="1"/>
  <c r="L8" i="8"/>
  <c r="F7" i="9" s="1"/>
  <c r="L7" i="8"/>
  <c r="L6" i="8"/>
  <c r="L5" i="8"/>
  <c r="L4" i="8"/>
  <c r="L3" i="8"/>
  <c r="F21" i="9" s="1"/>
  <c r="L2" i="8"/>
  <c r="F15" i="9" l="1"/>
  <c r="F25" i="9"/>
  <c r="F33" i="9"/>
  <c r="F18" i="9"/>
  <c r="F28" i="9"/>
  <c r="F17" i="9"/>
  <c r="F16" i="9"/>
  <c r="F32" i="9"/>
  <c r="F34" i="9"/>
  <c r="F20" i="9"/>
  <c r="F30" i="9"/>
  <c r="F27" i="9"/>
  <c r="F9" i="9"/>
  <c r="F22" i="9"/>
  <c r="F23" i="9"/>
  <c r="F8" i="9"/>
  <c r="F31" i="9"/>
  <c r="E14" i="3"/>
  <c r="G14" i="3" s="1"/>
  <c r="E15" i="3"/>
  <c r="G15" i="3" s="1"/>
  <c r="E16" i="3"/>
  <c r="G16" i="3" s="1"/>
  <c r="G17" i="3"/>
  <c r="E19" i="3"/>
  <c r="G19" i="3" s="1"/>
  <c r="E18" i="3"/>
  <c r="G18" i="3" s="1"/>
  <c r="E20" i="3"/>
  <c r="G20" i="3" s="1"/>
  <c r="E21" i="3"/>
  <c r="G21" i="3" s="1"/>
  <c r="G9" i="3"/>
  <c r="E10" i="3"/>
  <c r="G10" i="3" s="1"/>
  <c r="E11" i="3"/>
  <c r="G11" i="3" s="1"/>
  <c r="G8" i="3"/>
  <c r="E7" i="3"/>
  <c r="G7" i="3" s="1"/>
  <c r="E6" i="3"/>
  <c r="G6" i="3" s="1"/>
  <c r="E12" i="3"/>
  <c r="G12" i="3" s="1"/>
  <c r="E13" i="3"/>
  <c r="G13" i="3" s="1"/>
  <c r="E22" i="3"/>
  <c r="G22" i="3" s="1"/>
  <c r="L18" i="8" l="1"/>
  <c r="F26" i="9" s="1"/>
  <c r="D10" i="3"/>
  <c r="D8" i="3" l="1"/>
  <c r="D7" i="3"/>
  <c r="D12" i="3"/>
  <c r="D13" i="3"/>
  <c r="D11" i="3"/>
  <c r="D9" i="3"/>
  <c r="D6" i="3"/>
  <c r="D22" i="3"/>
  <c r="L17" i="8" l="1"/>
  <c r="L16" i="8"/>
  <c r="F13" i="9" s="1"/>
  <c r="L14" i="8"/>
  <c r="F14" i="9" s="1"/>
  <c r="L15" i="8"/>
  <c r="F11" i="9" s="1"/>
  <c r="F35" i="9" l="1"/>
  <c r="F12" i="9"/>
  <c r="F29" i="9"/>
  <c r="D20" i="3"/>
  <c r="D21" i="3"/>
  <c r="D17" i="3"/>
  <c r="D19" i="3"/>
  <c r="D18" i="3"/>
  <c r="D15" i="3" l="1"/>
  <c r="D16" i="3"/>
  <c r="D14" i="3"/>
</calcChain>
</file>

<file path=xl/sharedStrings.xml><?xml version="1.0" encoding="utf-8"?>
<sst xmlns="http://schemas.openxmlformats.org/spreadsheetml/2006/main" count="132" uniqueCount="58">
  <si>
    <t>Colonne1</t>
  </si>
  <si>
    <t>N° Article</t>
  </si>
  <si>
    <t>Description</t>
  </si>
  <si>
    <t>Prix unitaire</t>
  </si>
  <si>
    <t>Stock</t>
  </si>
  <si>
    <t>Stock mini</t>
  </si>
  <si>
    <t>1</t>
  </si>
  <si>
    <t>2</t>
  </si>
  <si>
    <t>3</t>
  </si>
  <si>
    <t>4</t>
  </si>
  <si>
    <t>5</t>
  </si>
  <si>
    <t>Alerte</t>
  </si>
  <si>
    <t>Qté</t>
  </si>
  <si>
    <t>Date</t>
  </si>
  <si>
    <t>Consommable</t>
  </si>
  <si>
    <t>Prix consommable/U</t>
  </si>
  <si>
    <t>Brosse de nettoyage buse (Tip wipe)</t>
  </si>
  <si>
    <t>Build sheet ASA</t>
  </si>
  <si>
    <t>Build sheet PA12CF</t>
  </si>
  <si>
    <t>Buse T12</t>
  </si>
  <si>
    <t>Buse T12SR30</t>
  </si>
  <si>
    <t>Buse T12SR100</t>
  </si>
  <si>
    <t>Buse T16</t>
  </si>
  <si>
    <t>Buse T20C</t>
  </si>
  <si>
    <t>6</t>
  </si>
  <si>
    <t>&gt;6</t>
  </si>
  <si>
    <t>ART-001</t>
  </si>
  <si>
    <t>ART-002</t>
  </si>
  <si>
    <t>ART-003</t>
  </si>
  <si>
    <t>ART-004</t>
  </si>
  <si>
    <t>ART-005</t>
  </si>
  <si>
    <t>ART-006</t>
  </si>
  <si>
    <t>ART-007</t>
  </si>
  <si>
    <t>ART-008</t>
  </si>
  <si>
    <t>Article</t>
  </si>
  <si>
    <t>Entrée/Sortie</t>
  </si>
  <si>
    <t>Entrée</t>
  </si>
  <si>
    <t>Sortie</t>
  </si>
  <si>
    <t>Bobine SR100</t>
  </si>
  <si>
    <t>Bobine SR110</t>
  </si>
  <si>
    <t>Bobine ASA (Ivoire)</t>
  </si>
  <si>
    <t>Bobine ASA (Jaune)</t>
  </si>
  <si>
    <t>Bobine ASA (Orange)</t>
  </si>
  <si>
    <t>Bobine SR30</t>
  </si>
  <si>
    <t>Bobine SR35</t>
  </si>
  <si>
    <t>ART-009</t>
  </si>
  <si>
    <t>ART-010</t>
  </si>
  <si>
    <t>ART-011</t>
  </si>
  <si>
    <t>ART-012</t>
  </si>
  <si>
    <t>ART-013</t>
  </si>
  <si>
    <t>ART-014</t>
  </si>
  <si>
    <t>ART-015</t>
  </si>
  <si>
    <t>ART-016</t>
  </si>
  <si>
    <t>Coût</t>
  </si>
  <si>
    <t>Sachet de nettoyage</t>
  </si>
  <si>
    <t>ART-017</t>
  </si>
  <si>
    <t>Bobine N12CF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</si>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</sst>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&quot;Besoin&quot;"/>
    <numFmt numFmtId="166" formatCode="#,##0.00\ &quot;€&quot;"/>
    <numFmt numFmtId="167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5" fontId="0" fillId="0" borderId="0" xfId="0" applyNumberFormat="1" applyAlignment="1">
      <alignment horizontal="right" vertical="center"/>
    </xf>
    <xf numFmtId="0" fontId="4" fillId="0" borderId="0" xfId="0" applyFont="1" applyAlignment="1">
      <alignment horizontal="center" vertical="center"/>
    </xf>
    <xf numFmtId="164" fontId="0" fillId="0" borderId="0" xfId="1" applyFont="1"/>
    <xf numFmtId="164" fontId="0" fillId="0" borderId="2" xfId="1" applyFont="1" applyBorder="1" applyAlignment="1">
      <alignment horizontal="center" vertical="center"/>
    </xf>
    <xf numFmtId="164" fontId="0" fillId="0" borderId="0" xfId="1" applyFont="1" applyBorder="1" applyAlignment="1">
      <alignment horizontal="center" vertical="center"/>
    </xf>
    <xf numFmtId="164" fontId="0" fillId="0" borderId="0" xfId="1" applyNumberFormat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42"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_(&quot;€&quot;* #,##0.00_);_(&quot;€&quot;* \(#,##0.00\);_(&quot;€&quot;* &quot;-&quot;??_);_(@_)"/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6" formatCode="#,##0.00\ &quot;€&quot;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&quot;Besoin&quot;"/>
      <alignment horizontal="center" vertical="center" textRotation="0" wrapText="0" indent="0" justifyLastLine="0" shrinkToFit="0" readingOrder="0"/>
    </dxf>
    <dxf>
      <numFmt numFmtId="165" formatCode="&quot;Besoin&quot;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6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  <border>
        <left/>
        <right/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285750</xdr:colOff>
      <xdr:row>8</xdr:row>
      <xdr:rowOff>152399</xdr:rowOff>
    </xdr:from>
    <xdr:ext cx="4743450" cy="1323975"/>
    <xdr:sp macro="" textlink="">
      <xdr:nvSpPr>
        <xdr:cNvPr id="2" name="ZoneTexte 1"/>
        <xdr:cNvSpPr txBox="1"/>
      </xdr:nvSpPr>
      <xdr:spPr>
        <a:xfrm>
          <a:off x="11039475" y="1676399"/>
          <a:ext cx="4743450" cy="13239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Je voudrai maintenant pouvoir, à chaque entrée ou sortie d'un article, incrémenter (+ ou - en fonction de l'opération) le stock de l'article concerné dans ma feuille de stock.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Je connais la formule recherche dans excel mais je n'ai pas la référence sous VBA et peine à imaginer un code pour incrémenter les valeurs...</a:t>
          </a:r>
          <a:endParaRPr lang="fr-CA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0</xdr:rowOff>
        </xdr:from>
        <xdr:to>
          <xdr:col>2</xdr:col>
          <xdr:colOff>285750</xdr:colOff>
          <xdr:row>3</xdr:row>
          <xdr:rowOff>95250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4" name="Tableau4" displayName="Tableau4" ref="B5:P22" totalsRowShown="0" headerRowDxfId="34" dataDxfId="33">
  <sortState ref="B6:O22">
    <sortCondition ref="C6"/>
  </sortState>
  <tableColumns count="15">
    <tableColumn id="1" name="N° Article" dataDxfId="32"/>
    <tableColumn id="3" name="Description" dataDxfId="31"/>
    <tableColumn id="4" name="Prix unitaire" dataDxfId="30">
      <calculatedColumnFormula>LOOKUP(Tableau4[[#This Row],[Description]],Données!$K$2:$K$18,Données!$L$2:$L$18)</calculatedColumnFormula>
    </tableColumn>
    <tableColumn id="5" name="Stock" dataDxfId="29">
      <calculatedColumnFormula>LOOKUP(Tableau4[[#This Row],[Description]],Données!$K$2:$K$18,Données!$M$2:$M$18)</calculatedColumnFormula>
    </tableColumn>
    <tableColumn id="6" name="Stock mini" dataDxfId="28"/>
    <tableColumn id="7" name="Alerte" dataDxfId="27">
      <calculatedColumnFormula>IF(E6&lt;F6,1,"")</calculatedColumnFormula>
    </tableColumn>
    <tableColumn id="15" name="Colonne1" dataDxfId="26"/>
    <tableColumn id="8" name="0" dataDxfId="25"/>
    <tableColumn id="16" name="1" dataDxfId="24"/>
    <tableColumn id="9" name="2" dataDxfId="23"/>
    <tableColumn id="10" name="3" dataDxfId="22"/>
    <tableColumn id="11" name="4" dataDxfId="21"/>
    <tableColumn id="12" name="5" dataDxfId="20"/>
    <tableColumn id="14" name="6" dataDxfId="19"/>
    <tableColumn id="13" name="&gt;6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6:F35" totalsRowShown="0" headerRowDxfId="10" headerRowBorderDxfId="9">
  <autoFilter ref="B6:F35"/>
  <tableColumns count="5">
    <tableColumn id="1" name="Date"/>
    <tableColumn id="2" name="Entrée/Sortie"/>
    <tableColumn id="3" name="Article"/>
    <tableColumn id="4" name="Qté" dataDxfId="8"/>
    <tableColumn id="5" name="Coût" dataDxfId="7" dataCellStyle="Monétaire">
      <calculatedColumnFormula>(LOOKUP(Tableau2[[#This Row],[Article]],Données!$K$2:$K$18,Données!$L$2:$L$18))*Tableau2[[#This Row],[Qté]]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P22"/>
  <sheetViews>
    <sheetView showGridLines="0" zoomScaleNormal="100" workbookViewId="0">
      <pane ySplit="5" topLeftCell="A6" activePane="bottomLeft" state="frozen"/>
      <selection pane="bottomLeft" activeCell="A3" sqref="A3"/>
    </sheetView>
  </sheetViews>
  <sheetFormatPr baseColWidth="10" defaultColWidth="11.5703125" defaultRowHeight="15" x14ac:dyDescent="0.25"/>
  <cols>
    <col min="1" max="2" width="11.5703125" style="1"/>
    <col min="3" max="3" width="35.7109375" style="1" customWidth="1"/>
    <col min="4" max="4" width="12.85546875" style="6" customWidth="1"/>
    <col min="5" max="5" width="11.5703125" style="1"/>
    <col min="6" max="6" width="11.7109375" style="1" customWidth="1"/>
    <col min="7" max="7" width="9.28515625" style="1" customWidth="1"/>
    <col min="8" max="8" width="0.85546875" style="1" customWidth="1"/>
    <col min="9" max="16" width="5.5703125" style="1" customWidth="1"/>
    <col min="17" max="16384" width="11.5703125" style="1"/>
  </cols>
  <sheetData>
    <row r="1" spans="2:16" x14ac:dyDescent="0.25">
      <c r="D1" s="1"/>
    </row>
    <row r="2" spans="2:16" x14ac:dyDescent="0.25">
      <c r="D2" s="1"/>
    </row>
    <row r="3" spans="2:16" x14ac:dyDescent="0.25">
      <c r="D3" s="1"/>
    </row>
    <row r="4" spans="2:16" x14ac:dyDescent="0.25">
      <c r="D4" s="1"/>
      <c r="I4" s="7">
        <v>0</v>
      </c>
      <c r="J4" s="7">
        <v>1</v>
      </c>
      <c r="K4" s="7">
        <v>2</v>
      </c>
      <c r="L4" s="7">
        <v>3</v>
      </c>
      <c r="M4" s="7">
        <v>4</v>
      </c>
      <c r="N4" s="7">
        <v>5</v>
      </c>
      <c r="O4" s="7">
        <v>6</v>
      </c>
    </row>
    <row r="5" spans="2:16" x14ac:dyDescent="0.25"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11</v>
      </c>
      <c r="H5" s="13" t="s">
        <v>0</v>
      </c>
      <c r="I5" s="1" t="s">
        <v>57</v>
      </c>
      <c r="J5" s="1" t="s">
        <v>6</v>
      </c>
      <c r="K5" s="1" t="s">
        <v>7</v>
      </c>
      <c r="L5" s="1" t="s">
        <v>8</v>
      </c>
      <c r="M5" s="1" t="s">
        <v>9</v>
      </c>
      <c r="N5" s="1" t="s">
        <v>10</v>
      </c>
      <c r="O5" s="1" t="s">
        <v>24</v>
      </c>
      <c r="P5" s="1" t="s">
        <v>25</v>
      </c>
    </row>
    <row r="6" spans="2:16" x14ac:dyDescent="0.25">
      <c r="B6" s="1" t="s">
        <v>26</v>
      </c>
      <c r="C6" s="1" t="s">
        <v>40</v>
      </c>
      <c r="D6" s="6">
        <f>LOOKUP(Tableau4[[#This Row],[Description]],Données!$K$2:$K$18,Données!$L$2:$L$18)</f>
        <v>463.22</v>
      </c>
      <c r="E6" s="1">
        <f>LOOKUP(Tableau4[[#This Row],[Description]],Données!$K$2:$K$18,Données!$M$2:$M$18)</f>
        <v>1</v>
      </c>
      <c r="F6" s="1">
        <v>1</v>
      </c>
      <c r="G6" s="12" t="str">
        <f t="shared" ref="G6:G22" si="0">IF(E6&lt;F6,1,"")</f>
        <v/>
      </c>
      <c r="H6" s="2"/>
    </row>
    <row r="7" spans="2:16" x14ac:dyDescent="0.25">
      <c r="B7" s="1" t="s">
        <v>27</v>
      </c>
      <c r="C7" s="1" t="s">
        <v>41</v>
      </c>
      <c r="D7" s="6">
        <f>LOOKUP(Tableau4[[#This Row],[Description]],Données!$K$2:$K$18,Données!$L$2:$L$18)</f>
        <v>463.22</v>
      </c>
      <c r="E7" s="1">
        <f>LOOKUP(Tableau4[[#This Row],[Description]],Données!$K$2:$K$18,Données!$M$2:$M$18)</f>
        <v>1</v>
      </c>
      <c r="F7" s="1">
        <v>1</v>
      </c>
      <c r="G7" s="12" t="str">
        <f t="shared" si="0"/>
        <v/>
      </c>
      <c r="H7" s="2"/>
    </row>
    <row r="8" spans="2:16" x14ac:dyDescent="0.25">
      <c r="B8" s="1" t="s">
        <v>28</v>
      </c>
      <c r="C8" s="1" t="s">
        <v>42</v>
      </c>
      <c r="D8" s="6">
        <f>LOOKUP(Tableau4[[#This Row],[Description]],Données!$K$2:$K$18,Données!$L$2:$L$18)</f>
        <v>463.22</v>
      </c>
      <c r="E8" s="1">
        <v>2</v>
      </c>
      <c r="F8" s="1">
        <v>1</v>
      </c>
      <c r="G8" s="12" t="str">
        <f t="shared" si="0"/>
        <v/>
      </c>
      <c r="H8" s="2"/>
    </row>
    <row r="9" spans="2:16" x14ac:dyDescent="0.25">
      <c r="B9" s="1" t="s">
        <v>29</v>
      </c>
      <c r="C9" s="1" t="s">
        <v>56</v>
      </c>
      <c r="D9" s="6">
        <f>LOOKUP(Tableau4[[#This Row],[Description]],Données!$K$2:$K$18,Données!$L$2:$L$18)</f>
        <v>795</v>
      </c>
      <c r="E9" s="1">
        <f>LOOKUP(Tableau4[[#This Row],[Description]],Données!$K$2:$K$18,Données!$M$2:$M$18)</f>
        <v>1</v>
      </c>
      <c r="F9" s="1">
        <v>2</v>
      </c>
      <c r="G9" s="12">
        <f t="shared" si="0"/>
        <v>1</v>
      </c>
      <c r="H9" s="2"/>
    </row>
    <row r="10" spans="2:16" x14ac:dyDescent="0.25">
      <c r="B10" s="1" t="s">
        <v>30</v>
      </c>
      <c r="C10" s="1" t="s">
        <v>38</v>
      </c>
      <c r="D10" s="6">
        <f>LOOKUP(Tableau4[[#This Row],[Description]],Données!$K$2:$K$18,Données!$L$2:$L$18)</f>
        <v>561.79999999999995</v>
      </c>
      <c r="E10" s="1">
        <f>LOOKUP(Tableau4[[#This Row],[Description]],Données!$K$2:$K$18,Données!$M$2:$M$18)</f>
        <v>1</v>
      </c>
      <c r="F10" s="1">
        <v>0</v>
      </c>
      <c r="G10" s="12" t="str">
        <f t="shared" si="0"/>
        <v/>
      </c>
      <c r="H10" s="2"/>
    </row>
    <row r="11" spans="2:16" x14ac:dyDescent="0.25">
      <c r="B11" s="1" t="s">
        <v>31</v>
      </c>
      <c r="C11" s="1" t="s">
        <v>39</v>
      </c>
      <c r="D11" s="6">
        <f>LOOKUP(Tableau4[[#This Row],[Description]],Données!$K$2:$K$18,Données!$L$2:$L$18)</f>
        <v>561.79999999999995</v>
      </c>
      <c r="E11" s="1">
        <f>LOOKUP(Tableau4[[#This Row],[Description]],Données!$K$2:$K$18,Données!$M$2:$M$18)</f>
        <v>2</v>
      </c>
      <c r="F11" s="1">
        <v>1</v>
      </c>
      <c r="G11" s="12" t="str">
        <f t="shared" si="0"/>
        <v/>
      </c>
      <c r="H11" s="2"/>
    </row>
    <row r="12" spans="2:16" x14ac:dyDescent="0.25">
      <c r="B12" s="1" t="s">
        <v>32</v>
      </c>
      <c r="C12" s="1" t="s">
        <v>43</v>
      </c>
      <c r="D12" s="6">
        <f>LOOKUP(Tableau4[[#This Row],[Description]],Données!$K$2:$K$18,Données!$L$2:$L$18)</f>
        <v>472.76</v>
      </c>
      <c r="E12" s="1">
        <f>LOOKUP(Tableau4[[#This Row],[Description]],Données!$K$2:$K$18,Données!$M$2:$M$18)</f>
        <v>2</v>
      </c>
      <c r="F12" s="1">
        <v>1</v>
      </c>
      <c r="G12" s="12" t="str">
        <f t="shared" si="0"/>
        <v/>
      </c>
      <c r="H12" s="2"/>
    </row>
    <row r="13" spans="2:16" x14ac:dyDescent="0.25">
      <c r="B13" s="1" t="s">
        <v>33</v>
      </c>
      <c r="C13" s="1" t="s">
        <v>44</v>
      </c>
      <c r="D13" s="6">
        <f>LOOKUP(Tableau4[[#This Row],[Description]],Données!$K$2:$K$18,Données!$L$2:$L$18)</f>
        <v>472.76</v>
      </c>
      <c r="E13" s="1">
        <f>LOOKUP(Tableau4[[#This Row],[Description]],Données!$K$2:$K$18,Données!$M$2:$M$18)</f>
        <v>2</v>
      </c>
      <c r="F13" s="1">
        <v>0</v>
      </c>
      <c r="G13" s="12" t="str">
        <f t="shared" si="0"/>
        <v/>
      </c>
      <c r="H13" s="2"/>
    </row>
    <row r="14" spans="2:16" x14ac:dyDescent="0.25">
      <c r="B14" s="1" t="s">
        <v>45</v>
      </c>
      <c r="C14" s="1" t="s">
        <v>16</v>
      </c>
      <c r="D14" s="6">
        <f>LOOKUP(Tableau4[[#This Row],[Description]],Données!$K$2:$K$18,Données!$L$2:$L$18)</f>
        <v>112.5</v>
      </c>
      <c r="E14" s="1">
        <f>LOOKUP(Tableau4[[#This Row],[Description]],Données!$K$2:$K$18,Données!$M$2:$M$18)</f>
        <v>7</v>
      </c>
      <c r="F14" s="1">
        <v>3</v>
      </c>
      <c r="G14" s="12" t="str">
        <f t="shared" si="0"/>
        <v/>
      </c>
      <c r="H14" s="2"/>
    </row>
    <row r="15" spans="2:16" x14ac:dyDescent="0.25">
      <c r="B15" s="1" t="s">
        <v>46</v>
      </c>
      <c r="C15" s="1" t="s">
        <v>17</v>
      </c>
      <c r="D15" s="6">
        <f>LOOKUP(Tableau4[[#This Row],[Description]],Données!$K$2:$K$18,Données!$L$2:$L$18)</f>
        <v>7.4730000000000008</v>
      </c>
      <c r="E15" s="1">
        <f>LOOKUP(Tableau4[[#This Row],[Description]],Données!$K$2:$K$18,Données!$M$2:$M$18)</f>
        <v>37</v>
      </c>
      <c r="F15" s="1">
        <v>6</v>
      </c>
      <c r="G15" s="12" t="str">
        <f t="shared" si="0"/>
        <v/>
      </c>
      <c r="H15" s="2"/>
    </row>
    <row r="16" spans="2:16" x14ac:dyDescent="0.25">
      <c r="B16" s="1" t="s">
        <v>47</v>
      </c>
      <c r="C16" s="1" t="s">
        <v>18</v>
      </c>
      <c r="D16" s="6">
        <f>LOOKUP(Tableau4[[#This Row],[Description]],Données!$K$2:$K$18,Données!$L$2:$L$18)</f>
        <v>19.182499999999997</v>
      </c>
      <c r="E16" s="1">
        <f>LOOKUP(Tableau4[[#This Row],[Description]],Données!$K$2:$K$18,Données!$M$2:$M$18)</f>
        <v>30</v>
      </c>
      <c r="F16" s="1">
        <v>6</v>
      </c>
      <c r="G16" s="12" t="str">
        <f t="shared" si="0"/>
        <v/>
      </c>
      <c r="H16" s="2"/>
    </row>
    <row r="17" spans="2:8" x14ac:dyDescent="0.25">
      <c r="B17" s="1" t="s">
        <v>48</v>
      </c>
      <c r="C17" s="1" t="s">
        <v>19</v>
      </c>
      <c r="D17" s="6">
        <f>LOOKUP(Tableau4[[#This Row],[Description]],Données!$K$2:$K$18,Données!$L$2:$L$18)</f>
        <v>187.62</v>
      </c>
      <c r="E17" s="1">
        <f>LOOKUP(Tableau4[[#This Row],[Description]],Données!$K$2:$K$18,Données!$M$2:$M$18)</f>
        <v>1</v>
      </c>
      <c r="F17" s="1">
        <v>2</v>
      </c>
      <c r="G17" s="12">
        <f t="shared" si="0"/>
        <v>1</v>
      </c>
      <c r="H17" s="2"/>
    </row>
    <row r="18" spans="2:8" x14ac:dyDescent="0.25">
      <c r="B18" s="1" t="s">
        <v>49</v>
      </c>
      <c r="C18" s="1" t="s">
        <v>21</v>
      </c>
      <c r="D18" s="6">
        <f>LOOKUP(Tableau4[[#This Row],[Description]],Données!$K$2:$K$18,Données!$L$2:$L$18)</f>
        <v>187.62</v>
      </c>
      <c r="E18" s="1">
        <f>LOOKUP(Tableau4[[#This Row],[Description]],Données!$K$2:$K$18,Données!$M$2:$M$18)</f>
        <v>2</v>
      </c>
      <c r="F18" s="1">
        <v>2</v>
      </c>
      <c r="G18" s="12" t="str">
        <f t="shared" si="0"/>
        <v/>
      </c>
      <c r="H18" s="2"/>
    </row>
    <row r="19" spans="2:8" x14ac:dyDescent="0.25">
      <c r="B19" s="1" t="s">
        <v>50</v>
      </c>
      <c r="C19" s="1" t="s">
        <v>20</v>
      </c>
      <c r="D19" s="6">
        <f>LOOKUP(Tableau4[[#This Row],[Description]],Données!$K$2:$K$18,Données!$L$2:$L$18)</f>
        <v>187.62</v>
      </c>
      <c r="E19" s="1">
        <f>LOOKUP(Tableau4[[#This Row],[Description]],Données!$K$2:$K$18,Données!$M$2:$M$18)</f>
        <v>2</v>
      </c>
      <c r="F19" s="1">
        <v>2</v>
      </c>
      <c r="G19" s="12" t="str">
        <f t="shared" si="0"/>
        <v/>
      </c>
      <c r="H19" s="2"/>
    </row>
    <row r="20" spans="2:8" x14ac:dyDescent="0.25">
      <c r="B20" s="1" t="s">
        <v>51</v>
      </c>
      <c r="C20" s="1" t="s">
        <v>22</v>
      </c>
      <c r="D20" s="6">
        <f>LOOKUP(Tableau4[[#This Row],[Description]],Données!$K$2:$K$18,Données!$L$2:$L$18)</f>
        <v>187.62</v>
      </c>
      <c r="E20" s="1">
        <f>LOOKUP(Tableau4[[#This Row],[Description]],Données!$K$2:$K$18,Données!$M$2:$M$18)</f>
        <v>2</v>
      </c>
      <c r="F20" s="1">
        <v>2</v>
      </c>
      <c r="G20" s="12" t="str">
        <f t="shared" si="0"/>
        <v/>
      </c>
      <c r="H20" s="2"/>
    </row>
    <row r="21" spans="2:8" x14ac:dyDescent="0.25">
      <c r="B21" s="1" t="s">
        <v>52</v>
      </c>
      <c r="C21" s="1" t="s">
        <v>23</v>
      </c>
      <c r="D21" s="6">
        <f>LOOKUP(Tableau4[[#This Row],[Description]],Données!$K$2:$K$18,Données!$L$2:$L$18)</f>
        <v>187.62</v>
      </c>
      <c r="E21" s="1">
        <f>LOOKUP(Tableau4[[#This Row],[Description]],Données!$K$2:$K$18,Données!$M$2:$M$18)</f>
        <v>2</v>
      </c>
      <c r="F21" s="1">
        <v>2</v>
      </c>
      <c r="G21" s="12" t="str">
        <f t="shared" si="0"/>
        <v/>
      </c>
      <c r="H21" s="2"/>
    </row>
    <row r="22" spans="2:8" x14ac:dyDescent="0.25">
      <c r="B22" s="1" t="s">
        <v>55</v>
      </c>
      <c r="C22" s="1" t="s">
        <v>54</v>
      </c>
      <c r="D22" s="6">
        <f>LOOKUP(Tableau4[[#This Row],[Description]],Données!$K$2:$K$18,Données!$L$2:$L$18)</f>
        <v>5.208333333333333</v>
      </c>
      <c r="E22" s="1">
        <f>LOOKUP(Tableau4[[#This Row],[Description]],Données!$K$2:$K$18,Données!$M$2:$M$18)</f>
        <v>35</v>
      </c>
      <c r="F22" s="1">
        <v>6</v>
      </c>
      <c r="G22" s="12" t="str">
        <f t="shared" si="0"/>
        <v/>
      </c>
      <c r="H22" s="2"/>
    </row>
  </sheetData>
  <conditionalFormatting sqref="I6:P22">
    <cfRule type="expression" dxfId="41" priority="9">
      <formula>$B6&lt;&gt;""</formula>
    </cfRule>
  </conditionalFormatting>
  <conditionalFormatting sqref="H6:H22">
    <cfRule type="expression" dxfId="40" priority="4">
      <formula>$B6&lt;&gt;""</formula>
    </cfRule>
  </conditionalFormatting>
  <conditionalFormatting sqref="I6:O22">
    <cfRule type="expression" dxfId="39" priority="21">
      <formula>AND($B6&lt;&gt;"",$E6&lt;$F6,$E6&gt;=I$4)</formula>
    </cfRule>
    <cfRule type="expression" dxfId="38" priority="22">
      <formula>AND($B6&lt;&gt;"",$E6&gt;=$F6,$E6&gt;=I$4)</formula>
    </cfRule>
  </conditionalFormatting>
  <conditionalFormatting sqref="P6:P22">
    <cfRule type="expression" dxfId="37" priority="23">
      <formula>AND($B6&lt;&gt;"",$E6&lt;F6,$E6&gt;$N$4)</formula>
    </cfRule>
    <cfRule type="expression" dxfId="36" priority="24">
      <formula>AND($B6&lt;&gt;"",$E6&gt;=F6,$E6&gt;$N$4)</formula>
    </cfRule>
  </conditionalFormatting>
  <conditionalFormatting sqref="C22">
    <cfRule type="expression" dxfId="35" priority="1">
      <formula>$L22&lt;&gt;""</formula>
    </cfRule>
  </conditionalFormatting>
  <pageMargins left="0.7" right="0.7" top="0.75" bottom="0.75" header="0.3" footer="0.3"/>
  <pageSetup paperSize="9" orientation="portrait" horizontalDpi="4294967293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1" id="{85E20AAD-D898-44D9-BDEE-C382A3F23CE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TrafficLights1" iconId="0"/>
            </x14:iconSet>
          </x14:cfRule>
          <xm:sqref>G6:H22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5:F35"/>
  <sheetViews>
    <sheetView showGridLines="0" tabSelected="1" workbookViewId="0">
      <pane ySplit="6" topLeftCell="A16" activePane="bottomLeft" state="frozen"/>
      <selection pane="bottomLeft" activeCell="B38" sqref="B38"/>
    </sheetView>
  </sheetViews>
  <sheetFormatPr baseColWidth="10" defaultRowHeight="15" x14ac:dyDescent="0.25"/>
  <cols>
    <col min="3" max="3" width="16.7109375" customWidth="1"/>
    <col min="4" max="4" width="33.28515625" customWidth="1"/>
    <col min="5" max="5" width="6.140625" customWidth="1"/>
    <col min="6" max="6" width="10.5703125" style="14" customWidth="1"/>
    <col min="8" max="8" width="11.42578125" customWidth="1"/>
    <col min="9" max="9" width="14.28515625" customWidth="1"/>
    <col min="11" max="11" width="13.7109375" customWidth="1"/>
  </cols>
  <sheetData>
    <row r="5" spans="2:6" ht="15.75" thickBot="1" x14ac:dyDescent="0.3"/>
    <row r="6" spans="2:6" ht="15.75" thickBot="1" x14ac:dyDescent="0.3">
      <c r="B6" s="9" t="s">
        <v>13</v>
      </c>
      <c r="C6" s="9" t="s">
        <v>35</v>
      </c>
      <c r="D6" s="9" t="s">
        <v>34</v>
      </c>
      <c r="E6" s="8" t="s">
        <v>12</v>
      </c>
      <c r="F6" s="15" t="s">
        <v>53</v>
      </c>
    </row>
    <row r="7" spans="2:6" x14ac:dyDescent="0.25">
      <c r="B7" s="11">
        <v>43479</v>
      </c>
      <c r="C7" s="10" t="s">
        <v>36</v>
      </c>
      <c r="D7" s="10" t="s">
        <v>43</v>
      </c>
      <c r="E7" s="10">
        <v>1</v>
      </c>
      <c r="F7" s="16">
        <f>(LOOKUP(Tableau2[[#This Row],[Article]],Données!$K$2:$K$18,Données!$L$2:$L$18))*Tableau2[[#This Row],[Qté]]</f>
        <v>472.76</v>
      </c>
    </row>
    <row r="8" spans="2:6" x14ac:dyDescent="0.25">
      <c r="B8" s="11">
        <v>43479</v>
      </c>
      <c r="C8" s="10" t="s">
        <v>36</v>
      </c>
      <c r="D8" s="10" t="s">
        <v>39</v>
      </c>
      <c r="E8" s="10">
        <v>2</v>
      </c>
      <c r="F8" s="16">
        <f>(LOOKUP(Tableau2[[#This Row],[Article]],Données!$K$2:$K$18,Données!$L$2:$L$18))*Tableau2[[#This Row],[Qté]]</f>
        <v>1123.5999999999999</v>
      </c>
    </row>
    <row r="9" spans="2:6" x14ac:dyDescent="0.25">
      <c r="B9" s="11">
        <v>43479</v>
      </c>
      <c r="C9" s="10" t="s">
        <v>36</v>
      </c>
      <c r="D9" s="1" t="s">
        <v>56</v>
      </c>
      <c r="E9" s="10">
        <v>2</v>
      </c>
      <c r="F9" s="16">
        <f>(LOOKUP(Tableau2[[#This Row],[Article]],Données!$K$2:$K$18,Données!$L$2:$L$18))*Tableau2[[#This Row],[Qté]]</f>
        <v>1590</v>
      </c>
    </row>
    <row r="10" spans="2:6" x14ac:dyDescent="0.25">
      <c r="B10" s="11">
        <v>43479</v>
      </c>
      <c r="C10" s="10" t="s">
        <v>36</v>
      </c>
      <c r="D10" s="10" t="s">
        <v>19</v>
      </c>
      <c r="E10" s="10">
        <v>1</v>
      </c>
      <c r="F10" s="16">
        <f>(LOOKUP(Tableau2[[#This Row],[Article]],Données!$K$2:$K$18,Données!$L$2:$L$18))*Tableau2[[#This Row],[Qté]]</f>
        <v>187.62</v>
      </c>
    </row>
    <row r="11" spans="2:6" x14ac:dyDescent="0.25">
      <c r="B11" s="11">
        <v>43479</v>
      </c>
      <c r="C11" s="10" t="s">
        <v>36</v>
      </c>
      <c r="D11" s="10" t="s">
        <v>20</v>
      </c>
      <c r="E11" s="10">
        <v>1</v>
      </c>
      <c r="F11" s="16">
        <f>(LOOKUP(Tableau2[[#This Row],[Article]],Données!$K$2:$K$18,Données!$L$2:$L$18))*Tableau2[[#This Row],[Qté]]</f>
        <v>187.62</v>
      </c>
    </row>
    <row r="12" spans="2:6" x14ac:dyDescent="0.25">
      <c r="B12" s="11">
        <v>43479</v>
      </c>
      <c r="C12" s="10" t="s">
        <v>36</v>
      </c>
      <c r="D12" s="10" t="s">
        <v>23</v>
      </c>
      <c r="E12" s="10">
        <v>1</v>
      </c>
      <c r="F12" s="16">
        <f>(LOOKUP(Tableau2[[#This Row],[Article]],Données!$K$2:$K$18,Données!$L$2:$L$18))*Tableau2[[#This Row],[Qté]]</f>
        <v>187.62</v>
      </c>
    </row>
    <row r="13" spans="2:6" x14ac:dyDescent="0.25">
      <c r="B13" s="11">
        <v>43479</v>
      </c>
      <c r="C13" s="10" t="s">
        <v>36</v>
      </c>
      <c r="D13" s="10" t="s">
        <v>22</v>
      </c>
      <c r="E13" s="10">
        <v>1</v>
      </c>
      <c r="F13" s="16">
        <f>(LOOKUP(Tableau2[[#This Row],[Article]],Données!$K$2:$K$18,Données!$L$2:$L$18))*Tableau2[[#This Row],[Qté]]</f>
        <v>187.62</v>
      </c>
    </row>
    <row r="14" spans="2:6" x14ac:dyDescent="0.25">
      <c r="B14" s="11">
        <v>43479</v>
      </c>
      <c r="C14" s="10" t="s">
        <v>36</v>
      </c>
      <c r="D14" s="10" t="s">
        <v>21</v>
      </c>
      <c r="E14" s="10">
        <v>1</v>
      </c>
      <c r="F14" s="16">
        <f>(LOOKUP(Tableau2[[#This Row],[Article]],Données!$K$2:$K$18,Données!$L$2:$L$18))*Tableau2[[#This Row],[Qté]]</f>
        <v>187.62</v>
      </c>
    </row>
    <row r="15" spans="2:6" x14ac:dyDescent="0.25">
      <c r="B15" s="11">
        <v>43479</v>
      </c>
      <c r="C15" s="10" t="s">
        <v>36</v>
      </c>
      <c r="D15" s="1" t="s">
        <v>40</v>
      </c>
      <c r="E15" s="10">
        <v>1</v>
      </c>
      <c r="F15" s="16">
        <f>(LOOKUP(Tableau2[[#This Row],[Article]],Données!$K$2:$K$18,Données!$L$2:$L$18))*Tableau2[[#This Row],[Qté]]</f>
        <v>463.22</v>
      </c>
    </row>
    <row r="16" spans="2:6" x14ac:dyDescent="0.25">
      <c r="B16" s="11">
        <v>43479</v>
      </c>
      <c r="C16" s="10" t="s">
        <v>36</v>
      </c>
      <c r="D16" s="10" t="s">
        <v>42</v>
      </c>
      <c r="E16" s="10">
        <v>2</v>
      </c>
      <c r="F16" s="16">
        <f>(LOOKUP(Tableau2[[#This Row],[Article]],Données!$K$2:$K$18,Données!$L$2:$L$18))*Tableau2[[#This Row],[Qté]]</f>
        <v>926.44</v>
      </c>
    </row>
    <row r="17" spans="2:6" x14ac:dyDescent="0.25">
      <c r="B17" s="11">
        <v>43529</v>
      </c>
      <c r="C17" s="10" t="s">
        <v>37</v>
      </c>
      <c r="D17" s="10" t="s">
        <v>16</v>
      </c>
      <c r="E17" s="10">
        <v>1</v>
      </c>
      <c r="F17" s="16">
        <f>(LOOKUP(Tableau2[[#This Row],[Article]],Données!$K$2:$K$18,Données!$L$2:$L$18))*Tableau2[[#This Row],[Qté]]</f>
        <v>112.5</v>
      </c>
    </row>
    <row r="18" spans="2:6" x14ac:dyDescent="0.25">
      <c r="B18" s="11">
        <v>43552</v>
      </c>
      <c r="C18" s="10" t="s">
        <v>36</v>
      </c>
      <c r="D18" s="10" t="s">
        <v>16</v>
      </c>
      <c r="E18" s="10">
        <v>4</v>
      </c>
      <c r="F18" s="16">
        <f>(LOOKUP(Tableau2[[#This Row],[Article]],Données!$K$2:$K$18,Données!$L$2:$L$18))*Tableau2[[#This Row],[Qté]]</f>
        <v>450</v>
      </c>
    </row>
    <row r="19" spans="2:6" x14ac:dyDescent="0.25">
      <c r="B19" s="11">
        <v>43552</v>
      </c>
      <c r="C19" s="10" t="s">
        <v>36</v>
      </c>
      <c r="D19" s="10" t="s">
        <v>17</v>
      </c>
      <c r="E19" s="10">
        <v>20</v>
      </c>
      <c r="F19" s="16">
        <f>(LOOKUP(Tableau2[[#This Row],[Article]],Données!$K$2:$K$18,Données!$L$2:$L$18))*Tableau2[[#This Row],[Qté]]</f>
        <v>149.46</v>
      </c>
    </row>
    <row r="20" spans="2:6" x14ac:dyDescent="0.25">
      <c r="B20" s="11">
        <v>43552</v>
      </c>
      <c r="C20" s="10" t="s">
        <v>36</v>
      </c>
      <c r="D20" s="10" t="s">
        <v>18</v>
      </c>
      <c r="E20" s="10">
        <v>20</v>
      </c>
      <c r="F20" s="16">
        <f>(LOOKUP(Tableau2[[#This Row],[Article]],Données!$K$2:$K$18,Données!$L$2:$L$18))*Tableau2[[#This Row],[Qté]]</f>
        <v>383.65</v>
      </c>
    </row>
    <row r="21" spans="2:6" x14ac:dyDescent="0.25">
      <c r="B21" s="11">
        <v>43552</v>
      </c>
      <c r="C21" s="10" t="s">
        <v>36</v>
      </c>
      <c r="D21" s="10" t="s">
        <v>41</v>
      </c>
      <c r="E21" s="10">
        <v>2</v>
      </c>
      <c r="F21" s="16">
        <f>(LOOKUP(Tableau2[[#This Row],[Article]],Données!$K$2:$K$18,Données!$L$2:$L$18))*Tableau2[[#This Row],[Qté]]</f>
        <v>926.44</v>
      </c>
    </row>
    <row r="22" spans="2:6" x14ac:dyDescent="0.25">
      <c r="B22" s="11">
        <v>43552</v>
      </c>
      <c r="C22" s="10" t="s">
        <v>36</v>
      </c>
      <c r="D22" s="1" t="s">
        <v>56</v>
      </c>
      <c r="E22" s="10">
        <v>1</v>
      </c>
      <c r="F22" s="16">
        <f>(LOOKUP(Tableau2[[#This Row],[Article]],Données!$K$2:$K$18,Données!$L$2:$L$18))*Tableau2[[#This Row],[Qté]]</f>
        <v>795</v>
      </c>
    </row>
    <row r="23" spans="2:6" x14ac:dyDescent="0.25">
      <c r="B23" s="11">
        <v>43552</v>
      </c>
      <c r="C23" s="10" t="s">
        <v>36</v>
      </c>
      <c r="D23" s="10" t="s">
        <v>39</v>
      </c>
      <c r="E23" s="10">
        <v>1</v>
      </c>
      <c r="F23" s="16">
        <f>(LOOKUP(Tableau2[[#This Row],[Article]],Données!$K$2:$K$18,Données!$L$2:$L$18))*Tableau2[[#This Row],[Qté]]</f>
        <v>561.79999999999995</v>
      </c>
    </row>
    <row r="24" spans="2:6" x14ac:dyDescent="0.25">
      <c r="B24" s="11">
        <v>43552</v>
      </c>
      <c r="C24" s="10" t="s">
        <v>36</v>
      </c>
      <c r="D24" s="10" t="s">
        <v>44</v>
      </c>
      <c r="E24" s="10">
        <v>3</v>
      </c>
      <c r="F24" s="16">
        <f>(LOOKUP(Tableau2[[#This Row],[Article]],Données!$K$2:$K$18,Données!$L$2:$L$18))*Tableau2[[#This Row],[Qté]]</f>
        <v>1418.28</v>
      </c>
    </row>
    <row r="25" spans="2:6" x14ac:dyDescent="0.25">
      <c r="B25" s="11">
        <v>43552</v>
      </c>
      <c r="C25" s="10" t="s">
        <v>36</v>
      </c>
      <c r="D25" s="1" t="s">
        <v>40</v>
      </c>
      <c r="E25" s="10">
        <v>2</v>
      </c>
      <c r="F25" s="16">
        <f>(LOOKUP(Tableau2[[#This Row],[Article]],Données!$K$2:$K$18,Données!$L$2:$L$18))*Tableau2[[#This Row],[Qté]]</f>
        <v>926.44</v>
      </c>
    </row>
    <row r="26" spans="2:6" x14ac:dyDescent="0.25">
      <c r="B26" s="11">
        <v>43552</v>
      </c>
      <c r="C26" s="10" t="s">
        <v>36</v>
      </c>
      <c r="D26" s="10" t="s">
        <v>54</v>
      </c>
      <c r="E26" s="10">
        <v>24</v>
      </c>
      <c r="F26" s="16">
        <f>(LOOKUP(Tableau2[[#This Row],[Article]],Données!$K$2:$K$18,Données!$L$2:$L$18))*Tableau2[[#This Row],[Qté]]</f>
        <v>125</v>
      </c>
    </row>
    <row r="27" spans="2:6" x14ac:dyDescent="0.25">
      <c r="B27" s="11">
        <v>43567</v>
      </c>
      <c r="C27" s="10" t="s">
        <v>36</v>
      </c>
      <c r="D27" s="1" t="s">
        <v>56</v>
      </c>
      <c r="E27" s="10">
        <v>4</v>
      </c>
      <c r="F27" s="16">
        <f>(LOOKUP(Tableau2[[#This Row],[Article]],Données!$K$2:$K$18,Données!$L$2:$L$18))*Tableau2[[#This Row],[Qté]]</f>
        <v>3180</v>
      </c>
    </row>
    <row r="28" spans="2:6" x14ac:dyDescent="0.25">
      <c r="B28" s="11">
        <v>43581</v>
      </c>
      <c r="C28" s="10" t="s">
        <v>37</v>
      </c>
      <c r="D28" s="10" t="s">
        <v>16</v>
      </c>
      <c r="E28" s="10">
        <v>1</v>
      </c>
      <c r="F28" s="16">
        <f>(LOOKUP(Tableau2[[#This Row],[Article]],Données!$K$2:$K$18,Données!$L$2:$L$18))*Tableau2[[#This Row],[Qté]]</f>
        <v>112.5</v>
      </c>
    </row>
    <row r="29" spans="2:6" x14ac:dyDescent="0.25">
      <c r="B29" s="11">
        <v>43605</v>
      </c>
      <c r="C29" s="10" t="s">
        <v>37</v>
      </c>
      <c r="D29" s="10" t="s">
        <v>23</v>
      </c>
      <c r="E29" s="10">
        <v>1</v>
      </c>
      <c r="F29" s="16">
        <f>(LOOKUP(Tableau2[[#This Row],[Article]],Données!$K$2:$K$18,Données!$L$2:$L$18))*Tableau2[[#This Row],[Qté]]</f>
        <v>187.62</v>
      </c>
    </row>
    <row r="30" spans="2:6" x14ac:dyDescent="0.25">
      <c r="B30" s="11">
        <v>43620</v>
      </c>
      <c r="C30" s="10" t="s">
        <v>37</v>
      </c>
      <c r="D30" s="10" t="s">
        <v>18</v>
      </c>
      <c r="E30" s="10">
        <v>25</v>
      </c>
      <c r="F30" s="16">
        <f>(LOOKUP(Tableau2[[#This Row],[Article]],Données!$K$2:$K$18,Données!$L$2:$L$18))*Tableau2[[#This Row],[Qté]]</f>
        <v>479.56249999999994</v>
      </c>
    </row>
    <row r="31" spans="2:6" x14ac:dyDescent="0.25">
      <c r="B31" s="11">
        <v>43649</v>
      </c>
      <c r="C31" s="10" t="s">
        <v>36</v>
      </c>
      <c r="D31" s="10" t="s">
        <v>39</v>
      </c>
      <c r="E31" s="10">
        <v>1</v>
      </c>
      <c r="F31" s="17">
        <f>(LOOKUP(Tableau2[[#This Row],[Article]],Données!$K$2:$K$18,Données!$L$2:$L$18))*Tableau2[[#This Row],[Qté]]</f>
        <v>561.79999999999995</v>
      </c>
    </row>
    <row r="32" spans="2:6" x14ac:dyDescent="0.25">
      <c r="B32" s="11">
        <v>43649</v>
      </c>
      <c r="C32" s="10" t="s">
        <v>36</v>
      </c>
      <c r="D32" s="10" t="s">
        <v>42</v>
      </c>
      <c r="E32" s="10">
        <v>2</v>
      </c>
      <c r="F32" s="17">
        <f>(LOOKUP(Tableau2[[#This Row],[Article]],Données!$K$2:$K$18,Données!$L$2:$L$18))*Tableau2[[#This Row],[Qté]]</f>
        <v>926.44</v>
      </c>
    </row>
    <row r="33" spans="2:6" x14ac:dyDescent="0.25">
      <c r="B33" s="11">
        <v>43649</v>
      </c>
      <c r="C33" s="10" t="s">
        <v>36</v>
      </c>
      <c r="D33" s="10" t="s">
        <v>40</v>
      </c>
      <c r="E33" s="10">
        <v>1</v>
      </c>
      <c r="F33" s="17">
        <f>(LOOKUP(Tableau2[[#This Row],[Article]],Données!$K$2:$K$18,Données!$L$2:$L$18))*Tableau2[[#This Row],[Qté]]</f>
        <v>463.22</v>
      </c>
    </row>
    <row r="34" spans="2:6" x14ac:dyDescent="0.25">
      <c r="B34" s="11">
        <v>43649</v>
      </c>
      <c r="C34" s="10" t="s">
        <v>36</v>
      </c>
      <c r="D34" s="10" t="s">
        <v>18</v>
      </c>
      <c r="E34" s="10">
        <v>40</v>
      </c>
      <c r="F34" s="17">
        <f>(LOOKUP(Tableau2[[#This Row],[Article]],Données!$K$2:$K$18,Données!$L$2:$L$18))*Tableau2[[#This Row],[Qté]]</f>
        <v>767.3</v>
      </c>
    </row>
    <row r="35" spans="2:6" x14ac:dyDescent="0.25">
      <c r="B35" s="11">
        <v>43654</v>
      </c>
      <c r="C35" s="10" t="s">
        <v>36</v>
      </c>
      <c r="D35" s="10" t="s">
        <v>23</v>
      </c>
      <c r="E35" s="10">
        <v>1</v>
      </c>
      <c r="F35" s="17">
        <f>(LOOKUP(Tableau2[[#This Row],[Article]],Données!$K$2:$K$18,Données!$L$2:$L$18))*Tableau2[[#This Row],[Qté]]</f>
        <v>187.62</v>
      </c>
    </row>
  </sheetData>
  <conditionalFormatting sqref="B7:F8 B16:F21 B15:C15 E15:F15 B25:C25 E25:F25 F8:F30 B26:F26 B10:F14 B9:C9 E9:F9 B23:F24 B22:C22 E22:F22 B27:C27 E27:F27 B28:F35">
    <cfRule type="expression" dxfId="17" priority="10">
      <formula>$B7&lt;&gt;""</formula>
    </cfRule>
  </conditionalFormatting>
  <conditionalFormatting sqref="F7:F35">
    <cfRule type="expression" dxfId="16" priority="39">
      <formula>#REF!&lt;&gt;""</formula>
    </cfRule>
  </conditionalFormatting>
  <conditionalFormatting sqref="D15">
    <cfRule type="expression" dxfId="15" priority="7">
      <formula>$K15&lt;&gt;""</formula>
    </cfRule>
  </conditionalFormatting>
  <conditionalFormatting sqref="D25">
    <cfRule type="expression" dxfId="14" priority="6">
      <formula>$K25&lt;&gt;""</formula>
    </cfRule>
  </conditionalFormatting>
  <conditionalFormatting sqref="D9">
    <cfRule type="expression" dxfId="13" priority="3">
      <formula>$K9&lt;&gt;""</formula>
    </cfRule>
  </conditionalFormatting>
  <conditionalFormatting sqref="D27">
    <cfRule type="expression" dxfId="12" priority="1">
      <formula>$K27&lt;&gt;""</formula>
    </cfRule>
  </conditionalFormatting>
  <conditionalFormatting sqref="D22">
    <cfRule type="expression" dxfId="11" priority="2">
      <formula>$K22&lt;&gt;""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1</xdr:col>
                <xdr:colOff>0</xdr:colOff>
                <xdr:row>2</xdr:row>
                <xdr:rowOff>0</xdr:rowOff>
              </from>
              <to>
                <xdr:col>2</xdr:col>
                <xdr:colOff>285750</xdr:colOff>
                <xdr:row>3</xdr:row>
                <xdr:rowOff>95250</xdr:rowOff>
              </to>
            </anchor>
          </controlPr>
        </control>
      </mc:Choice>
      <mc:Fallback>
        <control shapeId="7169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18"/>
  <sheetViews>
    <sheetView showGridLines="0" workbookViewId="0">
      <selection activeCell="E7" sqref="E7"/>
    </sheetView>
  </sheetViews>
  <sheetFormatPr baseColWidth="10" defaultColWidth="11.5703125" defaultRowHeight="15" x14ac:dyDescent="0.25"/>
  <cols>
    <col min="1" max="3" width="12.7109375" style="1" customWidth="1"/>
    <col min="4" max="4" width="11.5703125" style="1"/>
    <col min="5" max="6" width="11.5703125" style="1" customWidth="1"/>
    <col min="7" max="7" width="20" style="4" customWidth="1"/>
    <col min="8" max="8" width="11.5703125" style="4"/>
    <col min="9" max="9" width="11.5703125" style="1" customWidth="1"/>
    <col min="10" max="10" width="11.5703125" style="1"/>
    <col min="11" max="11" width="33.140625" style="1" customWidth="1"/>
    <col min="12" max="12" width="20" style="1" customWidth="1"/>
    <col min="13" max="16384" width="11.5703125" style="1"/>
  </cols>
  <sheetData>
    <row r="1" spans="1:13" x14ac:dyDescent="0.25">
      <c r="A1" s="3"/>
      <c r="B1" s="3"/>
      <c r="C1" s="3"/>
      <c r="D1" s="3"/>
      <c r="F1" s="3"/>
      <c r="G1" s="3"/>
      <c r="H1" s="3"/>
      <c r="K1" s="3" t="s">
        <v>14</v>
      </c>
      <c r="L1" s="3" t="s">
        <v>15</v>
      </c>
      <c r="M1" s="3" t="s">
        <v>4</v>
      </c>
    </row>
    <row r="2" spans="1:13" x14ac:dyDescent="0.25">
      <c r="B2" s="4"/>
      <c r="D2" s="4"/>
      <c r="I2" s="5"/>
      <c r="K2" s="1" t="s">
        <v>40</v>
      </c>
      <c r="L2" s="4">
        <f>463.22</f>
        <v>463.22</v>
      </c>
      <c r="M2" s="1">
        <v>1</v>
      </c>
    </row>
    <row r="3" spans="1:13" x14ac:dyDescent="0.25">
      <c r="B3" s="4"/>
      <c r="D3" s="4"/>
      <c r="I3" s="5"/>
      <c r="K3" s="1" t="s">
        <v>41</v>
      </c>
      <c r="L3" s="4">
        <f>463.22</f>
        <v>463.22</v>
      </c>
      <c r="M3" s="1">
        <v>1</v>
      </c>
    </row>
    <row r="4" spans="1:13" x14ac:dyDescent="0.25">
      <c r="B4" s="4"/>
      <c r="D4" s="4"/>
      <c r="I4" s="5"/>
      <c r="K4" s="1" t="s">
        <v>42</v>
      </c>
      <c r="L4" s="4">
        <f>463.22</f>
        <v>463.22</v>
      </c>
      <c r="M4" s="1">
        <v>3</v>
      </c>
    </row>
    <row r="5" spans="1:13" x14ac:dyDescent="0.25">
      <c r="B5" s="4"/>
      <c r="I5" s="5"/>
      <c r="K5" s="1" t="s">
        <v>56</v>
      </c>
      <c r="L5" s="4">
        <f>795</f>
        <v>795</v>
      </c>
      <c r="M5" s="1">
        <v>1</v>
      </c>
    </row>
    <row r="6" spans="1:13" x14ac:dyDescent="0.25">
      <c r="I6" s="5"/>
      <c r="K6" s="1" t="s">
        <v>38</v>
      </c>
      <c r="L6" s="4">
        <f>561.8</f>
        <v>561.79999999999995</v>
      </c>
      <c r="M6" s="1">
        <v>1</v>
      </c>
    </row>
    <row r="7" spans="1:13" x14ac:dyDescent="0.25">
      <c r="I7" s="5"/>
      <c r="K7" s="1" t="s">
        <v>39</v>
      </c>
      <c r="L7" s="4">
        <f>561.8</f>
        <v>561.79999999999995</v>
      </c>
      <c r="M7" s="1">
        <v>2</v>
      </c>
    </row>
    <row r="8" spans="1:13" x14ac:dyDescent="0.25">
      <c r="I8" s="5"/>
      <c r="K8" s="1" t="s">
        <v>43</v>
      </c>
      <c r="L8" s="4">
        <f>472.76</f>
        <v>472.76</v>
      </c>
      <c r="M8" s="1">
        <v>2</v>
      </c>
    </row>
    <row r="9" spans="1:13" x14ac:dyDescent="0.25">
      <c r="I9" s="5"/>
      <c r="K9" s="1" t="s">
        <v>44</v>
      </c>
      <c r="L9" s="4">
        <f>472.76</f>
        <v>472.76</v>
      </c>
      <c r="M9" s="1">
        <v>2</v>
      </c>
    </row>
    <row r="10" spans="1:13" x14ac:dyDescent="0.25">
      <c r="I10" s="5"/>
      <c r="K10" s="1" t="s">
        <v>16</v>
      </c>
      <c r="L10" s="4">
        <f>450/4</f>
        <v>112.5</v>
      </c>
      <c r="M10" s="1">
        <v>7</v>
      </c>
    </row>
    <row r="11" spans="1:13" x14ac:dyDescent="0.25">
      <c r="K11" s="1" t="s">
        <v>17</v>
      </c>
      <c r="L11" s="4">
        <f>149.46/20</f>
        <v>7.4730000000000008</v>
      </c>
      <c r="M11" s="1">
        <v>37</v>
      </c>
    </row>
    <row r="12" spans="1:13" x14ac:dyDescent="0.25">
      <c r="K12" s="1" t="s">
        <v>18</v>
      </c>
      <c r="L12" s="4">
        <f>383.65/20</f>
        <v>19.182499999999997</v>
      </c>
      <c r="M12" s="1">
        <v>30</v>
      </c>
    </row>
    <row r="13" spans="1:13" x14ac:dyDescent="0.25">
      <c r="K13" s="1" t="s">
        <v>19</v>
      </c>
      <c r="L13" s="4">
        <f>187.62</f>
        <v>187.62</v>
      </c>
      <c r="M13" s="1">
        <v>1</v>
      </c>
    </row>
    <row r="14" spans="1:13" x14ac:dyDescent="0.25">
      <c r="K14" s="1" t="s">
        <v>21</v>
      </c>
      <c r="L14" s="4">
        <f>187.62</f>
        <v>187.62</v>
      </c>
      <c r="M14" s="1">
        <v>2</v>
      </c>
    </row>
    <row r="15" spans="1:13" x14ac:dyDescent="0.25">
      <c r="K15" s="1" t="s">
        <v>20</v>
      </c>
      <c r="L15" s="4">
        <f>187.62</f>
        <v>187.62</v>
      </c>
      <c r="M15" s="1">
        <v>2</v>
      </c>
    </row>
    <row r="16" spans="1:13" x14ac:dyDescent="0.25">
      <c r="K16" s="1" t="s">
        <v>22</v>
      </c>
      <c r="L16" s="4">
        <f>187.62</f>
        <v>187.62</v>
      </c>
      <c r="M16" s="1">
        <v>2</v>
      </c>
    </row>
    <row r="17" spans="11:13" x14ac:dyDescent="0.25">
      <c r="K17" s="1" t="s">
        <v>23</v>
      </c>
      <c r="L17" s="4">
        <f>187.62</f>
        <v>187.62</v>
      </c>
      <c r="M17" s="1">
        <v>2</v>
      </c>
    </row>
    <row r="18" spans="11:13" x14ac:dyDescent="0.25">
      <c r="K18" s="1" t="s">
        <v>54</v>
      </c>
      <c r="L18" s="4">
        <f>125/24</f>
        <v>5.208333333333333</v>
      </c>
      <c r="M18" s="1">
        <v>35</v>
      </c>
    </row>
  </sheetData>
  <sortState ref="F2:H17">
    <sortCondition ref="F17"/>
  </sortState>
  <conditionalFormatting sqref="A2:B1048576">
    <cfRule type="expression" dxfId="6" priority="16">
      <formula>$A2&lt;&gt;""</formula>
    </cfRule>
  </conditionalFormatting>
  <conditionalFormatting sqref="C2:C1048576 D2:D4">
    <cfRule type="expression" dxfId="5" priority="15">
      <formula>$C2&lt;&gt;""</formula>
    </cfRule>
  </conditionalFormatting>
  <conditionalFormatting sqref="F15:G15 F2:H14 F16:H1048576">
    <cfRule type="expression" dxfId="4" priority="9">
      <formula>$F2&lt;&gt;""</formula>
    </cfRule>
  </conditionalFormatting>
  <conditionalFormatting sqref="K2:M1048576">
    <cfRule type="expression" dxfId="3" priority="7">
      <formula>$K2&lt;&gt;""</formula>
    </cfRule>
  </conditionalFormatting>
  <conditionalFormatting sqref="F2:F14 F16:F1048576">
    <cfRule type="expression" dxfId="2" priority="3">
      <formula>AND($G2&lt;&gt;0,$H2-$G2&lt;0)</formula>
    </cfRule>
  </conditionalFormatting>
  <conditionalFormatting sqref="H15">
    <cfRule type="expression" dxfId="1" priority="1">
      <formula>$F15&lt;&gt;""</formula>
    </cfRule>
  </conditionalFormatting>
  <conditionalFormatting sqref="F15">
    <cfRule type="expression" dxfId="0" priority="41">
      <formula>AND($G15&lt;&gt;0,#REF!-$G15&lt;0)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Conso machine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</dc:creator>
  <cp:lastModifiedBy>isabelle</cp:lastModifiedBy>
  <dcterms:created xsi:type="dcterms:W3CDTF">2019-03-26T21:09:02Z</dcterms:created>
  <dcterms:modified xsi:type="dcterms:W3CDTF">2019-09-07T00:40:03Z</dcterms:modified>
</cp:coreProperties>
</file>